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ninja\OneDrive\Desktop\WSO Templates 21.7\"/>
    </mc:Choice>
  </mc:AlternateContent>
  <xr:revisionPtr revIDLastSave="15" documentId="11_1E94232DAD47EF41B712B4B1E41AB48215BAFA49" xr6:coauthVersionLast="45" xr6:coauthVersionMax="45" xr10:uidLastSave="{89DF828E-864A-4E99-8C5E-6383532D3E31}"/>
  <bookViews>
    <workbookView xWindow="-90" yWindow="-90" windowWidth="19380" windowHeight="10380" tabRatio="909" xr2:uid="{00000000-000D-0000-FFFF-FFFF00000000}"/>
  </bookViews>
  <sheets>
    <sheet name="WSO Cover Page" sheetId="56" r:id="rId1"/>
    <sheet name="Forecast Drivers " sheetId="10" r:id="rId2"/>
    <sheet name="Balance Sheet " sheetId="1" r:id="rId3"/>
    <sheet name="Income Statement " sheetId="2" r:id="rId4"/>
    <sheet name="Statement of Cash Flows " sheetId="3" r:id="rId5"/>
    <sheet name="FCF Statement" sheetId="24" r:id="rId6"/>
    <sheet name="APV Valuation" sheetId="52" r:id="rId7"/>
    <sheet name="Sensitivity" sheetId="55" r:id="rId8"/>
    <sheet name="Reasonability Check " sheetId="30" r:id="rId9"/>
    <sheet name="Retained Earnings Schedule" sheetId="14" r:id="rId10"/>
    <sheet name="Revenue Schedule" sheetId="11" r:id="rId11"/>
    <sheet name="Revenue Sensitivity" sheetId="54" r:id="rId12"/>
    <sheet name="Fixed Asset Schedule" sheetId="32" r:id="rId13"/>
    <sheet name="Income Taxes" sheetId="19" r:id="rId14"/>
    <sheet name="Regional Data for Income Taxes" sheetId="12" r:id="rId15"/>
    <sheet name="NOL Schedule Levered" sheetId="34" r:id="rId16"/>
    <sheet name="NOL Schedule Unlevered" sheetId="36" r:id="rId17"/>
    <sheet name="Acquisition Schedule" sheetId="29" r:id="rId18"/>
    <sheet name="Intangibles Schedule" sheetId="26" r:id="rId19"/>
    <sheet name="Obsolete inventory reserve" sheetId="23" r:id="rId20"/>
    <sheet name="R&amp;D Schedule " sheetId="5" r:id="rId21"/>
    <sheet name="R&amp;D Capitalization " sheetId="37" r:id="rId22"/>
    <sheet name="Debt Schedule" sheetId="28" r:id="rId23"/>
    <sheet name="Unlevered Cost of Capital " sheetId="48" r:id="rId24"/>
    <sheet name="Costs of Debt" sheetId="49" r:id="rId25"/>
    <sheet name="Unlevering Betas " sheetId="50" r:id="rId26"/>
    <sheet name="Stock" sheetId="38" r:id="rId27"/>
    <sheet name="Stock Rating" sheetId="39" r:id="rId28"/>
    <sheet name="Comp 1" sheetId="40" r:id="rId29"/>
    <sheet name="Comp 1 Rating" sheetId="41" r:id="rId30"/>
    <sheet name="Comp 2" sheetId="42" r:id="rId31"/>
    <sheet name="Comp 2 Rating" sheetId="43" r:id="rId32"/>
    <sheet name="Comp 3" sheetId="44" r:id="rId33"/>
    <sheet name="Comp 3 Rating" sheetId="45" r:id="rId34"/>
    <sheet name="Comp 4" sheetId="46" r:id="rId35"/>
    <sheet name="Comp 4 Rating" sheetId="47" r:id="rId36"/>
    <sheet name="Raw Data" sheetId="51" r:id="rId37"/>
  </sheets>
  <definedNames>
    <definedName name="solver_eng" localSheetId="36" hidden="1">1</definedName>
    <definedName name="solver_neg" localSheetId="36" hidden="1">1</definedName>
    <definedName name="solver_num" localSheetId="36" hidden="1">0</definedName>
    <definedName name="solver_opt" localSheetId="36" hidden="1">'Raw Data'!$H$62</definedName>
    <definedName name="solver_typ" localSheetId="36" hidden="1">1</definedName>
    <definedName name="solver_val" localSheetId="36" hidden="1">0</definedName>
    <definedName name="solver_ver" localSheetId="36" hidden="1">3</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48" l="1"/>
  <c r="B9" i="48"/>
  <c r="AN35" i="54"/>
  <c r="AN24" i="54"/>
  <c r="AN41" i="54"/>
  <c r="AN31" i="54"/>
  <c r="AN37" i="54"/>
  <c r="AN26" i="54"/>
  <c r="AN40" i="54"/>
  <c r="AN30" i="54"/>
  <c r="AN36" i="54"/>
  <c r="AN25" i="54"/>
  <c r="AN39" i="54"/>
  <c r="AN29" i="54"/>
  <c r="AU23" i="19"/>
  <c r="U19" i="10"/>
  <c r="N19" i="10"/>
  <c r="B10" i="48"/>
  <c r="B4" i="52"/>
  <c r="B5" i="52"/>
  <c r="B9" i="49"/>
  <c r="B6" i="48"/>
  <c r="B7" i="48"/>
  <c r="B8" i="48"/>
  <c r="B20" i="46"/>
  <c r="F4" i="50"/>
  <c r="J21" i="49"/>
  <c r="F8" i="50"/>
  <c r="F9" i="49"/>
  <c r="F8" i="49"/>
  <c r="F10" i="49"/>
  <c r="F5" i="50"/>
  <c r="F9" i="50"/>
  <c r="F12" i="50"/>
  <c r="C77" i="55"/>
  <c r="C78" i="55"/>
  <c r="C79" i="55"/>
  <c r="C80" i="55"/>
  <c r="C81" i="55"/>
  <c r="C75" i="55"/>
  <c r="C74" i="55"/>
  <c r="C73" i="55"/>
  <c r="C72" i="55"/>
  <c r="C71" i="55"/>
  <c r="J70" i="55"/>
  <c r="K70" i="55"/>
  <c r="L70" i="55"/>
  <c r="M70" i="55"/>
  <c r="N70" i="55"/>
  <c r="H70" i="55"/>
  <c r="G70" i="55"/>
  <c r="F70" i="55"/>
  <c r="E70" i="55"/>
  <c r="D70" i="55"/>
  <c r="B20" i="44"/>
  <c r="E4" i="50"/>
  <c r="J20" i="49"/>
  <c r="E8" i="50"/>
  <c r="E9" i="49"/>
  <c r="E8" i="49"/>
  <c r="E10" i="49"/>
  <c r="E5" i="50"/>
  <c r="E9" i="50"/>
  <c r="E12" i="50"/>
  <c r="B20" i="42"/>
  <c r="D4" i="50"/>
  <c r="J19" i="49"/>
  <c r="D8" i="50"/>
  <c r="D9" i="49"/>
  <c r="D8" i="49"/>
  <c r="D10" i="49"/>
  <c r="D5" i="50"/>
  <c r="D9" i="50"/>
  <c r="D12" i="50"/>
  <c r="B20" i="40"/>
  <c r="C4" i="50"/>
  <c r="J18" i="49"/>
  <c r="C8" i="50"/>
  <c r="C9" i="49"/>
  <c r="C8" i="49"/>
  <c r="C10" i="49"/>
  <c r="C5" i="50"/>
  <c r="C9" i="50"/>
  <c r="C12" i="50"/>
  <c r="B20" i="38"/>
  <c r="B4" i="50"/>
  <c r="J17" i="49"/>
  <c r="B8" i="50"/>
  <c r="B8" i="49"/>
  <c r="B10" i="49"/>
  <c r="B5" i="50"/>
  <c r="B9" i="50"/>
  <c r="B12" i="50"/>
  <c r="B5" i="48"/>
  <c r="C9" i="54"/>
  <c r="H44" i="11"/>
  <c r="H41" i="11"/>
  <c r="C5" i="54"/>
  <c r="H13" i="11"/>
  <c r="H11" i="11"/>
  <c r="H53" i="11"/>
  <c r="C53" i="11"/>
  <c r="C72" i="11"/>
  <c r="D53" i="11"/>
  <c r="D72" i="11"/>
  <c r="E53" i="11"/>
  <c r="E72" i="11"/>
  <c r="F53" i="11"/>
  <c r="F72" i="11"/>
  <c r="G53" i="11"/>
  <c r="G72" i="11"/>
  <c r="H72" i="11"/>
  <c r="H62" i="11"/>
  <c r="C4" i="54"/>
  <c r="H10" i="11"/>
  <c r="H8" i="11"/>
  <c r="C8" i="54"/>
  <c r="H38" i="11"/>
  <c r="H28" i="11"/>
  <c r="H51" i="11"/>
  <c r="C51" i="11"/>
  <c r="C71" i="11"/>
  <c r="D51" i="11"/>
  <c r="D71" i="11"/>
  <c r="E51" i="11"/>
  <c r="E71" i="11"/>
  <c r="F51" i="11"/>
  <c r="F71" i="11"/>
  <c r="G51" i="11"/>
  <c r="G71" i="11"/>
  <c r="H71" i="11"/>
  <c r="H60" i="11"/>
  <c r="C3" i="54"/>
  <c r="H7" i="11"/>
  <c r="H5" i="11"/>
  <c r="C7" i="54"/>
  <c r="H25" i="11"/>
  <c r="H17" i="11"/>
  <c r="H49" i="11"/>
  <c r="C49" i="11"/>
  <c r="C70" i="11"/>
  <c r="D49" i="11"/>
  <c r="D70" i="11"/>
  <c r="E49" i="11"/>
  <c r="E70" i="11"/>
  <c r="F49" i="11"/>
  <c r="F70" i="11"/>
  <c r="G49" i="11"/>
  <c r="G70" i="11"/>
  <c r="H70" i="11"/>
  <c r="H58" i="11"/>
  <c r="H64" i="11"/>
  <c r="G64" i="11"/>
  <c r="H65" i="11"/>
  <c r="H63" i="10"/>
  <c r="H4" i="2"/>
  <c r="D9" i="54"/>
  <c r="I44" i="11"/>
  <c r="I41" i="11"/>
  <c r="D5" i="54"/>
  <c r="I13" i="11"/>
  <c r="I11" i="11"/>
  <c r="I53" i="11"/>
  <c r="I72" i="11"/>
  <c r="I62" i="11"/>
  <c r="D4" i="54"/>
  <c r="I10" i="11"/>
  <c r="I8" i="11"/>
  <c r="D8" i="54"/>
  <c r="I38" i="11"/>
  <c r="I28" i="11"/>
  <c r="I51" i="11"/>
  <c r="I71" i="11"/>
  <c r="I60" i="11"/>
  <c r="D3" i="54"/>
  <c r="I7" i="11"/>
  <c r="I5" i="11"/>
  <c r="D7" i="54"/>
  <c r="I25" i="11"/>
  <c r="I17" i="11"/>
  <c r="I49" i="11"/>
  <c r="I70" i="11"/>
  <c r="I58" i="11"/>
  <c r="I64" i="11"/>
  <c r="I65" i="11"/>
  <c r="I63" i="10"/>
  <c r="I4" i="2"/>
  <c r="E9" i="54"/>
  <c r="J44" i="11"/>
  <c r="J41" i="11"/>
  <c r="E5" i="54"/>
  <c r="J13" i="11"/>
  <c r="J11" i="11"/>
  <c r="J53" i="11"/>
  <c r="J72" i="11"/>
  <c r="J62" i="11"/>
  <c r="E4" i="54"/>
  <c r="J10" i="11"/>
  <c r="J8" i="11"/>
  <c r="E8" i="54"/>
  <c r="J38" i="11"/>
  <c r="J28" i="11"/>
  <c r="J51" i="11"/>
  <c r="J71" i="11"/>
  <c r="J60" i="11"/>
  <c r="E3" i="54"/>
  <c r="J7" i="11"/>
  <c r="J5" i="11"/>
  <c r="E7" i="54"/>
  <c r="J25" i="11"/>
  <c r="J17" i="11"/>
  <c r="J49" i="11"/>
  <c r="J70" i="11"/>
  <c r="J58" i="11"/>
  <c r="J64" i="11"/>
  <c r="J65" i="11"/>
  <c r="J63" i="10"/>
  <c r="J4" i="2"/>
  <c r="F9" i="54"/>
  <c r="K44" i="11"/>
  <c r="K41" i="11"/>
  <c r="F5" i="54"/>
  <c r="K13" i="11"/>
  <c r="K11" i="11"/>
  <c r="K53" i="11"/>
  <c r="K72" i="11"/>
  <c r="K62" i="11"/>
  <c r="F4" i="54"/>
  <c r="K10" i="11"/>
  <c r="K8" i="11"/>
  <c r="F8" i="54"/>
  <c r="K38" i="11"/>
  <c r="K28" i="11"/>
  <c r="K51" i="11"/>
  <c r="K71" i="11"/>
  <c r="K60" i="11"/>
  <c r="F3" i="54"/>
  <c r="K7" i="11"/>
  <c r="K6" i="11"/>
  <c r="K5" i="11"/>
  <c r="F7" i="54"/>
  <c r="K25" i="11"/>
  <c r="K17" i="11"/>
  <c r="K49" i="11"/>
  <c r="K70" i="11"/>
  <c r="K58" i="11"/>
  <c r="K64" i="11"/>
  <c r="K65" i="11"/>
  <c r="K63" i="10"/>
  <c r="K4" i="2"/>
  <c r="G9" i="54"/>
  <c r="L44" i="11"/>
  <c r="L41" i="11"/>
  <c r="G5" i="54"/>
  <c r="L13" i="11"/>
  <c r="L12" i="11"/>
  <c r="L11" i="11"/>
  <c r="L53" i="11"/>
  <c r="L72" i="11"/>
  <c r="L62" i="11"/>
  <c r="G4" i="54"/>
  <c r="L10" i="11"/>
  <c r="L9" i="11"/>
  <c r="L8" i="11"/>
  <c r="G8" i="54"/>
  <c r="L38" i="11"/>
  <c r="L28" i="11"/>
  <c r="L51" i="11"/>
  <c r="L71" i="11"/>
  <c r="L60" i="11"/>
  <c r="G3" i="54"/>
  <c r="L7" i="11"/>
  <c r="L6" i="11"/>
  <c r="L5" i="11"/>
  <c r="G7" i="54"/>
  <c r="L25" i="11"/>
  <c r="L17" i="11"/>
  <c r="L49" i="11"/>
  <c r="L70" i="11"/>
  <c r="L58" i="11"/>
  <c r="L64" i="11"/>
  <c r="L65" i="11"/>
  <c r="L63" i="10"/>
  <c r="L4" i="2"/>
  <c r="H9" i="54"/>
  <c r="M44" i="11"/>
  <c r="M41" i="11"/>
  <c r="H5" i="54"/>
  <c r="M13" i="11"/>
  <c r="M12" i="11"/>
  <c r="M11" i="11"/>
  <c r="M53" i="11"/>
  <c r="M72" i="11"/>
  <c r="M62" i="11"/>
  <c r="H4" i="54"/>
  <c r="M10" i="11"/>
  <c r="M9" i="11"/>
  <c r="M8" i="11"/>
  <c r="H8" i="54"/>
  <c r="M38" i="11"/>
  <c r="M28" i="11"/>
  <c r="M51" i="11"/>
  <c r="M71" i="11"/>
  <c r="M60" i="11"/>
  <c r="H3" i="54"/>
  <c r="M7" i="11"/>
  <c r="M6" i="11"/>
  <c r="M5" i="11"/>
  <c r="H7" i="54"/>
  <c r="M25" i="11"/>
  <c r="M17" i="11"/>
  <c r="M49" i="11"/>
  <c r="M70" i="11"/>
  <c r="M58" i="11"/>
  <c r="M64" i="11"/>
  <c r="M65" i="11"/>
  <c r="M63" i="10"/>
  <c r="M4" i="2"/>
  <c r="I9" i="54"/>
  <c r="N44" i="11"/>
  <c r="N41" i="11"/>
  <c r="I5" i="54"/>
  <c r="N13" i="11"/>
  <c r="N12" i="11"/>
  <c r="N11" i="11"/>
  <c r="N53" i="11"/>
  <c r="N72" i="11"/>
  <c r="N62" i="11"/>
  <c r="I4" i="54"/>
  <c r="N10" i="11"/>
  <c r="N9" i="11"/>
  <c r="N8" i="11"/>
  <c r="I8" i="54"/>
  <c r="N38" i="11"/>
  <c r="N28" i="11"/>
  <c r="N51" i="11"/>
  <c r="N71" i="11"/>
  <c r="N60" i="11"/>
  <c r="I3" i="54"/>
  <c r="N7" i="11"/>
  <c r="N5" i="11"/>
  <c r="I7" i="54"/>
  <c r="N25" i="11"/>
  <c r="N17" i="11"/>
  <c r="N49" i="11"/>
  <c r="N70" i="11"/>
  <c r="N58" i="11"/>
  <c r="N64" i="11"/>
  <c r="N65" i="11"/>
  <c r="N63" i="10"/>
  <c r="N4" i="2"/>
  <c r="J9" i="54"/>
  <c r="O44" i="11"/>
  <c r="O41" i="11"/>
  <c r="J5" i="54"/>
  <c r="O13" i="11"/>
  <c r="O12" i="11"/>
  <c r="O11" i="11"/>
  <c r="O53" i="11"/>
  <c r="O72" i="11"/>
  <c r="O62" i="11"/>
  <c r="J4" i="54"/>
  <c r="O10" i="11"/>
  <c r="O9" i="11"/>
  <c r="O8" i="11"/>
  <c r="J8" i="54"/>
  <c r="O38" i="11"/>
  <c r="O28" i="11"/>
  <c r="O51" i="11"/>
  <c r="O71" i="11"/>
  <c r="O60" i="11"/>
  <c r="J3" i="54"/>
  <c r="O7" i="11"/>
  <c r="O6" i="11"/>
  <c r="O5" i="11"/>
  <c r="J7" i="54"/>
  <c r="O25" i="11"/>
  <c r="O17" i="11"/>
  <c r="O49" i="11"/>
  <c r="O70" i="11"/>
  <c r="O58" i="11"/>
  <c r="O64" i="11"/>
  <c r="O65" i="11"/>
  <c r="O63" i="10"/>
  <c r="O4" i="2"/>
  <c r="K9" i="54"/>
  <c r="P44" i="11"/>
  <c r="P45" i="11"/>
  <c r="P41" i="11"/>
  <c r="K5" i="54"/>
  <c r="P13" i="11"/>
  <c r="P12" i="11"/>
  <c r="P11" i="11"/>
  <c r="P53" i="11"/>
  <c r="P72" i="11"/>
  <c r="P62" i="11"/>
  <c r="K4" i="54"/>
  <c r="P10" i="11"/>
  <c r="P9" i="11"/>
  <c r="P8" i="11"/>
  <c r="K8" i="54"/>
  <c r="P38" i="11"/>
  <c r="P39" i="11"/>
  <c r="P28" i="11"/>
  <c r="P51" i="11"/>
  <c r="P71" i="11"/>
  <c r="P60" i="11"/>
  <c r="K3" i="54"/>
  <c r="P7" i="11"/>
  <c r="P6" i="11"/>
  <c r="P5" i="11"/>
  <c r="K7" i="54"/>
  <c r="P25" i="11"/>
  <c r="P26" i="11"/>
  <c r="P17" i="11"/>
  <c r="P49" i="11"/>
  <c r="P70" i="11"/>
  <c r="P58" i="11"/>
  <c r="P64" i="11"/>
  <c r="P65" i="11"/>
  <c r="P63" i="10"/>
  <c r="P4" i="2"/>
  <c r="L9" i="54"/>
  <c r="Q44" i="11"/>
  <c r="Q45" i="11"/>
  <c r="Q41" i="11"/>
  <c r="L5" i="54"/>
  <c r="Q13" i="11"/>
  <c r="Q12" i="11"/>
  <c r="Q11" i="11"/>
  <c r="Q53" i="11"/>
  <c r="Q72" i="11"/>
  <c r="Q62" i="11"/>
  <c r="L4" i="54"/>
  <c r="Q10" i="11"/>
  <c r="Q9" i="11"/>
  <c r="Q8" i="11"/>
  <c r="L8" i="54"/>
  <c r="Q38" i="11"/>
  <c r="Q39" i="11"/>
  <c r="Q28" i="11"/>
  <c r="Q51" i="11"/>
  <c r="Q71" i="11"/>
  <c r="Q60" i="11"/>
  <c r="L3" i="54"/>
  <c r="Q7" i="11"/>
  <c r="Q6" i="11"/>
  <c r="Q5" i="11"/>
  <c r="L7" i="54"/>
  <c r="Q25" i="11"/>
  <c r="Q26" i="11"/>
  <c r="Q17" i="11"/>
  <c r="Q49" i="11"/>
  <c r="Q70" i="11"/>
  <c r="Q58" i="11"/>
  <c r="Q64" i="11"/>
  <c r="Q65" i="11"/>
  <c r="Q63" i="10"/>
  <c r="Q4" i="2"/>
  <c r="M9" i="54"/>
  <c r="R44" i="11"/>
  <c r="R45" i="11"/>
  <c r="R41" i="11"/>
  <c r="M5" i="54"/>
  <c r="R13" i="11"/>
  <c r="R12" i="11"/>
  <c r="R11" i="11"/>
  <c r="R53" i="11"/>
  <c r="R72" i="11"/>
  <c r="R62" i="11"/>
  <c r="M4" i="54"/>
  <c r="R10" i="11"/>
  <c r="R9" i="11"/>
  <c r="R8" i="11"/>
  <c r="M8" i="54"/>
  <c r="R38" i="11"/>
  <c r="R39" i="11"/>
  <c r="R28" i="11"/>
  <c r="R51" i="11"/>
  <c r="R71" i="11"/>
  <c r="R60" i="11"/>
  <c r="M3" i="54"/>
  <c r="R7" i="11"/>
  <c r="R6" i="11"/>
  <c r="R5" i="11"/>
  <c r="M7" i="54"/>
  <c r="R25" i="11"/>
  <c r="R26" i="11"/>
  <c r="R17" i="11"/>
  <c r="R49" i="11"/>
  <c r="R70" i="11"/>
  <c r="R58" i="11"/>
  <c r="R64" i="11"/>
  <c r="R65" i="11"/>
  <c r="R63" i="10"/>
  <c r="R4" i="2"/>
  <c r="N9" i="54"/>
  <c r="S44" i="11"/>
  <c r="S45" i="11"/>
  <c r="S41" i="11"/>
  <c r="N5" i="54"/>
  <c r="S13" i="11"/>
  <c r="S12" i="11"/>
  <c r="S11" i="11"/>
  <c r="S53" i="11"/>
  <c r="S72" i="11"/>
  <c r="S62" i="11"/>
  <c r="N4" i="54"/>
  <c r="S10" i="11"/>
  <c r="S9" i="11"/>
  <c r="S8" i="11"/>
  <c r="N8" i="54"/>
  <c r="S38" i="11"/>
  <c r="S39" i="11"/>
  <c r="S28" i="11"/>
  <c r="S51" i="11"/>
  <c r="S71" i="11"/>
  <c r="S60" i="11"/>
  <c r="N3" i="54"/>
  <c r="S7" i="11"/>
  <c r="S6" i="11"/>
  <c r="S5" i="11"/>
  <c r="N7" i="54"/>
  <c r="S25" i="11"/>
  <c r="S26" i="11"/>
  <c r="S17" i="11"/>
  <c r="S49" i="11"/>
  <c r="S70" i="11"/>
  <c r="S58" i="11"/>
  <c r="S64" i="11"/>
  <c r="S65" i="11"/>
  <c r="S63" i="10"/>
  <c r="S4" i="2"/>
  <c r="O9" i="54"/>
  <c r="T44" i="11"/>
  <c r="T45" i="11"/>
  <c r="T41" i="11"/>
  <c r="O5" i="54"/>
  <c r="T13" i="11"/>
  <c r="T12" i="11"/>
  <c r="T11" i="11"/>
  <c r="T53" i="11"/>
  <c r="T72" i="11"/>
  <c r="T62" i="11"/>
  <c r="O4" i="54"/>
  <c r="T10" i="11"/>
  <c r="T9" i="11"/>
  <c r="T8" i="11"/>
  <c r="O8" i="54"/>
  <c r="T38" i="11"/>
  <c r="T39" i="11"/>
  <c r="T28" i="11"/>
  <c r="T51" i="11"/>
  <c r="T71" i="11"/>
  <c r="T60" i="11"/>
  <c r="O3" i="54"/>
  <c r="T7" i="11"/>
  <c r="T6" i="11"/>
  <c r="T5" i="11"/>
  <c r="O7" i="54"/>
  <c r="T25" i="11"/>
  <c r="T26" i="11"/>
  <c r="T17" i="11"/>
  <c r="T49" i="11"/>
  <c r="T70" i="11"/>
  <c r="T58" i="11"/>
  <c r="T64" i="11"/>
  <c r="T65" i="11"/>
  <c r="T63" i="10"/>
  <c r="T4" i="2"/>
  <c r="P9" i="54"/>
  <c r="U44" i="11"/>
  <c r="U45" i="11"/>
  <c r="U41" i="11"/>
  <c r="P5" i="54"/>
  <c r="U13" i="11"/>
  <c r="U12" i="11"/>
  <c r="U11" i="11"/>
  <c r="U53" i="11"/>
  <c r="U72" i="11"/>
  <c r="U62" i="11"/>
  <c r="P4" i="54"/>
  <c r="U10" i="11"/>
  <c r="U9" i="11"/>
  <c r="U8" i="11"/>
  <c r="P8" i="54"/>
  <c r="U38" i="11"/>
  <c r="U39" i="11"/>
  <c r="U28" i="11"/>
  <c r="U51" i="11"/>
  <c r="U71" i="11"/>
  <c r="U60" i="11"/>
  <c r="P3" i="54"/>
  <c r="U7" i="11"/>
  <c r="U6" i="11"/>
  <c r="U5" i="11"/>
  <c r="P7" i="54"/>
  <c r="U25" i="11"/>
  <c r="U26" i="11"/>
  <c r="U17" i="11"/>
  <c r="U49" i="11"/>
  <c r="U70" i="11"/>
  <c r="U58" i="11"/>
  <c r="U64" i="11"/>
  <c r="U65" i="11"/>
  <c r="U63" i="10"/>
  <c r="U4" i="2"/>
  <c r="Q9" i="54"/>
  <c r="V44" i="11"/>
  <c r="V45" i="11"/>
  <c r="V41" i="11"/>
  <c r="Q5" i="54"/>
  <c r="V13" i="11"/>
  <c r="V12" i="11"/>
  <c r="V11" i="11"/>
  <c r="V53" i="11"/>
  <c r="V72" i="11"/>
  <c r="V62" i="11"/>
  <c r="Q4" i="54"/>
  <c r="V10" i="11"/>
  <c r="V9" i="11"/>
  <c r="V8" i="11"/>
  <c r="Q8" i="54"/>
  <c r="V38" i="11"/>
  <c r="V39" i="11"/>
  <c r="V28" i="11"/>
  <c r="V51" i="11"/>
  <c r="V71" i="11"/>
  <c r="V60" i="11"/>
  <c r="Q3" i="54"/>
  <c r="V7" i="11"/>
  <c r="V6" i="11"/>
  <c r="V5" i="11"/>
  <c r="Q7" i="54"/>
  <c r="V25" i="11"/>
  <c r="V26" i="11"/>
  <c r="V17" i="11"/>
  <c r="V49" i="11"/>
  <c r="V70" i="11"/>
  <c r="V58" i="11"/>
  <c r="V64" i="11"/>
  <c r="V65" i="11"/>
  <c r="V63" i="10"/>
  <c r="V4" i="2"/>
  <c r="R9" i="54"/>
  <c r="W44" i="11"/>
  <c r="W45" i="11"/>
  <c r="W41" i="11"/>
  <c r="R5" i="54"/>
  <c r="W13" i="11"/>
  <c r="W12" i="11"/>
  <c r="W11" i="11"/>
  <c r="W53" i="11"/>
  <c r="W72" i="11"/>
  <c r="W62" i="11"/>
  <c r="R4" i="54"/>
  <c r="W10" i="11"/>
  <c r="W9" i="11"/>
  <c r="W8" i="11"/>
  <c r="R8" i="54"/>
  <c r="W38" i="11"/>
  <c r="W39" i="11"/>
  <c r="W28" i="11"/>
  <c r="W51" i="11"/>
  <c r="W71" i="11"/>
  <c r="W60" i="11"/>
  <c r="R3" i="54"/>
  <c r="W7" i="11"/>
  <c r="W6" i="11"/>
  <c r="W5" i="11"/>
  <c r="R7" i="54"/>
  <c r="W25" i="11"/>
  <c r="W26" i="11"/>
  <c r="W17" i="11"/>
  <c r="W49" i="11"/>
  <c r="W70" i="11"/>
  <c r="W58" i="11"/>
  <c r="W64" i="11"/>
  <c r="W65" i="11"/>
  <c r="W63" i="10"/>
  <c r="W4" i="2"/>
  <c r="S9" i="54"/>
  <c r="X44" i="11"/>
  <c r="X45" i="11"/>
  <c r="X41" i="11"/>
  <c r="S5" i="54"/>
  <c r="X13" i="11"/>
  <c r="X12" i="11"/>
  <c r="X11" i="11"/>
  <c r="X53" i="11"/>
  <c r="X72" i="11"/>
  <c r="X62" i="11"/>
  <c r="S4" i="54"/>
  <c r="X10" i="11"/>
  <c r="X9" i="11"/>
  <c r="X8" i="11"/>
  <c r="S8" i="54"/>
  <c r="X38" i="11"/>
  <c r="X39" i="11"/>
  <c r="X28" i="11"/>
  <c r="X51" i="11"/>
  <c r="X71" i="11"/>
  <c r="X60" i="11"/>
  <c r="S3" i="54"/>
  <c r="X7" i="11"/>
  <c r="X6" i="11"/>
  <c r="X5" i="11"/>
  <c r="S7" i="54"/>
  <c r="X25" i="11"/>
  <c r="X26" i="11"/>
  <c r="X17" i="11"/>
  <c r="X49" i="11"/>
  <c r="X70" i="11"/>
  <c r="X58" i="11"/>
  <c r="X64" i="11"/>
  <c r="X65" i="11"/>
  <c r="X63" i="10"/>
  <c r="X4" i="2"/>
  <c r="T9" i="54"/>
  <c r="Y44" i="11"/>
  <c r="Y45" i="11"/>
  <c r="Y41" i="11"/>
  <c r="T5" i="54"/>
  <c r="Y13" i="11"/>
  <c r="Y12" i="11"/>
  <c r="Y11" i="11"/>
  <c r="Y53" i="11"/>
  <c r="Y72" i="11"/>
  <c r="Y62" i="11"/>
  <c r="T4" i="54"/>
  <c r="Y10" i="11"/>
  <c r="Y9" i="11"/>
  <c r="Y8" i="11"/>
  <c r="T8" i="54"/>
  <c r="Y38" i="11"/>
  <c r="Y39" i="11"/>
  <c r="Y28" i="11"/>
  <c r="Y51" i="11"/>
  <c r="Y71" i="11"/>
  <c r="Y60" i="11"/>
  <c r="T3" i="54"/>
  <c r="Y7" i="11"/>
  <c r="Y6" i="11"/>
  <c r="Y5" i="11"/>
  <c r="T7" i="54"/>
  <c r="Y25" i="11"/>
  <c r="Y26" i="11"/>
  <c r="Y17" i="11"/>
  <c r="Y49" i="11"/>
  <c r="Y70" i="11"/>
  <c r="Y58" i="11"/>
  <c r="Y64" i="11"/>
  <c r="Y65" i="11"/>
  <c r="Y63" i="10"/>
  <c r="Y4" i="2"/>
  <c r="U9" i="54"/>
  <c r="Z44" i="11"/>
  <c r="Z45" i="11"/>
  <c r="Z41" i="11"/>
  <c r="U5" i="54"/>
  <c r="Z13" i="11"/>
  <c r="Z12" i="11"/>
  <c r="Z11" i="11"/>
  <c r="Z53" i="11"/>
  <c r="Z72" i="11"/>
  <c r="Z62" i="11"/>
  <c r="U4" i="54"/>
  <c r="Z10" i="11"/>
  <c r="Z9" i="11"/>
  <c r="Z8" i="11"/>
  <c r="U8" i="54"/>
  <c r="Z38" i="11"/>
  <c r="Z39" i="11"/>
  <c r="Z28" i="11"/>
  <c r="Z51" i="11"/>
  <c r="Z71" i="11"/>
  <c r="Z60" i="11"/>
  <c r="U3" i="54"/>
  <c r="Z7" i="11"/>
  <c r="Z6" i="11"/>
  <c r="Z5" i="11"/>
  <c r="U7" i="54"/>
  <c r="Z25" i="11"/>
  <c r="Z26" i="11"/>
  <c r="Z17" i="11"/>
  <c r="Z49" i="11"/>
  <c r="Z70" i="11"/>
  <c r="Z58" i="11"/>
  <c r="Z64" i="11"/>
  <c r="Z65" i="11"/>
  <c r="Z63" i="10"/>
  <c r="Z4" i="2"/>
  <c r="V9" i="54"/>
  <c r="AA44" i="11"/>
  <c r="AA45" i="11"/>
  <c r="AA41" i="11"/>
  <c r="V5" i="54"/>
  <c r="AA13" i="11"/>
  <c r="AA12" i="11"/>
  <c r="AA11" i="11"/>
  <c r="AA53" i="11"/>
  <c r="AA72" i="11"/>
  <c r="AA62" i="11"/>
  <c r="V4" i="54"/>
  <c r="AA10" i="11"/>
  <c r="AA9" i="11"/>
  <c r="AA8" i="11"/>
  <c r="V8" i="54"/>
  <c r="AA38" i="11"/>
  <c r="AA39" i="11"/>
  <c r="AA28" i="11"/>
  <c r="AA51" i="11"/>
  <c r="AA71" i="11"/>
  <c r="AA60" i="11"/>
  <c r="V3" i="54"/>
  <c r="AA7" i="11"/>
  <c r="AA6" i="11"/>
  <c r="AA5" i="11"/>
  <c r="V7" i="54"/>
  <c r="AA25" i="11"/>
  <c r="AA26" i="11"/>
  <c r="AA17" i="11"/>
  <c r="AA49" i="11"/>
  <c r="AA70" i="11"/>
  <c r="AA58" i="11"/>
  <c r="AA64" i="11"/>
  <c r="AA65" i="11"/>
  <c r="AA63" i="10"/>
  <c r="AA4" i="2"/>
  <c r="W9" i="54"/>
  <c r="AB44" i="11"/>
  <c r="AB45" i="11"/>
  <c r="AB41" i="11"/>
  <c r="W5" i="54"/>
  <c r="AB13" i="11"/>
  <c r="AB12" i="11"/>
  <c r="AB11" i="11"/>
  <c r="AB53" i="11"/>
  <c r="AB72" i="11"/>
  <c r="AB62" i="11"/>
  <c r="W4" i="54"/>
  <c r="AB10" i="11"/>
  <c r="AB9" i="11"/>
  <c r="AB8" i="11"/>
  <c r="W8" i="54"/>
  <c r="AB38" i="11"/>
  <c r="AB39" i="11"/>
  <c r="AB28" i="11"/>
  <c r="AB51" i="11"/>
  <c r="AB71" i="11"/>
  <c r="AB60" i="11"/>
  <c r="W3" i="54"/>
  <c r="AB7" i="11"/>
  <c r="AB6" i="11"/>
  <c r="AB5" i="11"/>
  <c r="W7" i="54"/>
  <c r="AB25" i="11"/>
  <c r="AB26" i="11"/>
  <c r="AB17" i="11"/>
  <c r="AB49" i="11"/>
  <c r="AB70" i="11"/>
  <c r="AB58" i="11"/>
  <c r="AB64" i="11"/>
  <c r="AB65" i="11"/>
  <c r="AB63" i="10"/>
  <c r="AB4" i="2"/>
  <c r="X9" i="54"/>
  <c r="AC44" i="11"/>
  <c r="AC45" i="11"/>
  <c r="AC41" i="11"/>
  <c r="X5" i="54"/>
  <c r="AC13" i="11"/>
  <c r="AC12" i="11"/>
  <c r="AC11" i="11"/>
  <c r="AC53" i="11"/>
  <c r="AC72" i="11"/>
  <c r="AC62" i="11"/>
  <c r="X4" i="54"/>
  <c r="AC10" i="11"/>
  <c r="AC9" i="11"/>
  <c r="AC8" i="11"/>
  <c r="X8" i="54"/>
  <c r="AC38" i="11"/>
  <c r="AC39" i="11"/>
  <c r="AC28" i="11"/>
  <c r="AC51" i="11"/>
  <c r="AC71" i="11"/>
  <c r="AC60" i="11"/>
  <c r="X3" i="54"/>
  <c r="AC7" i="11"/>
  <c r="AC6" i="11"/>
  <c r="AC5" i="11"/>
  <c r="X7" i="54"/>
  <c r="AC25" i="11"/>
  <c r="AC26" i="11"/>
  <c r="AC17" i="11"/>
  <c r="AC49" i="11"/>
  <c r="AC70" i="11"/>
  <c r="AC58" i="11"/>
  <c r="AC64" i="11"/>
  <c r="AC65" i="11"/>
  <c r="AC63" i="10"/>
  <c r="AC4" i="2"/>
  <c r="Y9" i="54"/>
  <c r="AD44" i="11"/>
  <c r="AD45" i="11"/>
  <c r="AD41" i="11"/>
  <c r="Y5" i="54"/>
  <c r="AD13" i="11"/>
  <c r="AD12" i="11"/>
  <c r="AD11" i="11"/>
  <c r="AD53" i="11"/>
  <c r="AD72" i="11"/>
  <c r="AD62" i="11"/>
  <c r="Y4" i="54"/>
  <c r="AD10" i="11"/>
  <c r="AD9" i="11"/>
  <c r="AD8" i="11"/>
  <c r="Y8" i="54"/>
  <c r="AD38" i="11"/>
  <c r="AD39" i="11"/>
  <c r="AD28" i="11"/>
  <c r="AD51" i="11"/>
  <c r="AD71" i="11"/>
  <c r="AD60" i="11"/>
  <c r="Y3" i="54"/>
  <c r="AD7" i="11"/>
  <c r="AD6" i="11"/>
  <c r="AD5" i="11"/>
  <c r="Y7" i="54"/>
  <c r="AD25" i="11"/>
  <c r="AD26" i="11"/>
  <c r="AD17" i="11"/>
  <c r="AD49" i="11"/>
  <c r="AD70" i="11"/>
  <c r="AD58" i="11"/>
  <c r="AD64" i="11"/>
  <c r="AD65" i="11"/>
  <c r="AD63" i="10"/>
  <c r="AD4" i="2"/>
  <c r="Z9" i="54"/>
  <c r="AE44" i="11"/>
  <c r="AE45" i="11"/>
  <c r="AE41" i="11"/>
  <c r="Z5" i="54"/>
  <c r="AE13" i="11"/>
  <c r="AE12" i="11"/>
  <c r="AE11" i="11"/>
  <c r="AE53" i="11"/>
  <c r="AE72" i="11"/>
  <c r="AE62" i="11"/>
  <c r="Z4" i="54"/>
  <c r="AE10" i="11"/>
  <c r="AE9" i="11"/>
  <c r="AE8" i="11"/>
  <c r="Z8" i="54"/>
  <c r="AE38" i="11"/>
  <c r="AE39" i="11"/>
  <c r="AE28" i="11"/>
  <c r="AE51" i="11"/>
  <c r="AE71" i="11"/>
  <c r="AE60" i="11"/>
  <c r="Z3" i="54"/>
  <c r="AE7" i="11"/>
  <c r="AE6" i="11"/>
  <c r="AE5" i="11"/>
  <c r="Z7" i="54"/>
  <c r="AE25" i="11"/>
  <c r="AE26" i="11"/>
  <c r="AE17" i="11"/>
  <c r="AE49" i="11"/>
  <c r="AE70" i="11"/>
  <c r="AE58" i="11"/>
  <c r="AE64" i="11"/>
  <c r="AE65" i="11"/>
  <c r="AE63" i="10"/>
  <c r="AE4" i="2"/>
  <c r="AA9" i="54"/>
  <c r="AF44" i="11"/>
  <c r="AF45" i="11"/>
  <c r="AF41" i="11"/>
  <c r="AA5" i="54"/>
  <c r="AF13" i="11"/>
  <c r="AF12" i="11"/>
  <c r="AF11" i="11"/>
  <c r="AF53" i="11"/>
  <c r="AF72" i="11"/>
  <c r="AF62" i="11"/>
  <c r="AA4" i="54"/>
  <c r="AF10" i="11"/>
  <c r="AF9" i="11"/>
  <c r="AF8" i="11"/>
  <c r="AA8" i="54"/>
  <c r="AF38" i="11"/>
  <c r="AF39" i="11"/>
  <c r="AF28" i="11"/>
  <c r="AF51" i="11"/>
  <c r="AF71" i="11"/>
  <c r="AF60" i="11"/>
  <c r="AA3" i="54"/>
  <c r="AF7" i="11"/>
  <c r="AF6" i="11"/>
  <c r="AF5" i="11"/>
  <c r="AA7" i="54"/>
  <c r="AF25" i="11"/>
  <c r="AF26" i="11"/>
  <c r="AF17" i="11"/>
  <c r="AF49" i="11"/>
  <c r="AF70" i="11"/>
  <c r="AF58" i="11"/>
  <c r="AF64" i="11"/>
  <c r="AF65" i="11"/>
  <c r="AF63" i="10"/>
  <c r="AF4" i="2"/>
  <c r="AB9" i="54"/>
  <c r="AG44" i="11"/>
  <c r="AG45" i="11"/>
  <c r="AG41" i="11"/>
  <c r="AB5" i="54"/>
  <c r="AG13" i="11"/>
  <c r="AG12" i="11"/>
  <c r="AG11" i="11"/>
  <c r="AG53" i="11"/>
  <c r="AG72" i="11"/>
  <c r="AG62" i="11"/>
  <c r="AB4" i="54"/>
  <c r="AG10" i="11"/>
  <c r="AG9" i="11"/>
  <c r="AG8" i="11"/>
  <c r="AB8" i="54"/>
  <c r="AG38" i="11"/>
  <c r="AG39" i="11"/>
  <c r="AG28" i="11"/>
  <c r="AG51" i="11"/>
  <c r="AG71" i="11"/>
  <c r="AG60" i="11"/>
  <c r="AB3" i="54"/>
  <c r="AG7" i="11"/>
  <c r="AG6" i="11"/>
  <c r="AG5" i="11"/>
  <c r="AB7" i="54"/>
  <c r="AG25" i="11"/>
  <c r="AG26" i="11"/>
  <c r="AG17" i="11"/>
  <c r="AG49" i="11"/>
  <c r="AG70" i="11"/>
  <c r="AG58" i="11"/>
  <c r="AG64" i="11"/>
  <c r="AG65" i="11"/>
  <c r="AG63" i="10"/>
  <c r="AG4" i="2"/>
  <c r="AC9" i="54"/>
  <c r="AH44" i="11"/>
  <c r="AH45" i="11"/>
  <c r="AH41" i="11"/>
  <c r="AC5" i="54"/>
  <c r="AH13" i="11"/>
  <c r="AH12" i="11"/>
  <c r="AH11" i="11"/>
  <c r="AH53" i="11"/>
  <c r="AH72" i="11"/>
  <c r="AH62" i="11"/>
  <c r="AC4" i="54"/>
  <c r="AH10" i="11"/>
  <c r="AH9" i="11"/>
  <c r="AH8" i="11"/>
  <c r="AC8" i="54"/>
  <c r="AH38" i="11"/>
  <c r="AH39" i="11"/>
  <c r="AH28" i="11"/>
  <c r="AH51" i="11"/>
  <c r="AH71" i="11"/>
  <c r="AH60" i="11"/>
  <c r="AC3" i="54"/>
  <c r="AH7" i="11"/>
  <c r="AH6" i="11"/>
  <c r="AH5" i="11"/>
  <c r="AC7" i="54"/>
  <c r="AH25" i="11"/>
  <c r="AH26" i="11"/>
  <c r="AH17" i="11"/>
  <c r="AH49" i="11"/>
  <c r="AH70" i="11"/>
  <c r="AH58" i="11"/>
  <c r="AH64" i="11"/>
  <c r="AH65" i="11"/>
  <c r="AH63" i="10"/>
  <c r="AH4" i="2"/>
  <c r="AD9" i="54"/>
  <c r="AI44" i="11"/>
  <c r="AI45" i="11"/>
  <c r="AI41" i="11"/>
  <c r="AD5" i="54"/>
  <c r="AI13" i="11"/>
  <c r="AI12" i="11"/>
  <c r="AI11" i="11"/>
  <c r="AI53" i="11"/>
  <c r="AI72" i="11"/>
  <c r="AI62" i="11"/>
  <c r="AD4" i="54"/>
  <c r="AI10" i="11"/>
  <c r="AI9" i="11"/>
  <c r="AI8" i="11"/>
  <c r="AD8" i="54"/>
  <c r="AI38" i="11"/>
  <c r="AI39" i="11"/>
  <c r="AI28" i="11"/>
  <c r="AI51" i="11"/>
  <c r="AI71" i="11"/>
  <c r="AI60" i="11"/>
  <c r="AD3" i="54"/>
  <c r="AI7" i="11"/>
  <c r="AI6" i="11"/>
  <c r="AI5" i="11"/>
  <c r="AD7" i="54"/>
  <c r="AI25" i="11"/>
  <c r="AI26" i="11"/>
  <c r="AI17" i="11"/>
  <c r="AI49" i="11"/>
  <c r="AI70" i="11"/>
  <c r="AI58" i="11"/>
  <c r="AI64" i="11"/>
  <c r="AI65" i="11"/>
  <c r="AI63" i="10"/>
  <c r="AI4" i="2"/>
  <c r="AE9" i="54"/>
  <c r="AJ44" i="11"/>
  <c r="AJ45" i="11"/>
  <c r="AJ41" i="11"/>
  <c r="AE5" i="54"/>
  <c r="AJ13" i="11"/>
  <c r="AJ12" i="11"/>
  <c r="AJ11" i="11"/>
  <c r="AJ53" i="11"/>
  <c r="AJ72" i="11"/>
  <c r="AJ62" i="11"/>
  <c r="AE4" i="54"/>
  <c r="AJ10" i="11"/>
  <c r="AJ9" i="11"/>
  <c r="AJ8" i="11"/>
  <c r="AE8" i="54"/>
  <c r="AJ38" i="11"/>
  <c r="AJ39" i="11"/>
  <c r="AJ28" i="11"/>
  <c r="AJ51" i="11"/>
  <c r="AJ71" i="11"/>
  <c r="AJ60" i="11"/>
  <c r="AE3" i="54"/>
  <c r="AJ7" i="11"/>
  <c r="AJ6" i="11"/>
  <c r="AJ5" i="11"/>
  <c r="AE7" i="54"/>
  <c r="AJ25" i="11"/>
  <c r="AJ26" i="11"/>
  <c r="AJ17" i="11"/>
  <c r="AJ49" i="11"/>
  <c r="AJ70" i="11"/>
  <c r="AJ58" i="11"/>
  <c r="AJ64" i="11"/>
  <c r="AJ65" i="11"/>
  <c r="AJ63" i="10"/>
  <c r="AJ4" i="2"/>
  <c r="AF9" i="54"/>
  <c r="AK44" i="11"/>
  <c r="AK45" i="11"/>
  <c r="AK41" i="11"/>
  <c r="AF5" i="54"/>
  <c r="AK13" i="11"/>
  <c r="AK12" i="11"/>
  <c r="AK11" i="11"/>
  <c r="AK53" i="11"/>
  <c r="AK72" i="11"/>
  <c r="AK62" i="11"/>
  <c r="AF4" i="54"/>
  <c r="AK10" i="11"/>
  <c r="AK9" i="11"/>
  <c r="AK8" i="11"/>
  <c r="AF8" i="54"/>
  <c r="AK38" i="11"/>
  <c r="AK39" i="11"/>
  <c r="AK28" i="11"/>
  <c r="AK51" i="11"/>
  <c r="AK71" i="11"/>
  <c r="AK60" i="11"/>
  <c r="AF3" i="54"/>
  <c r="AK7" i="11"/>
  <c r="AK6" i="11"/>
  <c r="AK5" i="11"/>
  <c r="AF7" i="54"/>
  <c r="AK25" i="11"/>
  <c r="AK26" i="11"/>
  <c r="AK17" i="11"/>
  <c r="AK49" i="11"/>
  <c r="AK70" i="11"/>
  <c r="AK58" i="11"/>
  <c r="AK64" i="11"/>
  <c r="AK65" i="11"/>
  <c r="AK63" i="10"/>
  <c r="AK4" i="2"/>
  <c r="AG9" i="54"/>
  <c r="AL44" i="11"/>
  <c r="AL45" i="11"/>
  <c r="AL41" i="11"/>
  <c r="AG5" i="54"/>
  <c r="AL13" i="11"/>
  <c r="AL12" i="11"/>
  <c r="AL11" i="11"/>
  <c r="AL53" i="11"/>
  <c r="AL72" i="11"/>
  <c r="AL62" i="11"/>
  <c r="AG4" i="54"/>
  <c r="AL10" i="11"/>
  <c r="AL9" i="11"/>
  <c r="AL8" i="11"/>
  <c r="AG8" i="54"/>
  <c r="AL38" i="11"/>
  <c r="AL39" i="11"/>
  <c r="AL28" i="11"/>
  <c r="AL51" i="11"/>
  <c r="AL71" i="11"/>
  <c r="AL60" i="11"/>
  <c r="AG3" i="54"/>
  <c r="AL7" i="11"/>
  <c r="AL6" i="11"/>
  <c r="AL5" i="11"/>
  <c r="AG7" i="54"/>
  <c r="AL25" i="11"/>
  <c r="AL26" i="11"/>
  <c r="AL17" i="11"/>
  <c r="AL49" i="11"/>
  <c r="AL70" i="11"/>
  <c r="AL58" i="11"/>
  <c r="AL64" i="11"/>
  <c r="AL65" i="11"/>
  <c r="AL63" i="10"/>
  <c r="AL4" i="2"/>
  <c r="AH9" i="54"/>
  <c r="AM44" i="11"/>
  <c r="AM45" i="11"/>
  <c r="AM41" i="11"/>
  <c r="AH5" i="54"/>
  <c r="AM13" i="11"/>
  <c r="AM12" i="11"/>
  <c r="AM11" i="11"/>
  <c r="AM53" i="11"/>
  <c r="AM72" i="11"/>
  <c r="AM62" i="11"/>
  <c r="AH4" i="54"/>
  <c r="AM10" i="11"/>
  <c r="AM9" i="11"/>
  <c r="AM8" i="11"/>
  <c r="AH8" i="54"/>
  <c r="AM38" i="11"/>
  <c r="AM39" i="11"/>
  <c r="AM28" i="11"/>
  <c r="AM51" i="11"/>
  <c r="AM71" i="11"/>
  <c r="AM60" i="11"/>
  <c r="AH3" i="54"/>
  <c r="AM7" i="11"/>
  <c r="AM6" i="11"/>
  <c r="AM5" i="11"/>
  <c r="AH7" i="54"/>
  <c r="AM25" i="11"/>
  <c r="AM26" i="11"/>
  <c r="AM17" i="11"/>
  <c r="AM49" i="11"/>
  <c r="AM70" i="11"/>
  <c r="AM58" i="11"/>
  <c r="AM64" i="11"/>
  <c r="AM65" i="11"/>
  <c r="AM63" i="10"/>
  <c r="AM4" i="2"/>
  <c r="AI9" i="54"/>
  <c r="AN44" i="11"/>
  <c r="AN45" i="11"/>
  <c r="AN41" i="11"/>
  <c r="AI5" i="54"/>
  <c r="AN13" i="11"/>
  <c r="AN12" i="11"/>
  <c r="AN11" i="11"/>
  <c r="AN53" i="11"/>
  <c r="AN72" i="11"/>
  <c r="AN62" i="11"/>
  <c r="AI4" i="54"/>
  <c r="AN10" i="11"/>
  <c r="AN9" i="11"/>
  <c r="AN8" i="11"/>
  <c r="AI8" i="54"/>
  <c r="AN38" i="11"/>
  <c r="AN39" i="11"/>
  <c r="AN28" i="11"/>
  <c r="AN51" i="11"/>
  <c r="AN71" i="11"/>
  <c r="AN60" i="11"/>
  <c r="AI3" i="54"/>
  <c r="AN7" i="11"/>
  <c r="AN6" i="11"/>
  <c r="AN5" i="11"/>
  <c r="AI7" i="54"/>
  <c r="AN25" i="11"/>
  <c r="AN26" i="11"/>
  <c r="AN17" i="11"/>
  <c r="AN49" i="11"/>
  <c r="AN70" i="11"/>
  <c r="AN58" i="11"/>
  <c r="AN64" i="11"/>
  <c r="AN65" i="11"/>
  <c r="AN63" i="10"/>
  <c r="AN4" i="2"/>
  <c r="AJ9" i="54"/>
  <c r="AO44" i="11"/>
  <c r="AO45" i="11"/>
  <c r="AO41" i="11"/>
  <c r="AJ5" i="54"/>
  <c r="AO13" i="11"/>
  <c r="AO12" i="11"/>
  <c r="AO11" i="11"/>
  <c r="AO53" i="11"/>
  <c r="AO72" i="11"/>
  <c r="AO62" i="11"/>
  <c r="AJ4" i="54"/>
  <c r="AO10" i="11"/>
  <c r="AO9" i="11"/>
  <c r="AO8" i="11"/>
  <c r="AJ8" i="54"/>
  <c r="AO38" i="11"/>
  <c r="AO39" i="11"/>
  <c r="AO28" i="11"/>
  <c r="AO51" i="11"/>
  <c r="AO71" i="11"/>
  <c r="AO60" i="11"/>
  <c r="AJ3" i="54"/>
  <c r="AO7" i="11"/>
  <c r="AO6" i="11"/>
  <c r="AO5" i="11"/>
  <c r="AJ7" i="54"/>
  <c r="AO25" i="11"/>
  <c r="AO26" i="11"/>
  <c r="AO17" i="11"/>
  <c r="AO49" i="11"/>
  <c r="AO70" i="11"/>
  <c r="AO58" i="11"/>
  <c r="AO64" i="11"/>
  <c r="AO65" i="11"/>
  <c r="AO63" i="10"/>
  <c r="AO4" i="2"/>
  <c r="G70" i="10"/>
  <c r="G69" i="10"/>
  <c r="G71" i="10"/>
  <c r="F70" i="10"/>
  <c r="F69" i="10"/>
  <c r="F71" i="10"/>
  <c r="G72" i="10"/>
  <c r="C75" i="10"/>
  <c r="D75" i="10"/>
  <c r="E75" i="10"/>
  <c r="F75" i="10"/>
  <c r="G75" i="10"/>
  <c r="B79" i="10"/>
  <c r="C77" i="10"/>
  <c r="D77" i="10"/>
  <c r="E77" i="10"/>
  <c r="F77" i="10"/>
  <c r="G77" i="10"/>
  <c r="B80" i="10"/>
  <c r="B81" i="10"/>
  <c r="C70" i="10"/>
  <c r="C69" i="10"/>
  <c r="C71" i="10"/>
  <c r="B70" i="10"/>
  <c r="B69" i="10"/>
  <c r="B71" i="10"/>
  <c r="C72" i="10"/>
  <c r="D70" i="10"/>
  <c r="D69" i="10"/>
  <c r="D71" i="10"/>
  <c r="D72" i="10"/>
  <c r="E70" i="10"/>
  <c r="E69" i="10"/>
  <c r="E71" i="10"/>
  <c r="E72" i="10"/>
  <c r="F72" i="10"/>
  <c r="B82" i="10"/>
  <c r="B83" i="10"/>
  <c r="H72" i="10"/>
  <c r="H71" i="10"/>
  <c r="I72" i="10"/>
  <c r="I71" i="10"/>
  <c r="J72" i="10"/>
  <c r="J71" i="10"/>
  <c r="K72" i="10"/>
  <c r="K71" i="10"/>
  <c r="L72" i="10"/>
  <c r="L71" i="10"/>
  <c r="M72" i="10"/>
  <c r="M71" i="10"/>
  <c r="N72" i="10"/>
  <c r="N71" i="10"/>
  <c r="O71" i="10"/>
  <c r="P72" i="10"/>
  <c r="P71" i="10"/>
  <c r="Q72" i="10"/>
  <c r="Q71" i="10"/>
  <c r="R72" i="10"/>
  <c r="R71" i="10"/>
  <c r="S72" i="10"/>
  <c r="S71" i="10"/>
  <c r="T72" i="10"/>
  <c r="T71" i="10"/>
  <c r="U72" i="10"/>
  <c r="U71" i="10"/>
  <c r="V72" i="10"/>
  <c r="V71" i="10"/>
  <c r="W72" i="10"/>
  <c r="W71" i="10"/>
  <c r="X72" i="10"/>
  <c r="X71" i="10"/>
  <c r="Y72" i="10"/>
  <c r="Y71" i="10"/>
  <c r="Z71" i="10"/>
  <c r="AA71" i="10"/>
  <c r="AB71" i="10"/>
  <c r="AC71" i="10"/>
  <c r="AD71" i="10"/>
  <c r="AE71" i="10"/>
  <c r="AF71" i="10"/>
  <c r="AG71" i="10"/>
  <c r="AH71" i="10"/>
  <c r="AI71" i="10"/>
  <c r="AJ71" i="10"/>
  <c r="AK71" i="10"/>
  <c r="AL71" i="10"/>
  <c r="AM71" i="10"/>
  <c r="AN71" i="10"/>
  <c r="AO71" i="10"/>
  <c r="AO5" i="2"/>
  <c r="AO6" i="2"/>
  <c r="I6" i="5"/>
  <c r="I5" i="5"/>
  <c r="I7" i="5"/>
  <c r="D6" i="5"/>
  <c r="D5" i="5"/>
  <c r="D7" i="5"/>
  <c r="C7" i="5"/>
  <c r="D8" i="5"/>
  <c r="E6" i="5"/>
  <c r="E5" i="5"/>
  <c r="E7" i="5"/>
  <c r="E8" i="5"/>
  <c r="F6" i="5"/>
  <c r="F5" i="5"/>
  <c r="F7" i="5"/>
  <c r="F8" i="5"/>
  <c r="G6" i="5"/>
  <c r="G5" i="5"/>
  <c r="G7" i="5"/>
  <c r="G8" i="5"/>
  <c r="H6" i="5"/>
  <c r="H5" i="5"/>
  <c r="H7" i="5"/>
  <c r="H8" i="5"/>
  <c r="I8" i="5"/>
  <c r="J8" i="5"/>
  <c r="J7" i="5"/>
  <c r="K8" i="5"/>
  <c r="K7" i="5"/>
  <c r="L8" i="5"/>
  <c r="L7" i="5"/>
  <c r="M8" i="5"/>
  <c r="M7" i="5"/>
  <c r="N8" i="5"/>
  <c r="N7" i="5"/>
  <c r="O8"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O6" i="37"/>
  <c r="AO8" i="2"/>
  <c r="G23" i="10"/>
  <c r="G22"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O9" i="2"/>
  <c r="AJ5" i="29"/>
  <c r="AJ6" i="29"/>
  <c r="AJ7" i="29"/>
  <c r="AJ16" i="29"/>
  <c r="AK6" i="26"/>
  <c r="AK54" i="26"/>
  <c r="AL54" i="26"/>
  <c r="AM54" i="26"/>
  <c r="AN54" i="26"/>
  <c r="AO54" i="26"/>
  <c r="AP54" i="26"/>
  <c r="AK5" i="29"/>
  <c r="AK6" i="29"/>
  <c r="AK7" i="29"/>
  <c r="AK16" i="29"/>
  <c r="AL6" i="26"/>
  <c r="AL55" i="26"/>
  <c r="AM55" i="26"/>
  <c r="AN55" i="26"/>
  <c r="AO55" i="26"/>
  <c r="AP55" i="26"/>
  <c r="AL5" i="29"/>
  <c r="AL6" i="29"/>
  <c r="AL7" i="29"/>
  <c r="AL16" i="29"/>
  <c r="AM6" i="26"/>
  <c r="AM56" i="26"/>
  <c r="AN56" i="26"/>
  <c r="AO56" i="26"/>
  <c r="AP56" i="26"/>
  <c r="AM5" i="29"/>
  <c r="AM6" i="29"/>
  <c r="AM7" i="29"/>
  <c r="AM16" i="29"/>
  <c r="AN6" i="26"/>
  <c r="AN57" i="26"/>
  <c r="AO57" i="26"/>
  <c r="AP57" i="26"/>
  <c r="AN5" i="29"/>
  <c r="AN6" i="29"/>
  <c r="AN7" i="29"/>
  <c r="AN16" i="29"/>
  <c r="AO6" i="26"/>
  <c r="AO58" i="26"/>
  <c r="AP58" i="26"/>
  <c r="AO5" i="29"/>
  <c r="AO6" i="29"/>
  <c r="AO7" i="29"/>
  <c r="AO16" i="29"/>
  <c r="AP6" i="26"/>
  <c r="AP59" i="26"/>
  <c r="AP60" i="26"/>
  <c r="AP19" i="26"/>
  <c r="AP20" i="26"/>
  <c r="AP12" i="26"/>
  <c r="AO11" i="2"/>
  <c r="N17" i="10"/>
  <c r="K10" i="32"/>
  <c r="L10" i="32"/>
  <c r="M10" i="32"/>
  <c r="N10" i="32"/>
  <c r="O10" i="32"/>
  <c r="P10" i="32"/>
  <c r="Q10" i="32"/>
  <c r="R10" i="32"/>
  <c r="R15" i="32"/>
  <c r="R6" i="32"/>
  <c r="Q15" i="32"/>
  <c r="Q6" i="32"/>
  <c r="R33" i="32"/>
  <c r="R83" i="32"/>
  <c r="S83" i="32"/>
  <c r="T83" i="32"/>
  <c r="U83" i="32"/>
  <c r="V83" i="32"/>
  <c r="W83" i="32"/>
  <c r="X83" i="32"/>
  <c r="Y83" i="32"/>
  <c r="Z83" i="32"/>
  <c r="AA83" i="32"/>
  <c r="AB83" i="32"/>
  <c r="AC83" i="32"/>
  <c r="AD83" i="32"/>
  <c r="AE83" i="32"/>
  <c r="AF83" i="32"/>
  <c r="AG83" i="32"/>
  <c r="AH83" i="32"/>
  <c r="AI83" i="32"/>
  <c r="AJ83" i="32"/>
  <c r="AK83" i="32"/>
  <c r="AL83" i="32"/>
  <c r="AM83" i="32"/>
  <c r="AN83" i="32"/>
  <c r="AO83" i="32"/>
  <c r="AP83" i="32"/>
  <c r="AQ83" i="32"/>
  <c r="AR83" i="32"/>
  <c r="AS83" i="32"/>
  <c r="O18" i="10"/>
  <c r="O19" i="10"/>
  <c r="O17" i="10"/>
  <c r="S10" i="32"/>
  <c r="O11" i="10"/>
  <c r="S15" i="32"/>
  <c r="S6" i="32"/>
  <c r="S33" i="32"/>
  <c r="S84" i="32"/>
  <c r="T84" i="32"/>
  <c r="U84" i="32"/>
  <c r="V84" i="32"/>
  <c r="W84" i="32"/>
  <c r="X84" i="32"/>
  <c r="Y84" i="32"/>
  <c r="Z84" i="32"/>
  <c r="AA84" i="32"/>
  <c r="AB84" i="32"/>
  <c r="AC84" i="32"/>
  <c r="AD84" i="32"/>
  <c r="AE84" i="32"/>
  <c r="AF84" i="32"/>
  <c r="AG84" i="32"/>
  <c r="AH84" i="32"/>
  <c r="AI84" i="32"/>
  <c r="AJ84" i="32"/>
  <c r="AK84" i="32"/>
  <c r="AL84" i="32"/>
  <c r="AM84" i="32"/>
  <c r="AN84" i="32"/>
  <c r="AO84" i="32"/>
  <c r="AP84" i="32"/>
  <c r="AQ84" i="32"/>
  <c r="AR84" i="32"/>
  <c r="AS84" i="32"/>
  <c r="P18" i="10"/>
  <c r="P19" i="10"/>
  <c r="P17" i="10"/>
  <c r="T10" i="32"/>
  <c r="P11" i="10"/>
  <c r="T15" i="32"/>
  <c r="T6" i="32"/>
  <c r="T33" i="32"/>
  <c r="T85" i="32"/>
  <c r="U85" i="32"/>
  <c r="V85" i="32"/>
  <c r="W85" i="32"/>
  <c r="X85" i="32"/>
  <c r="Y85" i="32"/>
  <c r="Z85" i="32"/>
  <c r="AA85" i="32"/>
  <c r="AB85" i="32"/>
  <c r="AC85" i="32"/>
  <c r="AD85" i="32"/>
  <c r="AE85" i="32"/>
  <c r="AF85" i="32"/>
  <c r="AG85" i="32"/>
  <c r="AH85" i="32"/>
  <c r="AI85" i="32"/>
  <c r="AJ85" i="32"/>
  <c r="AK85" i="32"/>
  <c r="AL85" i="32"/>
  <c r="AM85" i="32"/>
  <c r="AN85" i="32"/>
  <c r="AO85" i="32"/>
  <c r="AP85" i="32"/>
  <c r="AQ85" i="32"/>
  <c r="AR85" i="32"/>
  <c r="AS85" i="32"/>
  <c r="Q18" i="10"/>
  <c r="Q19" i="10"/>
  <c r="Q17" i="10"/>
  <c r="U10" i="32"/>
  <c r="Q11" i="10"/>
  <c r="U15" i="32"/>
  <c r="U6" i="32"/>
  <c r="U33" i="32"/>
  <c r="U86" i="32"/>
  <c r="V86" i="32"/>
  <c r="W86" i="32"/>
  <c r="X86" i="32"/>
  <c r="Y86" i="32"/>
  <c r="Z86" i="32"/>
  <c r="AA86" i="32"/>
  <c r="AB86" i="32"/>
  <c r="AC86" i="32"/>
  <c r="AD86" i="32"/>
  <c r="AE86" i="32"/>
  <c r="AF86" i="32"/>
  <c r="AG86" i="32"/>
  <c r="AH86" i="32"/>
  <c r="AI86" i="32"/>
  <c r="AJ86" i="32"/>
  <c r="AK86" i="32"/>
  <c r="AL86" i="32"/>
  <c r="AM86" i="32"/>
  <c r="AN86" i="32"/>
  <c r="AO86" i="32"/>
  <c r="AP86" i="32"/>
  <c r="AQ86" i="32"/>
  <c r="AR86" i="32"/>
  <c r="AS86" i="32"/>
  <c r="R18" i="10"/>
  <c r="R19" i="10"/>
  <c r="R17" i="10"/>
  <c r="V10" i="32"/>
  <c r="R11" i="10"/>
  <c r="V15" i="32"/>
  <c r="V6" i="32"/>
  <c r="V33" i="32"/>
  <c r="V87" i="32"/>
  <c r="W87" i="32"/>
  <c r="X87" i="32"/>
  <c r="Y87" i="32"/>
  <c r="Z87" i="32"/>
  <c r="AA87" i="32"/>
  <c r="AB87" i="32"/>
  <c r="AC87" i="32"/>
  <c r="AD87" i="32"/>
  <c r="AE87" i="32"/>
  <c r="AF87" i="32"/>
  <c r="AG87" i="32"/>
  <c r="AH87" i="32"/>
  <c r="AI87" i="32"/>
  <c r="AJ87" i="32"/>
  <c r="AK87" i="32"/>
  <c r="AL87" i="32"/>
  <c r="AM87" i="32"/>
  <c r="AN87" i="32"/>
  <c r="AO87" i="32"/>
  <c r="AP87" i="32"/>
  <c r="AQ87" i="32"/>
  <c r="AR87" i="32"/>
  <c r="AS87" i="32"/>
  <c r="S18" i="10"/>
  <c r="S19" i="10"/>
  <c r="S17" i="10"/>
  <c r="W10" i="32"/>
  <c r="S11" i="10"/>
  <c r="W15" i="32"/>
  <c r="W6" i="32"/>
  <c r="W33" i="32"/>
  <c r="W88" i="32"/>
  <c r="X88" i="32"/>
  <c r="Y88" i="32"/>
  <c r="Z88" i="32"/>
  <c r="AA88" i="32"/>
  <c r="AB88" i="32"/>
  <c r="AC88" i="32"/>
  <c r="AD88" i="32"/>
  <c r="AE88" i="32"/>
  <c r="AF88" i="32"/>
  <c r="AG88" i="32"/>
  <c r="AH88" i="32"/>
  <c r="AI88" i="32"/>
  <c r="AJ88" i="32"/>
  <c r="AK88" i="32"/>
  <c r="AL88" i="32"/>
  <c r="AM88" i="32"/>
  <c r="AN88" i="32"/>
  <c r="AO88" i="32"/>
  <c r="AP88" i="32"/>
  <c r="AQ88" i="32"/>
  <c r="AR88" i="32"/>
  <c r="AS88" i="32"/>
  <c r="T18" i="10"/>
  <c r="T19" i="10"/>
  <c r="T17" i="10"/>
  <c r="X10" i="32"/>
  <c r="T11" i="10"/>
  <c r="X15" i="32"/>
  <c r="X6" i="32"/>
  <c r="X33" i="32"/>
  <c r="X89" i="32"/>
  <c r="Y89" i="32"/>
  <c r="Z89" i="32"/>
  <c r="AA89" i="32"/>
  <c r="AB89" i="32"/>
  <c r="AC89" i="32"/>
  <c r="AD89" i="32"/>
  <c r="AE89" i="32"/>
  <c r="AF89" i="32"/>
  <c r="AG89" i="32"/>
  <c r="AH89" i="32"/>
  <c r="AI89" i="32"/>
  <c r="AJ89" i="32"/>
  <c r="AK89" i="32"/>
  <c r="AL89" i="32"/>
  <c r="AM89" i="32"/>
  <c r="AN89" i="32"/>
  <c r="AO89" i="32"/>
  <c r="AP89" i="32"/>
  <c r="AQ89" i="32"/>
  <c r="AR89" i="32"/>
  <c r="AS89" i="32"/>
  <c r="U17" i="10"/>
  <c r="Y10" i="32"/>
  <c r="U11" i="10"/>
  <c r="Y15" i="32"/>
  <c r="Y6" i="32"/>
  <c r="Y33" i="32"/>
  <c r="Y90" i="32"/>
  <c r="Z90" i="32"/>
  <c r="AA90" i="32"/>
  <c r="AB90" i="32"/>
  <c r="AC90" i="32"/>
  <c r="AD90" i="32"/>
  <c r="AE90" i="32"/>
  <c r="AF90" i="32"/>
  <c r="AG90" i="32"/>
  <c r="AH90" i="32"/>
  <c r="AI90" i="32"/>
  <c r="AJ90" i="32"/>
  <c r="AK90" i="32"/>
  <c r="AL90" i="32"/>
  <c r="AM90" i="32"/>
  <c r="AN90" i="32"/>
  <c r="AO90" i="32"/>
  <c r="AP90" i="32"/>
  <c r="AQ90" i="32"/>
  <c r="AR90" i="32"/>
  <c r="AS90" i="32"/>
  <c r="V18" i="10"/>
  <c r="V19" i="10"/>
  <c r="V17" i="10"/>
  <c r="Z10" i="32"/>
  <c r="V11" i="10"/>
  <c r="Z15" i="32"/>
  <c r="Z6" i="32"/>
  <c r="Z33" i="32"/>
  <c r="Z91" i="32"/>
  <c r="AA91" i="32"/>
  <c r="AB91" i="32"/>
  <c r="AC91" i="32"/>
  <c r="AD91" i="32"/>
  <c r="AE91" i="32"/>
  <c r="AF91" i="32"/>
  <c r="AG91" i="32"/>
  <c r="AH91" i="32"/>
  <c r="AI91" i="32"/>
  <c r="AJ91" i="32"/>
  <c r="AK91" i="32"/>
  <c r="AL91" i="32"/>
  <c r="AM91" i="32"/>
  <c r="AN91" i="32"/>
  <c r="AO91" i="32"/>
  <c r="AP91" i="32"/>
  <c r="AQ91" i="32"/>
  <c r="AR91" i="32"/>
  <c r="AS91" i="32"/>
  <c r="W18" i="10"/>
  <c r="W19" i="10"/>
  <c r="W17" i="10"/>
  <c r="AA10" i="32"/>
  <c r="W11" i="10"/>
  <c r="AA15" i="32"/>
  <c r="AA6" i="32"/>
  <c r="AA33" i="32"/>
  <c r="AA92" i="32"/>
  <c r="AB92" i="32"/>
  <c r="AC92" i="32"/>
  <c r="AD92" i="32"/>
  <c r="AE92" i="32"/>
  <c r="AF92" i="32"/>
  <c r="AG92" i="32"/>
  <c r="AH92" i="32"/>
  <c r="AI92" i="32"/>
  <c r="AJ92" i="32"/>
  <c r="AK92" i="32"/>
  <c r="AL92" i="32"/>
  <c r="AM92" i="32"/>
  <c r="AN92" i="32"/>
  <c r="AO92" i="32"/>
  <c r="AP92" i="32"/>
  <c r="AQ92" i="32"/>
  <c r="AR92" i="32"/>
  <c r="AS92" i="32"/>
  <c r="X18" i="10"/>
  <c r="X19" i="10"/>
  <c r="X17" i="10"/>
  <c r="AB10" i="32"/>
  <c r="X11" i="10"/>
  <c r="AB15" i="32"/>
  <c r="AB6" i="32"/>
  <c r="AB33" i="32"/>
  <c r="AB93" i="32"/>
  <c r="AC93" i="32"/>
  <c r="AD93" i="32"/>
  <c r="AE93" i="32"/>
  <c r="AF93" i="32"/>
  <c r="AG93" i="32"/>
  <c r="AH93" i="32"/>
  <c r="AI93" i="32"/>
  <c r="AJ93" i="32"/>
  <c r="AK93" i="32"/>
  <c r="AL93" i="32"/>
  <c r="AM93" i="32"/>
  <c r="AN93" i="32"/>
  <c r="AO93" i="32"/>
  <c r="AP93" i="32"/>
  <c r="AQ93" i="32"/>
  <c r="AR93" i="32"/>
  <c r="AS93" i="32"/>
  <c r="Y18" i="10"/>
  <c r="Y19" i="10"/>
  <c r="Y17" i="10"/>
  <c r="AC10" i="32"/>
  <c r="Y11" i="10"/>
  <c r="AC15" i="32"/>
  <c r="AC6" i="32"/>
  <c r="AC33" i="32"/>
  <c r="AC94" i="32"/>
  <c r="AD94" i="32"/>
  <c r="AE94" i="32"/>
  <c r="AF94" i="32"/>
  <c r="AG94" i="32"/>
  <c r="AH94" i="32"/>
  <c r="AI94" i="32"/>
  <c r="AJ94" i="32"/>
  <c r="AK94" i="32"/>
  <c r="AL94" i="32"/>
  <c r="AM94" i="32"/>
  <c r="AN94" i="32"/>
  <c r="AO94" i="32"/>
  <c r="AP94" i="32"/>
  <c r="AQ94" i="32"/>
  <c r="AR94" i="32"/>
  <c r="AS94" i="32"/>
  <c r="Z18" i="10"/>
  <c r="Z19" i="10"/>
  <c r="Z17" i="10"/>
  <c r="AD10" i="32"/>
  <c r="Z11" i="10"/>
  <c r="AD15" i="32"/>
  <c r="AD6" i="32"/>
  <c r="AD33" i="32"/>
  <c r="AD95" i="32"/>
  <c r="AE95" i="32"/>
  <c r="AF95" i="32"/>
  <c r="AG95" i="32"/>
  <c r="AH95" i="32"/>
  <c r="AI95" i="32"/>
  <c r="AJ95" i="32"/>
  <c r="AK95" i="32"/>
  <c r="AL95" i="32"/>
  <c r="AM95" i="32"/>
  <c r="AN95" i="32"/>
  <c r="AO95" i="32"/>
  <c r="AP95" i="32"/>
  <c r="AQ95" i="32"/>
  <c r="AR95" i="32"/>
  <c r="AS95" i="32"/>
  <c r="AE10" i="32"/>
  <c r="AA11" i="10"/>
  <c r="AE15" i="32"/>
  <c r="AE6" i="32"/>
  <c r="AE33" i="32"/>
  <c r="AE96" i="32"/>
  <c r="AF96" i="32"/>
  <c r="AG96" i="32"/>
  <c r="AH96" i="32"/>
  <c r="AI96" i="32"/>
  <c r="AJ96" i="32"/>
  <c r="AK96" i="32"/>
  <c r="AL96" i="32"/>
  <c r="AM96" i="32"/>
  <c r="AN96" i="32"/>
  <c r="AO96" i="32"/>
  <c r="AP96" i="32"/>
  <c r="AQ96" i="32"/>
  <c r="AR96" i="32"/>
  <c r="AS96" i="32"/>
  <c r="AB17" i="10"/>
  <c r="AF10" i="32"/>
  <c r="AB11" i="10"/>
  <c r="AF15" i="32"/>
  <c r="AF6" i="32"/>
  <c r="AF33" i="32"/>
  <c r="AF97" i="32"/>
  <c r="AG97" i="32"/>
  <c r="AH97" i="32"/>
  <c r="AI97" i="32"/>
  <c r="AJ97" i="32"/>
  <c r="AK97" i="32"/>
  <c r="AL97" i="32"/>
  <c r="AM97" i="32"/>
  <c r="AN97" i="32"/>
  <c r="AO97" i="32"/>
  <c r="AP97" i="32"/>
  <c r="AQ97" i="32"/>
  <c r="AR97" i="32"/>
  <c r="AS97" i="32"/>
  <c r="AC17" i="10"/>
  <c r="AG10" i="32"/>
  <c r="AC11" i="10"/>
  <c r="AG15" i="32"/>
  <c r="AG6" i="32"/>
  <c r="AG33" i="32"/>
  <c r="AG98" i="32"/>
  <c r="AH98" i="32"/>
  <c r="AI98" i="32"/>
  <c r="AJ98" i="32"/>
  <c r="AK98" i="32"/>
  <c r="AL98" i="32"/>
  <c r="AM98" i="32"/>
  <c r="AN98" i="32"/>
  <c r="AO98" i="32"/>
  <c r="AP98" i="32"/>
  <c r="AQ98" i="32"/>
  <c r="AR98" i="32"/>
  <c r="AS98" i="32"/>
  <c r="AD17" i="10"/>
  <c r="AH10" i="32"/>
  <c r="AD11" i="10"/>
  <c r="AH15" i="32"/>
  <c r="AH6" i="32"/>
  <c r="AH33" i="32"/>
  <c r="AH99" i="32"/>
  <c r="AI99" i="32"/>
  <c r="AJ99" i="32"/>
  <c r="AK99" i="32"/>
  <c r="AL99" i="32"/>
  <c r="AM99" i="32"/>
  <c r="AN99" i="32"/>
  <c r="AO99" i="32"/>
  <c r="AP99" i="32"/>
  <c r="AQ99" i="32"/>
  <c r="AR99" i="32"/>
  <c r="AS99" i="32"/>
  <c r="AE17" i="10"/>
  <c r="AI10" i="32"/>
  <c r="AE11" i="10"/>
  <c r="AI15" i="32"/>
  <c r="AI6" i="32"/>
  <c r="AI33" i="32"/>
  <c r="AI100" i="32"/>
  <c r="AJ100" i="32"/>
  <c r="AK100" i="32"/>
  <c r="AL100" i="32"/>
  <c r="AM100" i="32"/>
  <c r="AN100" i="32"/>
  <c r="AO100" i="32"/>
  <c r="AP100" i="32"/>
  <c r="AQ100" i="32"/>
  <c r="AR100" i="32"/>
  <c r="AS100" i="32"/>
  <c r="AF17" i="10"/>
  <c r="AJ10" i="32"/>
  <c r="AF11" i="10"/>
  <c r="AJ15" i="32"/>
  <c r="AJ6" i="32"/>
  <c r="AJ33" i="32"/>
  <c r="AJ101" i="32"/>
  <c r="AK101" i="32"/>
  <c r="AL101" i="32"/>
  <c r="AM101" i="32"/>
  <c r="AN101" i="32"/>
  <c r="AO101" i="32"/>
  <c r="AP101" i="32"/>
  <c r="AQ101" i="32"/>
  <c r="AR101" i="32"/>
  <c r="AS101" i="32"/>
  <c r="AG17" i="10"/>
  <c r="AK10" i="32"/>
  <c r="AG11" i="10"/>
  <c r="AK15" i="32"/>
  <c r="AK6" i="32"/>
  <c r="AK33" i="32"/>
  <c r="AK102" i="32"/>
  <c r="AL102" i="32"/>
  <c r="AM102" i="32"/>
  <c r="AN102" i="32"/>
  <c r="AO102" i="32"/>
  <c r="AP102" i="32"/>
  <c r="AQ102" i="32"/>
  <c r="AR102" i="32"/>
  <c r="AS102" i="32"/>
  <c r="AH17" i="10"/>
  <c r="AL10" i="32"/>
  <c r="AH11" i="10"/>
  <c r="AL15" i="32"/>
  <c r="AL6" i="32"/>
  <c r="AL33" i="32"/>
  <c r="AL103" i="32"/>
  <c r="AM103" i="32"/>
  <c r="AN103" i="32"/>
  <c r="AO103" i="32"/>
  <c r="AP103" i="32"/>
  <c r="AQ103" i="32"/>
  <c r="AR103" i="32"/>
  <c r="AS103" i="32"/>
  <c r="AI17" i="10"/>
  <c r="AM10" i="32"/>
  <c r="AI11" i="10"/>
  <c r="AM15" i="32"/>
  <c r="AM6" i="32"/>
  <c r="AM33" i="32"/>
  <c r="AM104" i="32"/>
  <c r="AN104" i="32"/>
  <c r="AO104" i="32"/>
  <c r="AP104" i="32"/>
  <c r="AQ104" i="32"/>
  <c r="AR104" i="32"/>
  <c r="AS104" i="32"/>
  <c r="AJ17" i="10"/>
  <c r="AN10" i="32"/>
  <c r="AJ11" i="10"/>
  <c r="AN15" i="32"/>
  <c r="AN6" i="32"/>
  <c r="AN33" i="32"/>
  <c r="AN105" i="32"/>
  <c r="AO105" i="32"/>
  <c r="AP105" i="32"/>
  <c r="AQ105" i="32"/>
  <c r="AR105" i="32"/>
  <c r="AS105" i="32"/>
  <c r="AK17" i="10"/>
  <c r="AO10" i="32"/>
  <c r="AK11" i="10"/>
  <c r="AO15" i="32"/>
  <c r="AO6" i="32"/>
  <c r="AO33" i="32"/>
  <c r="AO106" i="32"/>
  <c r="AP106" i="32"/>
  <c r="AQ106" i="32"/>
  <c r="AR106" i="32"/>
  <c r="AS106" i="32"/>
  <c r="AL17" i="10"/>
  <c r="AP10" i="32"/>
  <c r="AL11" i="10"/>
  <c r="AP15" i="32"/>
  <c r="AP6" i="32"/>
  <c r="AP33" i="32"/>
  <c r="AP107" i="32"/>
  <c r="AQ107" i="32"/>
  <c r="AR107" i="32"/>
  <c r="AS107" i="32"/>
  <c r="AM17" i="10"/>
  <c r="AQ10" i="32"/>
  <c r="AM11" i="10"/>
  <c r="AQ15" i="32"/>
  <c r="AQ6" i="32"/>
  <c r="AQ33" i="32"/>
  <c r="AQ108" i="32"/>
  <c r="AR108" i="32"/>
  <c r="AS108" i="32"/>
  <c r="AN17" i="10"/>
  <c r="AR10" i="32"/>
  <c r="AN11" i="10"/>
  <c r="AR15" i="32"/>
  <c r="AR6" i="32"/>
  <c r="AR33" i="32"/>
  <c r="AR109" i="32"/>
  <c r="AS109" i="32"/>
  <c r="AO17" i="10"/>
  <c r="AS10" i="32"/>
  <c r="AO11" i="10"/>
  <c r="AS15" i="32"/>
  <c r="AS6" i="32"/>
  <c r="AS33" i="32"/>
  <c r="AS110" i="32"/>
  <c r="L15" i="32"/>
  <c r="L6" i="32"/>
  <c r="L33" i="32"/>
  <c r="L77" i="32"/>
  <c r="M77" i="32"/>
  <c r="N77" i="32"/>
  <c r="O77" i="32"/>
  <c r="P77" i="32"/>
  <c r="Q77" i="32"/>
  <c r="R77" i="32"/>
  <c r="S77" i="32"/>
  <c r="T77" i="32"/>
  <c r="U77" i="32"/>
  <c r="V77" i="32"/>
  <c r="W77" i="32"/>
  <c r="X77" i="32"/>
  <c r="Y77" i="32"/>
  <c r="Z77" i="32"/>
  <c r="AA77" i="32"/>
  <c r="AB77" i="32"/>
  <c r="AC77" i="32"/>
  <c r="AD77" i="32"/>
  <c r="AE77" i="32"/>
  <c r="AF77" i="32"/>
  <c r="AG77" i="32"/>
  <c r="AH77" i="32"/>
  <c r="AI77" i="32"/>
  <c r="AJ77" i="32"/>
  <c r="AK77" i="32"/>
  <c r="AL77" i="32"/>
  <c r="AM77" i="32"/>
  <c r="AN77" i="32"/>
  <c r="AO77" i="32"/>
  <c r="AP77" i="32"/>
  <c r="AQ77" i="32"/>
  <c r="AR77" i="32"/>
  <c r="AS77" i="32"/>
  <c r="M15" i="32"/>
  <c r="M6" i="32"/>
  <c r="M33"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N15" i="32"/>
  <c r="N6" i="32"/>
  <c r="N33" i="32"/>
  <c r="N79" i="32"/>
  <c r="O79" i="32"/>
  <c r="P79" i="32"/>
  <c r="Q79" i="32"/>
  <c r="R79" i="32"/>
  <c r="S79" i="32"/>
  <c r="T79" i="32"/>
  <c r="U79" i="32"/>
  <c r="V79" i="32"/>
  <c r="W79" i="32"/>
  <c r="X79" i="32"/>
  <c r="Y79" i="32"/>
  <c r="Z79" i="32"/>
  <c r="AA79" i="32"/>
  <c r="AB79" i="32"/>
  <c r="AC79" i="32"/>
  <c r="AD79" i="32"/>
  <c r="AE79" i="32"/>
  <c r="AF79" i="32"/>
  <c r="AG79" i="32"/>
  <c r="AH79" i="32"/>
  <c r="AI79" i="32"/>
  <c r="AJ79" i="32"/>
  <c r="AK79" i="32"/>
  <c r="AL79" i="32"/>
  <c r="AM79" i="32"/>
  <c r="AN79" i="32"/>
  <c r="AO79" i="32"/>
  <c r="AP79" i="32"/>
  <c r="AQ79" i="32"/>
  <c r="AR79" i="32"/>
  <c r="AS79" i="32"/>
  <c r="O15" i="32"/>
  <c r="O6" i="32"/>
  <c r="O33" i="32"/>
  <c r="O80" i="32"/>
  <c r="P80" i="32"/>
  <c r="Q80" i="32"/>
  <c r="R80" i="32"/>
  <c r="S80" i="32"/>
  <c r="T80" i="32"/>
  <c r="U80" i="32"/>
  <c r="V80" i="32"/>
  <c r="W80" i="32"/>
  <c r="X80" i="32"/>
  <c r="Y80" i="32"/>
  <c r="Z80" i="32"/>
  <c r="AA80" i="32"/>
  <c r="AB80" i="32"/>
  <c r="AC80" i="32"/>
  <c r="AD80" i="32"/>
  <c r="AE80" i="32"/>
  <c r="AF80" i="32"/>
  <c r="AG80" i="32"/>
  <c r="AH80" i="32"/>
  <c r="AI80" i="32"/>
  <c r="AJ80" i="32"/>
  <c r="AK80" i="32"/>
  <c r="AL80" i="32"/>
  <c r="AM80" i="32"/>
  <c r="AN80" i="32"/>
  <c r="AO80" i="32"/>
  <c r="AP80" i="32"/>
  <c r="AQ80" i="32"/>
  <c r="AR80" i="32"/>
  <c r="AS80" i="32"/>
  <c r="P15" i="32"/>
  <c r="P6" i="32"/>
  <c r="P33" i="32"/>
  <c r="P81" i="32"/>
  <c r="Q81" i="32"/>
  <c r="R81" i="32"/>
  <c r="S81" i="32"/>
  <c r="T81" i="32"/>
  <c r="U81" i="32"/>
  <c r="V81" i="32"/>
  <c r="W81" i="32"/>
  <c r="X81" i="32"/>
  <c r="Y81" i="32"/>
  <c r="Z81" i="32"/>
  <c r="AA81" i="32"/>
  <c r="AB81" i="32"/>
  <c r="AC81" i="32"/>
  <c r="AD81" i="32"/>
  <c r="AE81" i="32"/>
  <c r="AF81" i="32"/>
  <c r="AG81" i="32"/>
  <c r="AH81" i="32"/>
  <c r="AI81" i="32"/>
  <c r="AJ81" i="32"/>
  <c r="AK81" i="32"/>
  <c r="AL81" i="32"/>
  <c r="AM81" i="32"/>
  <c r="AN81" i="32"/>
  <c r="AO81" i="32"/>
  <c r="AP81" i="32"/>
  <c r="AQ81" i="32"/>
  <c r="AR81" i="32"/>
  <c r="AS81" i="32"/>
  <c r="Q33" i="32"/>
  <c r="Q82" i="32"/>
  <c r="R82" i="32"/>
  <c r="S82" i="32"/>
  <c r="T82" i="32"/>
  <c r="U82" i="32"/>
  <c r="V82" i="32"/>
  <c r="W82" i="32"/>
  <c r="X82" i="32"/>
  <c r="Y82" i="32"/>
  <c r="Z82" i="32"/>
  <c r="AA82" i="32"/>
  <c r="AB82" i="32"/>
  <c r="AC82" i="32"/>
  <c r="AD82" i="32"/>
  <c r="AE82" i="32"/>
  <c r="AF82" i="32"/>
  <c r="AG82" i="32"/>
  <c r="AH82" i="32"/>
  <c r="AI82" i="32"/>
  <c r="AJ82" i="32"/>
  <c r="AK82" i="32"/>
  <c r="AL82" i="32"/>
  <c r="AM82" i="32"/>
  <c r="AN82" i="32"/>
  <c r="AO82" i="32"/>
  <c r="AP82" i="32"/>
  <c r="AQ82" i="32"/>
  <c r="AR82" i="32"/>
  <c r="AS82" i="32"/>
  <c r="AS111" i="32"/>
  <c r="O12" i="10"/>
  <c r="P12" i="10"/>
  <c r="Q12" i="10"/>
  <c r="R12" i="10"/>
  <c r="S12" i="10"/>
  <c r="T12" i="10"/>
  <c r="U12" i="10"/>
  <c r="V12" i="10"/>
  <c r="W12" i="10"/>
  <c r="X12" i="10"/>
  <c r="Y12" i="10"/>
  <c r="Z12" i="10"/>
  <c r="AA12" i="10"/>
  <c r="AB12" i="10"/>
  <c r="AC12" i="10"/>
  <c r="AD12" i="10"/>
  <c r="AE12" i="10"/>
  <c r="AF12" i="10"/>
  <c r="AG12" i="10"/>
  <c r="AH12" i="10"/>
  <c r="AL16" i="32"/>
  <c r="AL7" i="32"/>
  <c r="AK16" i="32"/>
  <c r="AK7" i="32"/>
  <c r="AL35" i="32"/>
  <c r="AL141" i="32"/>
  <c r="AM141" i="32"/>
  <c r="AN141" i="32"/>
  <c r="AO141" i="32"/>
  <c r="AP141" i="32"/>
  <c r="AQ141" i="32"/>
  <c r="AR141" i="32"/>
  <c r="AS141" i="32"/>
  <c r="AI12" i="10"/>
  <c r="AM16" i="32"/>
  <c r="AM7" i="32"/>
  <c r="AM35" i="32"/>
  <c r="AM142" i="32"/>
  <c r="AN142" i="32"/>
  <c r="AO142" i="32"/>
  <c r="AP142" i="32"/>
  <c r="AQ142" i="32"/>
  <c r="AR142" i="32"/>
  <c r="AS142" i="32"/>
  <c r="AJ12" i="10"/>
  <c r="AN16" i="32"/>
  <c r="AN7" i="32"/>
  <c r="AN35" i="32"/>
  <c r="AN143" i="32"/>
  <c r="AO143" i="32"/>
  <c r="AP143" i="32"/>
  <c r="AQ143" i="32"/>
  <c r="AR143" i="32"/>
  <c r="AS143" i="32"/>
  <c r="AK12" i="10"/>
  <c r="AO16" i="32"/>
  <c r="AO7" i="32"/>
  <c r="AO35" i="32"/>
  <c r="AO144" i="32"/>
  <c r="AP144" i="32"/>
  <c r="AQ144" i="32"/>
  <c r="AR144" i="32"/>
  <c r="AS144" i="32"/>
  <c r="AL12" i="10"/>
  <c r="AP16" i="32"/>
  <c r="AP7" i="32"/>
  <c r="AP35" i="32"/>
  <c r="AP145" i="32"/>
  <c r="AQ145" i="32"/>
  <c r="AR145" i="32"/>
  <c r="AS145" i="32"/>
  <c r="AM12" i="10"/>
  <c r="AQ16" i="32"/>
  <c r="AQ7" i="32"/>
  <c r="AQ35" i="32"/>
  <c r="AQ146" i="32"/>
  <c r="AR146" i="32"/>
  <c r="AS146" i="32"/>
  <c r="AN12" i="10"/>
  <c r="AR16" i="32"/>
  <c r="AR7" i="32"/>
  <c r="AR35" i="32"/>
  <c r="AR147" i="32"/>
  <c r="AS147" i="32"/>
  <c r="AO12" i="10"/>
  <c r="AS16" i="32"/>
  <c r="AS7" i="32"/>
  <c r="AS35" i="32"/>
  <c r="AS148" i="32"/>
  <c r="AS149" i="32"/>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P17" i="32"/>
  <c r="AP8" i="32"/>
  <c r="AO17" i="32"/>
  <c r="AO8" i="32"/>
  <c r="AP37" i="32"/>
  <c r="AP183" i="32"/>
  <c r="AQ183" i="32"/>
  <c r="AR183" i="32"/>
  <c r="AS183" i="32"/>
  <c r="AM13" i="10"/>
  <c r="AQ17" i="32"/>
  <c r="AQ8" i="32"/>
  <c r="AQ37" i="32"/>
  <c r="AQ184" i="32"/>
  <c r="AR184" i="32"/>
  <c r="AS184" i="32"/>
  <c r="AN13" i="10"/>
  <c r="AR17" i="32"/>
  <c r="AR8" i="32"/>
  <c r="AR37" i="32"/>
  <c r="AR185" i="32"/>
  <c r="AS185" i="32"/>
  <c r="AO13" i="10"/>
  <c r="AS17" i="32"/>
  <c r="AS8" i="32"/>
  <c r="AS37" i="32"/>
  <c r="AS186" i="32"/>
  <c r="AS187" i="32"/>
  <c r="O14" i="10"/>
  <c r="P14" i="10"/>
  <c r="Q14" i="10"/>
  <c r="R14" i="10"/>
  <c r="S14" i="10"/>
  <c r="T14" i="10"/>
  <c r="U14" i="10"/>
  <c r="V14" i="10"/>
  <c r="W14" i="10"/>
  <c r="X14" i="10"/>
  <c r="Y14" i="10"/>
  <c r="Z14" i="10"/>
  <c r="AA14" i="10"/>
  <c r="AB14" i="10"/>
  <c r="AC14" i="10"/>
  <c r="AD14" i="10"/>
  <c r="AE14" i="10"/>
  <c r="AF14" i="10"/>
  <c r="AG14" i="10"/>
  <c r="AH14" i="10"/>
  <c r="AL18" i="32"/>
  <c r="AL9" i="32"/>
  <c r="AK18" i="32"/>
  <c r="AK9" i="32"/>
  <c r="AL39" i="32"/>
  <c r="AL217" i="32"/>
  <c r="AM217" i="32"/>
  <c r="AN217" i="32"/>
  <c r="AO217" i="32"/>
  <c r="AP217" i="32"/>
  <c r="AQ217" i="32"/>
  <c r="AR217" i="32"/>
  <c r="AS217" i="32"/>
  <c r="AI14" i="10"/>
  <c r="AM18" i="32"/>
  <c r="AM9" i="32"/>
  <c r="AM39" i="32"/>
  <c r="AM218" i="32"/>
  <c r="AN218" i="32"/>
  <c r="AO218" i="32"/>
  <c r="AP218" i="32"/>
  <c r="AQ218" i="32"/>
  <c r="AR218" i="32"/>
  <c r="AS218" i="32"/>
  <c r="AJ14" i="10"/>
  <c r="AN18" i="32"/>
  <c r="AN9" i="32"/>
  <c r="AN39" i="32"/>
  <c r="AN219" i="32"/>
  <c r="AO219" i="32"/>
  <c r="AP219" i="32"/>
  <c r="AQ219" i="32"/>
  <c r="AR219" i="32"/>
  <c r="AS219" i="32"/>
  <c r="AK14" i="10"/>
  <c r="AO18" i="32"/>
  <c r="AO9" i="32"/>
  <c r="AO39" i="32"/>
  <c r="AO220" i="32"/>
  <c r="AP220" i="32"/>
  <c r="AQ220" i="32"/>
  <c r="AR220" i="32"/>
  <c r="AS220" i="32"/>
  <c r="AL14" i="10"/>
  <c r="AP18" i="32"/>
  <c r="AP9" i="32"/>
  <c r="AP39" i="32"/>
  <c r="AP221" i="32"/>
  <c r="AQ221" i="32"/>
  <c r="AR221" i="32"/>
  <c r="AS221" i="32"/>
  <c r="AM14" i="10"/>
  <c r="AQ18" i="32"/>
  <c r="AQ9" i="32"/>
  <c r="AQ39" i="32"/>
  <c r="AQ222" i="32"/>
  <c r="AR222" i="32"/>
  <c r="AS222" i="32"/>
  <c r="AN14" i="10"/>
  <c r="AR18" i="32"/>
  <c r="AR9" i="32"/>
  <c r="AR39" i="32"/>
  <c r="AR223" i="32"/>
  <c r="AS223" i="32"/>
  <c r="AO14" i="10"/>
  <c r="AS18" i="32"/>
  <c r="AS9" i="32"/>
  <c r="AS39" i="32"/>
  <c r="AS224" i="32"/>
  <c r="AS225" i="32"/>
  <c r="AS68" i="32"/>
  <c r="AS69" i="32"/>
  <c r="AS22" i="32"/>
  <c r="AO10" i="2"/>
  <c r="AO14" i="2"/>
  <c r="AO16" i="2"/>
  <c r="AK7" i="36"/>
  <c r="AK9" i="36"/>
  <c r="H5" i="2"/>
  <c r="H6" i="2"/>
  <c r="H6" i="37"/>
  <c r="H8" i="2"/>
  <c r="H9" i="2"/>
  <c r="H5" i="29"/>
  <c r="H6" i="29"/>
  <c r="H7" i="29"/>
  <c r="H16" i="29"/>
  <c r="I6" i="26"/>
  <c r="I26" i="26"/>
  <c r="I60" i="26"/>
  <c r="I19" i="26"/>
  <c r="I18" i="26"/>
  <c r="I20" i="26"/>
  <c r="I12" i="26"/>
  <c r="H11" i="2"/>
  <c r="K27" i="32"/>
  <c r="K28" i="32"/>
  <c r="K29" i="32"/>
  <c r="B59" i="32"/>
  <c r="B60" i="32"/>
  <c r="B61" i="32"/>
  <c r="B50" i="32"/>
  <c r="L63" i="32"/>
  <c r="L67" i="32"/>
  <c r="L111" i="32"/>
  <c r="L16" i="32"/>
  <c r="L7" i="32"/>
  <c r="L35" i="32"/>
  <c r="L115" i="32"/>
  <c r="L149" i="32"/>
  <c r="L17" i="32"/>
  <c r="L8" i="32"/>
  <c r="L37" i="32"/>
  <c r="L153" i="32"/>
  <c r="L187" i="32"/>
  <c r="L18" i="32"/>
  <c r="L9" i="32"/>
  <c r="L39" i="32"/>
  <c r="L191" i="32"/>
  <c r="L225" i="32"/>
  <c r="L68" i="32"/>
  <c r="L69" i="32"/>
  <c r="L22" i="32"/>
  <c r="H10" i="2"/>
  <c r="H14" i="2"/>
  <c r="H16" i="2"/>
  <c r="D7" i="36"/>
  <c r="D9" i="36"/>
  <c r="D20" i="36"/>
  <c r="F6" i="2"/>
  <c r="F14" i="2"/>
  <c r="F16" i="2"/>
  <c r="B7" i="36"/>
  <c r="B9" i="36"/>
  <c r="B20" i="36"/>
  <c r="G19" i="19"/>
  <c r="G14" i="19"/>
  <c r="G20" i="19"/>
  <c r="G7" i="19"/>
  <c r="B5" i="36"/>
  <c r="B13" i="36"/>
  <c r="B14" i="36"/>
  <c r="B16" i="36"/>
  <c r="B21" i="36"/>
  <c r="B22" i="36"/>
  <c r="B23" i="36"/>
  <c r="C19" i="36"/>
  <c r="G6" i="2"/>
  <c r="G14" i="2"/>
  <c r="G16" i="2"/>
  <c r="C7" i="36"/>
  <c r="C9" i="36"/>
  <c r="C20" i="36"/>
  <c r="H19" i="19"/>
  <c r="H14" i="19"/>
  <c r="H20" i="19"/>
  <c r="H7" i="19"/>
  <c r="C5" i="36"/>
  <c r="C13" i="36"/>
  <c r="C33" i="36"/>
  <c r="C35" i="36"/>
  <c r="C39" i="36"/>
  <c r="C14" i="36"/>
  <c r="C16" i="36"/>
  <c r="C21" i="36"/>
  <c r="C22" i="36"/>
  <c r="C23" i="36"/>
  <c r="D19" i="36"/>
  <c r="J71" i="19"/>
  <c r="I7" i="12"/>
  <c r="I16" i="12"/>
  <c r="I13" i="12"/>
  <c r="I10" i="12"/>
  <c r="J74" i="19"/>
  <c r="J76" i="19"/>
  <c r="J78" i="19"/>
  <c r="J81" i="19"/>
  <c r="I25" i="19"/>
  <c r="D11" i="5"/>
  <c r="D12" i="5"/>
  <c r="E11" i="5"/>
  <c r="E12" i="5"/>
  <c r="F11" i="5"/>
  <c r="F12" i="5"/>
  <c r="G11" i="5"/>
  <c r="G12" i="5"/>
  <c r="H11" i="5"/>
  <c r="H12" i="5"/>
  <c r="I11" i="5"/>
  <c r="I12" i="5"/>
  <c r="J12" i="5"/>
  <c r="J11" i="5"/>
  <c r="J10" i="5"/>
  <c r="I26" i="19"/>
  <c r="I27" i="19"/>
  <c r="I28" i="19"/>
  <c r="D28" i="36"/>
  <c r="D30" i="36"/>
  <c r="D27" i="36"/>
  <c r="D31" i="36"/>
  <c r="D29" i="36"/>
  <c r="D32" i="36"/>
  <c r="C10" i="36"/>
  <c r="D33" i="36"/>
  <c r="D35" i="36"/>
  <c r="D39" i="36"/>
  <c r="D14" i="36"/>
  <c r="D42" i="36"/>
  <c r="D76" i="36"/>
  <c r="D22" i="36"/>
  <c r="I5" i="2"/>
  <c r="I6" i="2"/>
  <c r="I6" i="37"/>
  <c r="I8" i="2"/>
  <c r="I9" i="2"/>
  <c r="J26" i="26"/>
  <c r="I5" i="29"/>
  <c r="I6" i="29"/>
  <c r="I7" i="29"/>
  <c r="I16" i="29"/>
  <c r="J6" i="26"/>
  <c r="J27" i="26"/>
  <c r="J60" i="26"/>
  <c r="J19" i="26"/>
  <c r="J18" i="26"/>
  <c r="J20" i="26"/>
  <c r="J12" i="26"/>
  <c r="I11" i="2"/>
  <c r="M63" i="32"/>
  <c r="M67" i="32"/>
  <c r="M111" i="32"/>
  <c r="M115" i="32"/>
  <c r="M16" i="32"/>
  <c r="M7" i="32"/>
  <c r="M35" i="32"/>
  <c r="M116" i="32"/>
  <c r="M149" i="32"/>
  <c r="M153" i="32"/>
  <c r="M17" i="32"/>
  <c r="M8" i="32"/>
  <c r="M37" i="32"/>
  <c r="M154" i="32"/>
  <c r="M187" i="32"/>
  <c r="M191" i="32"/>
  <c r="M18" i="32"/>
  <c r="M9" i="32"/>
  <c r="M39" i="32"/>
  <c r="M192" i="32"/>
  <c r="M225" i="32"/>
  <c r="M68" i="32"/>
  <c r="M69" i="32"/>
  <c r="M22" i="32"/>
  <c r="I10" i="2"/>
  <c r="I14" i="2"/>
  <c r="I16" i="2"/>
  <c r="E7" i="36"/>
  <c r="E9" i="36"/>
  <c r="E20" i="36"/>
  <c r="K71" i="19"/>
  <c r="J7" i="12"/>
  <c r="J16" i="12"/>
  <c r="J13" i="12"/>
  <c r="J10" i="12"/>
  <c r="K74" i="19"/>
  <c r="K76" i="19"/>
  <c r="K78" i="19"/>
  <c r="K81" i="19"/>
  <c r="J25" i="19"/>
  <c r="K12" i="5"/>
  <c r="K11" i="5"/>
  <c r="K10" i="5"/>
  <c r="J26" i="19"/>
  <c r="J27" i="19"/>
  <c r="J28" i="19"/>
  <c r="E28" i="36"/>
  <c r="E30" i="36"/>
  <c r="E27" i="36"/>
  <c r="E31" i="36"/>
  <c r="E29" i="36"/>
  <c r="E32" i="36"/>
  <c r="E43" i="36"/>
  <c r="J5" i="2"/>
  <c r="J6" i="2"/>
  <c r="J6" i="37"/>
  <c r="J8" i="2"/>
  <c r="J9" i="2"/>
  <c r="K26" i="26"/>
  <c r="K27" i="26"/>
  <c r="J5" i="29"/>
  <c r="J6" i="29"/>
  <c r="J7" i="29"/>
  <c r="J16" i="29"/>
  <c r="K6" i="26"/>
  <c r="K28" i="26"/>
  <c r="K60" i="26"/>
  <c r="K19" i="26"/>
  <c r="K20" i="26"/>
  <c r="K12" i="26"/>
  <c r="J11" i="2"/>
  <c r="N63" i="32"/>
  <c r="N67" i="32"/>
  <c r="N111" i="32"/>
  <c r="N115" i="32"/>
  <c r="N116" i="32"/>
  <c r="N16" i="32"/>
  <c r="N7" i="32"/>
  <c r="N35" i="32"/>
  <c r="N117" i="32"/>
  <c r="N149" i="32"/>
  <c r="N153" i="32"/>
  <c r="N154" i="32"/>
  <c r="N17" i="32"/>
  <c r="N8" i="32"/>
  <c r="N37" i="32"/>
  <c r="N155" i="32"/>
  <c r="N187" i="32"/>
  <c r="N191" i="32"/>
  <c r="N192" i="32"/>
  <c r="N18" i="32"/>
  <c r="N9" i="32"/>
  <c r="N39" i="32"/>
  <c r="N193" i="32"/>
  <c r="N225" i="32"/>
  <c r="N68" i="32"/>
  <c r="N69" i="32"/>
  <c r="N22" i="32"/>
  <c r="J10" i="2"/>
  <c r="J14" i="2"/>
  <c r="J16" i="2"/>
  <c r="F7" i="36"/>
  <c r="F9" i="36"/>
  <c r="F20" i="36"/>
  <c r="K23" i="19"/>
  <c r="L71" i="19"/>
  <c r="K7" i="12"/>
  <c r="K16" i="12"/>
  <c r="K13" i="12"/>
  <c r="K10" i="12"/>
  <c r="L74" i="19"/>
  <c r="L76" i="19"/>
  <c r="L78" i="19"/>
  <c r="L81" i="19"/>
  <c r="K25" i="19"/>
  <c r="L12" i="5"/>
  <c r="L11" i="5"/>
  <c r="L10" i="5"/>
  <c r="K26" i="19"/>
  <c r="K27" i="19"/>
  <c r="K28" i="19"/>
  <c r="F28" i="36"/>
  <c r="F30" i="36"/>
  <c r="F27" i="36"/>
  <c r="F31" i="36"/>
  <c r="F29" i="36"/>
  <c r="F32" i="36"/>
  <c r="F44" i="36"/>
  <c r="K5" i="2"/>
  <c r="K6" i="2"/>
  <c r="K6" i="37"/>
  <c r="K8" i="2"/>
  <c r="K9" i="2"/>
  <c r="L26" i="26"/>
  <c r="L27" i="26"/>
  <c r="L28" i="26"/>
  <c r="K5" i="29"/>
  <c r="K6" i="29"/>
  <c r="K7" i="29"/>
  <c r="K16" i="29"/>
  <c r="L6" i="26"/>
  <c r="L29" i="26"/>
  <c r="L60" i="26"/>
  <c r="L19" i="26"/>
  <c r="L20" i="26"/>
  <c r="L12" i="26"/>
  <c r="K11" i="2"/>
  <c r="O63" i="32"/>
  <c r="O67" i="32"/>
  <c r="O111" i="32"/>
  <c r="O115" i="32"/>
  <c r="O116" i="32"/>
  <c r="O117" i="32"/>
  <c r="O16" i="32"/>
  <c r="O7" i="32"/>
  <c r="O35" i="32"/>
  <c r="O118" i="32"/>
  <c r="O149" i="32"/>
  <c r="O153" i="32"/>
  <c r="O154" i="32"/>
  <c r="O155" i="32"/>
  <c r="O17" i="32"/>
  <c r="O8" i="32"/>
  <c r="O37" i="32"/>
  <c r="O156" i="32"/>
  <c r="O187" i="32"/>
  <c r="O191" i="32"/>
  <c r="O192" i="32"/>
  <c r="O193" i="32"/>
  <c r="O18" i="32"/>
  <c r="O9" i="32"/>
  <c r="O39" i="32"/>
  <c r="O194" i="32"/>
  <c r="O225" i="32"/>
  <c r="O68" i="32"/>
  <c r="O69" i="32"/>
  <c r="O22" i="32"/>
  <c r="K10" i="2"/>
  <c r="K14" i="2"/>
  <c r="K16" i="2"/>
  <c r="G7" i="36"/>
  <c r="G9" i="36"/>
  <c r="G20" i="36"/>
  <c r="L23" i="19"/>
  <c r="M71" i="19"/>
  <c r="L7" i="12"/>
  <c r="L16" i="12"/>
  <c r="L13" i="12"/>
  <c r="L10" i="12"/>
  <c r="M74" i="19"/>
  <c r="M76" i="19"/>
  <c r="M78" i="19"/>
  <c r="M81" i="19"/>
  <c r="L25" i="19"/>
  <c r="M12" i="5"/>
  <c r="M11" i="5"/>
  <c r="M10" i="5"/>
  <c r="L26" i="19"/>
  <c r="L27" i="19"/>
  <c r="L28" i="19"/>
  <c r="G28" i="36"/>
  <c r="G30" i="36"/>
  <c r="G27" i="36"/>
  <c r="G31" i="36"/>
  <c r="G29" i="36"/>
  <c r="G32" i="36"/>
  <c r="G45" i="36"/>
  <c r="L5" i="2"/>
  <c r="L6" i="2"/>
  <c r="L6" i="37"/>
  <c r="L8" i="2"/>
  <c r="L9" i="2"/>
  <c r="M26" i="26"/>
  <c r="M27" i="26"/>
  <c r="M28" i="26"/>
  <c r="M29" i="26"/>
  <c r="L5" i="29"/>
  <c r="L6" i="29"/>
  <c r="L7" i="29"/>
  <c r="L16" i="29"/>
  <c r="M6" i="26"/>
  <c r="M30" i="26"/>
  <c r="M60" i="26"/>
  <c r="M19" i="26"/>
  <c r="M20" i="26"/>
  <c r="M12" i="26"/>
  <c r="L11" i="2"/>
  <c r="P63" i="32"/>
  <c r="P67" i="32"/>
  <c r="P111" i="32"/>
  <c r="P115" i="32"/>
  <c r="P116" i="32"/>
  <c r="P117" i="32"/>
  <c r="P118" i="32"/>
  <c r="P16" i="32"/>
  <c r="P7" i="32"/>
  <c r="P35" i="32"/>
  <c r="P119" i="32"/>
  <c r="P149" i="32"/>
  <c r="P154" i="32"/>
  <c r="P155" i="32"/>
  <c r="P156" i="32"/>
  <c r="P17" i="32"/>
  <c r="P8" i="32"/>
  <c r="P37" i="32"/>
  <c r="P157" i="32"/>
  <c r="P187" i="32"/>
  <c r="P191" i="32"/>
  <c r="P192" i="32"/>
  <c r="P193" i="32"/>
  <c r="P194" i="32"/>
  <c r="P18" i="32"/>
  <c r="P9" i="32"/>
  <c r="P39" i="32"/>
  <c r="P195" i="32"/>
  <c r="P225" i="32"/>
  <c r="P68" i="32"/>
  <c r="P69" i="32"/>
  <c r="P22" i="32"/>
  <c r="L10" i="2"/>
  <c r="L14" i="2"/>
  <c r="L16" i="2"/>
  <c r="H7" i="36"/>
  <c r="H9" i="36"/>
  <c r="H20" i="36"/>
  <c r="N71" i="19"/>
  <c r="M7" i="12"/>
  <c r="M16" i="12"/>
  <c r="M13" i="12"/>
  <c r="M10" i="12"/>
  <c r="N74" i="19"/>
  <c r="N76" i="19"/>
  <c r="N78" i="19"/>
  <c r="N81" i="19"/>
  <c r="M25" i="19"/>
  <c r="N12" i="5"/>
  <c r="N11" i="5"/>
  <c r="N10" i="5"/>
  <c r="M26" i="19"/>
  <c r="M27" i="19"/>
  <c r="M28" i="19"/>
  <c r="H28" i="36"/>
  <c r="H30" i="36"/>
  <c r="H27" i="36"/>
  <c r="H31" i="36"/>
  <c r="H29" i="36"/>
  <c r="H32" i="36"/>
  <c r="H46" i="36"/>
  <c r="M5" i="2"/>
  <c r="M6" i="2"/>
  <c r="M6" i="37"/>
  <c r="M8" i="2"/>
  <c r="M9" i="2"/>
  <c r="N26" i="26"/>
  <c r="N27" i="26"/>
  <c r="N28" i="26"/>
  <c r="N29" i="26"/>
  <c r="N30" i="26"/>
  <c r="M7" i="29"/>
  <c r="M16" i="29"/>
  <c r="N6" i="26"/>
  <c r="N31" i="26"/>
  <c r="N60" i="26"/>
  <c r="N19" i="26"/>
  <c r="N20" i="26"/>
  <c r="N12" i="26"/>
  <c r="M11" i="2"/>
  <c r="Q111" i="32"/>
  <c r="Q115" i="32"/>
  <c r="Q116" i="32"/>
  <c r="Q117" i="32"/>
  <c r="Q118" i="32"/>
  <c r="Q119" i="32"/>
  <c r="Q16" i="32"/>
  <c r="Q7" i="32"/>
  <c r="Q35" i="32"/>
  <c r="Q120" i="32"/>
  <c r="Q149" i="32"/>
  <c r="Q155" i="32"/>
  <c r="Q156" i="32"/>
  <c r="Q157" i="32"/>
  <c r="Q17" i="32"/>
  <c r="Q8" i="32"/>
  <c r="Q37" i="32"/>
  <c r="Q158" i="32"/>
  <c r="Q187" i="32"/>
  <c r="Q191" i="32"/>
  <c r="Q192" i="32"/>
  <c r="Q193" i="32"/>
  <c r="Q194" i="32"/>
  <c r="Q195" i="32"/>
  <c r="Q18" i="32"/>
  <c r="Q9" i="32"/>
  <c r="Q39" i="32"/>
  <c r="Q196" i="32"/>
  <c r="Q225" i="32"/>
  <c r="Q68" i="32"/>
  <c r="Q69" i="32"/>
  <c r="Q22" i="32"/>
  <c r="M10" i="2"/>
  <c r="M14" i="2"/>
  <c r="M16" i="2"/>
  <c r="I7" i="36"/>
  <c r="I9" i="36"/>
  <c r="I20" i="36"/>
  <c r="N23" i="19"/>
  <c r="O71" i="19"/>
  <c r="N7" i="12"/>
  <c r="N16" i="12"/>
  <c r="N13" i="12"/>
  <c r="N10" i="12"/>
  <c r="O74" i="19"/>
  <c r="O76" i="19"/>
  <c r="O78" i="19"/>
  <c r="O81" i="19"/>
  <c r="N25" i="19"/>
  <c r="O12" i="5"/>
  <c r="O11" i="5"/>
  <c r="O10" i="5"/>
  <c r="N26" i="19"/>
  <c r="N27" i="19"/>
  <c r="N28" i="19"/>
  <c r="I28" i="36"/>
  <c r="I30" i="36"/>
  <c r="I27" i="36"/>
  <c r="I31" i="36"/>
  <c r="I29" i="36"/>
  <c r="I32" i="36"/>
  <c r="I47" i="36"/>
  <c r="N5" i="2"/>
  <c r="N6" i="2"/>
  <c r="N6" i="37"/>
  <c r="N8" i="2"/>
  <c r="N9" i="2"/>
  <c r="O27" i="26"/>
  <c r="O28" i="26"/>
  <c r="O29" i="26"/>
  <c r="O30" i="26"/>
  <c r="N5" i="29"/>
  <c r="N6" i="29"/>
  <c r="N7" i="29"/>
  <c r="N16" i="29"/>
  <c r="O6" i="26"/>
  <c r="O32" i="26"/>
  <c r="O31" i="26"/>
  <c r="O60" i="26"/>
  <c r="O19" i="26"/>
  <c r="O20" i="26"/>
  <c r="O12" i="26"/>
  <c r="N11" i="2"/>
  <c r="R111" i="32"/>
  <c r="R16" i="32"/>
  <c r="R7" i="32"/>
  <c r="R35" i="32"/>
  <c r="R121" i="32"/>
  <c r="R115" i="32"/>
  <c r="R116" i="32"/>
  <c r="R117" i="32"/>
  <c r="R118" i="32"/>
  <c r="R119" i="32"/>
  <c r="R120" i="32"/>
  <c r="R149" i="32"/>
  <c r="R17" i="32"/>
  <c r="R8" i="32"/>
  <c r="R37" i="32"/>
  <c r="R159" i="32"/>
  <c r="R156" i="32"/>
  <c r="R157" i="32"/>
  <c r="R158" i="32"/>
  <c r="R187" i="32"/>
  <c r="R18" i="32"/>
  <c r="R9" i="32"/>
  <c r="R39" i="32"/>
  <c r="R197" i="32"/>
  <c r="R191" i="32"/>
  <c r="R192" i="32"/>
  <c r="R193" i="32"/>
  <c r="R194" i="32"/>
  <c r="R195" i="32"/>
  <c r="R196" i="32"/>
  <c r="R225" i="32"/>
  <c r="R68" i="32"/>
  <c r="R69" i="32"/>
  <c r="R22" i="32"/>
  <c r="N10" i="2"/>
  <c r="N14" i="2"/>
  <c r="N16" i="2"/>
  <c r="J7" i="36"/>
  <c r="J9" i="36"/>
  <c r="J20" i="36"/>
  <c r="O23" i="19"/>
  <c r="P71" i="19"/>
  <c r="O7" i="12"/>
  <c r="O16" i="12"/>
  <c r="O13" i="12"/>
  <c r="O10" i="12"/>
  <c r="P74" i="19"/>
  <c r="P76" i="19"/>
  <c r="P78" i="19"/>
  <c r="P81" i="19"/>
  <c r="O25" i="19"/>
  <c r="P12" i="5"/>
  <c r="P11" i="5"/>
  <c r="P10" i="5"/>
  <c r="O26" i="19"/>
  <c r="O27" i="19"/>
  <c r="O28" i="19"/>
  <c r="J28" i="36"/>
  <c r="J30" i="36"/>
  <c r="J27" i="36"/>
  <c r="J31" i="36"/>
  <c r="J29" i="36"/>
  <c r="J32" i="36"/>
  <c r="J48" i="36"/>
  <c r="O5" i="2"/>
  <c r="O6" i="2"/>
  <c r="O6" i="37"/>
  <c r="O8" i="2"/>
  <c r="O9" i="2"/>
  <c r="P28" i="26"/>
  <c r="P29" i="26"/>
  <c r="P30" i="26"/>
  <c r="O5" i="29"/>
  <c r="O6" i="29"/>
  <c r="O7" i="29"/>
  <c r="O16" i="29"/>
  <c r="P6" i="26"/>
  <c r="P31" i="26"/>
  <c r="P32" i="26"/>
  <c r="P33" i="26"/>
  <c r="P60" i="26"/>
  <c r="P19" i="26"/>
  <c r="P20" i="26"/>
  <c r="P12" i="26"/>
  <c r="O11" i="2"/>
  <c r="S111" i="32"/>
  <c r="S121" i="32"/>
  <c r="S16" i="32"/>
  <c r="S7" i="32"/>
  <c r="S35" i="32"/>
  <c r="S122" i="32"/>
  <c r="S115" i="32"/>
  <c r="S116" i="32"/>
  <c r="S117" i="32"/>
  <c r="S118" i="32"/>
  <c r="S119" i="32"/>
  <c r="S120" i="32"/>
  <c r="S149" i="32"/>
  <c r="S159" i="32"/>
  <c r="S17" i="32"/>
  <c r="S8" i="32"/>
  <c r="S37" i="32"/>
  <c r="S160" i="32"/>
  <c r="S157" i="32"/>
  <c r="S158" i="32"/>
  <c r="S187" i="32"/>
  <c r="S197" i="32"/>
  <c r="S18" i="32"/>
  <c r="S9" i="32"/>
  <c r="S39" i="32"/>
  <c r="S198" i="32"/>
  <c r="S191" i="32"/>
  <c r="S192" i="32"/>
  <c r="S193" i="32"/>
  <c r="S194" i="32"/>
  <c r="S195" i="32"/>
  <c r="S196" i="32"/>
  <c r="S225" i="32"/>
  <c r="S68" i="32"/>
  <c r="S69" i="32"/>
  <c r="S22" i="32"/>
  <c r="O10" i="2"/>
  <c r="O14" i="2"/>
  <c r="O16" i="2"/>
  <c r="K7" i="36"/>
  <c r="K9" i="36"/>
  <c r="K20" i="36"/>
  <c r="P23" i="19"/>
  <c r="Q71" i="19"/>
  <c r="P7" i="12"/>
  <c r="P16" i="12"/>
  <c r="P13" i="12"/>
  <c r="P10" i="12"/>
  <c r="Q74" i="19"/>
  <c r="Q76" i="19"/>
  <c r="Q78" i="19"/>
  <c r="Q81" i="19"/>
  <c r="P25" i="19"/>
  <c r="Q12" i="5"/>
  <c r="Q11" i="5"/>
  <c r="Q10" i="5"/>
  <c r="P26" i="19"/>
  <c r="P27" i="19"/>
  <c r="P28" i="19"/>
  <c r="K28" i="36"/>
  <c r="K30" i="36"/>
  <c r="K27" i="36"/>
  <c r="K31" i="36"/>
  <c r="K29" i="36"/>
  <c r="K32" i="36"/>
  <c r="K49" i="36"/>
  <c r="P5" i="2"/>
  <c r="P6" i="2"/>
  <c r="P6" i="37"/>
  <c r="P8" i="2"/>
  <c r="P9" i="2"/>
  <c r="Q29" i="26"/>
  <c r="Q30" i="26"/>
  <c r="P5" i="29"/>
  <c r="P6" i="29"/>
  <c r="P7" i="29"/>
  <c r="P16" i="29"/>
  <c r="Q6" i="26"/>
  <c r="Q31" i="26"/>
  <c r="Q32" i="26"/>
  <c r="Q33" i="26"/>
  <c r="Q34" i="26"/>
  <c r="Q60" i="26"/>
  <c r="Q19" i="26"/>
  <c r="Q20" i="26"/>
  <c r="Q12" i="26"/>
  <c r="P11" i="2"/>
  <c r="T111" i="32"/>
  <c r="T121" i="32"/>
  <c r="T122" i="32"/>
  <c r="T16" i="32"/>
  <c r="T7" i="32"/>
  <c r="T35" i="32"/>
  <c r="T123" i="32"/>
  <c r="T116" i="32"/>
  <c r="T117" i="32"/>
  <c r="T118" i="32"/>
  <c r="T119" i="32"/>
  <c r="T120" i="32"/>
  <c r="T149" i="32"/>
  <c r="T159" i="32"/>
  <c r="T160" i="32"/>
  <c r="T17" i="32"/>
  <c r="T8" i="32"/>
  <c r="T37" i="32"/>
  <c r="T161" i="32"/>
  <c r="T158" i="32"/>
  <c r="T187" i="32"/>
  <c r="T197" i="32"/>
  <c r="T198" i="32"/>
  <c r="T18" i="32"/>
  <c r="T9" i="32"/>
  <c r="T39" i="32"/>
  <c r="T199" i="32"/>
  <c r="T192" i="32"/>
  <c r="T193" i="32"/>
  <c r="T194" i="32"/>
  <c r="T195" i="32"/>
  <c r="T196" i="32"/>
  <c r="T225" i="32"/>
  <c r="T68" i="32"/>
  <c r="T69" i="32"/>
  <c r="T22" i="32"/>
  <c r="P10" i="2"/>
  <c r="P14" i="2"/>
  <c r="P16" i="2"/>
  <c r="L7" i="36"/>
  <c r="L9" i="36"/>
  <c r="L20" i="36"/>
  <c r="R71" i="19"/>
  <c r="Q7" i="12"/>
  <c r="Q16" i="12"/>
  <c r="Q13" i="12"/>
  <c r="Q10" i="12"/>
  <c r="R74" i="19"/>
  <c r="R76" i="19"/>
  <c r="R78" i="19"/>
  <c r="R81" i="19"/>
  <c r="Q25" i="19"/>
  <c r="R12" i="5"/>
  <c r="R11" i="5"/>
  <c r="R10" i="5"/>
  <c r="Q26" i="19"/>
  <c r="Q27" i="19"/>
  <c r="Q28" i="19"/>
  <c r="L28" i="36"/>
  <c r="L30" i="36"/>
  <c r="L27" i="36"/>
  <c r="L31" i="36"/>
  <c r="L29" i="36"/>
  <c r="L32" i="36"/>
  <c r="L50" i="36"/>
  <c r="Q5" i="2"/>
  <c r="Q6" i="2"/>
  <c r="Q6" i="37"/>
  <c r="Q8" i="2"/>
  <c r="Q9" i="2"/>
  <c r="R30" i="26"/>
  <c r="Q5" i="29"/>
  <c r="Q6" i="29"/>
  <c r="Q7" i="29"/>
  <c r="Q16" i="29"/>
  <c r="R6" i="26"/>
  <c r="R31" i="26"/>
  <c r="R32" i="26"/>
  <c r="R33" i="26"/>
  <c r="R34" i="26"/>
  <c r="R35" i="26"/>
  <c r="R60" i="26"/>
  <c r="R19" i="26"/>
  <c r="R20" i="26"/>
  <c r="R12" i="26"/>
  <c r="Q11" i="2"/>
  <c r="U111" i="32"/>
  <c r="U121" i="32"/>
  <c r="U122" i="32"/>
  <c r="U123" i="32"/>
  <c r="U16" i="32"/>
  <c r="U7" i="32"/>
  <c r="U35" i="32"/>
  <c r="U124" i="32"/>
  <c r="U117" i="32"/>
  <c r="U118" i="32"/>
  <c r="U119" i="32"/>
  <c r="U120" i="32"/>
  <c r="U149" i="32"/>
  <c r="U159" i="32"/>
  <c r="U160" i="32"/>
  <c r="U161" i="32"/>
  <c r="U17" i="32"/>
  <c r="U8" i="32"/>
  <c r="U37" i="32"/>
  <c r="U162" i="32"/>
  <c r="U187" i="32"/>
  <c r="U197" i="32"/>
  <c r="U198" i="32"/>
  <c r="U199" i="32"/>
  <c r="U18" i="32"/>
  <c r="U9" i="32"/>
  <c r="U39" i="32"/>
  <c r="U200" i="32"/>
  <c r="U193" i="32"/>
  <c r="U194" i="32"/>
  <c r="U195" i="32"/>
  <c r="U196" i="32"/>
  <c r="U225" i="32"/>
  <c r="U68" i="32"/>
  <c r="U69" i="32"/>
  <c r="U22" i="32"/>
  <c r="Q10" i="2"/>
  <c r="Q14" i="2"/>
  <c r="Q16" i="2"/>
  <c r="M7" i="36"/>
  <c r="M9" i="36"/>
  <c r="M20" i="36"/>
  <c r="R23" i="19"/>
  <c r="S71" i="19"/>
  <c r="R7" i="12"/>
  <c r="R16" i="12"/>
  <c r="R13" i="12"/>
  <c r="R10" i="12"/>
  <c r="S74" i="19"/>
  <c r="S76" i="19"/>
  <c r="S78" i="19"/>
  <c r="S81" i="19"/>
  <c r="R25" i="19"/>
  <c r="S12" i="5"/>
  <c r="S11" i="5"/>
  <c r="S10" i="5"/>
  <c r="R26" i="19"/>
  <c r="R27" i="19"/>
  <c r="R28" i="19"/>
  <c r="M28" i="36"/>
  <c r="M30" i="36"/>
  <c r="M27" i="36"/>
  <c r="M31" i="36"/>
  <c r="M29" i="36"/>
  <c r="M32" i="36"/>
  <c r="M51" i="36"/>
  <c r="R5" i="2"/>
  <c r="R6" i="2"/>
  <c r="R6" i="37"/>
  <c r="R8" i="2"/>
  <c r="R9" i="2"/>
  <c r="R5" i="29"/>
  <c r="R6" i="29"/>
  <c r="R7" i="29"/>
  <c r="R16" i="29"/>
  <c r="S6" i="26"/>
  <c r="S31" i="26"/>
  <c r="S32" i="26"/>
  <c r="S33" i="26"/>
  <c r="S34" i="26"/>
  <c r="S35" i="26"/>
  <c r="S36" i="26"/>
  <c r="S60" i="26"/>
  <c r="S19" i="26"/>
  <c r="S20" i="26"/>
  <c r="S12" i="26"/>
  <c r="R11" i="2"/>
  <c r="V111" i="32"/>
  <c r="V121" i="32"/>
  <c r="V122" i="32"/>
  <c r="V123" i="32"/>
  <c r="V124" i="32"/>
  <c r="V16" i="32"/>
  <c r="V7" i="32"/>
  <c r="V35" i="32"/>
  <c r="V125" i="32"/>
  <c r="V118" i="32"/>
  <c r="V119" i="32"/>
  <c r="V120" i="32"/>
  <c r="V149" i="32"/>
  <c r="V160" i="32"/>
  <c r="V161" i="32"/>
  <c r="V162" i="32"/>
  <c r="V17" i="32"/>
  <c r="V8" i="32"/>
  <c r="V37" i="32"/>
  <c r="V163" i="32"/>
  <c r="V187" i="32"/>
  <c r="V197" i="32"/>
  <c r="V198" i="32"/>
  <c r="V199" i="32"/>
  <c r="V200" i="32"/>
  <c r="V18" i="32"/>
  <c r="V9" i="32"/>
  <c r="V39" i="32"/>
  <c r="V201" i="32"/>
  <c r="V194" i="32"/>
  <c r="V195" i="32"/>
  <c r="V196" i="32"/>
  <c r="V225" i="32"/>
  <c r="V68" i="32"/>
  <c r="V69" i="32"/>
  <c r="V22" i="32"/>
  <c r="R10" i="2"/>
  <c r="R14" i="2"/>
  <c r="R16" i="2"/>
  <c r="N7" i="36"/>
  <c r="N9" i="36"/>
  <c r="N20" i="36"/>
  <c r="S23" i="19"/>
  <c r="T71" i="19"/>
  <c r="S7" i="12"/>
  <c r="S16" i="12"/>
  <c r="S13" i="12"/>
  <c r="S10" i="12"/>
  <c r="T74" i="19"/>
  <c r="T76" i="19"/>
  <c r="T78" i="19"/>
  <c r="T81" i="19"/>
  <c r="S25" i="19"/>
  <c r="T12" i="5"/>
  <c r="T11" i="5"/>
  <c r="T10" i="5"/>
  <c r="S26" i="19"/>
  <c r="S27" i="19"/>
  <c r="S28" i="19"/>
  <c r="N28" i="36"/>
  <c r="N30" i="36"/>
  <c r="N27" i="36"/>
  <c r="N31" i="36"/>
  <c r="N29" i="36"/>
  <c r="N32" i="36"/>
  <c r="N52" i="36"/>
  <c r="S5" i="2"/>
  <c r="S6" i="2"/>
  <c r="S6" i="37"/>
  <c r="S8" i="2"/>
  <c r="S9" i="2"/>
  <c r="S5" i="29"/>
  <c r="S6" i="29"/>
  <c r="S7" i="29"/>
  <c r="S16" i="29"/>
  <c r="T6" i="26"/>
  <c r="T32" i="26"/>
  <c r="T33" i="26"/>
  <c r="T34" i="26"/>
  <c r="T35" i="26"/>
  <c r="T36" i="26"/>
  <c r="T37" i="26"/>
  <c r="T60" i="26"/>
  <c r="T19" i="26"/>
  <c r="T20" i="26"/>
  <c r="T12" i="26"/>
  <c r="S11" i="2"/>
  <c r="W111" i="32"/>
  <c r="W121" i="32"/>
  <c r="W122" i="32"/>
  <c r="W123" i="32"/>
  <c r="W124" i="32"/>
  <c r="W125" i="32"/>
  <c r="W16" i="32"/>
  <c r="W7" i="32"/>
  <c r="W35" i="32"/>
  <c r="W126" i="32"/>
  <c r="W119" i="32"/>
  <c r="W120" i="32"/>
  <c r="W149" i="32"/>
  <c r="W161" i="32"/>
  <c r="W162" i="32"/>
  <c r="W163" i="32"/>
  <c r="W17" i="32"/>
  <c r="W8" i="32"/>
  <c r="W37" i="32"/>
  <c r="W164" i="32"/>
  <c r="W187" i="32"/>
  <c r="W197" i="32"/>
  <c r="W198" i="32"/>
  <c r="W199" i="32"/>
  <c r="W200" i="32"/>
  <c r="W201" i="32"/>
  <c r="W18" i="32"/>
  <c r="W9" i="32"/>
  <c r="W39" i="32"/>
  <c r="W202" i="32"/>
  <c r="W195" i="32"/>
  <c r="W196" i="32"/>
  <c r="W225" i="32"/>
  <c r="W68" i="32"/>
  <c r="W69" i="32"/>
  <c r="W22" i="32"/>
  <c r="S10" i="2"/>
  <c r="S14" i="2"/>
  <c r="S16" i="2"/>
  <c r="O7" i="36"/>
  <c r="O9" i="36"/>
  <c r="O20" i="36"/>
  <c r="T23" i="19"/>
  <c r="U71" i="19"/>
  <c r="T43" i="12"/>
  <c r="T7" i="12"/>
  <c r="T46" i="12"/>
  <c r="T16" i="12"/>
  <c r="T45" i="12"/>
  <c r="T13" i="12"/>
  <c r="T44" i="12"/>
  <c r="T10" i="12"/>
  <c r="U74" i="19"/>
  <c r="U76" i="19"/>
  <c r="U78" i="19"/>
  <c r="U81" i="19"/>
  <c r="T25" i="19"/>
  <c r="U12" i="5"/>
  <c r="U11" i="5"/>
  <c r="U10" i="5"/>
  <c r="T26" i="19"/>
  <c r="T27" i="19"/>
  <c r="T28" i="19"/>
  <c r="O28" i="36"/>
  <c r="O30" i="36"/>
  <c r="O27" i="36"/>
  <c r="O31" i="36"/>
  <c r="O29" i="36"/>
  <c r="O32" i="36"/>
  <c r="O53" i="36"/>
  <c r="T5" i="2"/>
  <c r="T6" i="2"/>
  <c r="T6" i="37"/>
  <c r="T8" i="2"/>
  <c r="T9" i="2"/>
  <c r="U33" i="26"/>
  <c r="U34" i="26"/>
  <c r="U35" i="26"/>
  <c r="U36" i="26"/>
  <c r="U37" i="26"/>
  <c r="T5" i="29"/>
  <c r="T6" i="29"/>
  <c r="T7" i="29"/>
  <c r="T16" i="29"/>
  <c r="U6" i="26"/>
  <c r="U38" i="26"/>
  <c r="U60" i="26"/>
  <c r="U19" i="26"/>
  <c r="U20" i="26"/>
  <c r="U12" i="26"/>
  <c r="T11" i="2"/>
  <c r="X111" i="32"/>
  <c r="X121" i="32"/>
  <c r="X122" i="32"/>
  <c r="X123" i="32"/>
  <c r="X124" i="32"/>
  <c r="X125" i="32"/>
  <c r="X126" i="32"/>
  <c r="X16" i="32"/>
  <c r="X7" i="32"/>
  <c r="X35" i="32"/>
  <c r="X127" i="32"/>
  <c r="X120" i="32"/>
  <c r="X149" i="32"/>
  <c r="X162" i="32"/>
  <c r="X163" i="32"/>
  <c r="X164" i="32"/>
  <c r="X17" i="32"/>
  <c r="X8" i="32"/>
  <c r="X37" i="32"/>
  <c r="X165" i="32"/>
  <c r="X187" i="32"/>
  <c r="X197" i="32"/>
  <c r="X198" i="32"/>
  <c r="X199" i="32"/>
  <c r="X200" i="32"/>
  <c r="X201" i="32"/>
  <c r="X202" i="32"/>
  <c r="X18" i="32"/>
  <c r="X9" i="32"/>
  <c r="X39" i="32"/>
  <c r="X203" i="32"/>
  <c r="X196" i="32"/>
  <c r="X225" i="32"/>
  <c r="X68" i="32"/>
  <c r="X69" i="32"/>
  <c r="X22" i="32"/>
  <c r="T10" i="2"/>
  <c r="T14" i="2"/>
  <c r="T16" i="2"/>
  <c r="P7" i="36"/>
  <c r="P9" i="36"/>
  <c r="P20" i="36"/>
  <c r="U23" i="19"/>
  <c r="V71" i="19"/>
  <c r="U43" i="12"/>
  <c r="U7" i="12"/>
  <c r="U46" i="12"/>
  <c r="U16" i="12"/>
  <c r="U45" i="12"/>
  <c r="U13" i="12"/>
  <c r="U44" i="12"/>
  <c r="U10" i="12"/>
  <c r="V74" i="19"/>
  <c r="V76" i="19"/>
  <c r="V78" i="19"/>
  <c r="V81" i="19"/>
  <c r="U25" i="19"/>
  <c r="V12" i="5"/>
  <c r="V11" i="5"/>
  <c r="V10" i="5"/>
  <c r="U26" i="19"/>
  <c r="U27" i="19"/>
  <c r="U28" i="19"/>
  <c r="P28" i="36"/>
  <c r="P30" i="36"/>
  <c r="P27" i="36"/>
  <c r="P31" i="36"/>
  <c r="P29" i="36"/>
  <c r="P32" i="36"/>
  <c r="P54" i="36"/>
  <c r="U5" i="2"/>
  <c r="U6" i="2"/>
  <c r="U6" i="37"/>
  <c r="U8" i="2"/>
  <c r="U9" i="2"/>
  <c r="V34" i="26"/>
  <c r="V35" i="26"/>
  <c r="V36" i="26"/>
  <c r="V37" i="26"/>
  <c r="V38" i="26"/>
  <c r="U5" i="29"/>
  <c r="U6" i="29"/>
  <c r="U7" i="29"/>
  <c r="U16" i="29"/>
  <c r="V6" i="26"/>
  <c r="V39" i="26"/>
  <c r="V60" i="26"/>
  <c r="V19" i="26"/>
  <c r="V20" i="26"/>
  <c r="V12" i="26"/>
  <c r="U11" i="2"/>
  <c r="Y111" i="32"/>
  <c r="Y121" i="32"/>
  <c r="Y122" i="32"/>
  <c r="Y123" i="32"/>
  <c r="Y124" i="32"/>
  <c r="Y125" i="32"/>
  <c r="Y126" i="32"/>
  <c r="Y127" i="32"/>
  <c r="Y16" i="32"/>
  <c r="Y7" i="32"/>
  <c r="Y35" i="32"/>
  <c r="Y128" i="32"/>
  <c r="Y149" i="32"/>
  <c r="Y163" i="32"/>
  <c r="Y164" i="32"/>
  <c r="Y165" i="32"/>
  <c r="Y17" i="32"/>
  <c r="Y8" i="32"/>
  <c r="Y37" i="32"/>
  <c r="Y166" i="32"/>
  <c r="Y187" i="32"/>
  <c r="Y197" i="32"/>
  <c r="Y198" i="32"/>
  <c r="Y199" i="32"/>
  <c r="Y200" i="32"/>
  <c r="Y201" i="32"/>
  <c r="Y202" i="32"/>
  <c r="Y203" i="32"/>
  <c r="Y18" i="32"/>
  <c r="Y9" i="32"/>
  <c r="Y39" i="32"/>
  <c r="Y204" i="32"/>
  <c r="Y225" i="32"/>
  <c r="Y68" i="32"/>
  <c r="Y69" i="32"/>
  <c r="Y22" i="32"/>
  <c r="U10" i="2"/>
  <c r="U14" i="2"/>
  <c r="U16" i="2"/>
  <c r="Q7" i="36"/>
  <c r="Q9" i="36"/>
  <c r="Q20" i="36"/>
  <c r="V23" i="19"/>
  <c r="W71" i="19"/>
  <c r="V43" i="12"/>
  <c r="V7" i="12"/>
  <c r="V46" i="12"/>
  <c r="V16" i="12"/>
  <c r="V45" i="12"/>
  <c r="V13" i="12"/>
  <c r="V44" i="12"/>
  <c r="V10" i="12"/>
  <c r="W74" i="19"/>
  <c r="W76" i="19"/>
  <c r="W78" i="19"/>
  <c r="W81" i="19"/>
  <c r="V25" i="19"/>
  <c r="W12" i="5"/>
  <c r="W11" i="5"/>
  <c r="W10" i="5"/>
  <c r="V26" i="19"/>
  <c r="V27" i="19"/>
  <c r="V28" i="19"/>
  <c r="Q28" i="36"/>
  <c r="Q30" i="36"/>
  <c r="Q27" i="36"/>
  <c r="Q31" i="36"/>
  <c r="Q29" i="36"/>
  <c r="Q32" i="36"/>
  <c r="Q55" i="36"/>
  <c r="V5" i="2"/>
  <c r="V6" i="2"/>
  <c r="V6" i="37"/>
  <c r="V8" i="2"/>
  <c r="V9" i="2"/>
  <c r="W35" i="26"/>
  <c r="W36" i="26"/>
  <c r="W37" i="26"/>
  <c r="W38" i="26"/>
  <c r="W39" i="26"/>
  <c r="V5" i="29"/>
  <c r="V6" i="29"/>
  <c r="V7" i="29"/>
  <c r="V16" i="29"/>
  <c r="W6" i="26"/>
  <c r="W40" i="26"/>
  <c r="W60" i="26"/>
  <c r="W19" i="26"/>
  <c r="W20" i="26"/>
  <c r="W12" i="26"/>
  <c r="V11" i="2"/>
  <c r="Z111" i="32"/>
  <c r="Z122" i="32"/>
  <c r="Z123" i="32"/>
  <c r="Z124" i="32"/>
  <c r="Z125" i="32"/>
  <c r="Z126" i="32"/>
  <c r="Z127" i="32"/>
  <c r="Z128" i="32"/>
  <c r="Z16" i="32"/>
  <c r="Z7" i="32"/>
  <c r="Z35" i="32"/>
  <c r="Z129" i="32"/>
  <c r="Z149" i="32"/>
  <c r="Z164" i="32"/>
  <c r="Z165" i="32"/>
  <c r="Z166" i="32"/>
  <c r="Z17" i="32"/>
  <c r="Z8" i="32"/>
  <c r="Z37" i="32"/>
  <c r="Z167" i="32"/>
  <c r="Z187" i="32"/>
  <c r="Z198" i="32"/>
  <c r="Z199" i="32"/>
  <c r="Z200" i="32"/>
  <c r="Z201" i="32"/>
  <c r="Z202" i="32"/>
  <c r="Z203" i="32"/>
  <c r="Z204" i="32"/>
  <c r="Z18" i="32"/>
  <c r="Z9" i="32"/>
  <c r="Z39" i="32"/>
  <c r="Z205" i="32"/>
  <c r="Z225" i="32"/>
  <c r="Z68" i="32"/>
  <c r="Z69" i="32"/>
  <c r="Z22" i="32"/>
  <c r="V10" i="2"/>
  <c r="V14" i="2"/>
  <c r="V16" i="2"/>
  <c r="R7" i="36"/>
  <c r="R9" i="36"/>
  <c r="R20" i="36"/>
  <c r="W23" i="19"/>
  <c r="X71" i="19"/>
  <c r="W43" i="12"/>
  <c r="W7" i="12"/>
  <c r="W46" i="12"/>
  <c r="W16" i="12"/>
  <c r="W45" i="12"/>
  <c r="W13" i="12"/>
  <c r="W44" i="12"/>
  <c r="W10" i="12"/>
  <c r="X74" i="19"/>
  <c r="X76" i="19"/>
  <c r="X78" i="19"/>
  <c r="X81" i="19"/>
  <c r="W25" i="19"/>
  <c r="X12" i="5"/>
  <c r="X11" i="5"/>
  <c r="X10" i="5"/>
  <c r="W26" i="19"/>
  <c r="W27" i="19"/>
  <c r="W28" i="19"/>
  <c r="R28" i="36"/>
  <c r="R30" i="36"/>
  <c r="R27" i="36"/>
  <c r="R31" i="36"/>
  <c r="R29" i="36"/>
  <c r="R32" i="36"/>
  <c r="R56" i="36"/>
  <c r="W5" i="2"/>
  <c r="W6" i="2"/>
  <c r="W6" i="37"/>
  <c r="W8" i="2"/>
  <c r="W9" i="2"/>
  <c r="X36" i="26"/>
  <c r="X37" i="26"/>
  <c r="X38" i="26"/>
  <c r="X39" i="26"/>
  <c r="X40" i="26"/>
  <c r="W5" i="29"/>
  <c r="W6" i="29"/>
  <c r="W7" i="29"/>
  <c r="W16" i="29"/>
  <c r="X6" i="26"/>
  <c r="X41" i="26"/>
  <c r="X60" i="26"/>
  <c r="X19" i="26"/>
  <c r="X20" i="26"/>
  <c r="X12" i="26"/>
  <c r="W11" i="2"/>
  <c r="AA111" i="32"/>
  <c r="AA123" i="32"/>
  <c r="AA124" i="32"/>
  <c r="AA125" i="32"/>
  <c r="AA126" i="32"/>
  <c r="AA127" i="32"/>
  <c r="AA128" i="32"/>
  <c r="AA129" i="32"/>
  <c r="AA16" i="32"/>
  <c r="AA7" i="32"/>
  <c r="AA35" i="32"/>
  <c r="AA130" i="32"/>
  <c r="AA149" i="32"/>
  <c r="AA165" i="32"/>
  <c r="AA166" i="32"/>
  <c r="AA167" i="32"/>
  <c r="AA17" i="32"/>
  <c r="AA8" i="32"/>
  <c r="AA37" i="32"/>
  <c r="AA168" i="32"/>
  <c r="AA187" i="32"/>
  <c r="AA199" i="32"/>
  <c r="AA200" i="32"/>
  <c r="AA201" i="32"/>
  <c r="AA202" i="32"/>
  <c r="AA203" i="32"/>
  <c r="AA204" i="32"/>
  <c r="AA205" i="32"/>
  <c r="AA18" i="32"/>
  <c r="AA9" i="32"/>
  <c r="AA39" i="32"/>
  <c r="AA206" i="32"/>
  <c r="AA225" i="32"/>
  <c r="AA68" i="32"/>
  <c r="AA69" i="32"/>
  <c r="AA22" i="32"/>
  <c r="W10" i="2"/>
  <c r="W14" i="2"/>
  <c r="W16" i="2"/>
  <c r="S7" i="36"/>
  <c r="S9" i="36"/>
  <c r="S20" i="36"/>
  <c r="X23" i="19"/>
  <c r="Y71" i="19"/>
  <c r="X43" i="12"/>
  <c r="X7" i="12"/>
  <c r="X46" i="12"/>
  <c r="X16" i="12"/>
  <c r="X45" i="12"/>
  <c r="X13" i="12"/>
  <c r="X44" i="12"/>
  <c r="X10" i="12"/>
  <c r="Y74" i="19"/>
  <c r="Y76" i="19"/>
  <c r="Y78" i="19"/>
  <c r="Y81" i="19"/>
  <c r="X25" i="19"/>
  <c r="Y12" i="5"/>
  <c r="Y11" i="5"/>
  <c r="Y10" i="5"/>
  <c r="X26" i="19"/>
  <c r="X27" i="19"/>
  <c r="X28" i="19"/>
  <c r="S28" i="36"/>
  <c r="S30" i="36"/>
  <c r="S27" i="36"/>
  <c r="S31" i="36"/>
  <c r="S29" i="36"/>
  <c r="S32" i="36"/>
  <c r="S57" i="36"/>
  <c r="X5" i="2"/>
  <c r="X6" i="2"/>
  <c r="X6" i="37"/>
  <c r="X8" i="2"/>
  <c r="X9" i="2"/>
  <c r="Y37" i="26"/>
  <c r="Y38" i="26"/>
  <c r="Y39" i="26"/>
  <c r="Y40" i="26"/>
  <c r="Y41" i="26"/>
  <c r="X5" i="29"/>
  <c r="X6" i="29"/>
  <c r="X7" i="29"/>
  <c r="X16" i="29"/>
  <c r="Y6" i="26"/>
  <c r="Y42" i="26"/>
  <c r="Y60" i="26"/>
  <c r="Y19" i="26"/>
  <c r="Y20" i="26"/>
  <c r="Y12" i="26"/>
  <c r="X11" i="2"/>
  <c r="AB111" i="32"/>
  <c r="AB124" i="32"/>
  <c r="AB125" i="32"/>
  <c r="AB126" i="32"/>
  <c r="AB127" i="32"/>
  <c r="AB128" i="32"/>
  <c r="AB129" i="32"/>
  <c r="AB130" i="32"/>
  <c r="AB16" i="32"/>
  <c r="AB7" i="32"/>
  <c r="AB35" i="32"/>
  <c r="AB131" i="32"/>
  <c r="AB149" i="32"/>
  <c r="AB166" i="32"/>
  <c r="AB167" i="32"/>
  <c r="AB168" i="32"/>
  <c r="AB17" i="32"/>
  <c r="AB8" i="32"/>
  <c r="AB37" i="32"/>
  <c r="AB169" i="32"/>
  <c r="AB187" i="32"/>
  <c r="AB200" i="32"/>
  <c r="AB201" i="32"/>
  <c r="AB202" i="32"/>
  <c r="AB203" i="32"/>
  <c r="AB204" i="32"/>
  <c r="AB205" i="32"/>
  <c r="AB206" i="32"/>
  <c r="AB18" i="32"/>
  <c r="AB9" i="32"/>
  <c r="AB39" i="32"/>
  <c r="AB207" i="32"/>
  <c r="AB225" i="32"/>
  <c r="AB68" i="32"/>
  <c r="AB69" i="32"/>
  <c r="AB22" i="32"/>
  <c r="X10" i="2"/>
  <c r="X14" i="2"/>
  <c r="X16" i="2"/>
  <c r="T7" i="36"/>
  <c r="T9" i="36"/>
  <c r="T20" i="36"/>
  <c r="Y23" i="19"/>
  <c r="Z71" i="19"/>
  <c r="Y43" i="12"/>
  <c r="Y7" i="12"/>
  <c r="Y46" i="12"/>
  <c r="Y16" i="12"/>
  <c r="Y45" i="12"/>
  <c r="Y13" i="12"/>
  <c r="Y44" i="12"/>
  <c r="Y10" i="12"/>
  <c r="Z74" i="19"/>
  <c r="Z76" i="19"/>
  <c r="Z78" i="19"/>
  <c r="Z81" i="19"/>
  <c r="Y25" i="19"/>
  <c r="Z12" i="5"/>
  <c r="Z11" i="5"/>
  <c r="Z10" i="5"/>
  <c r="Y26" i="19"/>
  <c r="Y27" i="19"/>
  <c r="Y28" i="19"/>
  <c r="T28" i="36"/>
  <c r="T30" i="36"/>
  <c r="T27" i="36"/>
  <c r="T31" i="36"/>
  <c r="T29" i="36"/>
  <c r="T32" i="36"/>
  <c r="T58" i="36"/>
  <c r="Y5" i="2"/>
  <c r="Y6" i="2"/>
  <c r="Y6" i="37"/>
  <c r="Y8" i="2"/>
  <c r="Y9" i="2"/>
  <c r="Z38" i="26"/>
  <c r="Z39" i="26"/>
  <c r="Z40" i="26"/>
  <c r="Z41" i="26"/>
  <c r="Z42" i="26"/>
  <c r="Y5" i="29"/>
  <c r="Y6" i="29"/>
  <c r="Y7" i="29"/>
  <c r="Y16" i="29"/>
  <c r="Z6" i="26"/>
  <c r="Z43" i="26"/>
  <c r="Z60" i="26"/>
  <c r="Z19" i="26"/>
  <c r="Z20" i="26"/>
  <c r="Z12" i="26"/>
  <c r="Y11" i="2"/>
  <c r="AC111" i="32"/>
  <c r="AC125" i="32"/>
  <c r="AC126" i="32"/>
  <c r="AC127" i="32"/>
  <c r="AC128" i="32"/>
  <c r="AC129" i="32"/>
  <c r="AC130" i="32"/>
  <c r="AC131" i="32"/>
  <c r="AC16" i="32"/>
  <c r="AC7" i="32"/>
  <c r="AC35" i="32"/>
  <c r="AC132" i="32"/>
  <c r="AC149" i="32"/>
  <c r="AC167" i="32"/>
  <c r="AC168" i="32"/>
  <c r="AC169" i="32"/>
  <c r="AC17" i="32"/>
  <c r="AC8" i="32"/>
  <c r="AC37" i="32"/>
  <c r="AC170" i="32"/>
  <c r="AC187" i="32"/>
  <c r="AC201" i="32"/>
  <c r="AC202" i="32"/>
  <c r="AC203" i="32"/>
  <c r="AC204" i="32"/>
  <c r="AC205" i="32"/>
  <c r="AC206" i="32"/>
  <c r="AC207" i="32"/>
  <c r="AC18" i="32"/>
  <c r="AC9" i="32"/>
  <c r="AC39" i="32"/>
  <c r="AC208" i="32"/>
  <c r="AC225" i="32"/>
  <c r="AC68" i="32"/>
  <c r="AC69" i="32"/>
  <c r="AC22" i="32"/>
  <c r="Y10" i="2"/>
  <c r="Y14" i="2"/>
  <c r="Y16" i="2"/>
  <c r="U7" i="36"/>
  <c r="U9" i="36"/>
  <c r="U20" i="36"/>
  <c r="Z23" i="19"/>
  <c r="AA71" i="19"/>
  <c r="Z43" i="12"/>
  <c r="Z7" i="12"/>
  <c r="Z46" i="12"/>
  <c r="Z16" i="12"/>
  <c r="Z45" i="12"/>
  <c r="Z13" i="12"/>
  <c r="Z44" i="12"/>
  <c r="Z10" i="12"/>
  <c r="AA74" i="19"/>
  <c r="AA76" i="19"/>
  <c r="AA78" i="19"/>
  <c r="AA81" i="19"/>
  <c r="Z25" i="19"/>
  <c r="AA12" i="5"/>
  <c r="AA11" i="5"/>
  <c r="AA10" i="5"/>
  <c r="Z26" i="19"/>
  <c r="Z27" i="19"/>
  <c r="Z28" i="19"/>
  <c r="U28" i="36"/>
  <c r="U30" i="36"/>
  <c r="U27" i="36"/>
  <c r="U31" i="36"/>
  <c r="U29" i="36"/>
  <c r="U32" i="36"/>
  <c r="U59" i="36"/>
  <c r="Z5" i="2"/>
  <c r="Z6" i="2"/>
  <c r="Z6" i="37"/>
  <c r="Z8" i="2"/>
  <c r="Z9" i="2"/>
  <c r="AA39" i="26"/>
  <c r="AA40" i="26"/>
  <c r="AA41" i="26"/>
  <c r="AA42" i="26"/>
  <c r="AA43" i="26"/>
  <c r="Z5" i="29"/>
  <c r="Z6" i="29"/>
  <c r="Z7" i="29"/>
  <c r="Z16" i="29"/>
  <c r="AA6" i="26"/>
  <c r="AA44" i="26"/>
  <c r="AA60" i="26"/>
  <c r="AA19" i="26"/>
  <c r="AA20" i="26"/>
  <c r="AA12" i="26"/>
  <c r="Z11" i="2"/>
  <c r="AD111" i="32"/>
  <c r="AD126" i="32"/>
  <c r="AD127" i="32"/>
  <c r="AD128" i="32"/>
  <c r="AD129" i="32"/>
  <c r="AD130" i="32"/>
  <c r="AD131" i="32"/>
  <c r="AD132" i="32"/>
  <c r="AD16" i="32"/>
  <c r="AD7" i="32"/>
  <c r="AD35" i="32"/>
  <c r="AD133" i="32"/>
  <c r="AD149" i="32"/>
  <c r="AD168" i="32"/>
  <c r="AD169" i="32"/>
  <c r="AD170" i="32"/>
  <c r="AD17" i="32"/>
  <c r="AD8" i="32"/>
  <c r="AD37" i="32"/>
  <c r="AD171" i="32"/>
  <c r="AD187" i="32"/>
  <c r="AD202" i="32"/>
  <c r="AD203" i="32"/>
  <c r="AD204" i="32"/>
  <c r="AD205" i="32"/>
  <c r="AD206" i="32"/>
  <c r="AD207" i="32"/>
  <c r="AD208" i="32"/>
  <c r="AD18" i="32"/>
  <c r="AD9" i="32"/>
  <c r="AD39" i="32"/>
  <c r="AD209" i="32"/>
  <c r="AD225" i="32"/>
  <c r="AD68" i="32"/>
  <c r="AD69" i="32"/>
  <c r="AD22" i="32"/>
  <c r="Z10" i="2"/>
  <c r="Z14" i="2"/>
  <c r="Z16" i="2"/>
  <c r="V7" i="36"/>
  <c r="V9" i="36"/>
  <c r="V20" i="36"/>
  <c r="AA23" i="19"/>
  <c r="AB71" i="19"/>
  <c r="AA43" i="12"/>
  <c r="AA7" i="12"/>
  <c r="AA46" i="12"/>
  <c r="AA16" i="12"/>
  <c r="AA45" i="12"/>
  <c r="AA13" i="12"/>
  <c r="AA44" i="12"/>
  <c r="AA10" i="12"/>
  <c r="AB74" i="19"/>
  <c r="AB76" i="19"/>
  <c r="AB78" i="19"/>
  <c r="AB81" i="19"/>
  <c r="AA25" i="19"/>
  <c r="AB12" i="5"/>
  <c r="AB11" i="5"/>
  <c r="AB10" i="5"/>
  <c r="AA26" i="19"/>
  <c r="AA27" i="19"/>
  <c r="AA28" i="19"/>
  <c r="V28" i="36"/>
  <c r="V30" i="36"/>
  <c r="V27" i="36"/>
  <c r="V31" i="36"/>
  <c r="V29" i="36"/>
  <c r="V32" i="36"/>
  <c r="V60" i="36"/>
  <c r="AA5" i="2"/>
  <c r="AA6" i="2"/>
  <c r="AA6" i="37"/>
  <c r="AA8" i="2"/>
  <c r="AA9" i="2"/>
  <c r="AB40" i="26"/>
  <c r="AB41" i="26"/>
  <c r="AB42" i="26"/>
  <c r="AB43" i="26"/>
  <c r="AB44" i="26"/>
  <c r="AA5" i="29"/>
  <c r="AA6" i="29"/>
  <c r="AA7" i="29"/>
  <c r="AA16" i="29"/>
  <c r="AB6" i="26"/>
  <c r="AB45" i="26"/>
  <c r="AB60" i="26"/>
  <c r="AB19" i="26"/>
  <c r="AB20" i="26"/>
  <c r="AB12" i="26"/>
  <c r="AA11" i="2"/>
  <c r="AE111" i="32"/>
  <c r="AE127" i="32"/>
  <c r="AE128" i="32"/>
  <c r="AE129" i="32"/>
  <c r="AE130" i="32"/>
  <c r="AE131" i="32"/>
  <c r="AE132" i="32"/>
  <c r="AE133" i="32"/>
  <c r="AE16" i="32"/>
  <c r="AE7" i="32"/>
  <c r="AE35" i="32"/>
  <c r="AE134" i="32"/>
  <c r="AE149" i="32"/>
  <c r="AE169" i="32"/>
  <c r="AE170" i="32"/>
  <c r="AE171" i="32"/>
  <c r="AE17" i="32"/>
  <c r="AE8" i="32"/>
  <c r="AE37" i="32"/>
  <c r="AE172" i="32"/>
  <c r="AE187" i="32"/>
  <c r="AE203" i="32"/>
  <c r="AE204" i="32"/>
  <c r="AE205" i="32"/>
  <c r="AE206" i="32"/>
  <c r="AE207" i="32"/>
  <c r="AE208" i="32"/>
  <c r="AE209" i="32"/>
  <c r="AE18" i="32"/>
  <c r="AE9" i="32"/>
  <c r="AE39" i="32"/>
  <c r="AE210" i="32"/>
  <c r="AE225" i="32"/>
  <c r="AE68" i="32"/>
  <c r="AE69" i="32"/>
  <c r="AE22" i="32"/>
  <c r="AA10" i="2"/>
  <c r="AA14" i="2"/>
  <c r="AA16" i="2"/>
  <c r="W7" i="36"/>
  <c r="W9" i="36"/>
  <c r="W20" i="36"/>
  <c r="AB23" i="19"/>
  <c r="AC71" i="19"/>
  <c r="AB43" i="12"/>
  <c r="AB7" i="12"/>
  <c r="AB46" i="12"/>
  <c r="AB16" i="12"/>
  <c r="AB45" i="12"/>
  <c r="AB13" i="12"/>
  <c r="AB44" i="12"/>
  <c r="AB10" i="12"/>
  <c r="AC74" i="19"/>
  <c r="AC76" i="19"/>
  <c r="AC78" i="19"/>
  <c r="AC81" i="19"/>
  <c r="AB25" i="19"/>
  <c r="AC12" i="5"/>
  <c r="AC11" i="5"/>
  <c r="AC10" i="5"/>
  <c r="AB26" i="19"/>
  <c r="AB27" i="19"/>
  <c r="AB28" i="19"/>
  <c r="W28" i="36"/>
  <c r="W30" i="36"/>
  <c r="W27" i="36"/>
  <c r="W31" i="36"/>
  <c r="W29" i="36"/>
  <c r="W32" i="36"/>
  <c r="W61" i="36"/>
  <c r="AB5" i="2"/>
  <c r="AB6" i="2"/>
  <c r="AB6" i="37"/>
  <c r="AB8" i="2"/>
  <c r="AB9" i="2"/>
  <c r="AC41" i="26"/>
  <c r="AC42" i="26"/>
  <c r="AC43" i="26"/>
  <c r="AC44" i="26"/>
  <c r="AC45" i="26"/>
  <c r="AB5" i="29"/>
  <c r="AB6" i="29"/>
  <c r="AB7" i="29"/>
  <c r="AB16" i="29"/>
  <c r="AC6" i="26"/>
  <c r="AC46" i="26"/>
  <c r="AC60" i="26"/>
  <c r="AC19" i="26"/>
  <c r="AC20" i="26"/>
  <c r="AC12" i="26"/>
  <c r="AB11" i="2"/>
  <c r="AF111" i="32"/>
  <c r="AF128" i="32"/>
  <c r="AF129" i="32"/>
  <c r="AF130" i="32"/>
  <c r="AF131" i="32"/>
  <c r="AF132" i="32"/>
  <c r="AF133" i="32"/>
  <c r="AF134" i="32"/>
  <c r="AF16" i="32"/>
  <c r="AF7" i="32"/>
  <c r="AF35" i="32"/>
  <c r="AF135" i="32"/>
  <c r="AF149" i="32"/>
  <c r="AF170" i="32"/>
  <c r="AF171" i="32"/>
  <c r="AF172" i="32"/>
  <c r="AF17" i="32"/>
  <c r="AF8" i="32"/>
  <c r="AF37" i="32"/>
  <c r="AF173" i="32"/>
  <c r="AF187" i="32"/>
  <c r="AF204" i="32"/>
  <c r="AF205" i="32"/>
  <c r="AF206" i="32"/>
  <c r="AF207" i="32"/>
  <c r="AF208" i="32"/>
  <c r="AF209" i="32"/>
  <c r="AF210" i="32"/>
  <c r="AF18" i="32"/>
  <c r="AF9" i="32"/>
  <c r="AF39" i="32"/>
  <c r="AF211" i="32"/>
  <c r="AF225" i="32"/>
  <c r="AF68" i="32"/>
  <c r="AF69" i="32"/>
  <c r="AF22" i="32"/>
  <c r="AB10" i="2"/>
  <c r="AB14" i="2"/>
  <c r="AB16" i="2"/>
  <c r="X7" i="36"/>
  <c r="X9" i="36"/>
  <c r="X20" i="36"/>
  <c r="AC23" i="19"/>
  <c r="AD71" i="19"/>
  <c r="AC43" i="12"/>
  <c r="AC7" i="12"/>
  <c r="AC46" i="12"/>
  <c r="AC16" i="12"/>
  <c r="AC45" i="12"/>
  <c r="AC13" i="12"/>
  <c r="AC44" i="12"/>
  <c r="AC10" i="12"/>
  <c r="AD74" i="19"/>
  <c r="AD76" i="19"/>
  <c r="AD78" i="19"/>
  <c r="AD81" i="19"/>
  <c r="AC25" i="19"/>
  <c r="AD12" i="5"/>
  <c r="AD11" i="5"/>
  <c r="AD10" i="5"/>
  <c r="AC26" i="19"/>
  <c r="AC27" i="19"/>
  <c r="AC28" i="19"/>
  <c r="X28" i="36"/>
  <c r="X30" i="36"/>
  <c r="X27" i="36"/>
  <c r="X31" i="36"/>
  <c r="X29" i="36"/>
  <c r="X32" i="36"/>
  <c r="X62" i="36"/>
  <c r="AC5" i="2"/>
  <c r="AC6" i="2"/>
  <c r="AC6" i="37"/>
  <c r="AC8" i="2"/>
  <c r="AC9" i="2"/>
  <c r="AD42" i="26"/>
  <c r="AD43" i="26"/>
  <c r="AD44" i="26"/>
  <c r="AD45" i="26"/>
  <c r="AD46" i="26"/>
  <c r="AC5" i="29"/>
  <c r="AC6" i="29"/>
  <c r="AC7" i="29"/>
  <c r="AC16" i="29"/>
  <c r="AD6" i="26"/>
  <c r="AD47" i="26"/>
  <c r="AD60" i="26"/>
  <c r="AD19" i="26"/>
  <c r="AD20" i="26"/>
  <c r="AD12" i="26"/>
  <c r="AC11" i="2"/>
  <c r="AG111" i="32"/>
  <c r="AG129" i="32"/>
  <c r="AG130" i="32"/>
  <c r="AG131" i="32"/>
  <c r="AG132" i="32"/>
  <c r="AG133" i="32"/>
  <c r="AG134" i="32"/>
  <c r="AG135" i="32"/>
  <c r="AG16" i="32"/>
  <c r="AG7" i="32"/>
  <c r="AG35" i="32"/>
  <c r="AG136" i="32"/>
  <c r="AG149" i="32"/>
  <c r="AG171" i="32"/>
  <c r="AG172" i="32"/>
  <c r="AG173" i="32"/>
  <c r="AG17" i="32"/>
  <c r="AG8" i="32"/>
  <c r="AG37" i="32"/>
  <c r="AG174" i="32"/>
  <c r="AG187" i="32"/>
  <c r="AG205" i="32"/>
  <c r="AG206" i="32"/>
  <c r="AG207" i="32"/>
  <c r="AG208" i="32"/>
  <c r="AG209" i="32"/>
  <c r="AG210" i="32"/>
  <c r="AG211" i="32"/>
  <c r="AG18" i="32"/>
  <c r="AG9" i="32"/>
  <c r="AG39" i="32"/>
  <c r="AG212" i="32"/>
  <c r="AG225" i="32"/>
  <c r="AG68" i="32"/>
  <c r="AG69" i="32"/>
  <c r="AG22" i="32"/>
  <c r="AC10" i="2"/>
  <c r="AC14" i="2"/>
  <c r="AC16" i="2"/>
  <c r="Y7" i="36"/>
  <c r="Y9" i="36"/>
  <c r="Y20" i="36"/>
  <c r="AD23" i="19"/>
  <c r="AE71" i="19"/>
  <c r="AD43" i="12"/>
  <c r="AD7" i="12"/>
  <c r="AD46" i="12"/>
  <c r="AD16" i="12"/>
  <c r="AD45" i="12"/>
  <c r="AD13" i="12"/>
  <c r="AD44" i="12"/>
  <c r="AD10" i="12"/>
  <c r="AE74" i="19"/>
  <c r="AE76" i="19"/>
  <c r="AE78" i="19"/>
  <c r="AE81" i="19"/>
  <c r="AD25" i="19"/>
  <c r="AE12" i="5"/>
  <c r="AE11" i="5"/>
  <c r="AE10" i="5"/>
  <c r="AD26" i="19"/>
  <c r="AD27" i="19"/>
  <c r="AD28" i="19"/>
  <c r="Y28" i="36"/>
  <c r="Y30" i="36"/>
  <c r="Y27" i="36"/>
  <c r="Y31" i="36"/>
  <c r="Y29" i="36"/>
  <c r="Y32" i="36"/>
  <c r="Y63" i="36"/>
  <c r="AD5" i="2"/>
  <c r="AD6" i="2"/>
  <c r="AD6" i="37"/>
  <c r="AD8" i="2"/>
  <c r="AD9" i="2"/>
  <c r="AE43" i="26"/>
  <c r="AE44" i="26"/>
  <c r="AE45" i="26"/>
  <c r="AE46" i="26"/>
  <c r="AE47" i="26"/>
  <c r="AD5" i="29"/>
  <c r="AD6" i="29"/>
  <c r="AD7" i="29"/>
  <c r="AD16" i="29"/>
  <c r="AE6" i="26"/>
  <c r="AE48" i="26"/>
  <c r="AE60" i="26"/>
  <c r="AE19" i="26"/>
  <c r="AE20" i="26"/>
  <c r="AE12" i="26"/>
  <c r="AD11" i="2"/>
  <c r="AH111" i="32"/>
  <c r="AH130" i="32"/>
  <c r="AH131" i="32"/>
  <c r="AH132" i="32"/>
  <c r="AH133" i="32"/>
  <c r="AH134" i="32"/>
  <c r="AH135" i="32"/>
  <c r="AH136" i="32"/>
  <c r="AH16" i="32"/>
  <c r="AH7" i="32"/>
  <c r="AH35" i="32"/>
  <c r="AH137" i="32"/>
  <c r="AH149" i="32"/>
  <c r="AH172" i="32"/>
  <c r="AH173" i="32"/>
  <c r="AH174" i="32"/>
  <c r="AH17" i="32"/>
  <c r="AH8" i="32"/>
  <c r="AH37" i="32"/>
  <c r="AH175" i="32"/>
  <c r="AH187" i="32"/>
  <c r="AH206" i="32"/>
  <c r="AH207" i="32"/>
  <c r="AH208" i="32"/>
  <c r="AH209" i="32"/>
  <c r="AH210" i="32"/>
  <c r="AH211" i="32"/>
  <c r="AH212" i="32"/>
  <c r="AH18" i="32"/>
  <c r="AH9" i="32"/>
  <c r="AH39" i="32"/>
  <c r="AH213" i="32"/>
  <c r="AH225" i="32"/>
  <c r="AH68" i="32"/>
  <c r="AH69" i="32"/>
  <c r="AH22" i="32"/>
  <c r="AD10" i="2"/>
  <c r="AD14" i="2"/>
  <c r="AD16" i="2"/>
  <c r="Z7" i="36"/>
  <c r="Z9" i="36"/>
  <c r="Z20" i="36"/>
  <c r="AE23" i="19"/>
  <c r="AF71" i="19"/>
  <c r="AE43" i="12"/>
  <c r="AE7" i="12"/>
  <c r="AE46" i="12"/>
  <c r="AE16" i="12"/>
  <c r="AE45" i="12"/>
  <c r="AE13" i="12"/>
  <c r="AE44" i="12"/>
  <c r="AE10" i="12"/>
  <c r="AF74" i="19"/>
  <c r="AF76" i="19"/>
  <c r="AF78" i="19"/>
  <c r="AF81" i="19"/>
  <c r="AE25" i="19"/>
  <c r="AF12" i="5"/>
  <c r="AF11" i="5"/>
  <c r="AF10" i="5"/>
  <c r="AE26" i="19"/>
  <c r="AE27" i="19"/>
  <c r="AE28" i="19"/>
  <c r="Z28" i="36"/>
  <c r="Z30" i="36"/>
  <c r="Z27" i="36"/>
  <c r="Z31" i="36"/>
  <c r="Z29" i="36"/>
  <c r="Z32" i="36"/>
  <c r="Z64" i="36"/>
  <c r="AE5" i="2"/>
  <c r="AE6" i="2"/>
  <c r="AE6" i="37"/>
  <c r="AE8" i="2"/>
  <c r="AE9" i="2"/>
  <c r="AF44" i="26"/>
  <c r="AF45" i="26"/>
  <c r="AF46" i="26"/>
  <c r="AF47" i="26"/>
  <c r="AF48" i="26"/>
  <c r="AE5" i="29"/>
  <c r="AE6" i="29"/>
  <c r="AE7" i="29"/>
  <c r="AE16" i="29"/>
  <c r="AF6" i="26"/>
  <c r="AF49" i="26"/>
  <c r="AF60" i="26"/>
  <c r="AF19" i="26"/>
  <c r="AF20" i="26"/>
  <c r="AF12" i="26"/>
  <c r="AE11" i="2"/>
  <c r="AI111" i="32"/>
  <c r="AI131" i="32"/>
  <c r="AI132" i="32"/>
  <c r="AI133" i="32"/>
  <c r="AI134" i="32"/>
  <c r="AI135" i="32"/>
  <c r="AI136" i="32"/>
  <c r="AI137" i="32"/>
  <c r="AI16" i="32"/>
  <c r="AI7" i="32"/>
  <c r="AI35" i="32"/>
  <c r="AI138" i="32"/>
  <c r="AI149" i="32"/>
  <c r="AI173" i="32"/>
  <c r="AI174" i="32"/>
  <c r="AI175" i="32"/>
  <c r="AI17" i="32"/>
  <c r="AI8" i="32"/>
  <c r="AI37" i="32"/>
  <c r="AI176" i="32"/>
  <c r="AI187" i="32"/>
  <c r="AI207" i="32"/>
  <c r="AI208" i="32"/>
  <c r="AI209" i="32"/>
  <c r="AI210" i="32"/>
  <c r="AI211" i="32"/>
  <c r="AI212" i="32"/>
  <c r="AI213" i="32"/>
  <c r="AI18" i="32"/>
  <c r="AI9" i="32"/>
  <c r="AI39" i="32"/>
  <c r="AI214" i="32"/>
  <c r="AI225" i="32"/>
  <c r="AI68" i="32"/>
  <c r="AI69" i="32"/>
  <c r="AI22" i="32"/>
  <c r="AE10" i="2"/>
  <c r="AE14" i="2"/>
  <c r="AE16" i="2"/>
  <c r="AA7" i="36"/>
  <c r="AA9" i="36"/>
  <c r="AA20" i="36"/>
  <c r="AF23" i="19"/>
  <c r="AG71" i="19"/>
  <c r="AF43" i="12"/>
  <c r="AF7" i="12"/>
  <c r="AF46" i="12"/>
  <c r="AF16" i="12"/>
  <c r="AF45" i="12"/>
  <c r="AF13" i="12"/>
  <c r="AF44" i="12"/>
  <c r="AF10" i="12"/>
  <c r="AG74" i="19"/>
  <c r="AG76" i="19"/>
  <c r="AG78" i="19"/>
  <c r="AG81" i="19"/>
  <c r="AF25" i="19"/>
  <c r="AG12" i="5"/>
  <c r="AG11" i="5"/>
  <c r="AG10" i="5"/>
  <c r="AF26" i="19"/>
  <c r="AF27" i="19"/>
  <c r="AF28" i="19"/>
  <c r="AA28" i="36"/>
  <c r="AA30" i="36"/>
  <c r="AA27" i="36"/>
  <c r="AA31" i="36"/>
  <c r="AA29" i="36"/>
  <c r="AA32" i="36"/>
  <c r="AA65" i="36"/>
  <c r="AF5" i="2"/>
  <c r="AF6" i="2"/>
  <c r="AF6" i="37"/>
  <c r="AF8" i="2"/>
  <c r="AF9" i="2"/>
  <c r="AG45" i="26"/>
  <c r="AG46" i="26"/>
  <c r="AG47" i="26"/>
  <c r="AG48" i="26"/>
  <c r="AG49" i="26"/>
  <c r="AF5" i="29"/>
  <c r="AF6" i="29"/>
  <c r="AF7" i="29"/>
  <c r="AF16" i="29"/>
  <c r="AG6" i="26"/>
  <c r="AG50" i="26"/>
  <c r="AG60" i="26"/>
  <c r="AG19" i="26"/>
  <c r="AG20" i="26"/>
  <c r="AG12" i="26"/>
  <c r="AF11" i="2"/>
  <c r="AJ111" i="32"/>
  <c r="AJ132" i="32"/>
  <c r="AJ133" i="32"/>
  <c r="AJ134" i="32"/>
  <c r="AJ135" i="32"/>
  <c r="AJ136" i="32"/>
  <c r="AJ137" i="32"/>
  <c r="AJ138" i="32"/>
  <c r="AJ16" i="32"/>
  <c r="AJ7" i="32"/>
  <c r="AJ35" i="32"/>
  <c r="AJ139" i="32"/>
  <c r="AJ149" i="32"/>
  <c r="AJ174" i="32"/>
  <c r="AJ175" i="32"/>
  <c r="AJ176" i="32"/>
  <c r="AJ17" i="32"/>
  <c r="AJ8" i="32"/>
  <c r="AJ37" i="32"/>
  <c r="AJ177" i="32"/>
  <c r="AJ187" i="32"/>
  <c r="AJ208" i="32"/>
  <c r="AJ209" i="32"/>
  <c r="AJ210" i="32"/>
  <c r="AJ211" i="32"/>
  <c r="AJ212" i="32"/>
  <c r="AJ213" i="32"/>
  <c r="AJ214" i="32"/>
  <c r="AJ18" i="32"/>
  <c r="AJ9" i="32"/>
  <c r="AJ39" i="32"/>
  <c r="AJ215" i="32"/>
  <c r="AJ225" i="32"/>
  <c r="AJ68" i="32"/>
  <c r="AJ69" i="32"/>
  <c r="AJ22" i="32"/>
  <c r="AF10" i="2"/>
  <c r="AF14" i="2"/>
  <c r="AF16" i="2"/>
  <c r="AB7" i="36"/>
  <c r="AB9" i="36"/>
  <c r="AB20" i="36"/>
  <c r="AG23" i="19"/>
  <c r="AH71" i="19"/>
  <c r="AG43" i="12"/>
  <c r="AG7" i="12"/>
  <c r="AG46" i="12"/>
  <c r="AG16" i="12"/>
  <c r="AG45" i="12"/>
  <c r="AG13" i="12"/>
  <c r="AG44" i="12"/>
  <c r="AG10" i="12"/>
  <c r="AH74" i="19"/>
  <c r="AH76" i="19"/>
  <c r="AH78" i="19"/>
  <c r="AH81" i="19"/>
  <c r="AG25" i="19"/>
  <c r="AH12" i="5"/>
  <c r="AH11" i="5"/>
  <c r="AH10" i="5"/>
  <c r="AG26" i="19"/>
  <c r="AG27" i="19"/>
  <c r="AG28" i="19"/>
  <c r="AB28" i="36"/>
  <c r="AB30" i="36"/>
  <c r="AB27" i="36"/>
  <c r="AB31" i="36"/>
  <c r="AB29" i="36"/>
  <c r="AB32" i="36"/>
  <c r="AB66" i="36"/>
  <c r="AG5" i="2"/>
  <c r="AG6" i="2"/>
  <c r="AG6" i="37"/>
  <c r="AG8" i="2"/>
  <c r="AG9" i="2"/>
  <c r="AH46" i="26"/>
  <c r="AH47" i="26"/>
  <c r="AH48" i="26"/>
  <c r="AH49" i="26"/>
  <c r="AH50" i="26"/>
  <c r="AG5" i="29"/>
  <c r="AG6" i="29"/>
  <c r="AG7" i="29"/>
  <c r="AG16" i="29"/>
  <c r="AH6" i="26"/>
  <c r="AH51" i="26"/>
  <c r="AH60" i="26"/>
  <c r="AH19" i="26"/>
  <c r="AH20" i="26"/>
  <c r="AH12" i="26"/>
  <c r="AG11" i="2"/>
  <c r="AK111" i="32"/>
  <c r="AK133" i="32"/>
  <c r="AK134" i="32"/>
  <c r="AK135" i="32"/>
  <c r="AK136" i="32"/>
  <c r="AK137" i="32"/>
  <c r="AK138" i="32"/>
  <c r="AK139" i="32"/>
  <c r="AK35" i="32"/>
  <c r="AK140" i="32"/>
  <c r="AK149" i="32"/>
  <c r="AK175" i="32"/>
  <c r="AK176" i="32"/>
  <c r="AK177" i="32"/>
  <c r="AK17" i="32"/>
  <c r="AK8" i="32"/>
  <c r="AK37" i="32"/>
  <c r="AK178" i="32"/>
  <c r="AK187" i="32"/>
  <c r="AK209" i="32"/>
  <c r="AK210" i="32"/>
  <c r="AK211" i="32"/>
  <c r="AK212" i="32"/>
  <c r="AK213" i="32"/>
  <c r="AK214" i="32"/>
  <c r="AK215" i="32"/>
  <c r="AK39" i="32"/>
  <c r="AK216" i="32"/>
  <c r="AK225" i="32"/>
  <c r="AK68" i="32"/>
  <c r="AK69" i="32"/>
  <c r="AK22" i="32"/>
  <c r="AG10" i="2"/>
  <c r="AG14" i="2"/>
  <c r="AG16" i="2"/>
  <c r="AC7" i="36"/>
  <c r="AC9" i="36"/>
  <c r="AC20" i="36"/>
  <c r="AH23" i="19"/>
  <c r="AI71" i="19"/>
  <c r="AH43" i="12"/>
  <c r="AH7" i="12"/>
  <c r="AH46" i="12"/>
  <c r="AH16" i="12"/>
  <c r="AH45" i="12"/>
  <c r="AH13" i="12"/>
  <c r="AH44" i="12"/>
  <c r="AH10" i="12"/>
  <c r="AI74" i="19"/>
  <c r="AI76" i="19"/>
  <c r="AI78" i="19"/>
  <c r="AI81" i="19"/>
  <c r="AH25" i="19"/>
  <c r="AI12" i="5"/>
  <c r="AI11" i="5"/>
  <c r="AI10" i="5"/>
  <c r="AH26" i="19"/>
  <c r="AH27" i="19"/>
  <c r="AH28" i="19"/>
  <c r="AC28" i="36"/>
  <c r="AC30" i="36"/>
  <c r="AC27" i="36"/>
  <c r="AC31" i="36"/>
  <c r="AC29" i="36"/>
  <c r="AC32" i="36"/>
  <c r="AC67" i="36"/>
  <c r="AH5" i="2"/>
  <c r="AH6" i="2"/>
  <c r="AH6" i="37"/>
  <c r="AH8" i="2"/>
  <c r="AH9" i="2"/>
  <c r="AI47" i="26"/>
  <c r="AI48" i="26"/>
  <c r="AI49" i="26"/>
  <c r="AI50" i="26"/>
  <c r="AI51" i="26"/>
  <c r="AH5" i="29"/>
  <c r="AH6" i="29"/>
  <c r="AH7" i="29"/>
  <c r="AH16" i="29"/>
  <c r="AI6" i="26"/>
  <c r="AI52" i="26"/>
  <c r="AI60" i="26"/>
  <c r="AI19" i="26"/>
  <c r="AI20" i="26"/>
  <c r="AI12" i="26"/>
  <c r="AH11" i="2"/>
  <c r="AL111" i="32"/>
  <c r="AL134" i="32"/>
  <c r="AL135" i="32"/>
  <c r="AL136" i="32"/>
  <c r="AL137" i="32"/>
  <c r="AL138" i="32"/>
  <c r="AL139" i="32"/>
  <c r="AL140" i="32"/>
  <c r="AL149" i="32"/>
  <c r="AL176" i="32"/>
  <c r="AL177" i="32"/>
  <c r="AL178" i="32"/>
  <c r="AL17" i="32"/>
  <c r="AL8" i="32"/>
  <c r="AL37" i="32"/>
  <c r="AL179" i="32"/>
  <c r="AL187" i="32"/>
  <c r="AL210" i="32"/>
  <c r="AL211" i="32"/>
  <c r="AL212" i="32"/>
  <c r="AL213" i="32"/>
  <c r="AL214" i="32"/>
  <c r="AL215" i="32"/>
  <c r="AL216" i="32"/>
  <c r="AL225" i="32"/>
  <c r="AL68" i="32"/>
  <c r="AL69" i="32"/>
  <c r="AL22" i="32"/>
  <c r="AH10" i="2"/>
  <c r="AH14" i="2"/>
  <c r="AH16" i="2"/>
  <c r="AD7" i="36"/>
  <c r="AD9" i="36"/>
  <c r="AD20" i="36"/>
  <c r="AI23" i="19"/>
  <c r="AJ71" i="19"/>
  <c r="AI43" i="12"/>
  <c r="AI7" i="12"/>
  <c r="AI46" i="12"/>
  <c r="AI16" i="12"/>
  <c r="AI45" i="12"/>
  <c r="AI13" i="12"/>
  <c r="AI44" i="12"/>
  <c r="AI10" i="12"/>
  <c r="AJ74" i="19"/>
  <c r="AJ76" i="19"/>
  <c r="AJ78" i="19"/>
  <c r="AJ81" i="19"/>
  <c r="AI25" i="19"/>
  <c r="AJ12" i="5"/>
  <c r="AJ11" i="5"/>
  <c r="AJ10" i="5"/>
  <c r="AI26" i="19"/>
  <c r="AI27" i="19"/>
  <c r="AI28" i="19"/>
  <c r="AD28" i="36"/>
  <c r="AD30" i="36"/>
  <c r="AD27" i="36"/>
  <c r="AD31" i="36"/>
  <c r="AD29" i="36"/>
  <c r="AD32" i="36"/>
  <c r="AD68" i="36"/>
  <c r="AI5" i="2"/>
  <c r="AI6" i="2"/>
  <c r="AI6" i="37"/>
  <c r="AI8" i="2"/>
  <c r="AI9" i="2"/>
  <c r="AJ48" i="26"/>
  <c r="AJ49" i="26"/>
  <c r="AJ50" i="26"/>
  <c r="AJ51" i="26"/>
  <c r="AJ52" i="26"/>
  <c r="AI5" i="29"/>
  <c r="AI6" i="29"/>
  <c r="AI7" i="29"/>
  <c r="AI16" i="29"/>
  <c r="AJ6" i="26"/>
  <c r="AJ53" i="26"/>
  <c r="AJ60" i="26"/>
  <c r="AJ19" i="26"/>
  <c r="AJ20" i="26"/>
  <c r="AJ12" i="26"/>
  <c r="AI11" i="2"/>
  <c r="AM111" i="32"/>
  <c r="AM135" i="32"/>
  <c r="AM136" i="32"/>
  <c r="AM137" i="32"/>
  <c r="AM138" i="32"/>
  <c r="AM139" i="32"/>
  <c r="AM140" i="32"/>
  <c r="AM149" i="32"/>
  <c r="AM177" i="32"/>
  <c r="AM178" i="32"/>
  <c r="AM179" i="32"/>
  <c r="AM17" i="32"/>
  <c r="AM8" i="32"/>
  <c r="AM37" i="32"/>
  <c r="AM180" i="32"/>
  <c r="AM187" i="32"/>
  <c r="AM211" i="32"/>
  <c r="AM212" i="32"/>
  <c r="AM213" i="32"/>
  <c r="AM214" i="32"/>
  <c r="AM215" i="32"/>
  <c r="AM216" i="32"/>
  <c r="AM225" i="32"/>
  <c r="AM68" i="32"/>
  <c r="AM69" i="32"/>
  <c r="AM22" i="32"/>
  <c r="AI10" i="2"/>
  <c r="AI14" i="2"/>
  <c r="AI16" i="2"/>
  <c r="AE7" i="36"/>
  <c r="AE9" i="36"/>
  <c r="AE20" i="36"/>
  <c r="AJ23" i="19"/>
  <c r="AK71" i="19"/>
  <c r="AJ43" i="12"/>
  <c r="AJ7" i="12"/>
  <c r="AJ46" i="12"/>
  <c r="AJ16" i="12"/>
  <c r="AJ45" i="12"/>
  <c r="AJ13" i="12"/>
  <c r="AJ44" i="12"/>
  <c r="AJ10" i="12"/>
  <c r="AK74" i="19"/>
  <c r="AK76" i="19"/>
  <c r="AK78" i="19"/>
  <c r="AK81" i="19"/>
  <c r="AJ25" i="19"/>
  <c r="AK12" i="5"/>
  <c r="AK11" i="5"/>
  <c r="AK10" i="5"/>
  <c r="AJ26" i="19"/>
  <c r="AJ27" i="19"/>
  <c r="AJ28" i="19"/>
  <c r="AE28" i="36"/>
  <c r="AE30" i="36"/>
  <c r="AE27" i="36"/>
  <c r="AE31" i="36"/>
  <c r="AE29" i="36"/>
  <c r="AE32" i="36"/>
  <c r="AE69" i="36"/>
  <c r="AJ5" i="2"/>
  <c r="AJ6" i="2"/>
  <c r="AJ6" i="37"/>
  <c r="AJ8" i="2"/>
  <c r="AJ9" i="2"/>
  <c r="AK49" i="26"/>
  <c r="AK50" i="26"/>
  <c r="AK51" i="26"/>
  <c r="AK52" i="26"/>
  <c r="AK53" i="26"/>
  <c r="AK60" i="26"/>
  <c r="AK19" i="26"/>
  <c r="AK20" i="26"/>
  <c r="AK12" i="26"/>
  <c r="AJ11" i="2"/>
  <c r="AN111" i="32"/>
  <c r="AN136" i="32"/>
  <c r="AN137" i="32"/>
  <c r="AN138" i="32"/>
  <c r="AN139" i="32"/>
  <c r="AN140" i="32"/>
  <c r="AN149" i="32"/>
  <c r="AN178" i="32"/>
  <c r="AN179" i="32"/>
  <c r="AN180" i="32"/>
  <c r="AN17" i="32"/>
  <c r="AN8" i="32"/>
  <c r="AN37" i="32"/>
  <c r="AN181" i="32"/>
  <c r="AN187" i="32"/>
  <c r="AN212" i="32"/>
  <c r="AN213" i="32"/>
  <c r="AN214" i="32"/>
  <c r="AN215" i="32"/>
  <c r="AN216" i="32"/>
  <c r="AN225" i="32"/>
  <c r="AN68" i="32"/>
  <c r="AN69" i="32"/>
  <c r="AN22" i="32"/>
  <c r="AJ10" i="2"/>
  <c r="AJ14" i="2"/>
  <c r="AJ16" i="2"/>
  <c r="AF7" i="36"/>
  <c r="AF9" i="36"/>
  <c r="AF20" i="36"/>
  <c r="AK23" i="19"/>
  <c r="AL71" i="19"/>
  <c r="AK43" i="12"/>
  <c r="AK7" i="12"/>
  <c r="AK46" i="12"/>
  <c r="AK16" i="12"/>
  <c r="AK45" i="12"/>
  <c r="AK13" i="12"/>
  <c r="AK44" i="12"/>
  <c r="AK10" i="12"/>
  <c r="AL74" i="19"/>
  <c r="AL76" i="19"/>
  <c r="AL78" i="19"/>
  <c r="AL81" i="19"/>
  <c r="AK25" i="19"/>
  <c r="AL12" i="5"/>
  <c r="AL11" i="5"/>
  <c r="AL10" i="5"/>
  <c r="AK26" i="19"/>
  <c r="AK27" i="19"/>
  <c r="AK28" i="19"/>
  <c r="AF28" i="36"/>
  <c r="AF30" i="36"/>
  <c r="AF27" i="36"/>
  <c r="AF31" i="36"/>
  <c r="AF29" i="36"/>
  <c r="AF32" i="36"/>
  <c r="AF70" i="36"/>
  <c r="AK5" i="2"/>
  <c r="AK6" i="2"/>
  <c r="AK6" i="37"/>
  <c r="AK8" i="2"/>
  <c r="AK9" i="2"/>
  <c r="AL50" i="26"/>
  <c r="AL51" i="26"/>
  <c r="AL52" i="26"/>
  <c r="AL53" i="26"/>
  <c r="AL60" i="26"/>
  <c r="AL19" i="26"/>
  <c r="AL20" i="26"/>
  <c r="AL12" i="26"/>
  <c r="AK11" i="2"/>
  <c r="AO111" i="32"/>
  <c r="AO137" i="32"/>
  <c r="AO138" i="32"/>
  <c r="AO139" i="32"/>
  <c r="AO140" i="32"/>
  <c r="AO149" i="32"/>
  <c r="AO179" i="32"/>
  <c r="AO180" i="32"/>
  <c r="AO181" i="32"/>
  <c r="AO37" i="32"/>
  <c r="AO182" i="32"/>
  <c r="AO187" i="32"/>
  <c r="AO213" i="32"/>
  <c r="AO214" i="32"/>
  <c r="AO215" i="32"/>
  <c r="AO216" i="32"/>
  <c r="AO225" i="32"/>
  <c r="AO68" i="32"/>
  <c r="AO69" i="32"/>
  <c r="AO22" i="32"/>
  <c r="AK10" i="2"/>
  <c r="AK14" i="2"/>
  <c r="AK16" i="2"/>
  <c r="AG7" i="36"/>
  <c r="AG9" i="36"/>
  <c r="AG20" i="36"/>
  <c r="AL23" i="19"/>
  <c r="AM71" i="19"/>
  <c r="AL43" i="12"/>
  <c r="AL7" i="12"/>
  <c r="AL46" i="12"/>
  <c r="AL16" i="12"/>
  <c r="AL45" i="12"/>
  <c r="AL13" i="12"/>
  <c r="AL44" i="12"/>
  <c r="AL10" i="12"/>
  <c r="AM74" i="19"/>
  <c r="AM76" i="19"/>
  <c r="AM78" i="19"/>
  <c r="AM81" i="19"/>
  <c r="AL25" i="19"/>
  <c r="AM12" i="5"/>
  <c r="AM11" i="5"/>
  <c r="AM10" i="5"/>
  <c r="AL26" i="19"/>
  <c r="AL27" i="19"/>
  <c r="AL28" i="19"/>
  <c r="AG28" i="36"/>
  <c r="AG30" i="36"/>
  <c r="AG27" i="36"/>
  <c r="AG31" i="36"/>
  <c r="AG29" i="36"/>
  <c r="AG32" i="36"/>
  <c r="AG71" i="36"/>
  <c r="AL5" i="2"/>
  <c r="AL6" i="2"/>
  <c r="AL6" i="37"/>
  <c r="AL8" i="2"/>
  <c r="AL9" i="2"/>
  <c r="AM51" i="26"/>
  <c r="AM52" i="26"/>
  <c r="AM53" i="26"/>
  <c r="AM60" i="26"/>
  <c r="AM19" i="26"/>
  <c r="AM20" i="26"/>
  <c r="AM12" i="26"/>
  <c r="AL11" i="2"/>
  <c r="AP111" i="32"/>
  <c r="AP138" i="32"/>
  <c r="AP139" i="32"/>
  <c r="AP140" i="32"/>
  <c r="AP149" i="32"/>
  <c r="AP180" i="32"/>
  <c r="AP181" i="32"/>
  <c r="AP182" i="32"/>
  <c r="AP187" i="32"/>
  <c r="AP214" i="32"/>
  <c r="AP215" i="32"/>
  <c r="AP216" i="32"/>
  <c r="AP225" i="32"/>
  <c r="AP68" i="32"/>
  <c r="AP69" i="32"/>
  <c r="AP22" i="32"/>
  <c r="AL10" i="2"/>
  <c r="AL14" i="2"/>
  <c r="AL16" i="2"/>
  <c r="AH7" i="36"/>
  <c r="AH9" i="36"/>
  <c r="AH20" i="36"/>
  <c r="AM23" i="19"/>
  <c r="AN71" i="19"/>
  <c r="AM43" i="12"/>
  <c r="AM7" i="12"/>
  <c r="AM46" i="12"/>
  <c r="AM16" i="12"/>
  <c r="AM45" i="12"/>
  <c r="AM13" i="12"/>
  <c r="AM44" i="12"/>
  <c r="AM10" i="12"/>
  <c r="AN74" i="19"/>
  <c r="AN76" i="19"/>
  <c r="AN78" i="19"/>
  <c r="AN81" i="19"/>
  <c r="AM25" i="19"/>
  <c r="AN12" i="5"/>
  <c r="AN11" i="5"/>
  <c r="AN10" i="5"/>
  <c r="AM26" i="19"/>
  <c r="AM27" i="19"/>
  <c r="AM28" i="19"/>
  <c r="AH28" i="36"/>
  <c r="AH30" i="36"/>
  <c r="AH27" i="36"/>
  <c r="AH31" i="36"/>
  <c r="AH29" i="36"/>
  <c r="AH32" i="36"/>
  <c r="AH72" i="36"/>
  <c r="AM5" i="2"/>
  <c r="AM6" i="2"/>
  <c r="AM6" i="37"/>
  <c r="AM8" i="2"/>
  <c r="AM9" i="2"/>
  <c r="AN52" i="26"/>
  <c r="AN53" i="26"/>
  <c r="AN60" i="26"/>
  <c r="AN19" i="26"/>
  <c r="AN20" i="26"/>
  <c r="AN12" i="26"/>
  <c r="AM11" i="2"/>
  <c r="AQ111" i="32"/>
  <c r="AQ139" i="32"/>
  <c r="AQ140" i="32"/>
  <c r="AQ149" i="32"/>
  <c r="AQ181" i="32"/>
  <c r="AQ182" i="32"/>
  <c r="AQ187" i="32"/>
  <c r="AQ215" i="32"/>
  <c r="AQ216" i="32"/>
  <c r="AQ225" i="32"/>
  <c r="AQ68" i="32"/>
  <c r="AQ69" i="32"/>
  <c r="AQ22" i="32"/>
  <c r="AM10" i="2"/>
  <c r="AM14" i="2"/>
  <c r="AM16" i="2"/>
  <c r="AI7" i="36"/>
  <c r="AI9" i="36"/>
  <c r="AI20" i="36"/>
  <c r="AN23" i="19"/>
  <c r="AO71" i="19"/>
  <c r="AN43" i="12"/>
  <c r="AN7" i="12"/>
  <c r="AN46" i="12"/>
  <c r="AN16" i="12"/>
  <c r="AN45" i="12"/>
  <c r="AN13" i="12"/>
  <c r="AN44" i="12"/>
  <c r="AN10" i="12"/>
  <c r="AO74" i="19"/>
  <c r="AO76" i="19"/>
  <c r="AO78" i="19"/>
  <c r="AO81" i="19"/>
  <c r="AN25" i="19"/>
  <c r="AO12" i="5"/>
  <c r="AO11" i="5"/>
  <c r="AO10" i="5"/>
  <c r="AN26" i="19"/>
  <c r="AN27" i="19"/>
  <c r="AN28" i="19"/>
  <c r="AI28" i="36"/>
  <c r="AI30" i="36"/>
  <c r="AI27" i="36"/>
  <c r="AI31" i="36"/>
  <c r="AI29" i="36"/>
  <c r="AI32" i="36"/>
  <c r="AI73" i="36"/>
  <c r="AN5" i="2"/>
  <c r="AN6" i="2"/>
  <c r="AN6" i="37"/>
  <c r="AN8" i="2"/>
  <c r="AN9" i="2"/>
  <c r="AO53" i="26"/>
  <c r="AO60" i="26"/>
  <c r="AO19" i="26"/>
  <c r="AO20" i="26"/>
  <c r="AO12" i="26"/>
  <c r="AN11" i="2"/>
  <c r="AR111" i="32"/>
  <c r="AR140" i="32"/>
  <c r="AR149" i="32"/>
  <c r="AR182" i="32"/>
  <c r="AR187" i="32"/>
  <c r="AR216" i="32"/>
  <c r="AR225" i="32"/>
  <c r="AR68" i="32"/>
  <c r="AR69" i="32"/>
  <c r="AR22" i="32"/>
  <c r="AN10" i="2"/>
  <c r="AN14" i="2"/>
  <c r="AN16" i="2"/>
  <c r="AJ7" i="36"/>
  <c r="AJ9" i="36"/>
  <c r="AJ20" i="36"/>
  <c r="AO23" i="19"/>
  <c r="AP71" i="19"/>
  <c r="AO43" i="12"/>
  <c r="AO7" i="12"/>
  <c r="AO46" i="12"/>
  <c r="AO16" i="12"/>
  <c r="AO45" i="12"/>
  <c r="AO13" i="12"/>
  <c r="AO44" i="12"/>
  <c r="AO10" i="12"/>
  <c r="AP74" i="19"/>
  <c r="AP76" i="19"/>
  <c r="AP78" i="19"/>
  <c r="AP81" i="19"/>
  <c r="AO25" i="19"/>
  <c r="AP12" i="5"/>
  <c r="AP11" i="5"/>
  <c r="AP10" i="5"/>
  <c r="AO26" i="19"/>
  <c r="AO27" i="19"/>
  <c r="AO28" i="19"/>
  <c r="AJ28" i="36"/>
  <c r="AJ30" i="36"/>
  <c r="AJ27" i="36"/>
  <c r="AJ31" i="36"/>
  <c r="AJ29" i="36"/>
  <c r="AJ32" i="36"/>
  <c r="AJ74" i="36"/>
  <c r="AP23" i="19"/>
  <c r="AQ71" i="19"/>
  <c r="AP43" i="12"/>
  <c r="AP7" i="12"/>
  <c r="AP46" i="12"/>
  <c r="AP16" i="12"/>
  <c r="AP45" i="12"/>
  <c r="AP13" i="12"/>
  <c r="AP44" i="12"/>
  <c r="AP10" i="12"/>
  <c r="AQ74" i="19"/>
  <c r="AQ76" i="19"/>
  <c r="AQ78" i="19"/>
  <c r="AQ81" i="19"/>
  <c r="AP25" i="19"/>
  <c r="AQ12" i="5"/>
  <c r="AQ11" i="5"/>
  <c r="AQ10" i="5"/>
  <c r="AP26" i="19"/>
  <c r="AP27" i="19"/>
  <c r="AP28" i="19"/>
  <c r="AK28" i="36"/>
  <c r="AK30" i="36"/>
  <c r="AK27" i="36"/>
  <c r="AK31" i="36"/>
  <c r="AK29" i="36"/>
  <c r="AK32" i="36"/>
  <c r="AK7" i="34"/>
  <c r="I23" i="28"/>
  <c r="C17" i="28"/>
  <c r="I24" i="28"/>
  <c r="B52" i="3"/>
  <c r="C51" i="3"/>
  <c r="C6" i="2"/>
  <c r="C14" i="2"/>
  <c r="C16" i="2"/>
  <c r="C21" i="2"/>
  <c r="C23" i="2"/>
  <c r="C6" i="3"/>
  <c r="C27" i="3"/>
  <c r="C35" i="3"/>
  <c r="C48" i="3"/>
  <c r="C52" i="3"/>
  <c r="D51" i="3"/>
  <c r="D6" i="2"/>
  <c r="D14" i="2"/>
  <c r="D16" i="2"/>
  <c r="D21" i="2"/>
  <c r="D23" i="2"/>
  <c r="D6" i="3"/>
  <c r="D27" i="3"/>
  <c r="D35" i="3"/>
  <c r="D48" i="3"/>
  <c r="D52" i="3"/>
  <c r="E51" i="3"/>
  <c r="E6" i="2"/>
  <c r="E14" i="2"/>
  <c r="E16" i="2"/>
  <c r="E21" i="2"/>
  <c r="E23" i="2"/>
  <c r="E6" i="3"/>
  <c r="E27" i="3"/>
  <c r="E35" i="3"/>
  <c r="E48" i="3"/>
  <c r="E52" i="3"/>
  <c r="F51" i="3"/>
  <c r="F21" i="2"/>
  <c r="F23" i="2"/>
  <c r="F6" i="3"/>
  <c r="F27" i="3"/>
  <c r="F35" i="3"/>
  <c r="F48" i="3"/>
  <c r="F52" i="3"/>
  <c r="G51" i="3"/>
  <c r="G21" i="2"/>
  <c r="G23" i="2"/>
  <c r="G6" i="3"/>
  <c r="G27" i="3"/>
  <c r="G35" i="3"/>
  <c r="G48" i="3"/>
  <c r="G52" i="3"/>
  <c r="G9" i="1"/>
  <c r="I10" i="28"/>
  <c r="I26" i="28"/>
  <c r="I27" i="28"/>
  <c r="I28" i="28"/>
  <c r="C21" i="28"/>
  <c r="I29" i="28"/>
  <c r="C34" i="28"/>
  <c r="I42" i="28"/>
  <c r="I30" i="28"/>
  <c r="I44" i="28"/>
  <c r="I45" i="28"/>
  <c r="I46" i="28"/>
  <c r="C38" i="28"/>
  <c r="I47" i="28"/>
  <c r="I63" i="28"/>
  <c r="I48" i="28"/>
  <c r="I65" i="28"/>
  <c r="I66" i="28"/>
  <c r="I67" i="28"/>
  <c r="C57" i="28"/>
  <c r="I68" i="28"/>
  <c r="I69" i="28"/>
  <c r="I74" i="28"/>
  <c r="I75" i="28"/>
  <c r="I76" i="28"/>
  <c r="H44" i="10"/>
  <c r="I77" i="28"/>
  <c r="D79" i="28"/>
  <c r="I79" i="28"/>
  <c r="H45" i="10"/>
  <c r="D78" i="28"/>
  <c r="I78" i="28"/>
  <c r="I8" i="28"/>
  <c r="H19" i="2"/>
  <c r="H21" i="2"/>
  <c r="D7" i="34"/>
  <c r="D8" i="34"/>
  <c r="D9" i="34"/>
  <c r="B7" i="34"/>
  <c r="B8" i="34"/>
  <c r="B9" i="34"/>
  <c r="B20" i="34"/>
  <c r="B5" i="34"/>
  <c r="B13" i="34"/>
  <c r="B14" i="34"/>
  <c r="B16" i="34"/>
  <c r="B21" i="34"/>
  <c r="B22" i="34"/>
  <c r="B23" i="34"/>
  <c r="C19" i="34"/>
  <c r="C7" i="34"/>
  <c r="C8" i="34"/>
  <c r="C9" i="34"/>
  <c r="C20" i="34"/>
  <c r="C5" i="34"/>
  <c r="C13" i="34"/>
  <c r="C32" i="34"/>
  <c r="C34" i="34"/>
  <c r="C38" i="34"/>
  <c r="C14" i="34"/>
  <c r="C16" i="34"/>
  <c r="C21" i="34"/>
  <c r="C22" i="34"/>
  <c r="C23" i="34"/>
  <c r="D19" i="34"/>
  <c r="D27" i="34"/>
  <c r="D29" i="34"/>
  <c r="D26" i="34"/>
  <c r="D30" i="34"/>
  <c r="D28" i="34"/>
  <c r="D31" i="34"/>
  <c r="C10" i="34"/>
  <c r="D32" i="34"/>
  <c r="D34" i="34"/>
  <c r="D38" i="34"/>
  <c r="D14" i="34"/>
  <c r="H7" i="3"/>
  <c r="I38" i="19"/>
  <c r="C32" i="10"/>
  <c r="D32" i="10"/>
  <c r="E32" i="10"/>
  <c r="F32" i="10"/>
  <c r="G32" i="10"/>
  <c r="H32" i="10"/>
  <c r="H27" i="1"/>
  <c r="B14" i="2"/>
  <c r="B15" i="2"/>
  <c r="B37" i="10"/>
  <c r="C15" i="2"/>
  <c r="C37" i="10"/>
  <c r="D15" i="2"/>
  <c r="D37" i="10"/>
  <c r="E15" i="2"/>
  <c r="E37" i="10"/>
  <c r="F15" i="2"/>
  <c r="F37" i="10"/>
  <c r="G15" i="2"/>
  <c r="G37" i="10"/>
  <c r="H37" i="10"/>
  <c r="H28" i="1"/>
  <c r="I5" i="28"/>
  <c r="H26" i="1"/>
  <c r="H29" i="1"/>
  <c r="B33" i="10"/>
  <c r="C33" i="10"/>
  <c r="D33" i="10"/>
  <c r="E33" i="10"/>
  <c r="F33" i="10"/>
  <c r="G33" i="10"/>
  <c r="H33" i="10"/>
  <c r="H32" i="1"/>
  <c r="I6" i="28"/>
  <c r="H31" i="1"/>
  <c r="H33" i="1"/>
  <c r="H34" i="1"/>
  <c r="I39" i="19"/>
  <c r="I61" i="19"/>
  <c r="I40" i="19"/>
  <c r="H63" i="19"/>
  <c r="I42" i="19"/>
  <c r="I43" i="19"/>
  <c r="H53" i="19"/>
  <c r="C54" i="19"/>
  <c r="C53" i="19"/>
  <c r="C55" i="19"/>
  <c r="D54" i="19"/>
  <c r="D53" i="19"/>
  <c r="D55" i="19"/>
  <c r="E54" i="19"/>
  <c r="E53" i="19"/>
  <c r="E55" i="19"/>
  <c r="F54" i="19"/>
  <c r="F53" i="19"/>
  <c r="F55" i="19"/>
  <c r="G54" i="19"/>
  <c r="G53" i="19"/>
  <c r="G55" i="19"/>
  <c r="H54" i="19"/>
  <c r="H55" i="19"/>
  <c r="I56" i="19"/>
  <c r="I41" i="19"/>
  <c r="I44" i="19"/>
  <c r="I45" i="19"/>
  <c r="I46" i="19"/>
  <c r="H44" i="19"/>
  <c r="H46" i="19"/>
  <c r="I19" i="19"/>
  <c r="H13" i="3"/>
  <c r="H11" i="1"/>
  <c r="H20" i="3"/>
  <c r="H14" i="23"/>
  <c r="H12" i="1"/>
  <c r="H21" i="3"/>
  <c r="H31" i="10"/>
  <c r="H13" i="1"/>
  <c r="H22" i="3"/>
  <c r="H24" i="3"/>
  <c r="H25" i="3"/>
  <c r="H26" i="3"/>
  <c r="H8" i="29"/>
  <c r="H23" i="29"/>
  <c r="H31" i="3"/>
  <c r="L41" i="32"/>
  <c r="H33" i="3"/>
  <c r="H34" i="3"/>
  <c r="H35" i="3"/>
  <c r="H4" i="24"/>
  <c r="H9" i="24"/>
  <c r="H16" i="24"/>
  <c r="H23" i="24"/>
  <c r="H24" i="24"/>
  <c r="H25" i="24"/>
  <c r="H27" i="24"/>
  <c r="H28" i="24"/>
  <c r="H29" i="24"/>
  <c r="H7" i="1"/>
  <c r="G7" i="1"/>
  <c r="H30" i="24"/>
  <c r="H33" i="24"/>
  <c r="H40" i="3"/>
  <c r="H51" i="3"/>
  <c r="J23" i="28"/>
  <c r="J24" i="28"/>
  <c r="J41" i="28"/>
  <c r="J42" i="28"/>
  <c r="J62" i="28"/>
  <c r="J63" i="28"/>
  <c r="J72" i="28"/>
  <c r="E7" i="34"/>
  <c r="D20" i="34"/>
  <c r="D41" i="34"/>
  <c r="D75" i="34"/>
  <c r="D22" i="34"/>
  <c r="I7" i="3"/>
  <c r="J38" i="19"/>
  <c r="I32" i="10"/>
  <c r="I27" i="1"/>
  <c r="I37" i="10"/>
  <c r="I28" i="1"/>
  <c r="I32" i="1"/>
  <c r="J61" i="19"/>
  <c r="J40" i="19"/>
  <c r="J42" i="19"/>
  <c r="J43" i="19"/>
  <c r="J45" i="19"/>
  <c r="I11" i="1"/>
  <c r="I20" i="3"/>
  <c r="I14" i="23"/>
  <c r="I12" i="1"/>
  <c r="I21" i="3"/>
  <c r="I13" i="1"/>
  <c r="I22" i="3"/>
  <c r="I24" i="3"/>
  <c r="I25" i="3"/>
  <c r="I26" i="3"/>
  <c r="I8" i="29"/>
  <c r="I23" i="29"/>
  <c r="I31" i="3"/>
  <c r="M41" i="32"/>
  <c r="I33" i="3"/>
  <c r="I35" i="3"/>
  <c r="I4" i="24"/>
  <c r="I9" i="24"/>
  <c r="I23" i="24"/>
  <c r="I24" i="24"/>
  <c r="I25" i="24"/>
  <c r="I27" i="24"/>
  <c r="I28" i="24"/>
  <c r="I29" i="24"/>
  <c r="I7" i="1"/>
  <c r="I30" i="24"/>
  <c r="I33" i="24"/>
  <c r="F7" i="34"/>
  <c r="J7" i="3"/>
  <c r="K38" i="19"/>
  <c r="J32" i="10"/>
  <c r="J27" i="1"/>
  <c r="J37" i="10"/>
  <c r="J28" i="1"/>
  <c r="J32" i="1"/>
  <c r="K61" i="19"/>
  <c r="K40" i="19"/>
  <c r="K42" i="19"/>
  <c r="K43" i="19"/>
  <c r="K45" i="19"/>
  <c r="J11" i="1"/>
  <c r="J20" i="3"/>
  <c r="J14" i="23"/>
  <c r="J12" i="1"/>
  <c r="J21" i="3"/>
  <c r="J13" i="1"/>
  <c r="J22" i="3"/>
  <c r="J24" i="3"/>
  <c r="J25" i="3"/>
  <c r="J26" i="3"/>
  <c r="J8" i="29"/>
  <c r="J23" i="29"/>
  <c r="J31" i="3"/>
  <c r="N41" i="32"/>
  <c r="J33" i="3"/>
  <c r="J35" i="3"/>
  <c r="J4" i="24"/>
  <c r="J9" i="24"/>
  <c r="J23" i="24"/>
  <c r="J24" i="24"/>
  <c r="J25" i="24"/>
  <c r="J27" i="24"/>
  <c r="J28" i="24"/>
  <c r="J29" i="24"/>
  <c r="J7" i="1"/>
  <c r="J30" i="24"/>
  <c r="J33" i="24"/>
  <c r="G7" i="34"/>
  <c r="K7" i="3"/>
  <c r="K24" i="29"/>
  <c r="K9" i="3"/>
  <c r="L38" i="19"/>
  <c r="K32" i="10"/>
  <c r="K27" i="1"/>
  <c r="K37" i="10"/>
  <c r="K28" i="1"/>
  <c r="K32" i="1"/>
  <c r="L61" i="19"/>
  <c r="L40" i="19"/>
  <c r="L42" i="19"/>
  <c r="L43" i="19"/>
  <c r="L45" i="19"/>
  <c r="K11" i="1"/>
  <c r="K20" i="3"/>
  <c r="K14" i="23"/>
  <c r="K12" i="1"/>
  <c r="K21" i="3"/>
  <c r="K13" i="1"/>
  <c r="K22" i="3"/>
  <c r="K24" i="3"/>
  <c r="K25" i="3"/>
  <c r="K26" i="3"/>
  <c r="K8" i="29"/>
  <c r="K23" i="29"/>
  <c r="K31" i="3"/>
  <c r="O41" i="32"/>
  <c r="K33" i="3"/>
  <c r="K35" i="3"/>
  <c r="K4" i="24"/>
  <c r="K9" i="24"/>
  <c r="K12" i="24"/>
  <c r="K23" i="24"/>
  <c r="K24" i="24"/>
  <c r="K25" i="24"/>
  <c r="K27" i="24"/>
  <c r="K28" i="24"/>
  <c r="K29" i="24"/>
  <c r="K7" i="1"/>
  <c r="K30" i="24"/>
  <c r="K33" i="24"/>
  <c r="H7" i="34"/>
  <c r="L7" i="3"/>
  <c r="L24" i="29"/>
  <c r="L9" i="3"/>
  <c r="M38" i="19"/>
  <c r="L32" i="10"/>
  <c r="L27" i="1"/>
  <c r="L37" i="10"/>
  <c r="L28" i="1"/>
  <c r="L32" i="1"/>
  <c r="M61" i="19"/>
  <c r="M40" i="19"/>
  <c r="M42" i="19"/>
  <c r="M43" i="19"/>
  <c r="M45" i="19"/>
  <c r="L11" i="1"/>
  <c r="L20" i="3"/>
  <c r="L14" i="23"/>
  <c r="L12" i="1"/>
  <c r="L21" i="3"/>
  <c r="L13" i="1"/>
  <c r="L22" i="3"/>
  <c r="L24" i="3"/>
  <c r="L25" i="3"/>
  <c r="L26" i="3"/>
  <c r="L8" i="29"/>
  <c r="L23" i="29"/>
  <c r="L31" i="3"/>
  <c r="P41" i="32"/>
  <c r="L33" i="3"/>
  <c r="L35" i="3"/>
  <c r="L4" i="24"/>
  <c r="L9" i="24"/>
  <c r="L12" i="24"/>
  <c r="L23" i="24"/>
  <c r="L24" i="24"/>
  <c r="L25" i="24"/>
  <c r="L27" i="24"/>
  <c r="L28" i="24"/>
  <c r="L29" i="24"/>
  <c r="L7" i="1"/>
  <c r="L30" i="24"/>
  <c r="L33" i="24"/>
  <c r="N42" i="28"/>
  <c r="I7" i="34"/>
  <c r="M7" i="3"/>
  <c r="M24" i="29"/>
  <c r="M9" i="3"/>
  <c r="N38" i="19"/>
  <c r="M32" i="10"/>
  <c r="M27" i="1"/>
  <c r="M37" i="10"/>
  <c r="M28" i="1"/>
  <c r="M32" i="1"/>
  <c r="N61" i="19"/>
  <c r="N40" i="19"/>
  <c r="N42" i="19"/>
  <c r="N43" i="19"/>
  <c r="N45" i="19"/>
  <c r="M11" i="1"/>
  <c r="M20" i="3"/>
  <c r="M14" i="23"/>
  <c r="M12" i="1"/>
  <c r="M21" i="3"/>
  <c r="M13" i="1"/>
  <c r="M22" i="3"/>
  <c r="M24" i="3"/>
  <c r="M25" i="3"/>
  <c r="M26" i="3"/>
  <c r="M4" i="24"/>
  <c r="M9" i="24"/>
  <c r="M12" i="24"/>
  <c r="M23" i="24"/>
  <c r="M24" i="24"/>
  <c r="M25" i="24"/>
  <c r="M27" i="24"/>
  <c r="M28" i="24"/>
  <c r="M29" i="24"/>
  <c r="M7" i="1"/>
  <c r="M30" i="24"/>
  <c r="J7" i="34"/>
  <c r="N7" i="3"/>
  <c r="N24" i="29"/>
  <c r="N9" i="3"/>
  <c r="O38" i="19"/>
  <c r="N32" i="10"/>
  <c r="N27" i="1"/>
  <c r="N37" i="10"/>
  <c r="N28" i="1"/>
  <c r="N32" i="1"/>
  <c r="O61" i="19"/>
  <c r="O40" i="19"/>
  <c r="O42" i="19"/>
  <c r="O43" i="19"/>
  <c r="O45" i="19"/>
  <c r="N11" i="1"/>
  <c r="N20" i="3"/>
  <c r="N14" i="23"/>
  <c r="N12" i="1"/>
  <c r="N21" i="3"/>
  <c r="N13" i="1"/>
  <c r="N22" i="3"/>
  <c r="N24" i="3"/>
  <c r="N25" i="3"/>
  <c r="N26" i="3"/>
  <c r="N8" i="29"/>
  <c r="N23" i="29"/>
  <c r="N31" i="3"/>
  <c r="R41" i="32"/>
  <c r="N33" i="3"/>
  <c r="N35" i="3"/>
  <c r="N4" i="24"/>
  <c r="N9" i="24"/>
  <c r="N12" i="24"/>
  <c r="N23" i="24"/>
  <c r="N24" i="24"/>
  <c r="N25" i="24"/>
  <c r="N27" i="24"/>
  <c r="N28" i="24"/>
  <c r="N29" i="24"/>
  <c r="N7" i="1"/>
  <c r="N30" i="24"/>
  <c r="N33" i="24"/>
  <c r="N34" i="24"/>
  <c r="K7" i="34"/>
  <c r="O7" i="3"/>
  <c r="O24" i="29"/>
  <c r="O9" i="3"/>
  <c r="P38" i="19"/>
  <c r="O32" i="10"/>
  <c r="O27" i="1"/>
  <c r="O37" i="10"/>
  <c r="O28" i="1"/>
  <c r="O32" i="1"/>
  <c r="P61" i="19"/>
  <c r="P40" i="19"/>
  <c r="P42" i="19"/>
  <c r="P43" i="19"/>
  <c r="P45" i="19"/>
  <c r="O11" i="1"/>
  <c r="O20" i="3"/>
  <c r="O14" i="23"/>
  <c r="O12" i="1"/>
  <c r="O21" i="3"/>
  <c r="O13" i="1"/>
  <c r="O22" i="3"/>
  <c r="O24" i="3"/>
  <c r="O25" i="3"/>
  <c r="O26" i="3"/>
  <c r="O8" i="29"/>
  <c r="O23" i="29"/>
  <c r="O31" i="3"/>
  <c r="S41" i="32"/>
  <c r="O33" i="3"/>
  <c r="O35" i="3"/>
  <c r="O4" i="24"/>
  <c r="O9" i="24"/>
  <c r="O12" i="24"/>
  <c r="O23" i="24"/>
  <c r="O24" i="24"/>
  <c r="O25" i="24"/>
  <c r="O27" i="24"/>
  <c r="O28" i="24"/>
  <c r="O29" i="24"/>
  <c r="O7" i="1"/>
  <c r="O30" i="24"/>
  <c r="O33" i="24"/>
  <c r="O34" i="24"/>
  <c r="L7" i="34"/>
  <c r="P7" i="3"/>
  <c r="Q38" i="19"/>
  <c r="P32" i="10"/>
  <c r="P27" i="1"/>
  <c r="P37" i="10"/>
  <c r="P28" i="1"/>
  <c r="P32" i="1"/>
  <c r="Q61" i="19"/>
  <c r="Q40" i="19"/>
  <c r="Q42" i="19"/>
  <c r="Q43" i="19"/>
  <c r="Q45" i="19"/>
  <c r="P11" i="1"/>
  <c r="P20" i="3"/>
  <c r="P14" i="23"/>
  <c r="P12" i="1"/>
  <c r="P21" i="3"/>
  <c r="P13" i="1"/>
  <c r="P22" i="3"/>
  <c r="P24" i="3"/>
  <c r="P25" i="3"/>
  <c r="P26" i="3"/>
  <c r="P8" i="29"/>
  <c r="P23" i="29"/>
  <c r="P31" i="3"/>
  <c r="T41" i="32"/>
  <c r="P33" i="3"/>
  <c r="P35" i="3"/>
  <c r="P4" i="24"/>
  <c r="P9" i="24"/>
  <c r="P23" i="24"/>
  <c r="P24" i="24"/>
  <c r="P25" i="24"/>
  <c r="P27" i="24"/>
  <c r="P28" i="24"/>
  <c r="P29" i="24"/>
  <c r="P7" i="1"/>
  <c r="P30" i="24"/>
  <c r="P33" i="24"/>
  <c r="P34" i="24"/>
  <c r="M7" i="34"/>
  <c r="Q7" i="3"/>
  <c r="Q24" i="29"/>
  <c r="Q9" i="3"/>
  <c r="R38" i="19"/>
  <c r="Q32" i="10"/>
  <c r="Q27" i="1"/>
  <c r="Q37" i="10"/>
  <c r="Q28" i="1"/>
  <c r="Q32" i="1"/>
  <c r="R61" i="19"/>
  <c r="R40" i="19"/>
  <c r="R42" i="19"/>
  <c r="R43" i="19"/>
  <c r="R45" i="19"/>
  <c r="Q11" i="1"/>
  <c r="Q20" i="3"/>
  <c r="Q14" i="23"/>
  <c r="Q12" i="1"/>
  <c r="Q21" i="3"/>
  <c r="Q13" i="1"/>
  <c r="Q22" i="3"/>
  <c r="Q24" i="3"/>
  <c r="Q25" i="3"/>
  <c r="Q26" i="3"/>
  <c r="Q8" i="29"/>
  <c r="Q23" i="29"/>
  <c r="Q31" i="3"/>
  <c r="U41" i="32"/>
  <c r="Q33" i="3"/>
  <c r="Q35" i="3"/>
  <c r="Q4" i="24"/>
  <c r="Q9" i="24"/>
  <c r="Q12" i="24"/>
  <c r="Q23" i="24"/>
  <c r="Q24" i="24"/>
  <c r="Q25" i="24"/>
  <c r="Q27" i="24"/>
  <c r="Q28" i="24"/>
  <c r="Q29" i="24"/>
  <c r="Q7" i="1"/>
  <c r="Q30" i="24"/>
  <c r="Q33" i="24"/>
  <c r="Q34" i="24"/>
  <c r="N7" i="34"/>
  <c r="R7" i="3"/>
  <c r="R24" i="29"/>
  <c r="R9" i="3"/>
  <c r="S38" i="19"/>
  <c r="R32" i="10"/>
  <c r="R27" i="1"/>
  <c r="R37" i="10"/>
  <c r="R28" i="1"/>
  <c r="R32" i="1"/>
  <c r="S61" i="19"/>
  <c r="S40" i="19"/>
  <c r="S42" i="19"/>
  <c r="S43" i="19"/>
  <c r="S45" i="19"/>
  <c r="R11" i="1"/>
  <c r="R20" i="3"/>
  <c r="R14" i="23"/>
  <c r="R12" i="1"/>
  <c r="R21" i="3"/>
  <c r="R13" i="1"/>
  <c r="R22" i="3"/>
  <c r="R24" i="3"/>
  <c r="R25" i="3"/>
  <c r="R26" i="3"/>
  <c r="R8" i="29"/>
  <c r="R23" i="29"/>
  <c r="R31" i="3"/>
  <c r="V41" i="32"/>
  <c r="R33" i="3"/>
  <c r="R35" i="3"/>
  <c r="R4" i="24"/>
  <c r="R9" i="24"/>
  <c r="R12" i="24"/>
  <c r="R23" i="24"/>
  <c r="R24" i="24"/>
  <c r="R25" i="24"/>
  <c r="R27" i="24"/>
  <c r="R28" i="24"/>
  <c r="R29" i="24"/>
  <c r="R7" i="1"/>
  <c r="R30" i="24"/>
  <c r="R33" i="24"/>
  <c r="R34" i="24"/>
  <c r="O7" i="34"/>
  <c r="S7" i="3"/>
  <c r="S24" i="29"/>
  <c r="S9" i="3"/>
  <c r="T38" i="19"/>
  <c r="S32" i="10"/>
  <c r="S27" i="1"/>
  <c r="S37" i="10"/>
  <c r="S28" i="1"/>
  <c r="S32" i="1"/>
  <c r="T61" i="19"/>
  <c r="T40" i="19"/>
  <c r="T42" i="19"/>
  <c r="T43" i="19"/>
  <c r="T45" i="19"/>
  <c r="S11" i="1"/>
  <c r="S20" i="3"/>
  <c r="S14" i="23"/>
  <c r="S12" i="1"/>
  <c r="S21" i="3"/>
  <c r="S13" i="1"/>
  <c r="S22" i="3"/>
  <c r="S24" i="3"/>
  <c r="S25" i="3"/>
  <c r="S26" i="3"/>
  <c r="S8" i="29"/>
  <c r="S23" i="29"/>
  <c r="S31" i="3"/>
  <c r="W41" i="32"/>
  <c r="S33" i="3"/>
  <c r="S35" i="3"/>
  <c r="S4" i="24"/>
  <c r="S9" i="24"/>
  <c r="S12" i="24"/>
  <c r="S23" i="24"/>
  <c r="S24" i="24"/>
  <c r="S25" i="24"/>
  <c r="S27" i="24"/>
  <c r="S28" i="24"/>
  <c r="S29" i="24"/>
  <c r="S7" i="1"/>
  <c r="S30" i="24"/>
  <c r="S33" i="24"/>
  <c r="S34" i="24"/>
  <c r="C52" i="28"/>
  <c r="U63" i="28"/>
  <c r="P7" i="34"/>
  <c r="T7" i="3"/>
  <c r="T24" i="29"/>
  <c r="T9" i="3"/>
  <c r="U38" i="19"/>
  <c r="T32" i="10"/>
  <c r="T27" i="1"/>
  <c r="T37" i="10"/>
  <c r="T28" i="1"/>
  <c r="T32" i="1"/>
  <c r="U61" i="19"/>
  <c r="U40" i="19"/>
  <c r="U42" i="19"/>
  <c r="U43" i="19"/>
  <c r="U45" i="19"/>
  <c r="T11" i="1"/>
  <c r="T20" i="3"/>
  <c r="T14" i="23"/>
  <c r="T12" i="1"/>
  <c r="T21" i="3"/>
  <c r="T13" i="1"/>
  <c r="T22" i="3"/>
  <c r="T24" i="3"/>
  <c r="T25" i="3"/>
  <c r="T26" i="3"/>
  <c r="T8" i="29"/>
  <c r="T23" i="29"/>
  <c r="T31" i="3"/>
  <c r="X41" i="32"/>
  <c r="T33" i="3"/>
  <c r="T35" i="3"/>
  <c r="T4" i="24"/>
  <c r="T9" i="24"/>
  <c r="T12" i="24"/>
  <c r="T23" i="24"/>
  <c r="T24" i="24"/>
  <c r="T25" i="24"/>
  <c r="T27" i="24"/>
  <c r="T28" i="24"/>
  <c r="T29" i="24"/>
  <c r="T7" i="1"/>
  <c r="T30" i="24"/>
  <c r="T33" i="24"/>
  <c r="T34" i="24"/>
  <c r="Q7" i="34"/>
  <c r="U7" i="3"/>
  <c r="U24" i="29"/>
  <c r="U9" i="3"/>
  <c r="V38" i="19"/>
  <c r="U32" i="10"/>
  <c r="U27" i="1"/>
  <c r="U37" i="10"/>
  <c r="U28" i="1"/>
  <c r="U32" i="1"/>
  <c r="V61" i="19"/>
  <c r="V40" i="19"/>
  <c r="V42" i="19"/>
  <c r="V43" i="19"/>
  <c r="V45" i="19"/>
  <c r="U11" i="1"/>
  <c r="U20" i="3"/>
  <c r="U14" i="23"/>
  <c r="U12" i="1"/>
  <c r="U21" i="3"/>
  <c r="U13" i="1"/>
  <c r="U22" i="3"/>
  <c r="U24" i="3"/>
  <c r="U25" i="3"/>
  <c r="U26" i="3"/>
  <c r="U8" i="29"/>
  <c r="U23" i="29"/>
  <c r="U31" i="3"/>
  <c r="Y41" i="32"/>
  <c r="U33" i="3"/>
  <c r="U35" i="3"/>
  <c r="U4" i="24"/>
  <c r="U9" i="24"/>
  <c r="U12" i="24"/>
  <c r="U23" i="24"/>
  <c r="U24" i="24"/>
  <c r="U25" i="24"/>
  <c r="U27" i="24"/>
  <c r="U28" i="24"/>
  <c r="U29" i="24"/>
  <c r="U7" i="1"/>
  <c r="U30" i="24"/>
  <c r="U33" i="24"/>
  <c r="U34" i="24"/>
  <c r="R7" i="34"/>
  <c r="V7" i="3"/>
  <c r="V24" i="29"/>
  <c r="V9" i="3"/>
  <c r="W38" i="19"/>
  <c r="V32" i="10"/>
  <c r="V27" i="1"/>
  <c r="V37" i="10"/>
  <c r="V28" i="1"/>
  <c r="V32" i="1"/>
  <c r="W61" i="19"/>
  <c r="W40" i="19"/>
  <c r="W42" i="19"/>
  <c r="W43" i="19"/>
  <c r="W45" i="19"/>
  <c r="V11" i="1"/>
  <c r="V20" i="3"/>
  <c r="V14" i="23"/>
  <c r="V12" i="1"/>
  <c r="V21" i="3"/>
  <c r="V13" i="1"/>
  <c r="V22" i="3"/>
  <c r="V24" i="3"/>
  <c r="V25" i="3"/>
  <c r="V26" i="3"/>
  <c r="V8" i="29"/>
  <c r="V23" i="29"/>
  <c r="V31" i="3"/>
  <c r="Z41" i="32"/>
  <c r="V33" i="3"/>
  <c r="V35" i="3"/>
  <c r="V4" i="24"/>
  <c r="V9" i="24"/>
  <c r="V12" i="24"/>
  <c r="V23" i="24"/>
  <c r="V24" i="24"/>
  <c r="V25" i="24"/>
  <c r="V27" i="24"/>
  <c r="V28" i="24"/>
  <c r="V29" i="24"/>
  <c r="V7" i="1"/>
  <c r="V30" i="24"/>
  <c r="V33" i="24"/>
  <c r="V34" i="24"/>
  <c r="S7" i="34"/>
  <c r="W7" i="3"/>
  <c r="W24" i="29"/>
  <c r="W9" i="3"/>
  <c r="X38" i="19"/>
  <c r="W32" i="10"/>
  <c r="W27" i="1"/>
  <c r="W37" i="10"/>
  <c r="W28" i="1"/>
  <c r="W32" i="1"/>
  <c r="X61" i="19"/>
  <c r="X40" i="19"/>
  <c r="X42" i="19"/>
  <c r="X43" i="19"/>
  <c r="X45" i="19"/>
  <c r="W11" i="1"/>
  <c r="W20" i="3"/>
  <c r="W14" i="23"/>
  <c r="W12" i="1"/>
  <c r="W21" i="3"/>
  <c r="W13" i="1"/>
  <c r="W22" i="3"/>
  <c r="W24" i="3"/>
  <c r="W25" i="3"/>
  <c r="W26" i="3"/>
  <c r="W8" i="29"/>
  <c r="W23" i="29"/>
  <c r="W31" i="3"/>
  <c r="AA41" i="32"/>
  <c r="W33" i="3"/>
  <c r="W35" i="3"/>
  <c r="W4" i="24"/>
  <c r="W9" i="24"/>
  <c r="W12" i="24"/>
  <c r="W23" i="24"/>
  <c r="W24" i="24"/>
  <c r="W25" i="24"/>
  <c r="W27" i="24"/>
  <c r="W28" i="24"/>
  <c r="W29" i="24"/>
  <c r="W7" i="1"/>
  <c r="W30" i="24"/>
  <c r="W33" i="24"/>
  <c r="W34" i="24"/>
  <c r="T7" i="34"/>
  <c r="X7" i="3"/>
  <c r="X24" i="29"/>
  <c r="X9" i="3"/>
  <c r="Y38" i="19"/>
  <c r="X32" i="10"/>
  <c r="X27" i="1"/>
  <c r="X37" i="10"/>
  <c r="X28" i="1"/>
  <c r="X32" i="1"/>
  <c r="Y61" i="19"/>
  <c r="Y40" i="19"/>
  <c r="Y42" i="19"/>
  <c r="Y43" i="19"/>
  <c r="Y45" i="19"/>
  <c r="X11" i="1"/>
  <c r="X20" i="3"/>
  <c r="X14" i="23"/>
  <c r="X12" i="1"/>
  <c r="X21" i="3"/>
  <c r="X13" i="1"/>
  <c r="X22" i="3"/>
  <c r="X24" i="3"/>
  <c r="X25" i="3"/>
  <c r="X26" i="3"/>
  <c r="X8" i="29"/>
  <c r="X23" i="29"/>
  <c r="X31" i="3"/>
  <c r="AB41" i="32"/>
  <c r="X33" i="3"/>
  <c r="X35" i="3"/>
  <c r="X4" i="24"/>
  <c r="X9" i="24"/>
  <c r="X12" i="24"/>
  <c r="X23" i="24"/>
  <c r="X24" i="24"/>
  <c r="X25" i="24"/>
  <c r="X27" i="24"/>
  <c r="X28" i="24"/>
  <c r="X29" i="24"/>
  <c r="X7" i="1"/>
  <c r="X30" i="24"/>
  <c r="X33" i="24"/>
  <c r="X34" i="24"/>
  <c r="U7" i="34"/>
  <c r="Y7" i="3"/>
  <c r="Y24" i="29"/>
  <c r="Y9" i="3"/>
  <c r="Z38" i="19"/>
  <c r="Y32" i="10"/>
  <c r="Y27" i="1"/>
  <c r="Y37" i="10"/>
  <c r="Y28" i="1"/>
  <c r="Y32" i="1"/>
  <c r="Z61" i="19"/>
  <c r="Z40" i="19"/>
  <c r="Z42" i="19"/>
  <c r="Z43" i="19"/>
  <c r="Z45" i="19"/>
  <c r="Y11" i="1"/>
  <c r="Y20" i="3"/>
  <c r="Y14" i="23"/>
  <c r="Y12" i="1"/>
  <c r="Y21" i="3"/>
  <c r="Y13" i="1"/>
  <c r="Y22" i="3"/>
  <c r="Y24" i="3"/>
  <c r="Y25" i="3"/>
  <c r="Y26" i="3"/>
  <c r="Y8" i="29"/>
  <c r="Y23" i="29"/>
  <c r="Y31" i="3"/>
  <c r="AC41" i="32"/>
  <c r="Y33" i="3"/>
  <c r="Y35" i="3"/>
  <c r="Y4" i="24"/>
  <c r="Y9" i="24"/>
  <c r="Y12" i="24"/>
  <c r="Y23" i="24"/>
  <c r="Y24" i="24"/>
  <c r="Y25" i="24"/>
  <c r="Y27" i="24"/>
  <c r="Y28" i="24"/>
  <c r="Y29" i="24"/>
  <c r="Y7" i="1"/>
  <c r="Y30" i="24"/>
  <c r="Y33" i="24"/>
  <c r="Y34" i="24"/>
  <c r="V7" i="34"/>
  <c r="Z7" i="3"/>
  <c r="Z24" i="29"/>
  <c r="Z9" i="3"/>
  <c r="AA38" i="19"/>
  <c r="Z32" i="10"/>
  <c r="Z27" i="1"/>
  <c r="Z37" i="10"/>
  <c r="Z28" i="1"/>
  <c r="Z32" i="1"/>
  <c r="AA61" i="19"/>
  <c r="AA40" i="19"/>
  <c r="AA42" i="19"/>
  <c r="AA43" i="19"/>
  <c r="AA45" i="19"/>
  <c r="Z11" i="1"/>
  <c r="Z20" i="3"/>
  <c r="Z14" i="23"/>
  <c r="Z12" i="1"/>
  <c r="Z21" i="3"/>
  <c r="Z13" i="1"/>
  <c r="Z22" i="3"/>
  <c r="Z24" i="3"/>
  <c r="Z25" i="3"/>
  <c r="Z26" i="3"/>
  <c r="Z8" i="29"/>
  <c r="Z23" i="29"/>
  <c r="Z31" i="3"/>
  <c r="AD41" i="32"/>
  <c r="Z33" i="3"/>
  <c r="Z35" i="3"/>
  <c r="Z4" i="24"/>
  <c r="Z9" i="24"/>
  <c r="Z12" i="24"/>
  <c r="Z23" i="24"/>
  <c r="Z24" i="24"/>
  <c r="Z25" i="24"/>
  <c r="Z27" i="24"/>
  <c r="Z28" i="24"/>
  <c r="Z29" i="24"/>
  <c r="Z7" i="1"/>
  <c r="Z30" i="24"/>
  <c r="Z33" i="24"/>
  <c r="Z34" i="24"/>
  <c r="W7" i="34"/>
  <c r="AA7" i="3"/>
  <c r="AA24" i="29"/>
  <c r="AA9" i="3"/>
  <c r="AB38" i="19"/>
  <c r="AA32" i="10"/>
  <c r="AA27" i="1"/>
  <c r="AA37" i="10"/>
  <c r="AA28" i="1"/>
  <c r="AA32" i="1"/>
  <c r="AB61" i="19"/>
  <c r="AB40" i="19"/>
  <c r="AB42" i="19"/>
  <c r="AB43" i="19"/>
  <c r="AB45" i="19"/>
  <c r="AA11" i="1"/>
  <c r="AA20" i="3"/>
  <c r="AA14" i="23"/>
  <c r="AA12" i="1"/>
  <c r="AA21" i="3"/>
  <c r="AA13" i="1"/>
  <c r="AA22" i="3"/>
  <c r="AA24" i="3"/>
  <c r="AA25" i="3"/>
  <c r="AA26" i="3"/>
  <c r="AA8" i="29"/>
  <c r="AA23" i="29"/>
  <c r="AA31" i="3"/>
  <c r="AE41" i="32"/>
  <c r="AA33" i="3"/>
  <c r="AA35" i="3"/>
  <c r="AA4" i="24"/>
  <c r="AA9" i="24"/>
  <c r="AA12" i="24"/>
  <c r="AA23" i="24"/>
  <c r="AA24" i="24"/>
  <c r="AA25" i="24"/>
  <c r="AA27" i="24"/>
  <c r="AA28" i="24"/>
  <c r="AA29" i="24"/>
  <c r="AA7" i="1"/>
  <c r="AA30" i="24"/>
  <c r="AA33" i="24"/>
  <c r="AA34" i="24"/>
  <c r="X7" i="34"/>
  <c r="AB7" i="3"/>
  <c r="AB24" i="29"/>
  <c r="AB9" i="3"/>
  <c r="AC38" i="19"/>
  <c r="AB32" i="10"/>
  <c r="AB27" i="1"/>
  <c r="AB37" i="10"/>
  <c r="AB28" i="1"/>
  <c r="AB32" i="1"/>
  <c r="AC61" i="19"/>
  <c r="AC40" i="19"/>
  <c r="AC42" i="19"/>
  <c r="AC43" i="19"/>
  <c r="AC45" i="19"/>
  <c r="AB11" i="1"/>
  <c r="AB20" i="3"/>
  <c r="AB14" i="23"/>
  <c r="AB12" i="1"/>
  <c r="AB21" i="3"/>
  <c r="AB13" i="1"/>
  <c r="AB22" i="3"/>
  <c r="AB24" i="3"/>
  <c r="AB25" i="3"/>
  <c r="AB26" i="3"/>
  <c r="AB8" i="29"/>
  <c r="AB23" i="29"/>
  <c r="AB31" i="3"/>
  <c r="AF41" i="32"/>
  <c r="AB33" i="3"/>
  <c r="AB35" i="3"/>
  <c r="AB4" i="24"/>
  <c r="AB9" i="24"/>
  <c r="AB12" i="24"/>
  <c r="AB23" i="24"/>
  <c r="AB24" i="24"/>
  <c r="AB25" i="24"/>
  <c r="AB27" i="24"/>
  <c r="AB28" i="24"/>
  <c r="AB29" i="24"/>
  <c r="AB7" i="1"/>
  <c r="AB30" i="24"/>
  <c r="AB33" i="24"/>
  <c r="AB34" i="24"/>
  <c r="Y7" i="34"/>
  <c r="AC7" i="3"/>
  <c r="AC24" i="29"/>
  <c r="AC9" i="3"/>
  <c r="AD38" i="19"/>
  <c r="AC32" i="10"/>
  <c r="AC27" i="1"/>
  <c r="AC37" i="10"/>
  <c r="AC28" i="1"/>
  <c r="AC32" i="1"/>
  <c r="AD61" i="19"/>
  <c r="AD40" i="19"/>
  <c r="AD42" i="19"/>
  <c r="AD43" i="19"/>
  <c r="AD45" i="19"/>
  <c r="AC11" i="1"/>
  <c r="AC20" i="3"/>
  <c r="AC14" i="23"/>
  <c r="AC12" i="1"/>
  <c r="AC21" i="3"/>
  <c r="AC13" i="1"/>
  <c r="AC22" i="3"/>
  <c r="AC24" i="3"/>
  <c r="AC25" i="3"/>
  <c r="AC26" i="3"/>
  <c r="AC8" i="29"/>
  <c r="AC23" i="29"/>
  <c r="AC31" i="3"/>
  <c r="AG41" i="32"/>
  <c r="AC33" i="3"/>
  <c r="AC35" i="3"/>
  <c r="AC4" i="24"/>
  <c r="AC9" i="24"/>
  <c r="AC12" i="24"/>
  <c r="AC23" i="24"/>
  <c r="AC24" i="24"/>
  <c r="AC25" i="24"/>
  <c r="AC27" i="24"/>
  <c r="AC28" i="24"/>
  <c r="AC29" i="24"/>
  <c r="AC7" i="1"/>
  <c r="AC30" i="24"/>
  <c r="AC33" i="24"/>
  <c r="AC34" i="24"/>
  <c r="Z7" i="34"/>
  <c r="AD7" i="3"/>
  <c r="AD24" i="29"/>
  <c r="AD9" i="3"/>
  <c r="AE38" i="19"/>
  <c r="AD32" i="10"/>
  <c r="AD27" i="1"/>
  <c r="AD37" i="10"/>
  <c r="AD28" i="1"/>
  <c r="AD32" i="1"/>
  <c r="AE61" i="19"/>
  <c r="AE40" i="19"/>
  <c r="AE42" i="19"/>
  <c r="AE43" i="19"/>
  <c r="AE45" i="19"/>
  <c r="AD11" i="1"/>
  <c r="AD20" i="3"/>
  <c r="AD14" i="23"/>
  <c r="AD12" i="1"/>
  <c r="AD21" i="3"/>
  <c r="AD13" i="1"/>
  <c r="AD22" i="3"/>
  <c r="AD24" i="3"/>
  <c r="AD25" i="3"/>
  <c r="AD26" i="3"/>
  <c r="AD8" i="29"/>
  <c r="AD23" i="29"/>
  <c r="AD31" i="3"/>
  <c r="AH41" i="32"/>
  <c r="AD33" i="3"/>
  <c r="AD35" i="3"/>
  <c r="AD4" i="24"/>
  <c r="AD9" i="24"/>
  <c r="AD12" i="24"/>
  <c r="AD23" i="24"/>
  <c r="AD24" i="24"/>
  <c r="AD25" i="24"/>
  <c r="AD27" i="24"/>
  <c r="AD28" i="24"/>
  <c r="AD29" i="24"/>
  <c r="AD7" i="1"/>
  <c r="AD30" i="24"/>
  <c r="AD33" i="24"/>
  <c r="AD34" i="24"/>
  <c r="AA7" i="34"/>
  <c r="AE7" i="3"/>
  <c r="AE24" i="29"/>
  <c r="AE9" i="3"/>
  <c r="AF38" i="19"/>
  <c r="AE32" i="10"/>
  <c r="AE27" i="1"/>
  <c r="AE37" i="10"/>
  <c r="AE28" i="1"/>
  <c r="AE32" i="1"/>
  <c r="AF61" i="19"/>
  <c r="AF40" i="19"/>
  <c r="AF42" i="19"/>
  <c r="AF43" i="19"/>
  <c r="AF45" i="19"/>
  <c r="AE11" i="1"/>
  <c r="AE20" i="3"/>
  <c r="AE14" i="23"/>
  <c r="AE12" i="1"/>
  <c r="AE21" i="3"/>
  <c r="AE13" i="1"/>
  <c r="AE22" i="3"/>
  <c r="AE24" i="3"/>
  <c r="AE25" i="3"/>
  <c r="AE26" i="3"/>
  <c r="AE8" i="29"/>
  <c r="AE23" i="29"/>
  <c r="AE31" i="3"/>
  <c r="AI41" i="32"/>
  <c r="AE33" i="3"/>
  <c r="AE35" i="3"/>
  <c r="AE4" i="24"/>
  <c r="AE9" i="24"/>
  <c r="AE12" i="24"/>
  <c r="AE23" i="24"/>
  <c r="AE24" i="24"/>
  <c r="AE25" i="24"/>
  <c r="AE27" i="24"/>
  <c r="AE28" i="24"/>
  <c r="AE29" i="24"/>
  <c r="AE7" i="1"/>
  <c r="AE30" i="24"/>
  <c r="AE33" i="24"/>
  <c r="AE34" i="24"/>
  <c r="AB7" i="34"/>
  <c r="AF7" i="3"/>
  <c r="AF24" i="29"/>
  <c r="AF9" i="3"/>
  <c r="AG38" i="19"/>
  <c r="AF32" i="10"/>
  <c r="AF27" i="1"/>
  <c r="AF37" i="10"/>
  <c r="AF28" i="1"/>
  <c r="AF32" i="1"/>
  <c r="AG61" i="19"/>
  <c r="AG40" i="19"/>
  <c r="AG42" i="19"/>
  <c r="AG43" i="19"/>
  <c r="AG45" i="19"/>
  <c r="AF11" i="1"/>
  <c r="AF20" i="3"/>
  <c r="AF14" i="23"/>
  <c r="AF12" i="1"/>
  <c r="AF21" i="3"/>
  <c r="AF13" i="1"/>
  <c r="AF22" i="3"/>
  <c r="AF24" i="3"/>
  <c r="AF25" i="3"/>
  <c r="AF26" i="3"/>
  <c r="AF8" i="29"/>
  <c r="AF23" i="29"/>
  <c r="AF31" i="3"/>
  <c r="AJ41" i="32"/>
  <c r="AF33" i="3"/>
  <c r="AF35" i="3"/>
  <c r="AF4" i="24"/>
  <c r="AF9" i="24"/>
  <c r="AF12" i="24"/>
  <c r="AF23" i="24"/>
  <c r="AF24" i="24"/>
  <c r="AF25" i="24"/>
  <c r="AF27" i="24"/>
  <c r="AF28" i="24"/>
  <c r="AF29" i="24"/>
  <c r="AF7" i="1"/>
  <c r="AF30" i="24"/>
  <c r="AF33" i="24"/>
  <c r="AF34" i="24"/>
  <c r="AC7" i="34"/>
  <c r="AG7" i="3"/>
  <c r="AG24" i="29"/>
  <c r="AG9" i="3"/>
  <c r="AH38" i="19"/>
  <c r="AG32" i="10"/>
  <c r="AG27" i="1"/>
  <c r="AG37" i="10"/>
  <c r="AG28" i="1"/>
  <c r="AG32" i="1"/>
  <c r="AH61" i="19"/>
  <c r="AH40" i="19"/>
  <c r="AH42" i="19"/>
  <c r="AH43" i="19"/>
  <c r="AH45" i="19"/>
  <c r="AG11" i="1"/>
  <c r="AG20" i="3"/>
  <c r="AG14" i="23"/>
  <c r="AG12" i="1"/>
  <c r="AG21" i="3"/>
  <c r="AG13" i="1"/>
  <c r="AG22" i="3"/>
  <c r="AG24" i="3"/>
  <c r="AG25" i="3"/>
  <c r="AG26" i="3"/>
  <c r="AG8" i="29"/>
  <c r="AG23" i="29"/>
  <c r="AG31" i="3"/>
  <c r="AK41" i="32"/>
  <c r="AG33" i="3"/>
  <c r="AG35" i="3"/>
  <c r="AG4" i="24"/>
  <c r="AG9" i="24"/>
  <c r="AG12" i="24"/>
  <c r="AG23" i="24"/>
  <c r="AG24" i="24"/>
  <c r="AG25" i="24"/>
  <c r="AG27" i="24"/>
  <c r="AG28" i="24"/>
  <c r="AG29" i="24"/>
  <c r="AG7" i="1"/>
  <c r="AG30" i="24"/>
  <c r="AG33" i="24"/>
  <c r="AG34" i="24"/>
  <c r="AD7" i="34"/>
  <c r="AH7" i="3"/>
  <c r="AH24" i="29"/>
  <c r="AH9" i="3"/>
  <c r="AI38" i="19"/>
  <c r="AH32" i="10"/>
  <c r="AH27" i="1"/>
  <c r="AH37" i="10"/>
  <c r="AH28" i="1"/>
  <c r="AH32" i="1"/>
  <c r="AI61" i="19"/>
  <c r="AI40" i="19"/>
  <c r="AI42" i="19"/>
  <c r="AI43" i="19"/>
  <c r="AI45" i="19"/>
  <c r="AH11" i="1"/>
  <c r="AH20" i="3"/>
  <c r="AH14" i="23"/>
  <c r="AH12" i="1"/>
  <c r="AH21" i="3"/>
  <c r="AH13" i="1"/>
  <c r="AH22" i="3"/>
  <c r="AH24" i="3"/>
  <c r="AH25" i="3"/>
  <c r="AH26" i="3"/>
  <c r="AH8" i="29"/>
  <c r="AH23" i="29"/>
  <c r="AH31" i="3"/>
  <c r="AL41" i="32"/>
  <c r="AH33" i="3"/>
  <c r="AH35" i="3"/>
  <c r="AH4" i="24"/>
  <c r="AH9" i="24"/>
  <c r="AH12" i="24"/>
  <c r="AH23" i="24"/>
  <c r="AH24" i="24"/>
  <c r="AH25" i="24"/>
  <c r="AH27" i="24"/>
  <c r="AH28" i="24"/>
  <c r="AH29" i="24"/>
  <c r="AH7" i="1"/>
  <c r="AH30" i="24"/>
  <c r="AH33" i="24"/>
  <c r="AH34" i="24"/>
  <c r="AE7" i="34"/>
  <c r="AI7" i="3"/>
  <c r="AI24" i="29"/>
  <c r="AI9" i="3"/>
  <c r="AJ38" i="19"/>
  <c r="AI32" i="10"/>
  <c r="AI27" i="1"/>
  <c r="AI37" i="10"/>
  <c r="AI28" i="1"/>
  <c r="AI32" i="1"/>
  <c r="AJ61" i="19"/>
  <c r="AJ40" i="19"/>
  <c r="AJ42" i="19"/>
  <c r="AJ43" i="19"/>
  <c r="AJ45" i="19"/>
  <c r="AI11" i="1"/>
  <c r="AI20" i="3"/>
  <c r="AI14" i="23"/>
  <c r="AI12" i="1"/>
  <c r="AI21" i="3"/>
  <c r="AI13" i="1"/>
  <c r="AI22" i="3"/>
  <c r="AI24" i="3"/>
  <c r="AI25" i="3"/>
  <c r="AI26" i="3"/>
  <c r="AI8" i="29"/>
  <c r="AI23" i="29"/>
  <c r="AI31" i="3"/>
  <c r="AM41" i="32"/>
  <c r="AI33" i="3"/>
  <c r="AI35" i="3"/>
  <c r="AI4" i="24"/>
  <c r="AI9" i="24"/>
  <c r="AI12" i="24"/>
  <c r="AI23" i="24"/>
  <c r="AI24" i="24"/>
  <c r="AI25" i="24"/>
  <c r="AI27" i="24"/>
  <c r="AI28" i="24"/>
  <c r="AI29" i="24"/>
  <c r="AI7" i="1"/>
  <c r="AI30" i="24"/>
  <c r="AI33" i="24"/>
  <c r="AI34" i="24"/>
  <c r="AF7" i="34"/>
  <c r="AJ7" i="3"/>
  <c r="AJ24" i="29"/>
  <c r="AJ9" i="3"/>
  <c r="AK38" i="19"/>
  <c r="AJ32" i="10"/>
  <c r="AJ27" i="1"/>
  <c r="AJ37" i="10"/>
  <c r="AJ28" i="1"/>
  <c r="AJ32" i="1"/>
  <c r="AK61" i="19"/>
  <c r="AK40" i="19"/>
  <c r="AK42" i="19"/>
  <c r="AK43" i="19"/>
  <c r="AK45" i="19"/>
  <c r="AJ11" i="1"/>
  <c r="AJ20" i="3"/>
  <c r="AJ14" i="23"/>
  <c r="AJ12" i="1"/>
  <c r="AJ21" i="3"/>
  <c r="AJ13" i="1"/>
  <c r="AJ22" i="3"/>
  <c r="AJ24" i="3"/>
  <c r="AJ25" i="3"/>
  <c r="AJ26" i="3"/>
  <c r="AJ8" i="29"/>
  <c r="AJ23" i="29"/>
  <c r="AJ31" i="3"/>
  <c r="AN41" i="32"/>
  <c r="AJ33" i="3"/>
  <c r="AJ35" i="3"/>
  <c r="AJ4" i="24"/>
  <c r="AJ9" i="24"/>
  <c r="AJ12" i="24"/>
  <c r="AJ23" i="24"/>
  <c r="AJ24" i="24"/>
  <c r="AJ25" i="24"/>
  <c r="AJ27" i="24"/>
  <c r="AJ28" i="24"/>
  <c r="AJ29" i="24"/>
  <c r="AJ7" i="1"/>
  <c r="AJ30" i="24"/>
  <c r="AJ33" i="24"/>
  <c r="AJ34" i="24"/>
  <c r="AG7" i="34"/>
  <c r="AK7" i="3"/>
  <c r="AK24" i="29"/>
  <c r="AK9" i="3"/>
  <c r="AL38" i="19"/>
  <c r="AK32" i="10"/>
  <c r="AK27" i="1"/>
  <c r="AK37" i="10"/>
  <c r="AK28" i="1"/>
  <c r="AK32" i="1"/>
  <c r="AL61" i="19"/>
  <c r="AL40" i="19"/>
  <c r="AL42" i="19"/>
  <c r="AL43" i="19"/>
  <c r="AL45" i="19"/>
  <c r="AK11" i="1"/>
  <c r="AK20" i="3"/>
  <c r="AK14" i="23"/>
  <c r="AK12" i="1"/>
  <c r="AK21" i="3"/>
  <c r="AK13" i="1"/>
  <c r="AK22" i="3"/>
  <c r="AK24" i="3"/>
  <c r="AK25" i="3"/>
  <c r="AK26" i="3"/>
  <c r="AK8" i="29"/>
  <c r="AK23" i="29"/>
  <c r="AK31" i="3"/>
  <c r="AO41" i="32"/>
  <c r="AK33" i="3"/>
  <c r="AK35" i="3"/>
  <c r="AK4" i="24"/>
  <c r="AK9" i="24"/>
  <c r="AK12" i="24"/>
  <c r="AK23" i="24"/>
  <c r="AK24" i="24"/>
  <c r="AK25" i="24"/>
  <c r="AK27" i="24"/>
  <c r="AK28" i="24"/>
  <c r="AK29" i="24"/>
  <c r="AK7" i="1"/>
  <c r="AK30" i="24"/>
  <c r="AK33" i="24"/>
  <c r="AK34" i="24"/>
  <c r="AH7" i="34"/>
  <c r="AL7" i="3"/>
  <c r="AL24" i="29"/>
  <c r="AL9" i="3"/>
  <c r="AM38" i="19"/>
  <c r="AL32" i="10"/>
  <c r="AL27" i="1"/>
  <c r="AL37" i="10"/>
  <c r="AL28" i="1"/>
  <c r="AL32" i="1"/>
  <c r="AM61" i="19"/>
  <c r="AM40" i="19"/>
  <c r="AM42" i="19"/>
  <c r="AM43" i="19"/>
  <c r="AM45" i="19"/>
  <c r="AL11" i="1"/>
  <c r="AL20" i="3"/>
  <c r="AL14" i="23"/>
  <c r="AL12" i="1"/>
  <c r="AL21" i="3"/>
  <c r="AL13" i="1"/>
  <c r="AL22" i="3"/>
  <c r="AL24" i="3"/>
  <c r="AL25" i="3"/>
  <c r="AL26" i="3"/>
  <c r="AL8" i="29"/>
  <c r="AL23" i="29"/>
  <c r="AL31" i="3"/>
  <c r="AP41" i="32"/>
  <c r="AL33" i="3"/>
  <c r="AL35" i="3"/>
  <c r="AL4" i="24"/>
  <c r="AL9" i="24"/>
  <c r="AL12" i="24"/>
  <c r="AL23" i="24"/>
  <c r="AL24" i="24"/>
  <c r="AL25" i="24"/>
  <c r="AL27" i="24"/>
  <c r="AL28" i="24"/>
  <c r="AL29" i="24"/>
  <c r="AL7" i="1"/>
  <c r="AL30" i="24"/>
  <c r="AL33" i="24"/>
  <c r="AL34" i="24"/>
  <c r="AI7" i="34"/>
  <c r="AM7" i="3"/>
  <c r="AM24" i="29"/>
  <c r="AM9" i="3"/>
  <c r="AN38" i="19"/>
  <c r="AM32" i="10"/>
  <c r="AM27" i="1"/>
  <c r="AM37" i="10"/>
  <c r="AM28" i="1"/>
  <c r="AM32" i="1"/>
  <c r="AN61" i="19"/>
  <c r="AN40" i="19"/>
  <c r="AN42" i="19"/>
  <c r="AN43" i="19"/>
  <c r="AN45" i="19"/>
  <c r="AM11" i="1"/>
  <c r="AM20" i="3"/>
  <c r="AM14" i="23"/>
  <c r="AM12" i="1"/>
  <c r="AM21" i="3"/>
  <c r="AM13" i="1"/>
  <c r="AM22" i="3"/>
  <c r="AM24" i="3"/>
  <c r="AM25" i="3"/>
  <c r="AM26" i="3"/>
  <c r="AM8" i="29"/>
  <c r="AM23" i="29"/>
  <c r="AM31" i="3"/>
  <c r="AQ41" i="32"/>
  <c r="AM33" i="3"/>
  <c r="AM35" i="3"/>
  <c r="AM4" i="24"/>
  <c r="AM9" i="24"/>
  <c r="AM12" i="24"/>
  <c r="AM23" i="24"/>
  <c r="AM24" i="24"/>
  <c r="AM25" i="24"/>
  <c r="AM27" i="24"/>
  <c r="AM28" i="24"/>
  <c r="AM29" i="24"/>
  <c r="AM7" i="1"/>
  <c r="AM30" i="24"/>
  <c r="AM33" i="24"/>
  <c r="AM34" i="24"/>
  <c r="AJ7" i="34"/>
  <c r="AN7" i="3"/>
  <c r="AN24" i="29"/>
  <c r="AN9" i="3"/>
  <c r="AO38" i="19"/>
  <c r="AN32" i="10"/>
  <c r="AN27" i="1"/>
  <c r="AN37" i="10"/>
  <c r="AN28" i="1"/>
  <c r="AN32" i="1"/>
  <c r="AO61" i="19"/>
  <c r="AO40" i="19"/>
  <c r="AO42" i="19"/>
  <c r="AO43" i="19"/>
  <c r="AO45" i="19"/>
  <c r="AN11" i="1"/>
  <c r="AN20" i="3"/>
  <c r="AN14" i="23"/>
  <c r="AN12" i="1"/>
  <c r="AN21" i="3"/>
  <c r="AN13" i="1"/>
  <c r="AN22" i="3"/>
  <c r="AN24" i="3"/>
  <c r="AN25" i="3"/>
  <c r="AN26" i="3"/>
  <c r="AN8" i="29"/>
  <c r="AN23" i="29"/>
  <c r="AN31" i="3"/>
  <c r="AR41" i="32"/>
  <c r="AN33" i="3"/>
  <c r="AN35" i="3"/>
  <c r="AN4" i="24"/>
  <c r="AN9" i="24"/>
  <c r="AN12" i="24"/>
  <c r="AN23" i="24"/>
  <c r="AN24" i="24"/>
  <c r="AN25" i="24"/>
  <c r="AN27" i="24"/>
  <c r="AN28" i="24"/>
  <c r="AN29" i="24"/>
  <c r="AN7" i="1"/>
  <c r="AN30" i="24"/>
  <c r="AN33" i="24"/>
  <c r="AN34" i="24"/>
  <c r="B25" i="52"/>
  <c r="AO4" i="24"/>
  <c r="AO9" i="24"/>
  <c r="AO24" i="29"/>
  <c r="AO12" i="24"/>
  <c r="AP38" i="19"/>
  <c r="AO32" i="10"/>
  <c r="AO27" i="1"/>
  <c r="AO37" i="10"/>
  <c r="AO28" i="1"/>
  <c r="AO32" i="1"/>
  <c r="AO7" i="3"/>
  <c r="AP61" i="19"/>
  <c r="AP40" i="19"/>
  <c r="AP42" i="19"/>
  <c r="AP43" i="19"/>
  <c r="AP45" i="19"/>
  <c r="AO11" i="1"/>
  <c r="AO23" i="24"/>
  <c r="AO14" i="23"/>
  <c r="AO12" i="1"/>
  <c r="AO24" i="24"/>
  <c r="AO13" i="1"/>
  <c r="AO25" i="24"/>
  <c r="AO27" i="24"/>
  <c r="AO28" i="24"/>
  <c r="AO29" i="24"/>
  <c r="AO7" i="1"/>
  <c r="AO30" i="24"/>
  <c r="AO8" i="29"/>
  <c r="AO23" i="29"/>
  <c r="AO33" i="24"/>
  <c r="AS41" i="32"/>
  <c r="AO34" i="24"/>
  <c r="V11" i="55"/>
  <c r="V12" i="55"/>
  <c r="V13" i="55"/>
  <c r="V14" i="55"/>
  <c r="V9" i="55"/>
  <c r="V8" i="55"/>
  <c r="V7" i="55"/>
  <c r="V6" i="55"/>
  <c r="AB5" i="55"/>
  <c r="AC5" i="55"/>
  <c r="AD5" i="55"/>
  <c r="AE5" i="55"/>
  <c r="Z5" i="55"/>
  <c r="Y5" i="55"/>
  <c r="X5" i="55"/>
  <c r="W5" i="55"/>
  <c r="AQ5" i="55"/>
  <c r="AP5" i="55"/>
  <c r="AO5" i="55"/>
  <c r="AN5" i="55"/>
  <c r="AS5" i="55"/>
  <c r="AT5" i="55"/>
  <c r="AU5" i="55"/>
  <c r="AV5" i="55"/>
  <c r="AM9" i="55"/>
  <c r="AM8" i="55"/>
  <c r="AM7" i="55"/>
  <c r="AM6" i="55"/>
  <c r="AM11" i="55"/>
  <c r="AM12" i="55"/>
  <c r="AM13" i="55"/>
  <c r="AM14" i="55"/>
  <c r="AH11" i="55"/>
  <c r="AH12" i="55"/>
  <c r="AH13" i="55"/>
  <c r="AH14" i="55"/>
  <c r="AH9" i="55"/>
  <c r="AH8" i="55"/>
  <c r="AH7" i="55"/>
  <c r="AH6" i="55"/>
  <c r="AH63" i="55"/>
  <c r="AH64" i="55"/>
  <c r="AH65" i="55"/>
  <c r="AH66" i="55"/>
  <c r="AH67" i="55"/>
  <c r="AH68" i="55"/>
  <c r="AH61" i="55"/>
  <c r="AH60" i="55"/>
  <c r="AH59" i="55"/>
  <c r="AH58" i="55"/>
  <c r="AH57" i="55"/>
  <c r="AH56" i="55"/>
  <c r="AT55" i="55"/>
  <c r="AU55" i="55"/>
  <c r="AV55" i="55"/>
  <c r="AW55" i="55"/>
  <c r="AX55" i="55"/>
  <c r="AY55" i="55"/>
  <c r="AZ55" i="55"/>
  <c r="BA55" i="55"/>
  <c r="BB55" i="55"/>
  <c r="BC55" i="55"/>
  <c r="AR55" i="55"/>
  <c r="AQ55" i="55"/>
  <c r="AP55" i="55"/>
  <c r="AO55" i="55"/>
  <c r="AN55" i="55"/>
  <c r="AM55" i="55"/>
  <c r="AL55" i="55"/>
  <c r="AK55" i="55"/>
  <c r="AJ55" i="55"/>
  <c r="AI55" i="55"/>
  <c r="AH46" i="55"/>
  <c r="AH47" i="55"/>
  <c r="AH48" i="55"/>
  <c r="AH49" i="55"/>
  <c r="AH50" i="55"/>
  <c r="AH51" i="55"/>
  <c r="AH44" i="55"/>
  <c r="AH43" i="55"/>
  <c r="AH42" i="55"/>
  <c r="AH41" i="55"/>
  <c r="AH40" i="55"/>
  <c r="AH39" i="55"/>
  <c r="AT38" i="55"/>
  <c r="AU38" i="55"/>
  <c r="AV38" i="55"/>
  <c r="AW38" i="55"/>
  <c r="AX38" i="55"/>
  <c r="AY38" i="55"/>
  <c r="AZ38" i="55"/>
  <c r="BA38" i="55"/>
  <c r="BB38" i="55"/>
  <c r="BC38" i="55"/>
  <c r="AR38" i="55"/>
  <c r="AQ38" i="55"/>
  <c r="AP38" i="55"/>
  <c r="AO38" i="55"/>
  <c r="AN38" i="55"/>
  <c r="AM38" i="55"/>
  <c r="AL38" i="55"/>
  <c r="AK38" i="55"/>
  <c r="AJ38" i="55"/>
  <c r="AI38" i="55"/>
  <c r="AH29" i="55"/>
  <c r="AH30" i="55"/>
  <c r="AH31" i="55"/>
  <c r="AH32" i="55"/>
  <c r="AH33" i="55"/>
  <c r="AH34" i="55"/>
  <c r="AH27" i="55"/>
  <c r="AH26" i="55"/>
  <c r="AH25" i="55"/>
  <c r="AH24" i="55"/>
  <c r="AH23" i="55"/>
  <c r="AH22" i="55"/>
  <c r="AT21" i="55"/>
  <c r="AU21" i="55"/>
  <c r="AV21" i="55"/>
  <c r="AW21" i="55"/>
  <c r="AX21" i="55"/>
  <c r="AY21" i="55"/>
  <c r="AZ21" i="55"/>
  <c r="BA21" i="55"/>
  <c r="BB21" i="55"/>
  <c r="BC21" i="55"/>
  <c r="AR21" i="55"/>
  <c r="AQ21" i="55"/>
  <c r="AP21" i="55"/>
  <c r="AO21" i="55"/>
  <c r="AN21" i="55"/>
  <c r="AM21" i="55"/>
  <c r="AL21" i="55"/>
  <c r="AK21" i="55"/>
  <c r="AJ21" i="55"/>
  <c r="AI21" i="55"/>
  <c r="R45" i="55"/>
  <c r="R46" i="55"/>
  <c r="R47" i="55"/>
  <c r="R48" i="55"/>
  <c r="R49" i="55"/>
  <c r="R43" i="55"/>
  <c r="R42" i="55"/>
  <c r="R41" i="55"/>
  <c r="R40" i="55"/>
  <c r="R39" i="55"/>
  <c r="Y38" i="55"/>
  <c r="Z38" i="55"/>
  <c r="AA38" i="55"/>
  <c r="AB38" i="55"/>
  <c r="AC38" i="55"/>
  <c r="W38" i="55"/>
  <c r="V38" i="55"/>
  <c r="U38" i="55"/>
  <c r="T38" i="55"/>
  <c r="S38" i="55"/>
  <c r="C11" i="55"/>
  <c r="C12" i="55"/>
  <c r="C13" i="55"/>
  <c r="C14" i="55"/>
  <c r="C15" i="55"/>
  <c r="C9" i="55"/>
  <c r="C8" i="55"/>
  <c r="C7" i="55"/>
  <c r="C6" i="55"/>
  <c r="C5" i="55"/>
  <c r="J4" i="55"/>
  <c r="K4" i="55"/>
  <c r="L4" i="55"/>
  <c r="M4" i="55"/>
  <c r="N4" i="55"/>
  <c r="H4" i="55"/>
  <c r="G4" i="55"/>
  <c r="F4" i="55"/>
  <c r="E4" i="55"/>
  <c r="D4" i="55"/>
  <c r="CL154" i="54"/>
  <c r="CL155" i="54"/>
  <c r="CL156" i="54"/>
  <c r="CL157" i="54"/>
  <c r="CL158" i="54"/>
  <c r="BX154" i="54"/>
  <c r="BX155" i="54"/>
  <c r="BX156" i="54"/>
  <c r="BX157" i="54"/>
  <c r="BX158" i="54"/>
  <c r="CL152" i="54"/>
  <c r="BX152" i="54"/>
  <c r="CL151" i="54"/>
  <c r="BX151" i="54"/>
  <c r="CL150" i="54"/>
  <c r="BX150" i="54"/>
  <c r="CL149" i="54"/>
  <c r="BX149" i="54"/>
  <c r="CL148" i="54"/>
  <c r="BX148" i="54"/>
  <c r="CS147" i="54"/>
  <c r="CT147" i="54"/>
  <c r="CU147" i="54"/>
  <c r="CV147" i="54"/>
  <c r="CW147" i="54"/>
  <c r="CQ147" i="54"/>
  <c r="CP147" i="54"/>
  <c r="CO147" i="54"/>
  <c r="CN147" i="54"/>
  <c r="CM147" i="54"/>
  <c r="CE147" i="54"/>
  <c r="CF147" i="54"/>
  <c r="CG147" i="54"/>
  <c r="CH147" i="54"/>
  <c r="CI147" i="54"/>
  <c r="CC147" i="54"/>
  <c r="CB147" i="54"/>
  <c r="CA147" i="54"/>
  <c r="BZ147" i="54"/>
  <c r="BY147" i="54"/>
  <c r="CL136" i="54"/>
  <c r="CL137" i="54"/>
  <c r="CL138" i="54"/>
  <c r="CL139" i="54"/>
  <c r="CL140" i="54"/>
  <c r="BX136" i="54"/>
  <c r="BX137" i="54"/>
  <c r="BX138" i="54"/>
  <c r="BX139" i="54"/>
  <c r="BX140" i="54"/>
  <c r="CL134" i="54"/>
  <c r="BX134" i="54"/>
  <c r="CL133" i="54"/>
  <c r="BX133" i="54"/>
  <c r="CL132" i="54"/>
  <c r="BX132" i="54"/>
  <c r="CL131" i="54"/>
  <c r="BX131" i="54"/>
  <c r="CL130" i="54"/>
  <c r="BX130" i="54"/>
  <c r="CS129" i="54"/>
  <c r="CT129" i="54"/>
  <c r="CU129" i="54"/>
  <c r="CV129" i="54"/>
  <c r="CW129" i="54"/>
  <c r="CQ129" i="54"/>
  <c r="CP129" i="54"/>
  <c r="CO129" i="54"/>
  <c r="CN129" i="54"/>
  <c r="CM129" i="54"/>
  <c r="CE129" i="54"/>
  <c r="CF129" i="54"/>
  <c r="CG129" i="54"/>
  <c r="CH129" i="54"/>
  <c r="CI129" i="54"/>
  <c r="CC129" i="54"/>
  <c r="CB129" i="54"/>
  <c r="CA129" i="54"/>
  <c r="BZ129" i="54"/>
  <c r="BY129" i="54"/>
  <c r="CL118" i="54"/>
  <c r="CL119" i="54"/>
  <c r="CL120" i="54"/>
  <c r="CL121" i="54"/>
  <c r="CL122" i="54"/>
  <c r="BX118" i="54"/>
  <c r="BX119" i="54"/>
  <c r="BX120" i="54"/>
  <c r="BX121" i="54"/>
  <c r="BX122" i="54"/>
  <c r="CL116" i="54"/>
  <c r="BX116" i="54"/>
  <c r="CL115" i="54"/>
  <c r="BX115" i="54"/>
  <c r="CL114" i="54"/>
  <c r="BX114" i="54"/>
  <c r="CL113" i="54"/>
  <c r="BX113" i="54"/>
  <c r="CL112" i="54"/>
  <c r="BX112" i="54"/>
  <c r="CS111" i="54"/>
  <c r="CT111" i="54"/>
  <c r="CU111" i="54"/>
  <c r="CV111" i="54"/>
  <c r="CW111" i="54"/>
  <c r="CQ111" i="54"/>
  <c r="CP111" i="54"/>
  <c r="CO111" i="54"/>
  <c r="CN111" i="54"/>
  <c r="CM111" i="54"/>
  <c r="CE111" i="54"/>
  <c r="CF111" i="54"/>
  <c r="CG111" i="54"/>
  <c r="CH111" i="54"/>
  <c r="CI111" i="54"/>
  <c r="CC111" i="54"/>
  <c r="CB111" i="54"/>
  <c r="CA111" i="54"/>
  <c r="BZ111" i="54"/>
  <c r="BY111" i="54"/>
  <c r="BW101" i="54"/>
  <c r="BW102" i="54"/>
  <c r="BW103" i="54"/>
  <c r="BW104" i="54"/>
  <c r="BW105" i="54"/>
  <c r="BW99" i="54"/>
  <c r="BW98" i="54"/>
  <c r="BW97" i="54"/>
  <c r="BW96" i="54"/>
  <c r="BW95" i="54"/>
  <c r="CD94" i="54"/>
  <c r="CE94" i="54"/>
  <c r="CF94" i="54"/>
  <c r="CG94" i="54"/>
  <c r="CH94" i="54"/>
  <c r="CB94" i="54"/>
  <c r="CA94" i="54"/>
  <c r="BZ94" i="54"/>
  <c r="BY94" i="54"/>
  <c r="BX94" i="54"/>
  <c r="H37" i="24"/>
  <c r="H34" i="24"/>
  <c r="H40" i="24"/>
  <c r="G6" i="10"/>
  <c r="G8" i="10"/>
  <c r="G8" i="1"/>
  <c r="I44" i="10"/>
  <c r="J77" i="28"/>
  <c r="I34" i="24"/>
  <c r="H20" i="1"/>
  <c r="I43" i="24"/>
  <c r="J44" i="10"/>
  <c r="K77" i="28"/>
  <c r="J34" i="24"/>
  <c r="K44" i="10"/>
  <c r="L77" i="28"/>
  <c r="K34" i="24"/>
  <c r="L44" i="10"/>
  <c r="M77" i="28"/>
  <c r="L34" i="24"/>
  <c r="M44" i="10"/>
  <c r="N77" i="28"/>
  <c r="Q41" i="32"/>
  <c r="M33" i="3"/>
  <c r="M8" i="29"/>
  <c r="M23" i="29"/>
  <c r="M31" i="3"/>
  <c r="M35" i="3"/>
  <c r="M34" i="24"/>
  <c r="N44" i="10"/>
  <c r="O77" i="28"/>
  <c r="O44" i="10"/>
  <c r="P77" i="28"/>
  <c r="P44" i="10"/>
  <c r="Q77" i="28"/>
  <c r="Q44" i="10"/>
  <c r="R77" i="28"/>
  <c r="R44" i="10"/>
  <c r="S77" i="28"/>
  <c r="S44" i="10"/>
  <c r="T77" i="28"/>
  <c r="T44" i="10"/>
  <c r="U77" i="28"/>
  <c r="U44" i="10"/>
  <c r="V77" i="28"/>
  <c r="V44" i="10"/>
  <c r="W77" i="28"/>
  <c r="W44" i="10"/>
  <c r="X77" i="28"/>
  <c r="X44" i="10"/>
  <c r="Y77" i="28"/>
  <c r="Y44" i="10"/>
  <c r="Z77" i="28"/>
  <c r="Z44" i="10"/>
  <c r="AA77" i="28"/>
  <c r="AA44" i="10"/>
  <c r="AB77" i="28"/>
  <c r="AB44" i="10"/>
  <c r="AC77" i="28"/>
  <c r="AC44" i="10"/>
  <c r="AD77" i="28"/>
  <c r="AD44" i="10"/>
  <c r="AE77" i="28"/>
  <c r="AE44" i="10"/>
  <c r="AF77" i="28"/>
  <c r="AF44" i="10"/>
  <c r="AG77" i="28"/>
  <c r="AG44" i="10"/>
  <c r="AH77" i="28"/>
  <c r="AH44" i="10"/>
  <c r="AI77" i="28"/>
  <c r="AI44" i="10"/>
  <c r="AJ77" i="28"/>
  <c r="AJ44" i="10"/>
  <c r="AK77" i="28"/>
  <c r="AK42" i="10"/>
  <c r="AK44" i="10"/>
  <c r="AL77" i="28"/>
  <c r="AL42" i="10"/>
  <c r="AL44" i="10"/>
  <c r="AM77" i="28"/>
  <c r="AM42" i="10"/>
  <c r="AM44" i="10"/>
  <c r="AN77" i="28"/>
  <c r="AN42" i="10"/>
  <c r="AN44" i="10"/>
  <c r="AO77" i="28"/>
  <c r="AO42" i="10"/>
  <c r="AO44" i="10"/>
  <c r="AP77" i="28"/>
  <c r="B32" i="52"/>
  <c r="AB72" i="10"/>
  <c r="AC72" i="10"/>
  <c r="AD72" i="10"/>
  <c r="AE72" i="10"/>
  <c r="AF72" i="10"/>
  <c r="AG72" i="10"/>
  <c r="AH72" i="10"/>
  <c r="AI72" i="10"/>
  <c r="AJ72" i="10"/>
  <c r="AL72" i="10"/>
  <c r="AM72" i="10"/>
  <c r="AN72" i="10"/>
  <c r="AO72" i="10"/>
  <c r="F23" i="48"/>
  <c r="F24" i="48"/>
  <c r="F25" i="48"/>
  <c r="F26" i="48"/>
  <c r="F21" i="48"/>
  <c r="F20" i="48"/>
  <c r="F19" i="48"/>
  <c r="F18" i="48"/>
  <c r="L17" i="48"/>
  <c r="M17" i="48"/>
  <c r="N17" i="48"/>
  <c r="O17" i="48"/>
  <c r="J17" i="48"/>
  <c r="I17" i="48"/>
  <c r="H17" i="48"/>
  <c r="G17" i="48"/>
  <c r="J21" i="52"/>
  <c r="BF41" i="10"/>
  <c r="BG41" i="10"/>
  <c r="BH41" i="10"/>
  <c r="BI41" i="10"/>
  <c r="BD41" i="10"/>
  <c r="BC41" i="10"/>
  <c r="BB41" i="10"/>
  <c r="BA41" i="10"/>
  <c r="AZ47" i="10"/>
  <c r="AZ48" i="10"/>
  <c r="AZ49" i="10"/>
  <c r="AZ50" i="10"/>
  <c r="AZ45" i="10"/>
  <c r="AZ44" i="10"/>
  <c r="AZ43" i="10"/>
  <c r="AZ42" i="10"/>
  <c r="AU46" i="10"/>
  <c r="AU47" i="10"/>
  <c r="AU48" i="10"/>
  <c r="AU49" i="10"/>
  <c r="AU44" i="10"/>
  <c r="AU43" i="10"/>
  <c r="AU42" i="10"/>
  <c r="AU41" i="10"/>
  <c r="AG22" i="55"/>
  <c r="BH58" i="19"/>
  <c r="BI58" i="19"/>
  <c r="BJ58" i="19"/>
  <c r="BK58" i="19"/>
  <c r="BL58" i="19"/>
  <c r="BM58" i="19"/>
  <c r="BN58" i="19"/>
  <c r="BO58" i="19"/>
  <c r="BP58" i="19"/>
  <c r="BQ58" i="19"/>
  <c r="BF58" i="19"/>
  <c r="BE58" i="19"/>
  <c r="BD58" i="19"/>
  <c r="BC58" i="19"/>
  <c r="BB58" i="19"/>
  <c r="BA58" i="19"/>
  <c r="AZ58" i="19"/>
  <c r="AY58" i="19"/>
  <c r="AX58" i="19"/>
  <c r="AW58" i="19"/>
  <c r="AV66" i="19"/>
  <c r="AV67" i="19"/>
  <c r="AV68" i="19"/>
  <c r="AV69" i="19"/>
  <c r="AV70" i="19"/>
  <c r="AV71" i="19"/>
  <c r="AV64" i="19"/>
  <c r="AV63" i="19"/>
  <c r="AV62" i="19"/>
  <c r="AV61" i="19"/>
  <c r="AV60" i="19"/>
  <c r="AV59" i="19"/>
  <c r="BH40" i="19"/>
  <c r="BI40" i="19"/>
  <c r="BJ40" i="19"/>
  <c r="BK40" i="19"/>
  <c r="BL40" i="19"/>
  <c r="BM40" i="19"/>
  <c r="BN40" i="19"/>
  <c r="BO40" i="19"/>
  <c r="BP40" i="19"/>
  <c r="BQ40" i="19"/>
  <c r="BF40" i="19"/>
  <c r="BE40" i="19"/>
  <c r="BD40" i="19"/>
  <c r="BC40" i="19"/>
  <c r="BB40" i="19"/>
  <c r="BA40" i="19"/>
  <c r="AZ40" i="19"/>
  <c r="AY40" i="19"/>
  <c r="AX40" i="19"/>
  <c r="AW40" i="19"/>
  <c r="AV48" i="19"/>
  <c r="AV49" i="19"/>
  <c r="AV50" i="19"/>
  <c r="AV51" i="19"/>
  <c r="AV52" i="19"/>
  <c r="AV53" i="19"/>
  <c r="AV46" i="19"/>
  <c r="AV45" i="19"/>
  <c r="AV44" i="19"/>
  <c r="AV43" i="19"/>
  <c r="AV42" i="19"/>
  <c r="AV41" i="19"/>
  <c r="BH22" i="19"/>
  <c r="BI22" i="19"/>
  <c r="BJ22" i="19"/>
  <c r="BK22" i="19"/>
  <c r="BL22" i="19"/>
  <c r="BM22" i="19"/>
  <c r="BN22" i="19"/>
  <c r="BO22" i="19"/>
  <c r="BP22" i="19"/>
  <c r="BQ22" i="19"/>
  <c r="BF22" i="19"/>
  <c r="BE22" i="19"/>
  <c r="BD22" i="19"/>
  <c r="BC22" i="19"/>
  <c r="BB22" i="19"/>
  <c r="BA22" i="19"/>
  <c r="AZ22" i="19"/>
  <c r="AY22" i="19"/>
  <c r="AX22" i="19"/>
  <c r="AW22" i="19"/>
  <c r="AV30" i="19"/>
  <c r="AV31" i="19"/>
  <c r="AV32" i="19"/>
  <c r="AV33" i="19"/>
  <c r="AV34" i="19"/>
  <c r="AV35" i="19"/>
  <c r="AV28" i="19"/>
  <c r="AV27" i="19"/>
  <c r="AV26" i="19"/>
  <c r="AV25" i="19"/>
  <c r="AV24" i="19"/>
  <c r="AV23" i="19"/>
  <c r="M42" i="52"/>
  <c r="N42" i="52"/>
  <c r="O42" i="52"/>
  <c r="P42" i="52"/>
  <c r="Q42" i="52"/>
  <c r="K42" i="52"/>
  <c r="J42" i="52"/>
  <c r="I42" i="52"/>
  <c r="H42" i="52"/>
  <c r="G42" i="52"/>
  <c r="F49" i="52"/>
  <c r="F50" i="52"/>
  <c r="F51" i="52"/>
  <c r="F52" i="52"/>
  <c r="F53" i="52"/>
  <c r="F47" i="52"/>
  <c r="F46" i="52"/>
  <c r="F45" i="52"/>
  <c r="F44" i="52"/>
  <c r="F43" i="52"/>
  <c r="B30" i="52"/>
  <c r="B31" i="52"/>
  <c r="BG80" i="54"/>
  <c r="BG81" i="54"/>
  <c r="BG82" i="54"/>
  <c r="BG83" i="54"/>
  <c r="BG84" i="54"/>
  <c r="BG78" i="54"/>
  <c r="BG77" i="54"/>
  <c r="BG76" i="54"/>
  <c r="BG75" i="54"/>
  <c r="BG74" i="54"/>
  <c r="BN73" i="54"/>
  <c r="BO73" i="54"/>
  <c r="BP73" i="54"/>
  <c r="BQ73" i="54"/>
  <c r="BR73" i="54"/>
  <c r="BL73" i="54"/>
  <c r="BK73" i="54"/>
  <c r="BJ73" i="54"/>
  <c r="BI73" i="54"/>
  <c r="BH73" i="54"/>
  <c r="BG62" i="54"/>
  <c r="BG63" i="54"/>
  <c r="BG64" i="54"/>
  <c r="BG65" i="54"/>
  <c r="BG66" i="54"/>
  <c r="BG60" i="54"/>
  <c r="BG59" i="54"/>
  <c r="BG58" i="54"/>
  <c r="BG57" i="54"/>
  <c r="BG56" i="54"/>
  <c r="BN55" i="54"/>
  <c r="BO55" i="54"/>
  <c r="BP55" i="54"/>
  <c r="BQ55" i="54"/>
  <c r="BR55" i="54"/>
  <c r="BL55" i="54"/>
  <c r="BK55" i="54"/>
  <c r="BJ55" i="54"/>
  <c r="BI55" i="54"/>
  <c r="BH55" i="54"/>
  <c r="BG44" i="54"/>
  <c r="BG45" i="54"/>
  <c r="BG46" i="54"/>
  <c r="BG47" i="54"/>
  <c r="BG48" i="54"/>
  <c r="BG42" i="54"/>
  <c r="BG41" i="54"/>
  <c r="BG40" i="54"/>
  <c r="BG39" i="54"/>
  <c r="BG38" i="54"/>
  <c r="BN37" i="54"/>
  <c r="BO37" i="54"/>
  <c r="BP37" i="54"/>
  <c r="BQ37" i="54"/>
  <c r="BR37" i="54"/>
  <c r="BL37" i="54"/>
  <c r="BK37" i="54"/>
  <c r="BJ37" i="54"/>
  <c r="BI37" i="54"/>
  <c r="BH37" i="54"/>
  <c r="AQ22" i="54"/>
  <c r="AQ23" i="54"/>
  <c r="AQ24" i="54"/>
  <c r="AQ25" i="54"/>
  <c r="AQ26" i="54"/>
  <c r="AQ20" i="54"/>
  <c r="AQ19" i="54"/>
  <c r="AQ18" i="54"/>
  <c r="AQ17" i="54"/>
  <c r="AQ16" i="54"/>
  <c r="AX15" i="54"/>
  <c r="AY15" i="54"/>
  <c r="AZ15" i="54"/>
  <c r="BA15" i="54"/>
  <c r="BB15" i="54"/>
  <c r="AV15" i="54"/>
  <c r="AU15" i="54"/>
  <c r="AT15" i="54"/>
  <c r="AS15" i="54"/>
  <c r="AR15" i="54"/>
  <c r="AR80" i="54"/>
  <c r="AR81" i="54"/>
  <c r="AR82" i="54"/>
  <c r="AR83" i="54"/>
  <c r="AR84" i="54"/>
  <c r="AR78" i="54"/>
  <c r="AR77" i="54"/>
  <c r="AR76" i="54"/>
  <c r="AR75" i="54"/>
  <c r="AR74" i="54"/>
  <c r="AY73" i="54"/>
  <c r="AZ73" i="54"/>
  <c r="BA73" i="54"/>
  <c r="BB73" i="54"/>
  <c r="BC73" i="54"/>
  <c r="AW73" i="54"/>
  <c r="AV73" i="54"/>
  <c r="AU73" i="54"/>
  <c r="AT73" i="54"/>
  <c r="AS73" i="54"/>
  <c r="AR62" i="54"/>
  <c r="AR63" i="54"/>
  <c r="AR64" i="54"/>
  <c r="AR65" i="54"/>
  <c r="AR66" i="54"/>
  <c r="AR60" i="54"/>
  <c r="AR59" i="54"/>
  <c r="AR58" i="54"/>
  <c r="AR57" i="54"/>
  <c r="AR56" i="54"/>
  <c r="AY55" i="54"/>
  <c r="AZ55" i="54"/>
  <c r="BA55" i="54"/>
  <c r="BB55" i="54"/>
  <c r="BC55" i="54"/>
  <c r="AW55" i="54"/>
  <c r="AV55" i="54"/>
  <c r="AU55" i="54"/>
  <c r="AT55" i="54"/>
  <c r="AS55" i="54"/>
  <c r="AR44" i="54"/>
  <c r="AR45" i="54"/>
  <c r="AR46" i="54"/>
  <c r="AR47" i="54"/>
  <c r="AR48" i="54"/>
  <c r="AR42" i="54"/>
  <c r="AR41" i="54"/>
  <c r="AR40" i="54"/>
  <c r="AR39" i="54"/>
  <c r="AR38" i="54"/>
  <c r="AY37" i="54"/>
  <c r="AZ37" i="54"/>
  <c r="BA37" i="54"/>
  <c r="BB37" i="54"/>
  <c r="BC37" i="54"/>
  <c r="AW37" i="54"/>
  <c r="AV37" i="54"/>
  <c r="AU37" i="54"/>
  <c r="AT37" i="54"/>
  <c r="AS37" i="54"/>
  <c r="G46" i="11"/>
  <c r="G18" i="10"/>
  <c r="D46" i="11"/>
  <c r="H10" i="32"/>
  <c r="D18" i="10"/>
  <c r="E46" i="11"/>
  <c r="I10" i="32"/>
  <c r="E18" i="10"/>
  <c r="F46" i="11"/>
  <c r="J10" i="32"/>
  <c r="F18" i="10"/>
  <c r="C46" i="11"/>
  <c r="G10" i="32"/>
  <c r="C18" i="10"/>
  <c r="B46" i="11"/>
  <c r="F10" i="32"/>
  <c r="B18" i="10"/>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B15" i="50"/>
  <c r="C15" i="50"/>
  <c r="D15" i="50"/>
  <c r="E15" i="50"/>
  <c r="F15" i="50"/>
  <c r="B16" i="50"/>
  <c r="D16" i="50"/>
  <c r="E16" i="50"/>
  <c r="F16" i="50"/>
  <c r="C16" i="50"/>
  <c r="AZ4" i="51"/>
  <c r="O21" i="52"/>
  <c r="AA21" i="52"/>
  <c r="AY719" i="51"/>
  <c r="AV719" i="51"/>
  <c r="AY718" i="51"/>
  <c r="AV718" i="51"/>
  <c r="AY717" i="51"/>
  <c r="AV717" i="51"/>
  <c r="AY716" i="51"/>
  <c r="AV716" i="51"/>
  <c r="AY715" i="51"/>
  <c r="AV715" i="51"/>
  <c r="AY714" i="51"/>
  <c r="AV714" i="51"/>
  <c r="AY713" i="51"/>
  <c r="AV713" i="51"/>
  <c r="AY712" i="51"/>
  <c r="AV712" i="51"/>
  <c r="AY711" i="51"/>
  <c r="AV711" i="51"/>
  <c r="AY710" i="51"/>
  <c r="AV710" i="51"/>
  <c r="AY709" i="51"/>
  <c r="AV709" i="51"/>
  <c r="AY708" i="51"/>
  <c r="AV708" i="51"/>
  <c r="AY707" i="51"/>
  <c r="AV707" i="51"/>
  <c r="AY706" i="51"/>
  <c r="AV706" i="51"/>
  <c r="AY705" i="51"/>
  <c r="AV705" i="51"/>
  <c r="AY704" i="51"/>
  <c r="AV704" i="51"/>
  <c r="AY703" i="51"/>
  <c r="AV703" i="51"/>
  <c r="AY702" i="51"/>
  <c r="AV702" i="51"/>
  <c r="AY701" i="51"/>
  <c r="AV701" i="51"/>
  <c r="AY700" i="51"/>
  <c r="AV700" i="51"/>
  <c r="AY699" i="51"/>
  <c r="AV699" i="51"/>
  <c r="AY698" i="51"/>
  <c r="AV698" i="51"/>
  <c r="AY697" i="51"/>
  <c r="AV697" i="51"/>
  <c r="AY696" i="51"/>
  <c r="AV696" i="51"/>
  <c r="AY695" i="51"/>
  <c r="AV695" i="51"/>
  <c r="AY694" i="51"/>
  <c r="AV694" i="51"/>
  <c r="AY693" i="51"/>
  <c r="AV693" i="51"/>
  <c r="AY692" i="51"/>
  <c r="AV692" i="51"/>
  <c r="AY691" i="51"/>
  <c r="AV691" i="51"/>
  <c r="AY690" i="51"/>
  <c r="AV690" i="51"/>
  <c r="AY689" i="51"/>
  <c r="AV689" i="51"/>
  <c r="AY688" i="51"/>
  <c r="AV688" i="51"/>
  <c r="AY687" i="51"/>
  <c r="AV687" i="51"/>
  <c r="AY686" i="51"/>
  <c r="AV686" i="51"/>
  <c r="AY685" i="51"/>
  <c r="AV685" i="51"/>
  <c r="AY684" i="51"/>
  <c r="AV684" i="51"/>
  <c r="AY683" i="51"/>
  <c r="AV683" i="51"/>
  <c r="AY682" i="51"/>
  <c r="AV682" i="51"/>
  <c r="AY681" i="51"/>
  <c r="AV681" i="51"/>
  <c r="AY680" i="51"/>
  <c r="AV680" i="51"/>
  <c r="AY679" i="51"/>
  <c r="AV679" i="51"/>
  <c r="AY678" i="51"/>
  <c r="AV678" i="51"/>
  <c r="AY677" i="51"/>
  <c r="AV677" i="51"/>
  <c r="AY676" i="51"/>
  <c r="AV676" i="51"/>
  <c r="AY675" i="51"/>
  <c r="AV675" i="51"/>
  <c r="AY674" i="51"/>
  <c r="AV674" i="51"/>
  <c r="AY673" i="51"/>
  <c r="AV673" i="51"/>
  <c r="AY672" i="51"/>
  <c r="AV672" i="51"/>
  <c r="AY671" i="51"/>
  <c r="AV671" i="51"/>
  <c r="AY670" i="51"/>
  <c r="AV670" i="51"/>
  <c r="AY669" i="51"/>
  <c r="AV669" i="51"/>
  <c r="AY668" i="51"/>
  <c r="AV668" i="51"/>
  <c r="AY667" i="51"/>
  <c r="AV667" i="51"/>
  <c r="AY666" i="51"/>
  <c r="AV666" i="51"/>
  <c r="AY665" i="51"/>
  <c r="AV665" i="51"/>
  <c r="AY664" i="51"/>
  <c r="AV664" i="51"/>
  <c r="AY663" i="51"/>
  <c r="AV663" i="51"/>
  <c r="AY662" i="51"/>
  <c r="AV662" i="51"/>
  <c r="AY661" i="51"/>
  <c r="AV661" i="51"/>
  <c r="AY660" i="51"/>
  <c r="AV660" i="51"/>
  <c r="AY659" i="51"/>
  <c r="AV659" i="51"/>
  <c r="AY658" i="51"/>
  <c r="AV658" i="51"/>
  <c r="AY657" i="51"/>
  <c r="AV657" i="51"/>
  <c r="AY656" i="51"/>
  <c r="AV656" i="51"/>
  <c r="AY655" i="51"/>
  <c r="AV655" i="51"/>
  <c r="AY654" i="51"/>
  <c r="AV654" i="51"/>
  <c r="AY653" i="51"/>
  <c r="AV653" i="51"/>
  <c r="AY652" i="51"/>
  <c r="AV652" i="51"/>
  <c r="AY651" i="51"/>
  <c r="AV651" i="51"/>
  <c r="AY650" i="51"/>
  <c r="AV650" i="51"/>
  <c r="AY649" i="51"/>
  <c r="AV649" i="51"/>
  <c r="AY648" i="51"/>
  <c r="AV648" i="51"/>
  <c r="AY647" i="51"/>
  <c r="AV647" i="51"/>
  <c r="AY646" i="51"/>
  <c r="AV646" i="51"/>
  <c r="AY645" i="51"/>
  <c r="AV645" i="51"/>
  <c r="AY644" i="51"/>
  <c r="AV644" i="51"/>
  <c r="AY643" i="51"/>
  <c r="AV643" i="51"/>
  <c r="AY642" i="51"/>
  <c r="AV642" i="51"/>
  <c r="AY641" i="51"/>
  <c r="AV641" i="51"/>
  <c r="AY640" i="51"/>
  <c r="AV640" i="51"/>
  <c r="AY639" i="51"/>
  <c r="AV639" i="51"/>
  <c r="AY638" i="51"/>
  <c r="AV638" i="51"/>
  <c r="AY637" i="51"/>
  <c r="AV637" i="51"/>
  <c r="AY636" i="51"/>
  <c r="AV636" i="51"/>
  <c r="AY635" i="51"/>
  <c r="AV635" i="51"/>
  <c r="AY634" i="51"/>
  <c r="AV634" i="51"/>
  <c r="AY633" i="51"/>
  <c r="AV633" i="51"/>
  <c r="AY632" i="51"/>
  <c r="AV632" i="51"/>
  <c r="AY631" i="51"/>
  <c r="AV631" i="51"/>
  <c r="AY630" i="51"/>
  <c r="AV630" i="51"/>
  <c r="AY629" i="51"/>
  <c r="AV629" i="51"/>
  <c r="AY628" i="51"/>
  <c r="AV628" i="51"/>
  <c r="AY627" i="51"/>
  <c r="AV627" i="51"/>
  <c r="AY626" i="51"/>
  <c r="AV626" i="51"/>
  <c r="AY625" i="51"/>
  <c r="AV625" i="51"/>
  <c r="AY624" i="51"/>
  <c r="AV624" i="51"/>
  <c r="AY623" i="51"/>
  <c r="AV623" i="51"/>
  <c r="AY622" i="51"/>
  <c r="AV622" i="51"/>
  <c r="AY621" i="51"/>
  <c r="AV621" i="51"/>
  <c r="AY620" i="51"/>
  <c r="AV620" i="51"/>
  <c r="AY619" i="51"/>
  <c r="AV619" i="51"/>
  <c r="AY618" i="51"/>
  <c r="AV618" i="51"/>
  <c r="AY617" i="51"/>
  <c r="AV617" i="51"/>
  <c r="AY616" i="51"/>
  <c r="AV616" i="51"/>
  <c r="AY615" i="51"/>
  <c r="AV615" i="51"/>
  <c r="AY614" i="51"/>
  <c r="AV614" i="51"/>
  <c r="AY613" i="51"/>
  <c r="AV613" i="51"/>
  <c r="AY612" i="51"/>
  <c r="AV612" i="51"/>
  <c r="AY611" i="51"/>
  <c r="AV611" i="51"/>
  <c r="AY610" i="51"/>
  <c r="AV610" i="51"/>
  <c r="AY609" i="51"/>
  <c r="AV609" i="51"/>
  <c r="AY608" i="51"/>
  <c r="AV608" i="51"/>
  <c r="AY607" i="51"/>
  <c r="AV607" i="51"/>
  <c r="AY606" i="51"/>
  <c r="AV606" i="51"/>
  <c r="AY605" i="51"/>
  <c r="AV605" i="51"/>
  <c r="AY604" i="51"/>
  <c r="AV604" i="51"/>
  <c r="AY603" i="51"/>
  <c r="AV603" i="51"/>
  <c r="AY602" i="51"/>
  <c r="AV602" i="51"/>
  <c r="AY601" i="51"/>
  <c r="AV601" i="51"/>
  <c r="AY600" i="51"/>
  <c r="AV600" i="51"/>
  <c r="AY599" i="51"/>
  <c r="AV599" i="51"/>
  <c r="AY598" i="51"/>
  <c r="AV598" i="51"/>
  <c r="AY597" i="51"/>
  <c r="AV597" i="51"/>
  <c r="AY596" i="51"/>
  <c r="AV596" i="51"/>
  <c r="AY595" i="51"/>
  <c r="AV595" i="51"/>
  <c r="AY594" i="51"/>
  <c r="AV594" i="51"/>
  <c r="AY593" i="51"/>
  <c r="AV593" i="51"/>
  <c r="AY592" i="51"/>
  <c r="AV592" i="51"/>
  <c r="AY591" i="51"/>
  <c r="AV591" i="51"/>
  <c r="AY590" i="51"/>
  <c r="AV590" i="51"/>
  <c r="AY589" i="51"/>
  <c r="AV589" i="51"/>
  <c r="AY588" i="51"/>
  <c r="AV588" i="51"/>
  <c r="AY587" i="51"/>
  <c r="AV587" i="51"/>
  <c r="AY586" i="51"/>
  <c r="AV586" i="51"/>
  <c r="AY585" i="51"/>
  <c r="AV585" i="51"/>
  <c r="AY584" i="51"/>
  <c r="AV584" i="51"/>
  <c r="AY583" i="51"/>
  <c r="AV583" i="51"/>
  <c r="AY582" i="51"/>
  <c r="AV582" i="51"/>
  <c r="AY581" i="51"/>
  <c r="AV581" i="51"/>
  <c r="AY580" i="51"/>
  <c r="AV580" i="51"/>
  <c r="AY579" i="51"/>
  <c r="AV579" i="51"/>
  <c r="AY578" i="51"/>
  <c r="AV578" i="51"/>
  <c r="AY577" i="51"/>
  <c r="AV577" i="51"/>
  <c r="AY576" i="51"/>
  <c r="AV576" i="51"/>
  <c r="AY575" i="51"/>
  <c r="AV575" i="51"/>
  <c r="AY574" i="51"/>
  <c r="AV574" i="51"/>
  <c r="AY573" i="51"/>
  <c r="AV573" i="51"/>
  <c r="AY572" i="51"/>
  <c r="AV572" i="51"/>
  <c r="AY571" i="51"/>
  <c r="AV571" i="51"/>
  <c r="AY570" i="51"/>
  <c r="AV570" i="51"/>
  <c r="AY569" i="51"/>
  <c r="AV569" i="51"/>
  <c r="AY568" i="51"/>
  <c r="AV568" i="51"/>
  <c r="AY567" i="51"/>
  <c r="AV567" i="51"/>
  <c r="AY566" i="51"/>
  <c r="AV566" i="51"/>
  <c r="AY565" i="51"/>
  <c r="AV565" i="51"/>
  <c r="AY564" i="51"/>
  <c r="AV564" i="51"/>
  <c r="AY563" i="51"/>
  <c r="AV563" i="51"/>
  <c r="AY562" i="51"/>
  <c r="AV562" i="51"/>
  <c r="AY561" i="51"/>
  <c r="AV561" i="51"/>
  <c r="AY560" i="51"/>
  <c r="AV560" i="51"/>
  <c r="AY559" i="51"/>
  <c r="AV559" i="51"/>
  <c r="AY558" i="51"/>
  <c r="AV558" i="51"/>
  <c r="AY557" i="51"/>
  <c r="AV557" i="51"/>
  <c r="AY556" i="51"/>
  <c r="AV556" i="51"/>
  <c r="AY555" i="51"/>
  <c r="AV555" i="51"/>
  <c r="AY554" i="51"/>
  <c r="AV554" i="51"/>
  <c r="AY553" i="51"/>
  <c r="AV553" i="51"/>
  <c r="AY552" i="51"/>
  <c r="AV552" i="51"/>
  <c r="AY551" i="51"/>
  <c r="AV551" i="51"/>
  <c r="AY550" i="51"/>
  <c r="AV550" i="51"/>
  <c r="AY549" i="51"/>
  <c r="AV549" i="51"/>
  <c r="AY548" i="51"/>
  <c r="AV548" i="51"/>
  <c r="AY547" i="51"/>
  <c r="AV547" i="51"/>
  <c r="AY546" i="51"/>
  <c r="AV546" i="51"/>
  <c r="AY545" i="51"/>
  <c r="AV545" i="51"/>
  <c r="AY544" i="51"/>
  <c r="AV544" i="51"/>
  <c r="AY543" i="51"/>
  <c r="AV543" i="51"/>
  <c r="AY542" i="51"/>
  <c r="AV542" i="51"/>
  <c r="AY541" i="51"/>
  <c r="AV541" i="51"/>
  <c r="AY540" i="51"/>
  <c r="AV540" i="51"/>
  <c r="AY539" i="51"/>
  <c r="AV539" i="51"/>
  <c r="AY538" i="51"/>
  <c r="AV538" i="51"/>
  <c r="AY537" i="51"/>
  <c r="AV537" i="51"/>
  <c r="AY536" i="51"/>
  <c r="AV536" i="51"/>
  <c r="AY535" i="51"/>
  <c r="AV535" i="51"/>
  <c r="AY534" i="51"/>
  <c r="AV534" i="51"/>
  <c r="AY533" i="51"/>
  <c r="AV533" i="51"/>
  <c r="AY532" i="51"/>
  <c r="AV532" i="51"/>
  <c r="AY531" i="51"/>
  <c r="AV531" i="51"/>
  <c r="AY530" i="51"/>
  <c r="AV530" i="51"/>
  <c r="AY529" i="51"/>
  <c r="AV529" i="51"/>
  <c r="AY528" i="51"/>
  <c r="AV528" i="51"/>
  <c r="AY527" i="51"/>
  <c r="AV527" i="51"/>
  <c r="AY526" i="51"/>
  <c r="AV526" i="51"/>
  <c r="AY525" i="51"/>
  <c r="AV525" i="51"/>
  <c r="AY524" i="51"/>
  <c r="AV524" i="51"/>
  <c r="AY523" i="51"/>
  <c r="AV523" i="51"/>
  <c r="AY522" i="51"/>
  <c r="AV522" i="51"/>
  <c r="AY521" i="51"/>
  <c r="AV521" i="51"/>
  <c r="AY520" i="51"/>
  <c r="AV520" i="51"/>
  <c r="AY519" i="51"/>
  <c r="AV519" i="51"/>
  <c r="AY518" i="51"/>
  <c r="AV518" i="51"/>
  <c r="AY517" i="51"/>
  <c r="AV517" i="51"/>
  <c r="AY516" i="51"/>
  <c r="AV516" i="51"/>
  <c r="AY515" i="51"/>
  <c r="AV515" i="51"/>
  <c r="AY514" i="51"/>
  <c r="AV514" i="51"/>
  <c r="AY513" i="51"/>
  <c r="AV513" i="51"/>
  <c r="AY512" i="51"/>
  <c r="AV512" i="51"/>
  <c r="AY511" i="51"/>
  <c r="AV511" i="51"/>
  <c r="AY510" i="51"/>
  <c r="AV510" i="51"/>
  <c r="AY509" i="51"/>
  <c r="AV509" i="51"/>
  <c r="AY508" i="51"/>
  <c r="AV508" i="51"/>
  <c r="AY507" i="51"/>
  <c r="AV507" i="51"/>
  <c r="AY506" i="51"/>
  <c r="AV506" i="51"/>
  <c r="AY505" i="51"/>
  <c r="AV505" i="51"/>
  <c r="AY504" i="51"/>
  <c r="AV504" i="51"/>
  <c r="AY503" i="51"/>
  <c r="AV503" i="51"/>
  <c r="AY502" i="51"/>
  <c r="AV502" i="51"/>
  <c r="AY501" i="51"/>
  <c r="AV501" i="51"/>
  <c r="AY500" i="51"/>
  <c r="AV500" i="51"/>
  <c r="AY499" i="51"/>
  <c r="AV499" i="51"/>
  <c r="AY498" i="51"/>
  <c r="AV498" i="51"/>
  <c r="AY497" i="51"/>
  <c r="AV497" i="51"/>
  <c r="AY496" i="51"/>
  <c r="AV496" i="51"/>
  <c r="AY495" i="51"/>
  <c r="AV495" i="51"/>
  <c r="AY494" i="51"/>
  <c r="AV494" i="51"/>
  <c r="AY493" i="51"/>
  <c r="AV493" i="51"/>
  <c r="AY492" i="51"/>
  <c r="AV492" i="51"/>
  <c r="AY491" i="51"/>
  <c r="AV491" i="51"/>
  <c r="AY490" i="51"/>
  <c r="AV490" i="51"/>
  <c r="AY489" i="51"/>
  <c r="AV489" i="51"/>
  <c r="AY488" i="51"/>
  <c r="AV488" i="51"/>
  <c r="AY487" i="51"/>
  <c r="AV487" i="51"/>
  <c r="AY486" i="51"/>
  <c r="AV486" i="51"/>
  <c r="AY485" i="51"/>
  <c r="AV485" i="51"/>
  <c r="AY484" i="51"/>
  <c r="AV484" i="51"/>
  <c r="AY483" i="51"/>
  <c r="AV483" i="51"/>
  <c r="AY482" i="51"/>
  <c r="AV482" i="51"/>
  <c r="AY481" i="51"/>
  <c r="AV481" i="51"/>
  <c r="AY480" i="51"/>
  <c r="AV480" i="51"/>
  <c r="AY479" i="51"/>
  <c r="AV479" i="51"/>
  <c r="AY478" i="51"/>
  <c r="AV478" i="51"/>
  <c r="AY477" i="51"/>
  <c r="AV477" i="51"/>
  <c r="AY476" i="51"/>
  <c r="AV476" i="51"/>
  <c r="AY475" i="51"/>
  <c r="AV475" i="51"/>
  <c r="AY474" i="51"/>
  <c r="AV474" i="51"/>
  <c r="AY473" i="51"/>
  <c r="AV473" i="51"/>
  <c r="AY472" i="51"/>
  <c r="AV472" i="51"/>
  <c r="AY471" i="51"/>
  <c r="AV471" i="51"/>
  <c r="AY470" i="51"/>
  <c r="AV470" i="51"/>
  <c r="AY469" i="51"/>
  <c r="AV469" i="51"/>
  <c r="AY468" i="51"/>
  <c r="AV468" i="51"/>
  <c r="AY467" i="51"/>
  <c r="AV467" i="51"/>
  <c r="AY466" i="51"/>
  <c r="AV466" i="51"/>
  <c r="AY465" i="51"/>
  <c r="AV465" i="51"/>
  <c r="AY464" i="51"/>
  <c r="AV464" i="51"/>
  <c r="AY463" i="51"/>
  <c r="AV463" i="51"/>
  <c r="AY462" i="51"/>
  <c r="AV462" i="51"/>
  <c r="AY461" i="51"/>
  <c r="AV461" i="51"/>
  <c r="AY460" i="51"/>
  <c r="AV460" i="51"/>
  <c r="AY459" i="51"/>
  <c r="AV459" i="51"/>
  <c r="AY458" i="51"/>
  <c r="AV458" i="51"/>
  <c r="AY457" i="51"/>
  <c r="AV457" i="51"/>
  <c r="AY456" i="51"/>
  <c r="AV456" i="51"/>
  <c r="AY455" i="51"/>
  <c r="AV455" i="51"/>
  <c r="AY454" i="51"/>
  <c r="AV454" i="51"/>
  <c r="AY453" i="51"/>
  <c r="AV453" i="51"/>
  <c r="AY452" i="51"/>
  <c r="AV452" i="51"/>
  <c r="AY451" i="51"/>
  <c r="AV451" i="51"/>
  <c r="AY450" i="51"/>
  <c r="AV450" i="51"/>
  <c r="AY449" i="51"/>
  <c r="AV449" i="51"/>
  <c r="AY448" i="51"/>
  <c r="AV448" i="51"/>
  <c r="AY447" i="51"/>
  <c r="AV447" i="51"/>
  <c r="AY446" i="51"/>
  <c r="AV446" i="51"/>
  <c r="AY445" i="51"/>
  <c r="AV445" i="51"/>
  <c r="AY444" i="51"/>
  <c r="AV444" i="51"/>
  <c r="AY443" i="51"/>
  <c r="AV443" i="51"/>
  <c r="AY442" i="51"/>
  <c r="AV442" i="51"/>
  <c r="AY441" i="51"/>
  <c r="AV441" i="51"/>
  <c r="AY440" i="51"/>
  <c r="AV440" i="51"/>
  <c r="AY439" i="51"/>
  <c r="AV439" i="51"/>
  <c r="AY438" i="51"/>
  <c r="AV438" i="51"/>
  <c r="AY437" i="51"/>
  <c r="AV437" i="51"/>
  <c r="AY436" i="51"/>
  <c r="AV436" i="51"/>
  <c r="AY435" i="51"/>
  <c r="AV435" i="51"/>
  <c r="AY434" i="51"/>
  <c r="AV434" i="51"/>
  <c r="AY433" i="51"/>
  <c r="AV433" i="51"/>
  <c r="AY432" i="51"/>
  <c r="AV432" i="51"/>
  <c r="AY431" i="51"/>
  <c r="AV431" i="51"/>
  <c r="AY430" i="51"/>
  <c r="AV430" i="51"/>
  <c r="AY429" i="51"/>
  <c r="AV429" i="51"/>
  <c r="AY428" i="51"/>
  <c r="AV428" i="51"/>
  <c r="AY427" i="51"/>
  <c r="AV427" i="51"/>
  <c r="AY426" i="51"/>
  <c r="AV426" i="51"/>
  <c r="AY425" i="51"/>
  <c r="AV425" i="51"/>
  <c r="AY424" i="51"/>
  <c r="AV424" i="51"/>
  <c r="AY423" i="51"/>
  <c r="AV423" i="51"/>
  <c r="AY422" i="51"/>
  <c r="AV422" i="51"/>
  <c r="AY421" i="51"/>
  <c r="AV421" i="51"/>
  <c r="AY420" i="51"/>
  <c r="AV420" i="51"/>
  <c r="AY419" i="51"/>
  <c r="AV419" i="51"/>
  <c r="AY418" i="51"/>
  <c r="AV418" i="51"/>
  <c r="AY417" i="51"/>
  <c r="AV417" i="51"/>
  <c r="AY416" i="51"/>
  <c r="AV416" i="51"/>
  <c r="AY415" i="51"/>
  <c r="AV415" i="51"/>
  <c r="AY414" i="51"/>
  <c r="AV414" i="51"/>
  <c r="AY413" i="51"/>
  <c r="AV413" i="51"/>
  <c r="AY412" i="51"/>
  <c r="AV412" i="51"/>
  <c r="AY411" i="51"/>
  <c r="AV411" i="51"/>
  <c r="AY410" i="51"/>
  <c r="AV410" i="51"/>
  <c r="AY409" i="51"/>
  <c r="AV409" i="51"/>
  <c r="AY408" i="51"/>
  <c r="AV408" i="51"/>
  <c r="AY407" i="51"/>
  <c r="AV407" i="51"/>
  <c r="AY406" i="51"/>
  <c r="AV406" i="51"/>
  <c r="AY405" i="51"/>
  <c r="AV405" i="51"/>
  <c r="AY404" i="51"/>
  <c r="AV404" i="51"/>
  <c r="AY403" i="51"/>
  <c r="AV403" i="51"/>
  <c r="AY402" i="51"/>
  <c r="AV402" i="51"/>
  <c r="AY401" i="51"/>
  <c r="AV401" i="51"/>
  <c r="AY400" i="51"/>
  <c r="AV400" i="51"/>
  <c r="AY399" i="51"/>
  <c r="AV399" i="51"/>
  <c r="AY398" i="51"/>
  <c r="AV398" i="51"/>
  <c r="AY397" i="51"/>
  <c r="AV397" i="51"/>
  <c r="AY396" i="51"/>
  <c r="AV396" i="51"/>
  <c r="AY395" i="51"/>
  <c r="AV395" i="51"/>
  <c r="AY394" i="51"/>
  <c r="AV394" i="51"/>
  <c r="AY393" i="51"/>
  <c r="AV393" i="51"/>
  <c r="AY392" i="51"/>
  <c r="AV392" i="51"/>
  <c r="AY391" i="51"/>
  <c r="AV391" i="51"/>
  <c r="AY390" i="51"/>
  <c r="AV390" i="51"/>
  <c r="AY389" i="51"/>
  <c r="AV389" i="51"/>
  <c r="AY388" i="51"/>
  <c r="AV388" i="51"/>
  <c r="AY387" i="51"/>
  <c r="AV387" i="51"/>
  <c r="AY386" i="51"/>
  <c r="AV386" i="51"/>
  <c r="AY385" i="51"/>
  <c r="AV385" i="51"/>
  <c r="AY384" i="51"/>
  <c r="AV384" i="51"/>
  <c r="AY383" i="51"/>
  <c r="AV383" i="51"/>
  <c r="AY382" i="51"/>
  <c r="AV382" i="51"/>
  <c r="AY381" i="51"/>
  <c r="AV381" i="51"/>
  <c r="AY380" i="51"/>
  <c r="AV380" i="51"/>
  <c r="AY379" i="51"/>
  <c r="AV379" i="51"/>
  <c r="AY378" i="51"/>
  <c r="AV378" i="51"/>
  <c r="AY377" i="51"/>
  <c r="AV377" i="51"/>
  <c r="AY376" i="51"/>
  <c r="AV376" i="51"/>
  <c r="AY375" i="51"/>
  <c r="AV375" i="51"/>
  <c r="AY374" i="51"/>
  <c r="AV374" i="51"/>
  <c r="AY373" i="51"/>
  <c r="AV373" i="51"/>
  <c r="AY372" i="51"/>
  <c r="AV372" i="51"/>
  <c r="AY371" i="51"/>
  <c r="AV371" i="51"/>
  <c r="AY370" i="51"/>
  <c r="AV370" i="51"/>
  <c r="AY369" i="51"/>
  <c r="AV369" i="51"/>
  <c r="AY368" i="51"/>
  <c r="AV368" i="51"/>
  <c r="AY367" i="51"/>
  <c r="AV367" i="51"/>
  <c r="AY366" i="51"/>
  <c r="AV366" i="51"/>
  <c r="AY365" i="51"/>
  <c r="AV365" i="51"/>
  <c r="AY364" i="51"/>
  <c r="AV364" i="51"/>
  <c r="AY363" i="51"/>
  <c r="AV363" i="51"/>
  <c r="AY362" i="51"/>
  <c r="AV362" i="51"/>
  <c r="AY361" i="51"/>
  <c r="AV361" i="51"/>
  <c r="AY360" i="51"/>
  <c r="AV360" i="51"/>
  <c r="AI360" i="51"/>
  <c r="AE360" i="51"/>
  <c r="AA360" i="51"/>
  <c r="W360" i="51"/>
  <c r="S360" i="51"/>
  <c r="O360" i="51"/>
  <c r="K360" i="51"/>
  <c r="G360" i="51"/>
  <c r="C360" i="51"/>
  <c r="AY359" i="51"/>
  <c r="AV359" i="51"/>
  <c r="AI359" i="51"/>
  <c r="AE359" i="51"/>
  <c r="AA359" i="51"/>
  <c r="W359" i="51"/>
  <c r="S359" i="51"/>
  <c r="O359" i="51"/>
  <c r="K359" i="51"/>
  <c r="G359" i="51"/>
  <c r="C359" i="51"/>
  <c r="AY358" i="51"/>
  <c r="AV358" i="51"/>
  <c r="AI358" i="51"/>
  <c r="AE358" i="51"/>
  <c r="AA358" i="51"/>
  <c r="W358" i="51"/>
  <c r="S358" i="51"/>
  <c r="O358" i="51"/>
  <c r="K358" i="51"/>
  <c r="G358" i="51"/>
  <c r="C358" i="51"/>
  <c r="AY357" i="51"/>
  <c r="AV357" i="51"/>
  <c r="AI357" i="51"/>
  <c r="AE357" i="51"/>
  <c r="AA357" i="51"/>
  <c r="W357" i="51"/>
  <c r="S357" i="51"/>
  <c r="O357" i="51"/>
  <c r="K357" i="51"/>
  <c r="G357" i="51"/>
  <c r="C357" i="51"/>
  <c r="AY356" i="51"/>
  <c r="AV356" i="51"/>
  <c r="AI356" i="51"/>
  <c r="AE356" i="51"/>
  <c r="AA356" i="51"/>
  <c r="W356" i="51"/>
  <c r="S356" i="51"/>
  <c r="O356" i="51"/>
  <c r="K356" i="51"/>
  <c r="G356" i="51"/>
  <c r="C356" i="51"/>
  <c r="AY355" i="51"/>
  <c r="AV355" i="51"/>
  <c r="AI355" i="51"/>
  <c r="AE355" i="51"/>
  <c r="AA355" i="51"/>
  <c r="W355" i="51"/>
  <c r="S355" i="51"/>
  <c r="O355" i="51"/>
  <c r="K355" i="51"/>
  <c r="G355" i="51"/>
  <c r="C355" i="51"/>
  <c r="AY354" i="51"/>
  <c r="AV354" i="51"/>
  <c r="AI354" i="51"/>
  <c r="AE354" i="51"/>
  <c r="AA354" i="51"/>
  <c r="W354" i="51"/>
  <c r="S354" i="51"/>
  <c r="O354" i="51"/>
  <c r="K354" i="51"/>
  <c r="G354" i="51"/>
  <c r="C354" i="51"/>
  <c r="AY353" i="51"/>
  <c r="AV353" i="51"/>
  <c r="AI353" i="51"/>
  <c r="AE353" i="51"/>
  <c r="AA353" i="51"/>
  <c r="W353" i="51"/>
  <c r="S353" i="51"/>
  <c r="O353" i="51"/>
  <c r="K353" i="51"/>
  <c r="G353" i="51"/>
  <c r="C353" i="51"/>
  <c r="AY352" i="51"/>
  <c r="AV352" i="51"/>
  <c r="AI352" i="51"/>
  <c r="AE352" i="51"/>
  <c r="AA352" i="51"/>
  <c r="W352" i="51"/>
  <c r="S352" i="51"/>
  <c r="O352" i="51"/>
  <c r="K352" i="51"/>
  <c r="G352" i="51"/>
  <c r="C352" i="51"/>
  <c r="AY351" i="51"/>
  <c r="AV351" i="51"/>
  <c r="AI351" i="51"/>
  <c r="AE351" i="51"/>
  <c r="AA351" i="51"/>
  <c r="W351" i="51"/>
  <c r="S351" i="51"/>
  <c r="O351" i="51"/>
  <c r="K351" i="51"/>
  <c r="G351" i="51"/>
  <c r="C351" i="51"/>
  <c r="AY350" i="51"/>
  <c r="AV350" i="51"/>
  <c r="AI350" i="51"/>
  <c r="AE350" i="51"/>
  <c r="AA350" i="51"/>
  <c r="W350" i="51"/>
  <c r="S350" i="51"/>
  <c r="O350" i="51"/>
  <c r="K350" i="51"/>
  <c r="G350" i="51"/>
  <c r="C350" i="51"/>
  <c r="AY349" i="51"/>
  <c r="AV349" i="51"/>
  <c r="AI349" i="51"/>
  <c r="AE349" i="51"/>
  <c r="AA349" i="51"/>
  <c r="W349" i="51"/>
  <c r="S349" i="51"/>
  <c r="O349" i="51"/>
  <c r="K349" i="51"/>
  <c r="G349" i="51"/>
  <c r="C349" i="51"/>
  <c r="AY348" i="51"/>
  <c r="AV348" i="51"/>
  <c r="AI348" i="51"/>
  <c r="AE348" i="51"/>
  <c r="AA348" i="51"/>
  <c r="W348" i="51"/>
  <c r="S348" i="51"/>
  <c r="O348" i="51"/>
  <c r="K348" i="51"/>
  <c r="G348" i="51"/>
  <c r="C348" i="51"/>
  <c r="AY347" i="51"/>
  <c r="AV347" i="51"/>
  <c r="AI347" i="51"/>
  <c r="AE347" i="51"/>
  <c r="AA347" i="51"/>
  <c r="W347" i="51"/>
  <c r="S347" i="51"/>
  <c r="O347" i="51"/>
  <c r="K347" i="51"/>
  <c r="G347" i="51"/>
  <c r="C347" i="51"/>
  <c r="AY346" i="51"/>
  <c r="AV346" i="51"/>
  <c r="AI346" i="51"/>
  <c r="AE346" i="51"/>
  <c r="AA346" i="51"/>
  <c r="W346" i="51"/>
  <c r="S346" i="51"/>
  <c r="O346" i="51"/>
  <c r="K346" i="51"/>
  <c r="G346" i="51"/>
  <c r="C346" i="51"/>
  <c r="AY345" i="51"/>
  <c r="AV345" i="51"/>
  <c r="AI345" i="51"/>
  <c r="AE345" i="51"/>
  <c r="AA345" i="51"/>
  <c r="W345" i="51"/>
  <c r="S345" i="51"/>
  <c r="O345" i="51"/>
  <c r="K345" i="51"/>
  <c r="G345" i="51"/>
  <c r="C345" i="51"/>
  <c r="AY344" i="51"/>
  <c r="AV344" i="51"/>
  <c r="AI344" i="51"/>
  <c r="AE344" i="51"/>
  <c r="AA344" i="51"/>
  <c r="W344" i="51"/>
  <c r="S344" i="51"/>
  <c r="O344" i="51"/>
  <c r="K344" i="51"/>
  <c r="G344" i="51"/>
  <c r="C344" i="51"/>
  <c r="AY343" i="51"/>
  <c r="AV343" i="51"/>
  <c r="AI343" i="51"/>
  <c r="AE343" i="51"/>
  <c r="AA343" i="51"/>
  <c r="W343" i="51"/>
  <c r="S343" i="51"/>
  <c r="O343" i="51"/>
  <c r="K343" i="51"/>
  <c r="G343" i="51"/>
  <c r="C343" i="51"/>
  <c r="AY342" i="51"/>
  <c r="AV342" i="51"/>
  <c r="AI342" i="51"/>
  <c r="AE342" i="51"/>
  <c r="AA342" i="51"/>
  <c r="W342" i="51"/>
  <c r="S342" i="51"/>
  <c r="O342" i="51"/>
  <c r="K342" i="51"/>
  <c r="G342" i="51"/>
  <c r="C342" i="51"/>
  <c r="AY341" i="51"/>
  <c r="AV341" i="51"/>
  <c r="AI341" i="51"/>
  <c r="AE341" i="51"/>
  <c r="AA341" i="51"/>
  <c r="W341" i="51"/>
  <c r="S341" i="51"/>
  <c r="O341" i="51"/>
  <c r="K341" i="51"/>
  <c r="G341" i="51"/>
  <c r="C341" i="51"/>
  <c r="AY340" i="51"/>
  <c r="AV340" i="51"/>
  <c r="AI340" i="51"/>
  <c r="AE340" i="51"/>
  <c r="AA340" i="51"/>
  <c r="W340" i="51"/>
  <c r="S340" i="51"/>
  <c r="O340" i="51"/>
  <c r="K340" i="51"/>
  <c r="G340" i="51"/>
  <c r="C340" i="51"/>
  <c r="AY339" i="51"/>
  <c r="AV339" i="51"/>
  <c r="AI339" i="51"/>
  <c r="AE339" i="51"/>
  <c r="AA339" i="51"/>
  <c r="W339" i="51"/>
  <c r="S339" i="51"/>
  <c r="O339" i="51"/>
  <c r="K339" i="51"/>
  <c r="G339" i="51"/>
  <c r="C339" i="51"/>
  <c r="AY338" i="51"/>
  <c r="AV338" i="51"/>
  <c r="AI338" i="51"/>
  <c r="AE338" i="51"/>
  <c r="AA338" i="51"/>
  <c r="W338" i="51"/>
  <c r="S338" i="51"/>
  <c r="O338" i="51"/>
  <c r="K338" i="51"/>
  <c r="G338" i="51"/>
  <c r="C338" i="51"/>
  <c r="AY337" i="51"/>
  <c r="AV337" i="51"/>
  <c r="AI337" i="51"/>
  <c r="AE337" i="51"/>
  <c r="AA337" i="51"/>
  <c r="W337" i="51"/>
  <c r="S337" i="51"/>
  <c r="O337" i="51"/>
  <c r="K337" i="51"/>
  <c r="G337" i="51"/>
  <c r="C337" i="51"/>
  <c r="AY336" i="51"/>
  <c r="AV336" i="51"/>
  <c r="AI336" i="51"/>
  <c r="AE336" i="51"/>
  <c r="AA336" i="51"/>
  <c r="W336" i="51"/>
  <c r="S336" i="51"/>
  <c r="O336" i="51"/>
  <c r="K336" i="51"/>
  <c r="G336" i="51"/>
  <c r="C336" i="51"/>
  <c r="AY335" i="51"/>
  <c r="AV335" i="51"/>
  <c r="AI335" i="51"/>
  <c r="AE335" i="51"/>
  <c r="AA335" i="51"/>
  <c r="W335" i="51"/>
  <c r="S335" i="51"/>
  <c r="O335" i="51"/>
  <c r="K335" i="51"/>
  <c r="G335" i="51"/>
  <c r="C335" i="51"/>
  <c r="AY334" i="51"/>
  <c r="AV334" i="51"/>
  <c r="AI334" i="51"/>
  <c r="AE334" i="51"/>
  <c r="AA334" i="51"/>
  <c r="W334" i="51"/>
  <c r="S334" i="51"/>
  <c r="O334" i="51"/>
  <c r="K334" i="51"/>
  <c r="G334" i="51"/>
  <c r="C334" i="51"/>
  <c r="AY333" i="51"/>
  <c r="AV333" i="51"/>
  <c r="AI333" i="51"/>
  <c r="AE333" i="51"/>
  <c r="AA333" i="51"/>
  <c r="W333" i="51"/>
  <c r="S333" i="51"/>
  <c r="O333" i="51"/>
  <c r="K333" i="51"/>
  <c r="G333" i="51"/>
  <c r="C333" i="51"/>
  <c r="AY332" i="51"/>
  <c r="AV332" i="51"/>
  <c r="AI332" i="51"/>
  <c r="AE332" i="51"/>
  <c r="AA332" i="51"/>
  <c r="W332" i="51"/>
  <c r="S332" i="51"/>
  <c r="O332" i="51"/>
  <c r="K332" i="51"/>
  <c r="G332" i="51"/>
  <c r="C332" i="51"/>
  <c r="AY331" i="51"/>
  <c r="AV331" i="51"/>
  <c r="AI331" i="51"/>
  <c r="AE331" i="51"/>
  <c r="AA331" i="51"/>
  <c r="W331" i="51"/>
  <c r="S331" i="51"/>
  <c r="O331" i="51"/>
  <c r="K331" i="51"/>
  <c r="G331" i="51"/>
  <c r="C331" i="51"/>
  <c r="AY330" i="51"/>
  <c r="AV330" i="51"/>
  <c r="AI330" i="51"/>
  <c r="AE330" i="51"/>
  <c r="AA330" i="51"/>
  <c r="W330" i="51"/>
  <c r="S330" i="51"/>
  <c r="O330" i="51"/>
  <c r="K330" i="51"/>
  <c r="G330" i="51"/>
  <c r="C330" i="51"/>
  <c r="AY329" i="51"/>
  <c r="AV329" i="51"/>
  <c r="AI329" i="51"/>
  <c r="AE329" i="51"/>
  <c r="AA329" i="51"/>
  <c r="W329" i="51"/>
  <c r="S329" i="51"/>
  <c r="O329" i="51"/>
  <c r="K329" i="51"/>
  <c r="G329" i="51"/>
  <c r="C329" i="51"/>
  <c r="AY328" i="51"/>
  <c r="AV328" i="51"/>
  <c r="AI328" i="51"/>
  <c r="AE328" i="51"/>
  <c r="AA328" i="51"/>
  <c r="W328" i="51"/>
  <c r="S328" i="51"/>
  <c r="O328" i="51"/>
  <c r="K328" i="51"/>
  <c r="G328" i="51"/>
  <c r="C328" i="51"/>
  <c r="AY327" i="51"/>
  <c r="AV327" i="51"/>
  <c r="AI327" i="51"/>
  <c r="AE327" i="51"/>
  <c r="AA327" i="51"/>
  <c r="W327" i="51"/>
  <c r="S327" i="51"/>
  <c r="O327" i="51"/>
  <c r="K327" i="51"/>
  <c r="G327" i="51"/>
  <c r="C327" i="51"/>
  <c r="AY326" i="51"/>
  <c r="AV326" i="51"/>
  <c r="AI326" i="51"/>
  <c r="AE326" i="51"/>
  <c r="AA326" i="51"/>
  <c r="W326" i="51"/>
  <c r="S326" i="51"/>
  <c r="O326" i="51"/>
  <c r="K326" i="51"/>
  <c r="G326" i="51"/>
  <c r="C326" i="51"/>
  <c r="AY325" i="51"/>
  <c r="AV325" i="51"/>
  <c r="AI325" i="51"/>
  <c r="AE325" i="51"/>
  <c r="AA325" i="51"/>
  <c r="W325" i="51"/>
  <c r="S325" i="51"/>
  <c r="O325" i="51"/>
  <c r="K325" i="51"/>
  <c r="G325" i="51"/>
  <c r="C325" i="51"/>
  <c r="AY324" i="51"/>
  <c r="AV324" i="51"/>
  <c r="AI324" i="51"/>
  <c r="AE324" i="51"/>
  <c r="AA324" i="51"/>
  <c r="W324" i="51"/>
  <c r="S324" i="51"/>
  <c r="O324" i="51"/>
  <c r="K324" i="51"/>
  <c r="G324" i="51"/>
  <c r="C324" i="51"/>
  <c r="AY323" i="51"/>
  <c r="AV323" i="51"/>
  <c r="AI323" i="51"/>
  <c r="AE323" i="51"/>
  <c r="AA323" i="51"/>
  <c r="W323" i="51"/>
  <c r="S323" i="51"/>
  <c r="O323" i="51"/>
  <c r="K323" i="51"/>
  <c r="G323" i="51"/>
  <c r="C323" i="51"/>
  <c r="AY322" i="51"/>
  <c r="AV322" i="51"/>
  <c r="AI322" i="51"/>
  <c r="AE322" i="51"/>
  <c r="AA322" i="51"/>
  <c r="W322" i="51"/>
  <c r="S322" i="51"/>
  <c r="O322" i="51"/>
  <c r="K322" i="51"/>
  <c r="G322" i="51"/>
  <c r="C322" i="51"/>
  <c r="AY321" i="51"/>
  <c r="AV321" i="51"/>
  <c r="AI321" i="51"/>
  <c r="AE321" i="51"/>
  <c r="AA321" i="51"/>
  <c r="W321" i="51"/>
  <c r="S321" i="51"/>
  <c r="O321" i="51"/>
  <c r="K321" i="51"/>
  <c r="G321" i="51"/>
  <c r="C321" i="51"/>
  <c r="AY320" i="51"/>
  <c r="AV320" i="51"/>
  <c r="AI320" i="51"/>
  <c r="AE320" i="51"/>
  <c r="AA320" i="51"/>
  <c r="W320" i="51"/>
  <c r="S320" i="51"/>
  <c r="O320" i="51"/>
  <c r="K320" i="51"/>
  <c r="G320" i="51"/>
  <c r="C320" i="51"/>
  <c r="AY319" i="51"/>
  <c r="AV319" i="51"/>
  <c r="AI319" i="51"/>
  <c r="AE319" i="51"/>
  <c r="AA319" i="51"/>
  <c r="W319" i="51"/>
  <c r="S319" i="51"/>
  <c r="O319" i="51"/>
  <c r="K319" i="51"/>
  <c r="G319" i="51"/>
  <c r="C319" i="51"/>
  <c r="AY318" i="51"/>
  <c r="AV318" i="51"/>
  <c r="AI318" i="51"/>
  <c r="AE318" i="51"/>
  <c r="AA318" i="51"/>
  <c r="W318" i="51"/>
  <c r="S318" i="51"/>
  <c r="O318" i="51"/>
  <c r="K318" i="51"/>
  <c r="G318" i="51"/>
  <c r="C318" i="51"/>
  <c r="AY317" i="51"/>
  <c r="AV317" i="51"/>
  <c r="AI317" i="51"/>
  <c r="AE317" i="51"/>
  <c r="AA317" i="51"/>
  <c r="W317" i="51"/>
  <c r="S317" i="51"/>
  <c r="O317" i="51"/>
  <c r="K317" i="51"/>
  <c r="G317" i="51"/>
  <c r="C317" i="51"/>
  <c r="AY316" i="51"/>
  <c r="AV316" i="51"/>
  <c r="AI316" i="51"/>
  <c r="AE316" i="51"/>
  <c r="AA316" i="51"/>
  <c r="W316" i="51"/>
  <c r="S316" i="51"/>
  <c r="O316" i="51"/>
  <c r="K316" i="51"/>
  <c r="G316" i="51"/>
  <c r="C316" i="51"/>
  <c r="AY315" i="51"/>
  <c r="AV315" i="51"/>
  <c r="AI315" i="51"/>
  <c r="AE315" i="51"/>
  <c r="AA315" i="51"/>
  <c r="W315" i="51"/>
  <c r="S315" i="51"/>
  <c r="O315" i="51"/>
  <c r="K315" i="51"/>
  <c r="G315" i="51"/>
  <c r="C315" i="51"/>
  <c r="AY314" i="51"/>
  <c r="AV314" i="51"/>
  <c r="AI314" i="51"/>
  <c r="AE314" i="51"/>
  <c r="AA314" i="51"/>
  <c r="W314" i="51"/>
  <c r="S314" i="51"/>
  <c r="O314" i="51"/>
  <c r="K314" i="51"/>
  <c r="G314" i="51"/>
  <c r="C314" i="51"/>
  <c r="AY313" i="51"/>
  <c r="AV313" i="51"/>
  <c r="AI313" i="51"/>
  <c r="AE313" i="51"/>
  <c r="AA313" i="51"/>
  <c r="W313" i="51"/>
  <c r="S313" i="51"/>
  <c r="O313" i="51"/>
  <c r="K313" i="51"/>
  <c r="G313" i="51"/>
  <c r="C313" i="51"/>
  <c r="AY312" i="51"/>
  <c r="AV312" i="51"/>
  <c r="AI312" i="51"/>
  <c r="AE312" i="51"/>
  <c r="AA312" i="51"/>
  <c r="W312" i="51"/>
  <c r="S312" i="51"/>
  <c r="O312" i="51"/>
  <c r="K312" i="51"/>
  <c r="G312" i="51"/>
  <c r="C312" i="51"/>
  <c r="AY311" i="51"/>
  <c r="AV311" i="51"/>
  <c r="AI311" i="51"/>
  <c r="AE311" i="51"/>
  <c r="AA311" i="51"/>
  <c r="W311" i="51"/>
  <c r="S311" i="51"/>
  <c r="O311" i="51"/>
  <c r="K311" i="51"/>
  <c r="G311" i="51"/>
  <c r="C311" i="51"/>
  <c r="AY310" i="51"/>
  <c r="AV310" i="51"/>
  <c r="AI310" i="51"/>
  <c r="AE310" i="51"/>
  <c r="AA310" i="51"/>
  <c r="W310" i="51"/>
  <c r="S310" i="51"/>
  <c r="O310" i="51"/>
  <c r="K310" i="51"/>
  <c r="G310" i="51"/>
  <c r="C310" i="51"/>
  <c r="AY309" i="51"/>
  <c r="AV309" i="51"/>
  <c r="AI309" i="51"/>
  <c r="AE309" i="51"/>
  <c r="AA309" i="51"/>
  <c r="W309" i="51"/>
  <c r="S309" i="51"/>
  <c r="O309" i="51"/>
  <c r="K309" i="51"/>
  <c r="G309" i="51"/>
  <c r="C309" i="51"/>
  <c r="AY308" i="51"/>
  <c r="AV308" i="51"/>
  <c r="AI308" i="51"/>
  <c r="AE308" i="51"/>
  <c r="AA308" i="51"/>
  <c r="W308" i="51"/>
  <c r="S308" i="51"/>
  <c r="O308" i="51"/>
  <c r="K308" i="51"/>
  <c r="G308" i="51"/>
  <c r="C308" i="51"/>
  <c r="AY307" i="51"/>
  <c r="AV307" i="51"/>
  <c r="AI307" i="51"/>
  <c r="AE307" i="51"/>
  <c r="AA307" i="51"/>
  <c r="W307" i="51"/>
  <c r="S307" i="51"/>
  <c r="O307" i="51"/>
  <c r="K307" i="51"/>
  <c r="G307" i="51"/>
  <c r="C307" i="51"/>
  <c r="AY306" i="51"/>
  <c r="AV306" i="51"/>
  <c r="AI306" i="51"/>
  <c r="AE306" i="51"/>
  <c r="AA306" i="51"/>
  <c r="W306" i="51"/>
  <c r="S306" i="51"/>
  <c r="O306" i="51"/>
  <c r="K306" i="51"/>
  <c r="G306" i="51"/>
  <c r="C306" i="51"/>
  <c r="AY305" i="51"/>
  <c r="AV305" i="51"/>
  <c r="AI305" i="51"/>
  <c r="AE305" i="51"/>
  <c r="AA305" i="51"/>
  <c r="W305" i="51"/>
  <c r="S305" i="51"/>
  <c r="O305" i="51"/>
  <c r="K305" i="51"/>
  <c r="G305" i="51"/>
  <c r="C305" i="51"/>
  <c r="AY304" i="51"/>
  <c r="AV304" i="51"/>
  <c r="AI304" i="51"/>
  <c r="AE304" i="51"/>
  <c r="AA304" i="51"/>
  <c r="W304" i="51"/>
  <c r="S304" i="51"/>
  <c r="O304" i="51"/>
  <c r="K304" i="51"/>
  <c r="G304" i="51"/>
  <c r="C304" i="51"/>
  <c r="AY303" i="51"/>
  <c r="AV303" i="51"/>
  <c r="AI303" i="51"/>
  <c r="AE303" i="51"/>
  <c r="AA303" i="51"/>
  <c r="W303" i="51"/>
  <c r="S303" i="51"/>
  <c r="O303" i="51"/>
  <c r="K303" i="51"/>
  <c r="G303" i="51"/>
  <c r="C303" i="51"/>
  <c r="AY302" i="51"/>
  <c r="AV302" i="51"/>
  <c r="AI302" i="51"/>
  <c r="AE302" i="51"/>
  <c r="AA302" i="51"/>
  <c r="W302" i="51"/>
  <c r="S302" i="51"/>
  <c r="O302" i="51"/>
  <c r="K302" i="51"/>
  <c r="G302" i="51"/>
  <c r="C302" i="51"/>
  <c r="AY301" i="51"/>
  <c r="AV301" i="51"/>
  <c r="AI301" i="51"/>
  <c r="AE301" i="51"/>
  <c r="AA301" i="51"/>
  <c r="W301" i="51"/>
  <c r="S301" i="51"/>
  <c r="O301" i="51"/>
  <c r="K301" i="51"/>
  <c r="G301" i="51"/>
  <c r="C301" i="51"/>
  <c r="AY300" i="51"/>
  <c r="AV300" i="51"/>
  <c r="AI300" i="51"/>
  <c r="AE300" i="51"/>
  <c r="AA300" i="51"/>
  <c r="W300" i="51"/>
  <c r="S300" i="51"/>
  <c r="O300" i="51"/>
  <c r="K300" i="51"/>
  <c r="G300" i="51"/>
  <c r="C300" i="51"/>
  <c r="AY299" i="51"/>
  <c r="AV299" i="51"/>
  <c r="AI299" i="51"/>
  <c r="AE299" i="51"/>
  <c r="AA299" i="51"/>
  <c r="W299" i="51"/>
  <c r="S299" i="51"/>
  <c r="O299" i="51"/>
  <c r="K299" i="51"/>
  <c r="G299" i="51"/>
  <c r="C299" i="51"/>
  <c r="AY298" i="51"/>
  <c r="AV298" i="51"/>
  <c r="AI298" i="51"/>
  <c r="AE298" i="51"/>
  <c r="AA298" i="51"/>
  <c r="W298" i="51"/>
  <c r="S298" i="51"/>
  <c r="O298" i="51"/>
  <c r="K298" i="51"/>
  <c r="G298" i="51"/>
  <c r="C298" i="51"/>
  <c r="AY297" i="51"/>
  <c r="AV297" i="51"/>
  <c r="AI297" i="51"/>
  <c r="AE297" i="51"/>
  <c r="AA297" i="51"/>
  <c r="W297" i="51"/>
  <c r="S297" i="51"/>
  <c r="O297" i="51"/>
  <c r="K297" i="51"/>
  <c r="G297" i="51"/>
  <c r="C297" i="51"/>
  <c r="AY296" i="51"/>
  <c r="AV296" i="51"/>
  <c r="AI296" i="51"/>
  <c r="AE296" i="51"/>
  <c r="AA296" i="51"/>
  <c r="W296" i="51"/>
  <c r="S296" i="51"/>
  <c r="O296" i="51"/>
  <c r="K296" i="51"/>
  <c r="G296" i="51"/>
  <c r="C296" i="51"/>
  <c r="AY295" i="51"/>
  <c r="AV295" i="51"/>
  <c r="AI295" i="51"/>
  <c r="AE295" i="51"/>
  <c r="AA295" i="51"/>
  <c r="W295" i="51"/>
  <c r="S295" i="51"/>
  <c r="O295" i="51"/>
  <c r="K295" i="51"/>
  <c r="G295" i="51"/>
  <c r="C295" i="51"/>
  <c r="AY294" i="51"/>
  <c r="AV294" i="51"/>
  <c r="AI294" i="51"/>
  <c r="AE294" i="51"/>
  <c r="AA294" i="51"/>
  <c r="W294" i="51"/>
  <c r="S294" i="51"/>
  <c r="O294" i="51"/>
  <c r="K294" i="51"/>
  <c r="G294" i="51"/>
  <c r="C294" i="51"/>
  <c r="AY293" i="51"/>
  <c r="AV293" i="51"/>
  <c r="AI293" i="51"/>
  <c r="AE293" i="51"/>
  <c r="AA293" i="51"/>
  <c r="W293" i="51"/>
  <c r="S293" i="51"/>
  <c r="O293" i="51"/>
  <c r="K293" i="51"/>
  <c r="G293" i="51"/>
  <c r="C293" i="51"/>
  <c r="AY292" i="51"/>
  <c r="AV292" i="51"/>
  <c r="AI292" i="51"/>
  <c r="AE292" i="51"/>
  <c r="AA292" i="51"/>
  <c r="W292" i="51"/>
  <c r="S292" i="51"/>
  <c r="O292" i="51"/>
  <c r="K292" i="51"/>
  <c r="G292" i="51"/>
  <c r="C292" i="51"/>
  <c r="AY291" i="51"/>
  <c r="AV291" i="51"/>
  <c r="AI291" i="51"/>
  <c r="AE291" i="51"/>
  <c r="AA291" i="51"/>
  <c r="W291" i="51"/>
  <c r="S291" i="51"/>
  <c r="O291" i="51"/>
  <c r="K291" i="51"/>
  <c r="G291" i="51"/>
  <c r="C291" i="51"/>
  <c r="AY290" i="51"/>
  <c r="AV290" i="51"/>
  <c r="AI290" i="51"/>
  <c r="AE290" i="51"/>
  <c r="AA290" i="51"/>
  <c r="W290" i="51"/>
  <c r="S290" i="51"/>
  <c r="O290" i="51"/>
  <c r="K290" i="51"/>
  <c r="G290" i="51"/>
  <c r="C290" i="51"/>
  <c r="AY289" i="51"/>
  <c r="AV289" i="51"/>
  <c r="AI289" i="51"/>
  <c r="AE289" i="51"/>
  <c r="AA289" i="51"/>
  <c r="W289" i="51"/>
  <c r="S289" i="51"/>
  <c r="O289" i="51"/>
  <c r="K289" i="51"/>
  <c r="G289" i="51"/>
  <c r="C289" i="51"/>
  <c r="AY288" i="51"/>
  <c r="AV288" i="51"/>
  <c r="AI288" i="51"/>
  <c r="AE288" i="51"/>
  <c r="AA288" i="51"/>
  <c r="W288" i="51"/>
  <c r="S288" i="51"/>
  <c r="O288" i="51"/>
  <c r="K288" i="51"/>
  <c r="G288" i="51"/>
  <c r="C288" i="51"/>
  <c r="AY287" i="51"/>
  <c r="AV287" i="51"/>
  <c r="AI287" i="51"/>
  <c r="AE287" i="51"/>
  <c r="AA287" i="51"/>
  <c r="W287" i="51"/>
  <c r="S287" i="51"/>
  <c r="O287" i="51"/>
  <c r="K287" i="51"/>
  <c r="G287" i="51"/>
  <c r="C287" i="51"/>
  <c r="AY286" i="51"/>
  <c r="AV286" i="51"/>
  <c r="AI286" i="51"/>
  <c r="AE286" i="51"/>
  <c r="AA286" i="51"/>
  <c r="W286" i="51"/>
  <c r="S286" i="51"/>
  <c r="O286" i="51"/>
  <c r="K286" i="51"/>
  <c r="G286" i="51"/>
  <c r="C286" i="51"/>
  <c r="AY285" i="51"/>
  <c r="AV285" i="51"/>
  <c r="AI285" i="51"/>
  <c r="AE285" i="51"/>
  <c r="AA285" i="51"/>
  <c r="W285" i="51"/>
  <c r="S285" i="51"/>
  <c r="O285" i="51"/>
  <c r="K285" i="51"/>
  <c r="G285" i="51"/>
  <c r="C285" i="51"/>
  <c r="AY284" i="51"/>
  <c r="AV284" i="51"/>
  <c r="AI284" i="51"/>
  <c r="AE284" i="51"/>
  <c r="AA284" i="51"/>
  <c r="W284" i="51"/>
  <c r="S284" i="51"/>
  <c r="O284" i="51"/>
  <c r="K284" i="51"/>
  <c r="G284" i="51"/>
  <c r="C284" i="51"/>
  <c r="AY283" i="51"/>
  <c r="AV283" i="51"/>
  <c r="AI283" i="51"/>
  <c r="AE283" i="51"/>
  <c r="AA283" i="51"/>
  <c r="W283" i="51"/>
  <c r="S283" i="51"/>
  <c r="O283" i="51"/>
  <c r="K283" i="51"/>
  <c r="G283" i="51"/>
  <c r="C283" i="51"/>
  <c r="AY282" i="51"/>
  <c r="AV282" i="51"/>
  <c r="AI282" i="51"/>
  <c r="AE282" i="51"/>
  <c r="AA282" i="51"/>
  <c r="W282" i="51"/>
  <c r="S282" i="51"/>
  <c r="O282" i="51"/>
  <c r="K282" i="51"/>
  <c r="G282" i="51"/>
  <c r="C282" i="51"/>
  <c r="AY281" i="51"/>
  <c r="AV281" i="51"/>
  <c r="AI281" i="51"/>
  <c r="AE281" i="51"/>
  <c r="AA281" i="51"/>
  <c r="W281" i="51"/>
  <c r="S281" i="51"/>
  <c r="O281" i="51"/>
  <c r="K281" i="51"/>
  <c r="G281" i="51"/>
  <c r="C281" i="51"/>
  <c r="AY280" i="51"/>
  <c r="AV280" i="51"/>
  <c r="AI280" i="51"/>
  <c r="AE280" i="51"/>
  <c r="AA280" i="51"/>
  <c r="W280" i="51"/>
  <c r="S280" i="51"/>
  <c r="O280" i="51"/>
  <c r="K280" i="51"/>
  <c r="G280" i="51"/>
  <c r="C280" i="51"/>
  <c r="AY279" i="51"/>
  <c r="AV279" i="51"/>
  <c r="AI279" i="51"/>
  <c r="AE279" i="51"/>
  <c r="AA279" i="51"/>
  <c r="W279" i="51"/>
  <c r="S279" i="51"/>
  <c r="O279" i="51"/>
  <c r="K279" i="51"/>
  <c r="G279" i="51"/>
  <c r="C279" i="51"/>
  <c r="AY278" i="51"/>
  <c r="AV278" i="51"/>
  <c r="AI278" i="51"/>
  <c r="AE278" i="51"/>
  <c r="AA278" i="51"/>
  <c r="W278" i="51"/>
  <c r="S278" i="51"/>
  <c r="O278" i="51"/>
  <c r="K278" i="51"/>
  <c r="G278" i="51"/>
  <c r="C278" i="51"/>
  <c r="AY277" i="51"/>
  <c r="AV277" i="51"/>
  <c r="AI277" i="51"/>
  <c r="AE277" i="51"/>
  <c r="AA277" i="51"/>
  <c r="W277" i="51"/>
  <c r="S277" i="51"/>
  <c r="O277" i="51"/>
  <c r="K277" i="51"/>
  <c r="G277" i="51"/>
  <c r="C277" i="51"/>
  <c r="AY276" i="51"/>
  <c r="AV276" i="51"/>
  <c r="AI276" i="51"/>
  <c r="AE276" i="51"/>
  <c r="AA276" i="51"/>
  <c r="W276" i="51"/>
  <c r="S276" i="51"/>
  <c r="O276" i="51"/>
  <c r="K276" i="51"/>
  <c r="G276" i="51"/>
  <c r="C276" i="51"/>
  <c r="AY275" i="51"/>
  <c r="AV275" i="51"/>
  <c r="AI275" i="51"/>
  <c r="AE275" i="51"/>
  <c r="AA275" i="51"/>
  <c r="W275" i="51"/>
  <c r="S275" i="51"/>
  <c r="O275" i="51"/>
  <c r="K275" i="51"/>
  <c r="G275" i="51"/>
  <c r="C275" i="51"/>
  <c r="AY274" i="51"/>
  <c r="AV274" i="51"/>
  <c r="AI274" i="51"/>
  <c r="AE274" i="51"/>
  <c r="AA274" i="51"/>
  <c r="W274" i="51"/>
  <c r="S274" i="51"/>
  <c r="O274" i="51"/>
  <c r="K274" i="51"/>
  <c r="G274" i="51"/>
  <c r="C274" i="51"/>
  <c r="AY273" i="51"/>
  <c r="AV273" i="51"/>
  <c r="AI273" i="51"/>
  <c r="AE273" i="51"/>
  <c r="AA273" i="51"/>
  <c r="W273" i="51"/>
  <c r="S273" i="51"/>
  <c r="O273" i="51"/>
  <c r="K273" i="51"/>
  <c r="G273" i="51"/>
  <c r="C273" i="51"/>
  <c r="AY272" i="51"/>
  <c r="AV272" i="51"/>
  <c r="AI272" i="51"/>
  <c r="AE272" i="51"/>
  <c r="AA272" i="51"/>
  <c r="W272" i="51"/>
  <c r="S272" i="51"/>
  <c r="O272" i="51"/>
  <c r="K272" i="51"/>
  <c r="G272" i="51"/>
  <c r="C272" i="51"/>
  <c r="AY271" i="51"/>
  <c r="AV271" i="51"/>
  <c r="AI271" i="51"/>
  <c r="AE271" i="51"/>
  <c r="AA271" i="51"/>
  <c r="W271" i="51"/>
  <c r="S271" i="51"/>
  <c r="O271" i="51"/>
  <c r="K271" i="51"/>
  <c r="G271" i="51"/>
  <c r="C271" i="51"/>
  <c r="AY270" i="51"/>
  <c r="AV270" i="51"/>
  <c r="AI270" i="51"/>
  <c r="AE270" i="51"/>
  <c r="AA270" i="51"/>
  <c r="W270" i="51"/>
  <c r="S270" i="51"/>
  <c r="O270" i="51"/>
  <c r="K270" i="51"/>
  <c r="G270" i="51"/>
  <c r="C270" i="51"/>
  <c r="AY269" i="51"/>
  <c r="AV269" i="51"/>
  <c r="AI269" i="51"/>
  <c r="AE269" i="51"/>
  <c r="AA269" i="51"/>
  <c r="W269" i="51"/>
  <c r="S269" i="51"/>
  <c r="O269" i="51"/>
  <c r="K269" i="51"/>
  <c r="G269" i="51"/>
  <c r="C269" i="51"/>
  <c r="AY268" i="51"/>
  <c r="AV268" i="51"/>
  <c r="AI268" i="51"/>
  <c r="AE268" i="51"/>
  <c r="AA268" i="51"/>
  <c r="W268" i="51"/>
  <c r="S268" i="51"/>
  <c r="O268" i="51"/>
  <c r="K268" i="51"/>
  <c r="G268" i="51"/>
  <c r="C268" i="51"/>
  <c r="AY267" i="51"/>
  <c r="AV267" i="51"/>
  <c r="AI267" i="51"/>
  <c r="AE267" i="51"/>
  <c r="AA267" i="51"/>
  <c r="W267" i="51"/>
  <c r="S267" i="51"/>
  <c r="O267" i="51"/>
  <c r="K267" i="51"/>
  <c r="G267" i="51"/>
  <c r="C267" i="51"/>
  <c r="AY266" i="51"/>
  <c r="AV266" i="51"/>
  <c r="AI266" i="51"/>
  <c r="AE266" i="51"/>
  <c r="AA266" i="51"/>
  <c r="W266" i="51"/>
  <c r="S266" i="51"/>
  <c r="O266" i="51"/>
  <c r="K266" i="51"/>
  <c r="G266" i="51"/>
  <c r="C266" i="51"/>
  <c r="AY265" i="51"/>
  <c r="AV265" i="51"/>
  <c r="AI265" i="51"/>
  <c r="AE265" i="51"/>
  <c r="AA265" i="51"/>
  <c r="W265" i="51"/>
  <c r="S265" i="51"/>
  <c r="O265" i="51"/>
  <c r="K265" i="51"/>
  <c r="G265" i="51"/>
  <c r="C265" i="51"/>
  <c r="AY264" i="51"/>
  <c r="AV264" i="51"/>
  <c r="AI264" i="51"/>
  <c r="AE264" i="51"/>
  <c r="AA264" i="51"/>
  <c r="W264" i="51"/>
  <c r="S264" i="51"/>
  <c r="O264" i="51"/>
  <c r="K264" i="51"/>
  <c r="G264" i="51"/>
  <c r="C264" i="51"/>
  <c r="AY263" i="51"/>
  <c r="AV263" i="51"/>
  <c r="AI263" i="51"/>
  <c r="AE263" i="51"/>
  <c r="AA263" i="51"/>
  <c r="W263" i="51"/>
  <c r="S263" i="51"/>
  <c r="O263" i="51"/>
  <c r="K263" i="51"/>
  <c r="G263" i="51"/>
  <c r="C263" i="51"/>
  <c r="AY262" i="51"/>
  <c r="AV262" i="51"/>
  <c r="AI262" i="51"/>
  <c r="AE262" i="51"/>
  <c r="AA262" i="51"/>
  <c r="W262" i="51"/>
  <c r="S262" i="51"/>
  <c r="O262" i="51"/>
  <c r="K262" i="51"/>
  <c r="G262" i="51"/>
  <c r="C262" i="51"/>
  <c r="AY261" i="51"/>
  <c r="AV261" i="51"/>
  <c r="AI261" i="51"/>
  <c r="AE261" i="51"/>
  <c r="AA261" i="51"/>
  <c r="W261" i="51"/>
  <c r="S261" i="51"/>
  <c r="O261" i="51"/>
  <c r="K261" i="51"/>
  <c r="G261" i="51"/>
  <c r="C261" i="51"/>
  <c r="AY260" i="51"/>
  <c r="AV260" i="51"/>
  <c r="AI260" i="51"/>
  <c r="AE260" i="51"/>
  <c r="AA260" i="51"/>
  <c r="W260" i="51"/>
  <c r="S260" i="51"/>
  <c r="O260" i="51"/>
  <c r="K260" i="51"/>
  <c r="G260" i="51"/>
  <c r="C260" i="51"/>
  <c r="AY259" i="51"/>
  <c r="AV259" i="51"/>
  <c r="AI259" i="51"/>
  <c r="AE259" i="51"/>
  <c r="AA259" i="51"/>
  <c r="W259" i="51"/>
  <c r="S259" i="51"/>
  <c r="O259" i="51"/>
  <c r="K259" i="51"/>
  <c r="G259" i="51"/>
  <c r="C259" i="51"/>
  <c r="AY258" i="51"/>
  <c r="AV258" i="51"/>
  <c r="AI258" i="51"/>
  <c r="AE258" i="51"/>
  <c r="AA258" i="51"/>
  <c r="W258" i="51"/>
  <c r="S258" i="51"/>
  <c r="O258" i="51"/>
  <c r="K258" i="51"/>
  <c r="G258" i="51"/>
  <c r="C258" i="51"/>
  <c r="AY257" i="51"/>
  <c r="AV257" i="51"/>
  <c r="AI257" i="51"/>
  <c r="AE257" i="51"/>
  <c r="AA257" i="51"/>
  <c r="W257" i="51"/>
  <c r="S257" i="51"/>
  <c r="O257" i="51"/>
  <c r="K257" i="51"/>
  <c r="G257" i="51"/>
  <c r="C257" i="51"/>
  <c r="AY256" i="51"/>
  <c r="AV256" i="51"/>
  <c r="AI256" i="51"/>
  <c r="AE256" i="51"/>
  <c r="AA256" i="51"/>
  <c r="W256" i="51"/>
  <c r="S256" i="51"/>
  <c r="O256" i="51"/>
  <c r="K256" i="51"/>
  <c r="G256" i="51"/>
  <c r="C256" i="51"/>
  <c r="AY255" i="51"/>
  <c r="AV255" i="51"/>
  <c r="AI255" i="51"/>
  <c r="AE255" i="51"/>
  <c r="AA255" i="51"/>
  <c r="W255" i="51"/>
  <c r="S255" i="51"/>
  <c r="O255" i="51"/>
  <c r="K255" i="51"/>
  <c r="G255" i="51"/>
  <c r="C255" i="51"/>
  <c r="AY254" i="51"/>
  <c r="AV254" i="51"/>
  <c r="AI254" i="51"/>
  <c r="AE254" i="51"/>
  <c r="AA254" i="51"/>
  <c r="W254" i="51"/>
  <c r="S254" i="51"/>
  <c r="O254" i="51"/>
  <c r="K254" i="51"/>
  <c r="G254" i="51"/>
  <c r="C254" i="51"/>
  <c r="AY253" i="51"/>
  <c r="AV253" i="51"/>
  <c r="AI253" i="51"/>
  <c r="AE253" i="51"/>
  <c r="AA253" i="51"/>
  <c r="W253" i="51"/>
  <c r="S253" i="51"/>
  <c r="O253" i="51"/>
  <c r="K253" i="51"/>
  <c r="G253" i="51"/>
  <c r="C253" i="51"/>
  <c r="AY252" i="51"/>
  <c r="AV252" i="51"/>
  <c r="AI252" i="51"/>
  <c r="AE252" i="51"/>
  <c r="AA252" i="51"/>
  <c r="W252" i="51"/>
  <c r="S252" i="51"/>
  <c r="O252" i="51"/>
  <c r="K252" i="51"/>
  <c r="G252" i="51"/>
  <c r="C252" i="51"/>
  <c r="AY251" i="51"/>
  <c r="AV251" i="51"/>
  <c r="AI251" i="51"/>
  <c r="AE251" i="51"/>
  <c r="AA251" i="51"/>
  <c r="W251" i="51"/>
  <c r="S251" i="51"/>
  <c r="O251" i="51"/>
  <c r="K251" i="51"/>
  <c r="G251" i="51"/>
  <c r="C251" i="51"/>
  <c r="AY250" i="51"/>
  <c r="AV250" i="51"/>
  <c r="AI250" i="51"/>
  <c r="AE250" i="51"/>
  <c r="AA250" i="51"/>
  <c r="W250" i="51"/>
  <c r="S250" i="51"/>
  <c r="O250" i="51"/>
  <c r="K250" i="51"/>
  <c r="G250" i="51"/>
  <c r="C250" i="51"/>
  <c r="AY249" i="51"/>
  <c r="AV249" i="51"/>
  <c r="AI249" i="51"/>
  <c r="AE249" i="51"/>
  <c r="AA249" i="51"/>
  <c r="W249" i="51"/>
  <c r="S249" i="51"/>
  <c r="O249" i="51"/>
  <c r="K249" i="51"/>
  <c r="G249" i="51"/>
  <c r="C249" i="51"/>
  <c r="AY248" i="51"/>
  <c r="AV248" i="51"/>
  <c r="AI248" i="51"/>
  <c r="AE248" i="51"/>
  <c r="AA248" i="51"/>
  <c r="W248" i="51"/>
  <c r="S248" i="51"/>
  <c r="O248" i="51"/>
  <c r="K248" i="51"/>
  <c r="G248" i="51"/>
  <c r="C248" i="51"/>
  <c r="AY247" i="51"/>
  <c r="AV247" i="51"/>
  <c r="AI247" i="51"/>
  <c r="AE247" i="51"/>
  <c r="AA247" i="51"/>
  <c r="W247" i="51"/>
  <c r="S247" i="51"/>
  <c r="O247" i="51"/>
  <c r="K247" i="51"/>
  <c r="G247" i="51"/>
  <c r="C247" i="51"/>
  <c r="AY246" i="51"/>
  <c r="AV246" i="51"/>
  <c r="AI246" i="51"/>
  <c r="AE246" i="51"/>
  <c r="AA246" i="51"/>
  <c r="W246" i="51"/>
  <c r="S246" i="51"/>
  <c r="O246" i="51"/>
  <c r="K246" i="51"/>
  <c r="G246" i="51"/>
  <c r="C246" i="51"/>
  <c r="AY245" i="51"/>
  <c r="AV245" i="51"/>
  <c r="AI245" i="51"/>
  <c r="AE245" i="51"/>
  <c r="AA245" i="51"/>
  <c r="W245" i="51"/>
  <c r="S245" i="51"/>
  <c r="O245" i="51"/>
  <c r="K245" i="51"/>
  <c r="G245" i="51"/>
  <c r="C245" i="51"/>
  <c r="AY244" i="51"/>
  <c r="AV244" i="51"/>
  <c r="AI244" i="51"/>
  <c r="AE244" i="51"/>
  <c r="AA244" i="51"/>
  <c r="W244" i="51"/>
  <c r="S244" i="51"/>
  <c r="O244" i="51"/>
  <c r="K244" i="51"/>
  <c r="G244" i="51"/>
  <c r="C244" i="51"/>
  <c r="AY243" i="51"/>
  <c r="AV243" i="51"/>
  <c r="AI243" i="51"/>
  <c r="AE243" i="51"/>
  <c r="AA243" i="51"/>
  <c r="W243" i="51"/>
  <c r="S243" i="51"/>
  <c r="O243" i="51"/>
  <c r="K243" i="51"/>
  <c r="G243" i="51"/>
  <c r="C243" i="51"/>
  <c r="AY242" i="51"/>
  <c r="AV242" i="51"/>
  <c r="AI242" i="51"/>
  <c r="AE242" i="51"/>
  <c r="AA242" i="51"/>
  <c r="W242" i="51"/>
  <c r="S242" i="51"/>
  <c r="O242" i="51"/>
  <c r="K242" i="51"/>
  <c r="G242" i="51"/>
  <c r="C242" i="51"/>
  <c r="AY241" i="51"/>
  <c r="AV241" i="51"/>
  <c r="AI241" i="51"/>
  <c r="AE241" i="51"/>
  <c r="AA241" i="51"/>
  <c r="W241" i="51"/>
  <c r="S241" i="51"/>
  <c r="O241" i="51"/>
  <c r="K241" i="51"/>
  <c r="G241" i="51"/>
  <c r="C241" i="51"/>
  <c r="AY240" i="51"/>
  <c r="AV240" i="51"/>
  <c r="AI240" i="51"/>
  <c r="AE240" i="51"/>
  <c r="AA240" i="51"/>
  <c r="W240" i="51"/>
  <c r="S240" i="51"/>
  <c r="O240" i="51"/>
  <c r="K240" i="51"/>
  <c r="G240" i="51"/>
  <c r="C240" i="51"/>
  <c r="AY239" i="51"/>
  <c r="AV239" i="51"/>
  <c r="AI239" i="51"/>
  <c r="AE239" i="51"/>
  <c r="AA239" i="51"/>
  <c r="W239" i="51"/>
  <c r="S239" i="51"/>
  <c r="O239" i="51"/>
  <c r="K239" i="51"/>
  <c r="G239" i="51"/>
  <c r="C239" i="51"/>
  <c r="AY238" i="51"/>
  <c r="AV238" i="51"/>
  <c r="AI238" i="51"/>
  <c r="AE238" i="51"/>
  <c r="AA238" i="51"/>
  <c r="W238" i="51"/>
  <c r="S238" i="51"/>
  <c r="O238" i="51"/>
  <c r="K238" i="51"/>
  <c r="G238" i="51"/>
  <c r="C238" i="51"/>
  <c r="AY237" i="51"/>
  <c r="AV237" i="51"/>
  <c r="AI237" i="51"/>
  <c r="AE237" i="51"/>
  <c r="AA237" i="51"/>
  <c r="W237" i="51"/>
  <c r="S237" i="51"/>
  <c r="O237" i="51"/>
  <c r="K237" i="51"/>
  <c r="G237" i="51"/>
  <c r="C237" i="51"/>
  <c r="AY236" i="51"/>
  <c r="AV236" i="51"/>
  <c r="AI236" i="51"/>
  <c r="AE236" i="51"/>
  <c r="AA236" i="51"/>
  <c r="W236" i="51"/>
  <c r="S236" i="51"/>
  <c r="O236" i="51"/>
  <c r="K236" i="51"/>
  <c r="G236" i="51"/>
  <c r="C236" i="51"/>
  <c r="AY235" i="51"/>
  <c r="AV235" i="51"/>
  <c r="AI235" i="51"/>
  <c r="AE235" i="51"/>
  <c r="AA235" i="51"/>
  <c r="W235" i="51"/>
  <c r="S235" i="51"/>
  <c r="O235" i="51"/>
  <c r="K235" i="51"/>
  <c r="G235" i="51"/>
  <c r="C235" i="51"/>
  <c r="AY234" i="51"/>
  <c r="AV234" i="51"/>
  <c r="AI234" i="51"/>
  <c r="AE234" i="51"/>
  <c r="AA234" i="51"/>
  <c r="W234" i="51"/>
  <c r="S234" i="51"/>
  <c r="O234" i="51"/>
  <c r="K234" i="51"/>
  <c r="G234" i="51"/>
  <c r="C234" i="51"/>
  <c r="AY233" i="51"/>
  <c r="AV233" i="51"/>
  <c r="AI233" i="51"/>
  <c r="AE233" i="51"/>
  <c r="AA233" i="51"/>
  <c r="W233" i="51"/>
  <c r="S233" i="51"/>
  <c r="O233" i="51"/>
  <c r="K233" i="51"/>
  <c r="G233" i="51"/>
  <c r="C233" i="51"/>
  <c r="AY232" i="51"/>
  <c r="AV232" i="51"/>
  <c r="AI232" i="51"/>
  <c r="AE232" i="51"/>
  <c r="AA232" i="51"/>
  <c r="W232" i="51"/>
  <c r="S232" i="51"/>
  <c r="O232" i="51"/>
  <c r="K232" i="51"/>
  <c r="G232" i="51"/>
  <c r="C232" i="51"/>
  <c r="AY231" i="51"/>
  <c r="AV231" i="51"/>
  <c r="AI231" i="51"/>
  <c r="AE231" i="51"/>
  <c r="AA231" i="51"/>
  <c r="W231" i="51"/>
  <c r="S231" i="51"/>
  <c r="O231" i="51"/>
  <c r="K231" i="51"/>
  <c r="G231" i="51"/>
  <c r="C231" i="51"/>
  <c r="AY230" i="51"/>
  <c r="AV230" i="51"/>
  <c r="AI230" i="51"/>
  <c r="AE230" i="51"/>
  <c r="AA230" i="51"/>
  <c r="W230" i="51"/>
  <c r="S230" i="51"/>
  <c r="O230" i="51"/>
  <c r="K230" i="51"/>
  <c r="G230" i="51"/>
  <c r="C230" i="51"/>
  <c r="AY229" i="51"/>
  <c r="AV229" i="51"/>
  <c r="AI229" i="51"/>
  <c r="AE229" i="51"/>
  <c r="AA229" i="51"/>
  <c r="W229" i="51"/>
  <c r="S229" i="51"/>
  <c r="O229" i="51"/>
  <c r="K229" i="51"/>
  <c r="G229" i="51"/>
  <c r="C229" i="51"/>
  <c r="AY228" i="51"/>
  <c r="AV228" i="51"/>
  <c r="AI228" i="51"/>
  <c r="AE228" i="51"/>
  <c r="AA228" i="51"/>
  <c r="W228" i="51"/>
  <c r="S228" i="51"/>
  <c r="O228" i="51"/>
  <c r="K228" i="51"/>
  <c r="G228" i="51"/>
  <c r="C228" i="51"/>
  <c r="AY227" i="51"/>
  <c r="AV227" i="51"/>
  <c r="AI227" i="51"/>
  <c r="AE227" i="51"/>
  <c r="AA227" i="51"/>
  <c r="W227" i="51"/>
  <c r="S227" i="51"/>
  <c r="O227" i="51"/>
  <c r="K227" i="51"/>
  <c r="G227" i="51"/>
  <c r="C227" i="51"/>
  <c r="AY226" i="51"/>
  <c r="AV226" i="51"/>
  <c r="AI226" i="51"/>
  <c r="AE226" i="51"/>
  <c r="AA226" i="51"/>
  <c r="W226" i="51"/>
  <c r="S226" i="51"/>
  <c r="O226" i="51"/>
  <c r="K226" i="51"/>
  <c r="G226" i="51"/>
  <c r="C226" i="51"/>
  <c r="AY225" i="51"/>
  <c r="AV225" i="51"/>
  <c r="AI225" i="51"/>
  <c r="AE225" i="51"/>
  <c r="AA225" i="51"/>
  <c r="W225" i="51"/>
  <c r="S225" i="51"/>
  <c r="O225" i="51"/>
  <c r="K225" i="51"/>
  <c r="G225" i="51"/>
  <c r="C225" i="51"/>
  <c r="AY224" i="51"/>
  <c r="AV224" i="51"/>
  <c r="AI224" i="51"/>
  <c r="AE224" i="51"/>
  <c r="AA224" i="51"/>
  <c r="W224" i="51"/>
  <c r="S224" i="51"/>
  <c r="O224" i="51"/>
  <c r="K224" i="51"/>
  <c r="G224" i="51"/>
  <c r="C224" i="51"/>
  <c r="AY223" i="51"/>
  <c r="AV223" i="51"/>
  <c r="AI223" i="51"/>
  <c r="AE223" i="51"/>
  <c r="AA223" i="51"/>
  <c r="W223" i="51"/>
  <c r="S223" i="51"/>
  <c r="O223" i="51"/>
  <c r="K223" i="51"/>
  <c r="G223" i="51"/>
  <c r="C223" i="51"/>
  <c r="AY222" i="51"/>
  <c r="AV222" i="51"/>
  <c r="AI222" i="51"/>
  <c r="AE222" i="51"/>
  <c r="AA222" i="51"/>
  <c r="W222" i="51"/>
  <c r="S222" i="51"/>
  <c r="O222" i="51"/>
  <c r="K222" i="51"/>
  <c r="G222" i="51"/>
  <c r="C222" i="51"/>
  <c r="AY221" i="51"/>
  <c r="AV221" i="51"/>
  <c r="AI221" i="51"/>
  <c r="AE221" i="51"/>
  <c r="AA221" i="51"/>
  <c r="W221" i="51"/>
  <c r="S221" i="51"/>
  <c r="O221" i="51"/>
  <c r="K221" i="51"/>
  <c r="G221" i="51"/>
  <c r="C221" i="51"/>
  <c r="AY220" i="51"/>
  <c r="AV220" i="51"/>
  <c r="AI220" i="51"/>
  <c r="AE220" i="51"/>
  <c r="AA220" i="51"/>
  <c r="W220" i="51"/>
  <c r="S220" i="51"/>
  <c r="O220" i="51"/>
  <c r="K220" i="51"/>
  <c r="G220" i="51"/>
  <c r="C220" i="51"/>
  <c r="AY219" i="51"/>
  <c r="AV219" i="51"/>
  <c r="AI219" i="51"/>
  <c r="AE219" i="51"/>
  <c r="AA219" i="51"/>
  <c r="W219" i="51"/>
  <c r="S219" i="51"/>
  <c r="O219" i="51"/>
  <c r="K219" i="51"/>
  <c r="G219" i="51"/>
  <c r="C219" i="51"/>
  <c r="AY218" i="51"/>
  <c r="AV218" i="51"/>
  <c r="AI218" i="51"/>
  <c r="AE218" i="51"/>
  <c r="AA218" i="51"/>
  <c r="W218" i="51"/>
  <c r="S218" i="51"/>
  <c r="O218" i="51"/>
  <c r="K218" i="51"/>
  <c r="G218" i="51"/>
  <c r="C218" i="51"/>
  <c r="AY217" i="51"/>
  <c r="AV217" i="51"/>
  <c r="AI217" i="51"/>
  <c r="AE217" i="51"/>
  <c r="AA217" i="51"/>
  <c r="W217" i="51"/>
  <c r="S217" i="51"/>
  <c r="O217" i="51"/>
  <c r="K217" i="51"/>
  <c r="G217" i="51"/>
  <c r="C217" i="51"/>
  <c r="AY216" i="51"/>
  <c r="AV216" i="51"/>
  <c r="AI216" i="51"/>
  <c r="AE216" i="51"/>
  <c r="AA216" i="51"/>
  <c r="W216" i="51"/>
  <c r="S216" i="51"/>
  <c r="O216" i="51"/>
  <c r="K216" i="51"/>
  <c r="G216" i="51"/>
  <c r="C216" i="51"/>
  <c r="AY215" i="51"/>
  <c r="AV215" i="51"/>
  <c r="AI215" i="51"/>
  <c r="AE215" i="51"/>
  <c r="AA215" i="51"/>
  <c r="W215" i="51"/>
  <c r="S215" i="51"/>
  <c r="O215" i="51"/>
  <c r="K215" i="51"/>
  <c r="G215" i="51"/>
  <c r="C215" i="51"/>
  <c r="AY214" i="51"/>
  <c r="AV214" i="51"/>
  <c r="AI214" i="51"/>
  <c r="AE214" i="51"/>
  <c r="AA214" i="51"/>
  <c r="W214" i="51"/>
  <c r="S214" i="51"/>
  <c r="O214" i="51"/>
  <c r="K214" i="51"/>
  <c r="G214" i="51"/>
  <c r="C214" i="51"/>
  <c r="AY213" i="51"/>
  <c r="AV213" i="51"/>
  <c r="AI213" i="51"/>
  <c r="AE213" i="51"/>
  <c r="AA213" i="51"/>
  <c r="W213" i="51"/>
  <c r="S213" i="51"/>
  <c r="O213" i="51"/>
  <c r="K213" i="51"/>
  <c r="G213" i="51"/>
  <c r="C213" i="51"/>
  <c r="AY212" i="51"/>
  <c r="AV212" i="51"/>
  <c r="AI212" i="51"/>
  <c r="AE212" i="51"/>
  <c r="AA212" i="51"/>
  <c r="W212" i="51"/>
  <c r="S212" i="51"/>
  <c r="O212" i="51"/>
  <c r="K212" i="51"/>
  <c r="G212" i="51"/>
  <c r="C212" i="51"/>
  <c r="AY211" i="51"/>
  <c r="AV211" i="51"/>
  <c r="AI211" i="51"/>
  <c r="AE211" i="51"/>
  <c r="AA211" i="51"/>
  <c r="W211" i="51"/>
  <c r="S211" i="51"/>
  <c r="O211" i="51"/>
  <c r="K211" i="51"/>
  <c r="G211" i="51"/>
  <c r="C211" i="51"/>
  <c r="AY210" i="51"/>
  <c r="AV210" i="51"/>
  <c r="AI210" i="51"/>
  <c r="AE210" i="51"/>
  <c r="AA210" i="51"/>
  <c r="W210" i="51"/>
  <c r="S210" i="51"/>
  <c r="O210" i="51"/>
  <c r="K210" i="51"/>
  <c r="G210" i="51"/>
  <c r="C210" i="51"/>
  <c r="AY209" i="51"/>
  <c r="AV209" i="51"/>
  <c r="AI209" i="51"/>
  <c r="AE209" i="51"/>
  <c r="AA209" i="51"/>
  <c r="W209" i="51"/>
  <c r="S209" i="51"/>
  <c r="O209" i="51"/>
  <c r="K209" i="51"/>
  <c r="G209" i="51"/>
  <c r="C209" i="51"/>
  <c r="AY208" i="51"/>
  <c r="AV208" i="51"/>
  <c r="AI208" i="51"/>
  <c r="AE208" i="51"/>
  <c r="AA208" i="51"/>
  <c r="W208" i="51"/>
  <c r="S208" i="51"/>
  <c r="O208" i="51"/>
  <c r="K208" i="51"/>
  <c r="G208" i="51"/>
  <c r="C208" i="51"/>
  <c r="AY207" i="51"/>
  <c r="AV207" i="51"/>
  <c r="AI207" i="51"/>
  <c r="AE207" i="51"/>
  <c r="AA207" i="51"/>
  <c r="W207" i="51"/>
  <c r="S207" i="51"/>
  <c r="O207" i="51"/>
  <c r="K207" i="51"/>
  <c r="G207" i="51"/>
  <c r="C207" i="51"/>
  <c r="AY206" i="51"/>
  <c r="AV206" i="51"/>
  <c r="AI206" i="51"/>
  <c r="AE206" i="51"/>
  <c r="AA206" i="51"/>
  <c r="W206" i="51"/>
  <c r="S206" i="51"/>
  <c r="O206" i="51"/>
  <c r="K206" i="51"/>
  <c r="G206" i="51"/>
  <c r="C206" i="51"/>
  <c r="AY205" i="51"/>
  <c r="AV205" i="51"/>
  <c r="AI205" i="51"/>
  <c r="AE205" i="51"/>
  <c r="AA205" i="51"/>
  <c r="W205" i="51"/>
  <c r="S205" i="51"/>
  <c r="O205" i="51"/>
  <c r="K205" i="51"/>
  <c r="G205" i="51"/>
  <c r="C205" i="51"/>
  <c r="AY204" i="51"/>
  <c r="AV204" i="51"/>
  <c r="AI204" i="51"/>
  <c r="AE204" i="51"/>
  <c r="AA204" i="51"/>
  <c r="W204" i="51"/>
  <c r="S204" i="51"/>
  <c r="O204" i="51"/>
  <c r="K204" i="51"/>
  <c r="G204" i="51"/>
  <c r="C204" i="51"/>
  <c r="AY203" i="51"/>
  <c r="AV203" i="51"/>
  <c r="AI203" i="51"/>
  <c r="AE203" i="51"/>
  <c r="AA203" i="51"/>
  <c r="W203" i="51"/>
  <c r="S203" i="51"/>
  <c r="O203" i="51"/>
  <c r="K203" i="51"/>
  <c r="G203" i="51"/>
  <c r="C203" i="51"/>
  <c r="AY202" i="51"/>
  <c r="AV202" i="51"/>
  <c r="AI202" i="51"/>
  <c r="AE202" i="51"/>
  <c r="AA202" i="51"/>
  <c r="W202" i="51"/>
  <c r="S202" i="51"/>
  <c r="O202" i="51"/>
  <c r="K202" i="51"/>
  <c r="G202" i="51"/>
  <c r="C202" i="51"/>
  <c r="AY201" i="51"/>
  <c r="AV201" i="51"/>
  <c r="AI201" i="51"/>
  <c r="AE201" i="51"/>
  <c r="AA201" i="51"/>
  <c r="W201" i="51"/>
  <c r="S201" i="51"/>
  <c r="O201" i="51"/>
  <c r="K201" i="51"/>
  <c r="G201" i="51"/>
  <c r="C201" i="51"/>
  <c r="AY200" i="51"/>
  <c r="AV200" i="51"/>
  <c r="AI200" i="51"/>
  <c r="AE200" i="51"/>
  <c r="AA200" i="51"/>
  <c r="W200" i="51"/>
  <c r="S200" i="51"/>
  <c r="O200" i="51"/>
  <c r="K200" i="51"/>
  <c r="G200" i="51"/>
  <c r="C200" i="51"/>
  <c r="AY199" i="51"/>
  <c r="AV199" i="51"/>
  <c r="AI199" i="51"/>
  <c r="AE199" i="51"/>
  <c r="AA199" i="51"/>
  <c r="W199" i="51"/>
  <c r="S199" i="51"/>
  <c r="O199" i="51"/>
  <c r="K199" i="51"/>
  <c r="G199" i="51"/>
  <c r="C199" i="51"/>
  <c r="AY198" i="51"/>
  <c r="AV198" i="51"/>
  <c r="AI198" i="51"/>
  <c r="AE198" i="51"/>
  <c r="AA198" i="51"/>
  <c r="W198" i="51"/>
  <c r="S198" i="51"/>
  <c r="O198" i="51"/>
  <c r="K198" i="51"/>
  <c r="G198" i="51"/>
  <c r="C198" i="51"/>
  <c r="AY197" i="51"/>
  <c r="AV197" i="51"/>
  <c r="AI197" i="51"/>
  <c r="AE197" i="51"/>
  <c r="AA197" i="51"/>
  <c r="W197" i="51"/>
  <c r="S197" i="51"/>
  <c r="O197" i="51"/>
  <c r="K197" i="51"/>
  <c r="G197" i="51"/>
  <c r="C197" i="51"/>
  <c r="AY196" i="51"/>
  <c r="AV196" i="51"/>
  <c r="AI196" i="51"/>
  <c r="AE196" i="51"/>
  <c r="AA196" i="51"/>
  <c r="W196" i="51"/>
  <c r="S196" i="51"/>
  <c r="O196" i="51"/>
  <c r="K196" i="51"/>
  <c r="G196" i="51"/>
  <c r="C196" i="51"/>
  <c r="AY195" i="51"/>
  <c r="AV195" i="51"/>
  <c r="AI195" i="51"/>
  <c r="AE195" i="51"/>
  <c r="AA195" i="51"/>
  <c r="W195" i="51"/>
  <c r="S195" i="51"/>
  <c r="O195" i="51"/>
  <c r="K195" i="51"/>
  <c r="G195" i="51"/>
  <c r="C195" i="51"/>
  <c r="AY194" i="51"/>
  <c r="AV194" i="51"/>
  <c r="AI194" i="51"/>
  <c r="AE194" i="51"/>
  <c r="AA194" i="51"/>
  <c r="W194" i="51"/>
  <c r="S194" i="51"/>
  <c r="O194" i="51"/>
  <c r="K194" i="51"/>
  <c r="G194" i="51"/>
  <c r="C194" i="51"/>
  <c r="AY193" i="51"/>
  <c r="AV193" i="51"/>
  <c r="AI193" i="51"/>
  <c r="AE193" i="51"/>
  <c r="AA193" i="51"/>
  <c r="W193" i="51"/>
  <c r="S193" i="51"/>
  <c r="O193" i="51"/>
  <c r="K193" i="51"/>
  <c r="G193" i="51"/>
  <c r="C193" i="51"/>
  <c r="AY192" i="51"/>
  <c r="AV192" i="51"/>
  <c r="AI192" i="51"/>
  <c r="AE192" i="51"/>
  <c r="AA192" i="51"/>
  <c r="W192" i="51"/>
  <c r="S192" i="51"/>
  <c r="O192" i="51"/>
  <c r="K192" i="51"/>
  <c r="G192" i="51"/>
  <c r="C192" i="51"/>
  <c r="AY191" i="51"/>
  <c r="AV191" i="51"/>
  <c r="AI191" i="51"/>
  <c r="AE191" i="51"/>
  <c r="AA191" i="51"/>
  <c r="W191" i="51"/>
  <c r="S191" i="51"/>
  <c r="O191" i="51"/>
  <c r="K191" i="51"/>
  <c r="G191" i="51"/>
  <c r="C191" i="51"/>
  <c r="AY190" i="51"/>
  <c r="AV190" i="51"/>
  <c r="AI190" i="51"/>
  <c r="AE190" i="51"/>
  <c r="AA190" i="51"/>
  <c r="W190" i="51"/>
  <c r="S190" i="51"/>
  <c r="O190" i="51"/>
  <c r="K190" i="51"/>
  <c r="G190" i="51"/>
  <c r="C190" i="51"/>
  <c r="AY189" i="51"/>
  <c r="AV189" i="51"/>
  <c r="AI189" i="51"/>
  <c r="AE189" i="51"/>
  <c r="AA189" i="51"/>
  <c r="W189" i="51"/>
  <c r="S189" i="51"/>
  <c r="O189" i="51"/>
  <c r="K189" i="51"/>
  <c r="G189" i="51"/>
  <c r="C189" i="51"/>
  <c r="AY188" i="51"/>
  <c r="AV188" i="51"/>
  <c r="AI188" i="51"/>
  <c r="AE188" i="51"/>
  <c r="AA188" i="51"/>
  <c r="W188" i="51"/>
  <c r="S188" i="51"/>
  <c r="O188" i="51"/>
  <c r="K188" i="51"/>
  <c r="G188" i="51"/>
  <c r="C188" i="51"/>
  <c r="AY187" i="51"/>
  <c r="AV187" i="51"/>
  <c r="AI187" i="51"/>
  <c r="AE187" i="51"/>
  <c r="AA187" i="51"/>
  <c r="W187" i="51"/>
  <c r="S187" i="51"/>
  <c r="O187" i="51"/>
  <c r="K187" i="51"/>
  <c r="G187" i="51"/>
  <c r="C187" i="51"/>
  <c r="AY186" i="51"/>
  <c r="AV186" i="51"/>
  <c r="AI186" i="51"/>
  <c r="AE186" i="51"/>
  <c r="AA186" i="51"/>
  <c r="W186" i="51"/>
  <c r="S186" i="51"/>
  <c r="O186" i="51"/>
  <c r="K186" i="51"/>
  <c r="G186" i="51"/>
  <c r="C186" i="51"/>
  <c r="AY185" i="51"/>
  <c r="AV185" i="51"/>
  <c r="AI185" i="51"/>
  <c r="AE185" i="51"/>
  <c r="AA185" i="51"/>
  <c r="W185" i="51"/>
  <c r="S185" i="51"/>
  <c r="O185" i="51"/>
  <c r="K185" i="51"/>
  <c r="G185" i="51"/>
  <c r="C185" i="51"/>
  <c r="AY184" i="51"/>
  <c r="AV184" i="51"/>
  <c r="AI184" i="51"/>
  <c r="AE184" i="51"/>
  <c r="AA184" i="51"/>
  <c r="W184" i="51"/>
  <c r="S184" i="51"/>
  <c r="O184" i="51"/>
  <c r="K184" i="51"/>
  <c r="G184" i="51"/>
  <c r="C184" i="51"/>
  <c r="AY183" i="51"/>
  <c r="AV183" i="51"/>
  <c r="AI183" i="51"/>
  <c r="AE183" i="51"/>
  <c r="AA183" i="51"/>
  <c r="W183" i="51"/>
  <c r="S183" i="51"/>
  <c r="O183" i="51"/>
  <c r="K183" i="51"/>
  <c r="G183" i="51"/>
  <c r="C183" i="51"/>
  <c r="AY182" i="51"/>
  <c r="AV182" i="51"/>
  <c r="AI182" i="51"/>
  <c r="AE182" i="51"/>
  <c r="AA182" i="51"/>
  <c r="W182" i="51"/>
  <c r="S182" i="51"/>
  <c r="O182" i="51"/>
  <c r="K182" i="51"/>
  <c r="G182" i="51"/>
  <c r="C182" i="51"/>
  <c r="AY181" i="51"/>
  <c r="AV181" i="51"/>
  <c r="AI181" i="51"/>
  <c r="AE181" i="51"/>
  <c r="AA181" i="51"/>
  <c r="W181" i="51"/>
  <c r="S181" i="51"/>
  <c r="O181" i="51"/>
  <c r="K181" i="51"/>
  <c r="G181" i="51"/>
  <c r="C181" i="51"/>
  <c r="AY180" i="51"/>
  <c r="AV180" i="51"/>
  <c r="AI180" i="51"/>
  <c r="AE180" i="51"/>
  <c r="AA180" i="51"/>
  <c r="W180" i="51"/>
  <c r="S180" i="51"/>
  <c r="O180" i="51"/>
  <c r="K180" i="51"/>
  <c r="G180" i="51"/>
  <c r="C180" i="51"/>
  <c r="AY179" i="51"/>
  <c r="AV179" i="51"/>
  <c r="AI179" i="51"/>
  <c r="AE179" i="51"/>
  <c r="AA179" i="51"/>
  <c r="W179" i="51"/>
  <c r="S179" i="51"/>
  <c r="O179" i="51"/>
  <c r="K179" i="51"/>
  <c r="G179" i="51"/>
  <c r="C179" i="51"/>
  <c r="AY178" i="51"/>
  <c r="AV178" i="51"/>
  <c r="AI178" i="51"/>
  <c r="AE178" i="51"/>
  <c r="AA178" i="51"/>
  <c r="W178" i="51"/>
  <c r="S178" i="51"/>
  <c r="O178" i="51"/>
  <c r="K178" i="51"/>
  <c r="G178" i="51"/>
  <c r="C178" i="51"/>
  <c r="AY177" i="51"/>
  <c r="AV177" i="51"/>
  <c r="AI177" i="51"/>
  <c r="AE177" i="51"/>
  <c r="AA177" i="51"/>
  <c r="W177" i="51"/>
  <c r="S177" i="51"/>
  <c r="O177" i="51"/>
  <c r="K177" i="51"/>
  <c r="G177" i="51"/>
  <c r="C177" i="51"/>
  <c r="AY176" i="51"/>
  <c r="AV176" i="51"/>
  <c r="AI176" i="51"/>
  <c r="AE176" i="51"/>
  <c r="AA176" i="51"/>
  <c r="W176" i="51"/>
  <c r="S176" i="51"/>
  <c r="O176" i="51"/>
  <c r="K176" i="51"/>
  <c r="G176" i="51"/>
  <c r="C176" i="51"/>
  <c r="AY175" i="51"/>
  <c r="AV175" i="51"/>
  <c r="AI175" i="51"/>
  <c r="AE175" i="51"/>
  <c r="AA175" i="51"/>
  <c r="W175" i="51"/>
  <c r="S175" i="51"/>
  <c r="O175" i="51"/>
  <c r="K175" i="51"/>
  <c r="G175" i="51"/>
  <c r="C175" i="51"/>
  <c r="AY174" i="51"/>
  <c r="AV174" i="51"/>
  <c r="AI174" i="51"/>
  <c r="AE174" i="51"/>
  <c r="AA174" i="51"/>
  <c r="W174" i="51"/>
  <c r="S174" i="51"/>
  <c r="O174" i="51"/>
  <c r="K174" i="51"/>
  <c r="G174" i="51"/>
  <c r="C174" i="51"/>
  <c r="AY173" i="51"/>
  <c r="AV173" i="51"/>
  <c r="AI173" i="51"/>
  <c r="AE173" i="51"/>
  <c r="AA173" i="51"/>
  <c r="W173" i="51"/>
  <c r="S173" i="51"/>
  <c r="O173" i="51"/>
  <c r="K173" i="51"/>
  <c r="G173" i="51"/>
  <c r="C173" i="51"/>
  <c r="AY172" i="51"/>
  <c r="AV172" i="51"/>
  <c r="AI172" i="51"/>
  <c r="AE172" i="51"/>
  <c r="AA172" i="51"/>
  <c r="W172" i="51"/>
  <c r="S172" i="51"/>
  <c r="O172" i="51"/>
  <c r="K172" i="51"/>
  <c r="G172" i="51"/>
  <c r="C172" i="51"/>
  <c r="AY171" i="51"/>
  <c r="AV171" i="51"/>
  <c r="AI171" i="51"/>
  <c r="AE171" i="51"/>
  <c r="AA171" i="51"/>
  <c r="W171" i="51"/>
  <c r="S171" i="51"/>
  <c r="O171" i="51"/>
  <c r="K171" i="51"/>
  <c r="G171" i="51"/>
  <c r="C171" i="51"/>
  <c r="AY170" i="51"/>
  <c r="AV170" i="51"/>
  <c r="AI170" i="51"/>
  <c r="AE170" i="51"/>
  <c r="AA170" i="51"/>
  <c r="W170" i="51"/>
  <c r="S170" i="51"/>
  <c r="O170" i="51"/>
  <c r="K170" i="51"/>
  <c r="G170" i="51"/>
  <c r="C170" i="51"/>
  <c r="AY169" i="51"/>
  <c r="AV169" i="51"/>
  <c r="AI169" i="51"/>
  <c r="AE169" i="51"/>
  <c r="AA169" i="51"/>
  <c r="W169" i="51"/>
  <c r="S169" i="51"/>
  <c r="O169" i="51"/>
  <c r="K169" i="51"/>
  <c r="G169" i="51"/>
  <c r="C169" i="51"/>
  <c r="AY168" i="51"/>
  <c r="AV168" i="51"/>
  <c r="AI168" i="51"/>
  <c r="AE168" i="51"/>
  <c r="AA168" i="51"/>
  <c r="W168" i="51"/>
  <c r="S168" i="51"/>
  <c r="O168" i="51"/>
  <c r="K168" i="51"/>
  <c r="G168" i="51"/>
  <c r="C168" i="51"/>
  <c r="AY167" i="51"/>
  <c r="AV167" i="51"/>
  <c r="AI167" i="51"/>
  <c r="AE167" i="51"/>
  <c r="AA167" i="51"/>
  <c r="W167" i="51"/>
  <c r="S167" i="51"/>
  <c r="O167" i="51"/>
  <c r="K167" i="51"/>
  <c r="G167" i="51"/>
  <c r="C167" i="51"/>
  <c r="AY166" i="51"/>
  <c r="AV166" i="51"/>
  <c r="AI166" i="51"/>
  <c r="AE166" i="51"/>
  <c r="AA166" i="51"/>
  <c r="W166" i="51"/>
  <c r="S166" i="51"/>
  <c r="O166" i="51"/>
  <c r="K166" i="51"/>
  <c r="G166" i="51"/>
  <c r="C166" i="51"/>
  <c r="AY165" i="51"/>
  <c r="AV165" i="51"/>
  <c r="AI165" i="51"/>
  <c r="AE165" i="51"/>
  <c r="AA165" i="51"/>
  <c r="W165" i="51"/>
  <c r="S165" i="51"/>
  <c r="O165" i="51"/>
  <c r="K165" i="51"/>
  <c r="G165" i="51"/>
  <c r="C165" i="51"/>
  <c r="AY164" i="51"/>
  <c r="AV164" i="51"/>
  <c r="AI164" i="51"/>
  <c r="AE164" i="51"/>
  <c r="AA164" i="51"/>
  <c r="W164" i="51"/>
  <c r="S164" i="51"/>
  <c r="O164" i="51"/>
  <c r="K164" i="51"/>
  <c r="G164" i="51"/>
  <c r="C164" i="51"/>
  <c r="AY163" i="51"/>
  <c r="AV163" i="51"/>
  <c r="AI163" i="51"/>
  <c r="AE163" i="51"/>
  <c r="AA163" i="51"/>
  <c r="W163" i="51"/>
  <c r="S163" i="51"/>
  <c r="O163" i="51"/>
  <c r="K163" i="51"/>
  <c r="G163" i="51"/>
  <c r="C163" i="51"/>
  <c r="AY162" i="51"/>
  <c r="AV162" i="51"/>
  <c r="AI162" i="51"/>
  <c r="AE162" i="51"/>
  <c r="AA162" i="51"/>
  <c r="W162" i="51"/>
  <c r="S162" i="51"/>
  <c r="O162" i="51"/>
  <c r="K162" i="51"/>
  <c r="G162" i="51"/>
  <c r="C162" i="51"/>
  <c r="AY161" i="51"/>
  <c r="AV161" i="51"/>
  <c r="AI161" i="51"/>
  <c r="AE161" i="51"/>
  <c r="AA161" i="51"/>
  <c r="W161" i="51"/>
  <c r="S161" i="51"/>
  <c r="O161" i="51"/>
  <c r="K161" i="51"/>
  <c r="G161" i="51"/>
  <c r="C161" i="51"/>
  <c r="AY160" i="51"/>
  <c r="AV160" i="51"/>
  <c r="AI160" i="51"/>
  <c r="AE160" i="51"/>
  <c r="AA160" i="51"/>
  <c r="W160" i="51"/>
  <c r="S160" i="51"/>
  <c r="O160" i="51"/>
  <c r="K160" i="51"/>
  <c r="G160" i="51"/>
  <c r="C160" i="51"/>
  <c r="AY159" i="51"/>
  <c r="AV159" i="51"/>
  <c r="AI159" i="51"/>
  <c r="AE159" i="51"/>
  <c r="AA159" i="51"/>
  <c r="W159" i="51"/>
  <c r="S159" i="51"/>
  <c r="O159" i="51"/>
  <c r="K159" i="51"/>
  <c r="G159" i="51"/>
  <c r="C159" i="51"/>
  <c r="AY158" i="51"/>
  <c r="AV158" i="51"/>
  <c r="AI158" i="51"/>
  <c r="AE158" i="51"/>
  <c r="AA158" i="51"/>
  <c r="W158" i="51"/>
  <c r="S158" i="51"/>
  <c r="O158" i="51"/>
  <c r="K158" i="51"/>
  <c r="G158" i="51"/>
  <c r="C158" i="51"/>
  <c r="AY157" i="51"/>
  <c r="AV157" i="51"/>
  <c r="AI157" i="51"/>
  <c r="AE157" i="51"/>
  <c r="AA157" i="51"/>
  <c r="W157" i="51"/>
  <c r="S157" i="51"/>
  <c r="O157" i="51"/>
  <c r="K157" i="51"/>
  <c r="G157" i="51"/>
  <c r="C157" i="51"/>
  <c r="AY156" i="51"/>
  <c r="AV156" i="51"/>
  <c r="AI156" i="51"/>
  <c r="AE156" i="51"/>
  <c r="AA156" i="51"/>
  <c r="W156" i="51"/>
  <c r="S156" i="51"/>
  <c r="O156" i="51"/>
  <c r="K156" i="51"/>
  <c r="G156" i="51"/>
  <c r="C156" i="51"/>
  <c r="AY155" i="51"/>
  <c r="AV155" i="51"/>
  <c r="AI155" i="51"/>
  <c r="AE155" i="51"/>
  <c r="AA155" i="51"/>
  <c r="W155" i="51"/>
  <c r="S155" i="51"/>
  <c r="O155" i="51"/>
  <c r="K155" i="51"/>
  <c r="G155" i="51"/>
  <c r="C155" i="51"/>
  <c r="AY154" i="51"/>
  <c r="AV154" i="51"/>
  <c r="AI154" i="51"/>
  <c r="AE154" i="51"/>
  <c r="AA154" i="51"/>
  <c r="W154" i="51"/>
  <c r="S154" i="51"/>
  <c r="O154" i="51"/>
  <c r="K154" i="51"/>
  <c r="G154" i="51"/>
  <c r="C154" i="51"/>
  <c r="AY153" i="51"/>
  <c r="AV153" i="51"/>
  <c r="AI153" i="51"/>
  <c r="AE153" i="51"/>
  <c r="AA153" i="51"/>
  <c r="W153" i="51"/>
  <c r="S153" i="51"/>
  <c r="O153" i="51"/>
  <c r="K153" i="51"/>
  <c r="G153" i="51"/>
  <c r="C153" i="51"/>
  <c r="AY152" i="51"/>
  <c r="AV152" i="51"/>
  <c r="AI152" i="51"/>
  <c r="AE152" i="51"/>
  <c r="AA152" i="51"/>
  <c r="W152" i="51"/>
  <c r="S152" i="51"/>
  <c r="O152" i="51"/>
  <c r="K152" i="51"/>
  <c r="G152" i="51"/>
  <c r="C152" i="51"/>
  <c r="AY151" i="51"/>
  <c r="AV151" i="51"/>
  <c r="AI151" i="51"/>
  <c r="AE151" i="51"/>
  <c r="AA151" i="51"/>
  <c r="W151" i="51"/>
  <c r="S151" i="51"/>
  <c r="O151" i="51"/>
  <c r="K151" i="51"/>
  <c r="G151" i="51"/>
  <c r="C151" i="51"/>
  <c r="AY150" i="51"/>
  <c r="AV150" i="51"/>
  <c r="AI150" i="51"/>
  <c r="AE150" i="51"/>
  <c r="AA150" i="51"/>
  <c r="W150" i="51"/>
  <c r="S150" i="51"/>
  <c r="O150" i="51"/>
  <c r="K150" i="51"/>
  <c r="G150" i="51"/>
  <c r="C150" i="51"/>
  <c r="AY149" i="51"/>
  <c r="AV149" i="51"/>
  <c r="AI149" i="51"/>
  <c r="AE149" i="51"/>
  <c r="AA149" i="51"/>
  <c r="W149" i="51"/>
  <c r="S149" i="51"/>
  <c r="O149" i="51"/>
  <c r="K149" i="51"/>
  <c r="G149" i="51"/>
  <c r="C149" i="51"/>
  <c r="AY148" i="51"/>
  <c r="AV148" i="51"/>
  <c r="AI148" i="51"/>
  <c r="AE148" i="51"/>
  <c r="AA148" i="51"/>
  <c r="W148" i="51"/>
  <c r="S148" i="51"/>
  <c r="O148" i="51"/>
  <c r="K148" i="51"/>
  <c r="G148" i="51"/>
  <c r="C148" i="51"/>
  <c r="AY147" i="51"/>
  <c r="AV147" i="51"/>
  <c r="AI147" i="51"/>
  <c r="AE147" i="51"/>
  <c r="AA147" i="51"/>
  <c r="W147" i="51"/>
  <c r="S147" i="51"/>
  <c r="O147" i="51"/>
  <c r="K147" i="51"/>
  <c r="G147" i="51"/>
  <c r="C147" i="51"/>
  <c r="AY146" i="51"/>
  <c r="AV146" i="51"/>
  <c r="AI146" i="51"/>
  <c r="AE146" i="51"/>
  <c r="AA146" i="51"/>
  <c r="W146" i="51"/>
  <c r="S146" i="51"/>
  <c r="O146" i="51"/>
  <c r="K146" i="51"/>
  <c r="G146" i="51"/>
  <c r="C146" i="51"/>
  <c r="AY145" i="51"/>
  <c r="AV145" i="51"/>
  <c r="AI145" i="51"/>
  <c r="AE145" i="51"/>
  <c r="AA145" i="51"/>
  <c r="W145" i="51"/>
  <c r="S145" i="51"/>
  <c r="O145" i="51"/>
  <c r="K145" i="51"/>
  <c r="G145" i="51"/>
  <c r="C145" i="51"/>
  <c r="AY144" i="51"/>
  <c r="AV144" i="51"/>
  <c r="AI144" i="51"/>
  <c r="AE144" i="51"/>
  <c r="AA144" i="51"/>
  <c r="W144" i="51"/>
  <c r="S144" i="51"/>
  <c r="O144" i="51"/>
  <c r="K144" i="51"/>
  <c r="G144" i="51"/>
  <c r="C144" i="51"/>
  <c r="AY143" i="51"/>
  <c r="AV143" i="51"/>
  <c r="AI143" i="51"/>
  <c r="AE143" i="51"/>
  <c r="AA143" i="51"/>
  <c r="W143" i="51"/>
  <c r="S143" i="51"/>
  <c r="O143" i="51"/>
  <c r="K143" i="51"/>
  <c r="G143" i="51"/>
  <c r="C143" i="51"/>
  <c r="AY142" i="51"/>
  <c r="AV142" i="51"/>
  <c r="AI142" i="51"/>
  <c r="AE142" i="51"/>
  <c r="AA142" i="51"/>
  <c r="W142" i="51"/>
  <c r="S142" i="51"/>
  <c r="O142" i="51"/>
  <c r="K142" i="51"/>
  <c r="G142" i="51"/>
  <c r="C142" i="51"/>
  <c r="AY141" i="51"/>
  <c r="AV141" i="51"/>
  <c r="AI141" i="51"/>
  <c r="AE141" i="51"/>
  <c r="AA141" i="51"/>
  <c r="W141" i="51"/>
  <c r="S141" i="51"/>
  <c r="O141" i="51"/>
  <c r="K141" i="51"/>
  <c r="G141" i="51"/>
  <c r="C141" i="51"/>
  <c r="AY140" i="51"/>
  <c r="AV140" i="51"/>
  <c r="AI140" i="51"/>
  <c r="AE140" i="51"/>
  <c r="AA140" i="51"/>
  <c r="W140" i="51"/>
  <c r="S140" i="51"/>
  <c r="O140" i="51"/>
  <c r="K140" i="51"/>
  <c r="G140" i="51"/>
  <c r="C140" i="51"/>
  <c r="AY139" i="51"/>
  <c r="AV139" i="51"/>
  <c r="AI139" i="51"/>
  <c r="AE139" i="51"/>
  <c r="AA139" i="51"/>
  <c r="W139" i="51"/>
  <c r="S139" i="51"/>
  <c r="O139" i="51"/>
  <c r="K139" i="51"/>
  <c r="G139" i="51"/>
  <c r="C139" i="51"/>
  <c r="AY138" i="51"/>
  <c r="AV138" i="51"/>
  <c r="AI138" i="51"/>
  <c r="AE138" i="51"/>
  <c r="AA138" i="51"/>
  <c r="W138" i="51"/>
  <c r="S138" i="51"/>
  <c r="O138" i="51"/>
  <c r="K138" i="51"/>
  <c r="G138" i="51"/>
  <c r="C138" i="51"/>
  <c r="AY137" i="51"/>
  <c r="AV137" i="51"/>
  <c r="AI137" i="51"/>
  <c r="AE137" i="51"/>
  <c r="AA137" i="51"/>
  <c r="W137" i="51"/>
  <c r="S137" i="51"/>
  <c r="O137" i="51"/>
  <c r="K137" i="51"/>
  <c r="G137" i="51"/>
  <c r="C137" i="51"/>
  <c r="AY136" i="51"/>
  <c r="AV136" i="51"/>
  <c r="AI136" i="51"/>
  <c r="AE136" i="51"/>
  <c r="AA136" i="51"/>
  <c r="W136" i="51"/>
  <c r="S136" i="51"/>
  <c r="O136" i="51"/>
  <c r="K136" i="51"/>
  <c r="G136" i="51"/>
  <c r="C136" i="51"/>
  <c r="AY135" i="51"/>
  <c r="AV135" i="51"/>
  <c r="AI135" i="51"/>
  <c r="AE135" i="51"/>
  <c r="AA135" i="51"/>
  <c r="W135" i="51"/>
  <c r="S135" i="51"/>
  <c r="O135" i="51"/>
  <c r="K135" i="51"/>
  <c r="G135" i="51"/>
  <c r="C135" i="51"/>
  <c r="AY134" i="51"/>
  <c r="AV134" i="51"/>
  <c r="AI134" i="51"/>
  <c r="AE134" i="51"/>
  <c r="AA134" i="51"/>
  <c r="W134" i="51"/>
  <c r="S134" i="51"/>
  <c r="O134" i="51"/>
  <c r="K134" i="51"/>
  <c r="G134" i="51"/>
  <c r="C134" i="51"/>
  <c r="AY133" i="51"/>
  <c r="AV133" i="51"/>
  <c r="AI133" i="51"/>
  <c r="AE133" i="51"/>
  <c r="AA133" i="51"/>
  <c r="W133" i="51"/>
  <c r="S133" i="51"/>
  <c r="O133" i="51"/>
  <c r="K133" i="51"/>
  <c r="G133" i="51"/>
  <c r="C133" i="51"/>
  <c r="AY132" i="51"/>
  <c r="AV132" i="51"/>
  <c r="AI132" i="51"/>
  <c r="AE132" i="51"/>
  <c r="AA132" i="51"/>
  <c r="W132" i="51"/>
  <c r="S132" i="51"/>
  <c r="O132" i="51"/>
  <c r="K132" i="51"/>
  <c r="G132" i="51"/>
  <c r="C132" i="51"/>
  <c r="AY131" i="51"/>
  <c r="AV131" i="51"/>
  <c r="AI131" i="51"/>
  <c r="AE131" i="51"/>
  <c r="AA131" i="51"/>
  <c r="W131" i="51"/>
  <c r="S131" i="51"/>
  <c r="O131" i="51"/>
  <c r="K131" i="51"/>
  <c r="G131" i="51"/>
  <c r="C131" i="51"/>
  <c r="AY130" i="51"/>
  <c r="AV130" i="51"/>
  <c r="AI130" i="51"/>
  <c r="AE130" i="51"/>
  <c r="AA130" i="51"/>
  <c r="W130" i="51"/>
  <c r="S130" i="51"/>
  <c r="O130" i="51"/>
  <c r="K130" i="51"/>
  <c r="G130" i="51"/>
  <c r="C130" i="51"/>
  <c r="AY129" i="51"/>
  <c r="AV129" i="51"/>
  <c r="AI129" i="51"/>
  <c r="AE129" i="51"/>
  <c r="AA129" i="51"/>
  <c r="W129" i="51"/>
  <c r="S129" i="51"/>
  <c r="O129" i="51"/>
  <c r="K129" i="51"/>
  <c r="G129" i="51"/>
  <c r="C129" i="51"/>
  <c r="AY128" i="51"/>
  <c r="AV128" i="51"/>
  <c r="AI128" i="51"/>
  <c r="AE128" i="51"/>
  <c r="AA128" i="51"/>
  <c r="W128" i="51"/>
  <c r="S128" i="51"/>
  <c r="O128" i="51"/>
  <c r="K128" i="51"/>
  <c r="G128" i="51"/>
  <c r="C128" i="51"/>
  <c r="AY127" i="51"/>
  <c r="AV127" i="51"/>
  <c r="AI127" i="51"/>
  <c r="AE127" i="51"/>
  <c r="AA127" i="51"/>
  <c r="W127" i="51"/>
  <c r="S127" i="51"/>
  <c r="O127" i="51"/>
  <c r="K127" i="51"/>
  <c r="G127" i="51"/>
  <c r="C127" i="51"/>
  <c r="AY126" i="51"/>
  <c r="AV126" i="51"/>
  <c r="AI126" i="51"/>
  <c r="AE126" i="51"/>
  <c r="AA126" i="51"/>
  <c r="W126" i="51"/>
  <c r="S126" i="51"/>
  <c r="O126" i="51"/>
  <c r="K126" i="51"/>
  <c r="G126" i="51"/>
  <c r="C126" i="51"/>
  <c r="AY125" i="51"/>
  <c r="AV125" i="51"/>
  <c r="AI125" i="51"/>
  <c r="AE125" i="51"/>
  <c r="AA125" i="51"/>
  <c r="W125" i="51"/>
  <c r="S125" i="51"/>
  <c r="O125" i="51"/>
  <c r="K125" i="51"/>
  <c r="G125" i="51"/>
  <c r="C125" i="51"/>
  <c r="AY124" i="51"/>
  <c r="AV124" i="51"/>
  <c r="AI124" i="51"/>
  <c r="AE124" i="51"/>
  <c r="AA124" i="51"/>
  <c r="W124" i="51"/>
  <c r="S124" i="51"/>
  <c r="O124" i="51"/>
  <c r="K124" i="51"/>
  <c r="G124" i="51"/>
  <c r="C124" i="51"/>
  <c r="AY123" i="51"/>
  <c r="AV123" i="51"/>
  <c r="AI123" i="51"/>
  <c r="AE123" i="51"/>
  <c r="AA123" i="51"/>
  <c r="W123" i="51"/>
  <c r="S123" i="51"/>
  <c r="O123" i="51"/>
  <c r="K123" i="51"/>
  <c r="G123" i="51"/>
  <c r="C123" i="51"/>
  <c r="AY122" i="51"/>
  <c r="AV122" i="51"/>
  <c r="AI122" i="51"/>
  <c r="AE122" i="51"/>
  <c r="AA122" i="51"/>
  <c r="W122" i="51"/>
  <c r="S122" i="51"/>
  <c r="O122" i="51"/>
  <c r="K122" i="51"/>
  <c r="G122" i="51"/>
  <c r="C122" i="51"/>
  <c r="AY121" i="51"/>
  <c r="AV121" i="51"/>
  <c r="AI121" i="51"/>
  <c r="AE121" i="51"/>
  <c r="AA121" i="51"/>
  <c r="W121" i="51"/>
  <c r="S121" i="51"/>
  <c r="O121" i="51"/>
  <c r="K121" i="51"/>
  <c r="G121" i="51"/>
  <c r="C121" i="51"/>
  <c r="AY120" i="51"/>
  <c r="AV120" i="51"/>
  <c r="AI120" i="51"/>
  <c r="AE120" i="51"/>
  <c r="AA120" i="51"/>
  <c r="W120" i="51"/>
  <c r="S120" i="51"/>
  <c r="O120" i="51"/>
  <c r="K120" i="51"/>
  <c r="G120" i="51"/>
  <c r="C120" i="51"/>
  <c r="AY119" i="51"/>
  <c r="AV119" i="51"/>
  <c r="AI119" i="51"/>
  <c r="AE119" i="51"/>
  <c r="AA119" i="51"/>
  <c r="W119" i="51"/>
  <c r="S119" i="51"/>
  <c r="O119" i="51"/>
  <c r="K119" i="51"/>
  <c r="G119" i="51"/>
  <c r="C119" i="51"/>
  <c r="AY118" i="51"/>
  <c r="AV118" i="51"/>
  <c r="AI118" i="51"/>
  <c r="AE118" i="51"/>
  <c r="AA118" i="51"/>
  <c r="W118" i="51"/>
  <c r="S118" i="51"/>
  <c r="O118" i="51"/>
  <c r="K118" i="51"/>
  <c r="G118" i="51"/>
  <c r="C118" i="51"/>
  <c r="AY117" i="51"/>
  <c r="AV117" i="51"/>
  <c r="AI117" i="51"/>
  <c r="AE117" i="51"/>
  <c r="AA117" i="51"/>
  <c r="W117" i="51"/>
  <c r="S117" i="51"/>
  <c r="O117" i="51"/>
  <c r="K117" i="51"/>
  <c r="G117" i="51"/>
  <c r="C117" i="51"/>
  <c r="AY116" i="51"/>
  <c r="AV116" i="51"/>
  <c r="AI116" i="51"/>
  <c r="AE116" i="51"/>
  <c r="AA116" i="51"/>
  <c r="W116" i="51"/>
  <c r="S116" i="51"/>
  <c r="O116" i="51"/>
  <c r="K116" i="51"/>
  <c r="G116" i="51"/>
  <c r="C116" i="51"/>
  <c r="AY115" i="51"/>
  <c r="AV115" i="51"/>
  <c r="AI115" i="51"/>
  <c r="AE115" i="51"/>
  <c r="AA115" i="51"/>
  <c r="W115" i="51"/>
  <c r="S115" i="51"/>
  <c r="O115" i="51"/>
  <c r="K115" i="51"/>
  <c r="G115" i="51"/>
  <c r="C115" i="51"/>
  <c r="AY114" i="51"/>
  <c r="AV114" i="51"/>
  <c r="AI114" i="51"/>
  <c r="AE114" i="51"/>
  <c r="AA114" i="51"/>
  <c r="W114" i="51"/>
  <c r="S114" i="51"/>
  <c r="O114" i="51"/>
  <c r="K114" i="51"/>
  <c r="G114" i="51"/>
  <c r="C114" i="51"/>
  <c r="AY113" i="51"/>
  <c r="AV113" i="51"/>
  <c r="AI113" i="51"/>
  <c r="AE113" i="51"/>
  <c r="AA113" i="51"/>
  <c r="W113" i="51"/>
  <c r="S113" i="51"/>
  <c r="O113" i="51"/>
  <c r="K113" i="51"/>
  <c r="G113" i="51"/>
  <c r="C113" i="51"/>
  <c r="AY112" i="51"/>
  <c r="AV112" i="51"/>
  <c r="AI112" i="51"/>
  <c r="AE112" i="51"/>
  <c r="AA112" i="51"/>
  <c r="W112" i="51"/>
  <c r="S112" i="51"/>
  <c r="O112" i="51"/>
  <c r="K112" i="51"/>
  <c r="G112" i="51"/>
  <c r="C112" i="51"/>
  <c r="AY111" i="51"/>
  <c r="AV111" i="51"/>
  <c r="AI111" i="51"/>
  <c r="AE111" i="51"/>
  <c r="AA111" i="51"/>
  <c r="W111" i="51"/>
  <c r="S111" i="51"/>
  <c r="O111" i="51"/>
  <c r="K111" i="51"/>
  <c r="G111" i="51"/>
  <c r="C111" i="51"/>
  <c r="AY110" i="51"/>
  <c r="AV110" i="51"/>
  <c r="AI110" i="51"/>
  <c r="AE110" i="51"/>
  <c r="AA110" i="51"/>
  <c r="W110" i="51"/>
  <c r="S110" i="51"/>
  <c r="O110" i="51"/>
  <c r="K110" i="51"/>
  <c r="G110" i="51"/>
  <c r="C110" i="51"/>
  <c r="AY109" i="51"/>
  <c r="AV109" i="51"/>
  <c r="AI109" i="51"/>
  <c r="AE109" i="51"/>
  <c r="AA109" i="51"/>
  <c r="W109" i="51"/>
  <c r="S109" i="51"/>
  <c r="O109" i="51"/>
  <c r="K109" i="51"/>
  <c r="G109" i="51"/>
  <c r="C109" i="51"/>
  <c r="AY108" i="51"/>
  <c r="AV108" i="51"/>
  <c r="AI108" i="51"/>
  <c r="AE108" i="51"/>
  <c r="AA108" i="51"/>
  <c r="W108" i="51"/>
  <c r="S108" i="51"/>
  <c r="O108" i="51"/>
  <c r="K108" i="51"/>
  <c r="G108" i="51"/>
  <c r="C108" i="51"/>
  <c r="AY107" i="51"/>
  <c r="AV107" i="51"/>
  <c r="AI107" i="51"/>
  <c r="AE107" i="51"/>
  <c r="AA107" i="51"/>
  <c r="W107" i="51"/>
  <c r="S107" i="51"/>
  <c r="O107" i="51"/>
  <c r="K107" i="51"/>
  <c r="G107" i="51"/>
  <c r="C107" i="51"/>
  <c r="AY106" i="51"/>
  <c r="AV106" i="51"/>
  <c r="AI106" i="51"/>
  <c r="AE106" i="51"/>
  <c r="AA106" i="51"/>
  <c r="W106" i="51"/>
  <c r="S106" i="51"/>
  <c r="O106" i="51"/>
  <c r="K106" i="51"/>
  <c r="G106" i="51"/>
  <c r="C106" i="51"/>
  <c r="AY105" i="51"/>
  <c r="AV105" i="51"/>
  <c r="AI105" i="51"/>
  <c r="AE105" i="51"/>
  <c r="AA105" i="51"/>
  <c r="W105" i="51"/>
  <c r="S105" i="51"/>
  <c r="O105" i="51"/>
  <c r="K105" i="51"/>
  <c r="G105" i="51"/>
  <c r="C105" i="51"/>
  <c r="AY104" i="51"/>
  <c r="AV104" i="51"/>
  <c r="AI104" i="51"/>
  <c r="AE104" i="51"/>
  <c r="AA104" i="51"/>
  <c r="W104" i="51"/>
  <c r="S104" i="51"/>
  <c r="O104" i="51"/>
  <c r="K104" i="51"/>
  <c r="G104" i="51"/>
  <c r="C104" i="51"/>
  <c r="AY103" i="51"/>
  <c r="AV103" i="51"/>
  <c r="AI103" i="51"/>
  <c r="AE103" i="51"/>
  <c r="AA103" i="51"/>
  <c r="W103" i="51"/>
  <c r="S103" i="51"/>
  <c r="O103" i="51"/>
  <c r="K103" i="51"/>
  <c r="G103" i="51"/>
  <c r="C103" i="51"/>
  <c r="AY102" i="51"/>
  <c r="AV102" i="51"/>
  <c r="AI102" i="51"/>
  <c r="AE102" i="51"/>
  <c r="AA102" i="51"/>
  <c r="W102" i="51"/>
  <c r="S102" i="51"/>
  <c r="O102" i="51"/>
  <c r="K102" i="51"/>
  <c r="G102" i="51"/>
  <c r="C102" i="51"/>
  <c r="AY101" i="51"/>
  <c r="AV101" i="51"/>
  <c r="AI101" i="51"/>
  <c r="AE101" i="51"/>
  <c r="AA101" i="51"/>
  <c r="W101" i="51"/>
  <c r="S101" i="51"/>
  <c r="O101" i="51"/>
  <c r="K101" i="51"/>
  <c r="G101" i="51"/>
  <c r="C101" i="51"/>
  <c r="AY100" i="51"/>
  <c r="AV100" i="51"/>
  <c r="AI100" i="51"/>
  <c r="AE100" i="51"/>
  <c r="AA100" i="51"/>
  <c r="W100" i="51"/>
  <c r="S100" i="51"/>
  <c r="O100" i="51"/>
  <c r="K100" i="51"/>
  <c r="G100" i="51"/>
  <c r="C100" i="51"/>
  <c r="AY99" i="51"/>
  <c r="AV99" i="51"/>
  <c r="AI99" i="51"/>
  <c r="AE99" i="51"/>
  <c r="AA99" i="51"/>
  <c r="W99" i="51"/>
  <c r="S99" i="51"/>
  <c r="O99" i="51"/>
  <c r="K99" i="51"/>
  <c r="G99" i="51"/>
  <c r="C99" i="51"/>
  <c r="AY98" i="51"/>
  <c r="AV98" i="51"/>
  <c r="AI98" i="51"/>
  <c r="AE98" i="51"/>
  <c r="AA98" i="51"/>
  <c r="W98" i="51"/>
  <c r="S98" i="51"/>
  <c r="O98" i="51"/>
  <c r="K98" i="51"/>
  <c r="G98" i="51"/>
  <c r="C98" i="51"/>
  <c r="AY97" i="51"/>
  <c r="AV97" i="51"/>
  <c r="AI97" i="51"/>
  <c r="AE97" i="51"/>
  <c r="AA97" i="51"/>
  <c r="W97" i="51"/>
  <c r="S97" i="51"/>
  <c r="O97" i="51"/>
  <c r="K97" i="51"/>
  <c r="G97" i="51"/>
  <c r="C97" i="51"/>
  <c r="AY96" i="51"/>
  <c r="AV96" i="51"/>
  <c r="AI96" i="51"/>
  <c r="AE96" i="51"/>
  <c r="AA96" i="51"/>
  <c r="W96" i="51"/>
  <c r="S96" i="51"/>
  <c r="O96" i="51"/>
  <c r="K96" i="51"/>
  <c r="G96" i="51"/>
  <c r="C96" i="51"/>
  <c r="AY95" i="51"/>
  <c r="AV95" i="51"/>
  <c r="AI95" i="51"/>
  <c r="AE95" i="51"/>
  <c r="AA95" i="51"/>
  <c r="W95" i="51"/>
  <c r="S95" i="51"/>
  <c r="O95" i="51"/>
  <c r="K95" i="51"/>
  <c r="G95" i="51"/>
  <c r="C95" i="51"/>
  <c r="AY94" i="51"/>
  <c r="AV94" i="51"/>
  <c r="AI94" i="51"/>
  <c r="AE94" i="51"/>
  <c r="AA94" i="51"/>
  <c r="W94" i="51"/>
  <c r="S94" i="51"/>
  <c r="O94" i="51"/>
  <c r="K94" i="51"/>
  <c r="G94" i="51"/>
  <c r="C94" i="51"/>
  <c r="AY93" i="51"/>
  <c r="AV93" i="51"/>
  <c r="AI93" i="51"/>
  <c r="AE93" i="51"/>
  <c r="AA93" i="51"/>
  <c r="W93" i="51"/>
  <c r="S93" i="51"/>
  <c r="O93" i="51"/>
  <c r="K93" i="51"/>
  <c r="G93" i="51"/>
  <c r="C93" i="51"/>
  <c r="AY92" i="51"/>
  <c r="AV92" i="51"/>
  <c r="AI92" i="51"/>
  <c r="AE92" i="51"/>
  <c r="AA92" i="51"/>
  <c r="W92" i="51"/>
  <c r="S92" i="51"/>
  <c r="O92" i="51"/>
  <c r="K92" i="51"/>
  <c r="G92" i="51"/>
  <c r="C92" i="51"/>
  <c r="AY91" i="51"/>
  <c r="AV91" i="51"/>
  <c r="AI91" i="51"/>
  <c r="AE91" i="51"/>
  <c r="AA91" i="51"/>
  <c r="W91" i="51"/>
  <c r="S91" i="51"/>
  <c r="O91" i="51"/>
  <c r="K91" i="51"/>
  <c r="G91" i="51"/>
  <c r="C91" i="51"/>
  <c r="AY90" i="51"/>
  <c r="AV90" i="51"/>
  <c r="AI90" i="51"/>
  <c r="AE90" i="51"/>
  <c r="AA90" i="51"/>
  <c r="W90" i="51"/>
  <c r="S90" i="51"/>
  <c r="O90" i="51"/>
  <c r="K90" i="51"/>
  <c r="G90" i="51"/>
  <c r="C90" i="51"/>
  <c r="AY89" i="51"/>
  <c r="AV89" i="51"/>
  <c r="AI89" i="51"/>
  <c r="AE89" i="51"/>
  <c r="AA89" i="51"/>
  <c r="W89" i="51"/>
  <c r="S89" i="51"/>
  <c r="O89" i="51"/>
  <c r="K89" i="51"/>
  <c r="G89" i="51"/>
  <c r="C89" i="51"/>
  <c r="AY88" i="51"/>
  <c r="AV88" i="51"/>
  <c r="AI88" i="51"/>
  <c r="AE88" i="51"/>
  <c r="AA88" i="51"/>
  <c r="W88" i="51"/>
  <c r="S88" i="51"/>
  <c r="O88" i="51"/>
  <c r="K88" i="51"/>
  <c r="G88" i="51"/>
  <c r="C88" i="51"/>
  <c r="AY87" i="51"/>
  <c r="AV87" i="51"/>
  <c r="AI87" i="51"/>
  <c r="AE87" i="51"/>
  <c r="AA87" i="51"/>
  <c r="W87" i="51"/>
  <c r="S87" i="51"/>
  <c r="O87" i="51"/>
  <c r="K87" i="51"/>
  <c r="G87" i="51"/>
  <c r="C87" i="51"/>
  <c r="AY86" i="51"/>
  <c r="AV86" i="51"/>
  <c r="AI86" i="51"/>
  <c r="AE86" i="51"/>
  <c r="AA86" i="51"/>
  <c r="W86" i="51"/>
  <c r="S86" i="51"/>
  <c r="O86" i="51"/>
  <c r="K86" i="51"/>
  <c r="G86" i="51"/>
  <c r="C86" i="51"/>
  <c r="AY85" i="51"/>
  <c r="AV85" i="51"/>
  <c r="AI85" i="51"/>
  <c r="AE85" i="51"/>
  <c r="AA85" i="51"/>
  <c r="W85" i="51"/>
  <c r="S85" i="51"/>
  <c r="O85" i="51"/>
  <c r="K85" i="51"/>
  <c r="G85" i="51"/>
  <c r="C85" i="51"/>
  <c r="AY84" i="51"/>
  <c r="AV84" i="51"/>
  <c r="AI84" i="51"/>
  <c r="AE84" i="51"/>
  <c r="AA84" i="51"/>
  <c r="W84" i="51"/>
  <c r="S84" i="51"/>
  <c r="O84" i="51"/>
  <c r="K84" i="51"/>
  <c r="G84" i="51"/>
  <c r="C84" i="51"/>
  <c r="AY83" i="51"/>
  <c r="AV83" i="51"/>
  <c r="AI83" i="51"/>
  <c r="AE83" i="51"/>
  <c r="AA83" i="51"/>
  <c r="W83" i="51"/>
  <c r="S83" i="51"/>
  <c r="O83" i="51"/>
  <c r="K83" i="51"/>
  <c r="G83" i="51"/>
  <c r="C83" i="51"/>
  <c r="AY82" i="51"/>
  <c r="AV82" i="51"/>
  <c r="AI82" i="51"/>
  <c r="AE82" i="51"/>
  <c r="AA82" i="51"/>
  <c r="W82" i="51"/>
  <c r="S82" i="51"/>
  <c r="O82" i="51"/>
  <c r="K82" i="51"/>
  <c r="G82" i="51"/>
  <c r="C82" i="51"/>
  <c r="AY81" i="51"/>
  <c r="AV81" i="51"/>
  <c r="AI81" i="51"/>
  <c r="AE81" i="51"/>
  <c r="AA81" i="51"/>
  <c r="W81" i="51"/>
  <c r="S81" i="51"/>
  <c r="O81" i="51"/>
  <c r="K81" i="51"/>
  <c r="G81" i="51"/>
  <c r="C81" i="51"/>
  <c r="AY80" i="51"/>
  <c r="AV80" i="51"/>
  <c r="AI80" i="51"/>
  <c r="AE80" i="51"/>
  <c r="AA80" i="51"/>
  <c r="W80" i="51"/>
  <c r="S80" i="51"/>
  <c r="O80" i="51"/>
  <c r="K80" i="51"/>
  <c r="G80" i="51"/>
  <c r="C80" i="51"/>
  <c r="AY79" i="51"/>
  <c r="AV79" i="51"/>
  <c r="AI79" i="51"/>
  <c r="AE79" i="51"/>
  <c r="AA79" i="51"/>
  <c r="W79" i="51"/>
  <c r="S79" i="51"/>
  <c r="O79" i="51"/>
  <c r="K79" i="51"/>
  <c r="G79" i="51"/>
  <c r="C79" i="51"/>
  <c r="AY78" i="51"/>
  <c r="AV78" i="51"/>
  <c r="AI78" i="51"/>
  <c r="AE78" i="51"/>
  <c r="AA78" i="51"/>
  <c r="W78" i="51"/>
  <c r="S78" i="51"/>
  <c r="O78" i="51"/>
  <c r="K78" i="51"/>
  <c r="G78" i="51"/>
  <c r="C78" i="51"/>
  <c r="AY77" i="51"/>
  <c r="AV77" i="51"/>
  <c r="AI77" i="51"/>
  <c r="AE77" i="51"/>
  <c r="AA77" i="51"/>
  <c r="W77" i="51"/>
  <c r="S77" i="51"/>
  <c r="O77" i="51"/>
  <c r="K77" i="51"/>
  <c r="G77" i="51"/>
  <c r="C77" i="51"/>
  <c r="AY76" i="51"/>
  <c r="AV76" i="51"/>
  <c r="AI76" i="51"/>
  <c r="AE76" i="51"/>
  <c r="AA76" i="51"/>
  <c r="W76" i="51"/>
  <c r="S76" i="51"/>
  <c r="O76" i="51"/>
  <c r="K76" i="51"/>
  <c r="G76" i="51"/>
  <c r="C76" i="51"/>
  <c r="AY75" i="51"/>
  <c r="AV75" i="51"/>
  <c r="AI75" i="51"/>
  <c r="AE75" i="51"/>
  <c r="AA75" i="51"/>
  <c r="W75" i="51"/>
  <c r="S75" i="51"/>
  <c r="O75" i="51"/>
  <c r="K75" i="51"/>
  <c r="G75" i="51"/>
  <c r="C75" i="51"/>
  <c r="AY74" i="51"/>
  <c r="AV74" i="51"/>
  <c r="AI74" i="51"/>
  <c r="AE74" i="51"/>
  <c r="AA74" i="51"/>
  <c r="W74" i="51"/>
  <c r="S74" i="51"/>
  <c r="O74" i="51"/>
  <c r="K74" i="51"/>
  <c r="G74" i="51"/>
  <c r="C74" i="51"/>
  <c r="AY73" i="51"/>
  <c r="AV73" i="51"/>
  <c r="AI73" i="51"/>
  <c r="AE73" i="51"/>
  <c r="AA73" i="51"/>
  <c r="W73" i="51"/>
  <c r="S73" i="51"/>
  <c r="O73" i="51"/>
  <c r="K73" i="51"/>
  <c r="G73" i="51"/>
  <c r="C73" i="51"/>
  <c r="AY72" i="51"/>
  <c r="AV72" i="51"/>
  <c r="AI72" i="51"/>
  <c r="AE72" i="51"/>
  <c r="AA72" i="51"/>
  <c r="W72" i="51"/>
  <c r="S72" i="51"/>
  <c r="O72" i="51"/>
  <c r="K72" i="51"/>
  <c r="G72" i="51"/>
  <c r="C72" i="51"/>
  <c r="AY71" i="51"/>
  <c r="AV71" i="51"/>
  <c r="AI71" i="51"/>
  <c r="AE71" i="51"/>
  <c r="AA71" i="51"/>
  <c r="W71" i="51"/>
  <c r="S71" i="51"/>
  <c r="O71" i="51"/>
  <c r="K71" i="51"/>
  <c r="G71" i="51"/>
  <c r="C71" i="51"/>
  <c r="AY70" i="51"/>
  <c r="AV70" i="51"/>
  <c r="AI70" i="51"/>
  <c r="AE70" i="51"/>
  <c r="AA70" i="51"/>
  <c r="W70" i="51"/>
  <c r="S70" i="51"/>
  <c r="O70" i="51"/>
  <c r="K70" i="51"/>
  <c r="G70" i="51"/>
  <c r="C70" i="51"/>
  <c r="AY69" i="51"/>
  <c r="AV69" i="51"/>
  <c r="AI69" i="51"/>
  <c r="AE69" i="51"/>
  <c r="AA69" i="51"/>
  <c r="W69" i="51"/>
  <c r="S69" i="51"/>
  <c r="O69" i="51"/>
  <c r="K69" i="51"/>
  <c r="G69" i="51"/>
  <c r="C69" i="51"/>
  <c r="AY68" i="51"/>
  <c r="AV68" i="51"/>
  <c r="AI68" i="51"/>
  <c r="AE68" i="51"/>
  <c r="AA68" i="51"/>
  <c r="W68" i="51"/>
  <c r="S68" i="51"/>
  <c r="O68" i="51"/>
  <c r="K68" i="51"/>
  <c r="G68" i="51"/>
  <c r="C68" i="51"/>
  <c r="AY67" i="51"/>
  <c r="AV67" i="51"/>
  <c r="AI67" i="51"/>
  <c r="AE67" i="51"/>
  <c r="AA67" i="51"/>
  <c r="W67" i="51"/>
  <c r="S67" i="51"/>
  <c r="O67" i="51"/>
  <c r="K67" i="51"/>
  <c r="G67" i="51"/>
  <c r="C67" i="51"/>
  <c r="AY66" i="51"/>
  <c r="AV66" i="51"/>
  <c r="AI66" i="51"/>
  <c r="AE66" i="51"/>
  <c r="AA66" i="51"/>
  <c r="W66" i="51"/>
  <c r="S66" i="51"/>
  <c r="O66" i="51"/>
  <c r="K66" i="51"/>
  <c r="G66" i="51"/>
  <c r="C66" i="51"/>
  <c r="AY65" i="51"/>
  <c r="AV65" i="51"/>
  <c r="AI65" i="51"/>
  <c r="AE65" i="51"/>
  <c r="AA65" i="51"/>
  <c r="W65" i="51"/>
  <c r="S65" i="51"/>
  <c r="O65" i="51"/>
  <c r="K65" i="51"/>
  <c r="G65" i="51"/>
  <c r="C65" i="51"/>
  <c r="AY64" i="51"/>
  <c r="AV64" i="51"/>
  <c r="AI64" i="51"/>
  <c r="AE64" i="51"/>
  <c r="AA64" i="51"/>
  <c r="W64" i="51"/>
  <c r="S64" i="51"/>
  <c r="O64" i="51"/>
  <c r="K64" i="51"/>
  <c r="G64" i="51"/>
  <c r="C64" i="51"/>
  <c r="AY63" i="51"/>
  <c r="AV63" i="51"/>
  <c r="AI63" i="51"/>
  <c r="AE63" i="51"/>
  <c r="AA63" i="51"/>
  <c r="W63" i="51"/>
  <c r="S63" i="51"/>
  <c r="O63" i="51"/>
  <c r="K63" i="51"/>
  <c r="G63" i="51"/>
  <c r="C63" i="51"/>
  <c r="AY62" i="51"/>
  <c r="AV62" i="51"/>
  <c r="AI62" i="51"/>
  <c r="AE62" i="51"/>
  <c r="AA62" i="51"/>
  <c r="W62" i="51"/>
  <c r="S62" i="51"/>
  <c r="O62" i="51"/>
  <c r="K62" i="51"/>
  <c r="G62" i="51"/>
  <c r="C62" i="51"/>
  <c r="AY61" i="51"/>
  <c r="AV61" i="51"/>
  <c r="AI61" i="51"/>
  <c r="AE61" i="51"/>
  <c r="AA61" i="51"/>
  <c r="W61" i="51"/>
  <c r="S61" i="51"/>
  <c r="O61" i="51"/>
  <c r="K61" i="51"/>
  <c r="G61" i="51"/>
  <c r="C61" i="51"/>
  <c r="AY60" i="51"/>
  <c r="AV60" i="51"/>
  <c r="AI60" i="51"/>
  <c r="AE60" i="51"/>
  <c r="AA60" i="51"/>
  <c r="W60" i="51"/>
  <c r="S60" i="51"/>
  <c r="O60" i="51"/>
  <c r="K60" i="51"/>
  <c r="G60" i="51"/>
  <c r="C60" i="51"/>
  <c r="AY59" i="51"/>
  <c r="AV59" i="51"/>
  <c r="AI59" i="51"/>
  <c r="AE59" i="51"/>
  <c r="AA59" i="51"/>
  <c r="W59" i="51"/>
  <c r="S59" i="51"/>
  <c r="O59" i="51"/>
  <c r="K59" i="51"/>
  <c r="G59" i="51"/>
  <c r="C59" i="51"/>
  <c r="AY58" i="51"/>
  <c r="AV58" i="51"/>
  <c r="AI58" i="51"/>
  <c r="AE58" i="51"/>
  <c r="AA58" i="51"/>
  <c r="W58" i="51"/>
  <c r="S58" i="51"/>
  <c r="O58" i="51"/>
  <c r="K58" i="51"/>
  <c r="G58" i="51"/>
  <c r="C58" i="51"/>
  <c r="AY57" i="51"/>
  <c r="AV57" i="51"/>
  <c r="AI57" i="51"/>
  <c r="AE57" i="51"/>
  <c r="AA57" i="51"/>
  <c r="W57" i="51"/>
  <c r="S57" i="51"/>
  <c r="O57" i="51"/>
  <c r="K57" i="51"/>
  <c r="G57" i="51"/>
  <c r="C57" i="51"/>
  <c r="AY56" i="51"/>
  <c r="AV56" i="51"/>
  <c r="AI56" i="51"/>
  <c r="AE56" i="51"/>
  <c r="AA56" i="51"/>
  <c r="W56" i="51"/>
  <c r="S56" i="51"/>
  <c r="O56" i="51"/>
  <c r="K56" i="51"/>
  <c r="G56" i="51"/>
  <c r="C56" i="51"/>
  <c r="AY55" i="51"/>
  <c r="AV55" i="51"/>
  <c r="AI55" i="51"/>
  <c r="AE55" i="51"/>
  <c r="AA55" i="51"/>
  <c r="W55" i="51"/>
  <c r="S55" i="51"/>
  <c r="O55" i="51"/>
  <c r="K55" i="51"/>
  <c r="G55" i="51"/>
  <c r="C55" i="51"/>
  <c r="AY54" i="51"/>
  <c r="AV54" i="51"/>
  <c r="AI54" i="51"/>
  <c r="AE54" i="51"/>
  <c r="AA54" i="51"/>
  <c r="W54" i="51"/>
  <c r="S54" i="51"/>
  <c r="O54" i="51"/>
  <c r="K54" i="51"/>
  <c r="G54" i="51"/>
  <c r="C54" i="51"/>
  <c r="AY53" i="51"/>
  <c r="AV53" i="51"/>
  <c r="AI53" i="51"/>
  <c r="AE53" i="51"/>
  <c r="AA53" i="51"/>
  <c r="W53" i="51"/>
  <c r="S53" i="51"/>
  <c r="O53" i="51"/>
  <c r="K53" i="51"/>
  <c r="G53" i="51"/>
  <c r="C53" i="51"/>
  <c r="AY52" i="51"/>
  <c r="AV52" i="51"/>
  <c r="AI52" i="51"/>
  <c r="AE52" i="51"/>
  <c r="AA52" i="51"/>
  <c r="W52" i="51"/>
  <c r="S52" i="51"/>
  <c r="O52" i="51"/>
  <c r="K52" i="51"/>
  <c r="G52" i="51"/>
  <c r="C52" i="51"/>
  <c r="AY51" i="51"/>
  <c r="AV51" i="51"/>
  <c r="AI51" i="51"/>
  <c r="AE51" i="51"/>
  <c r="AA51" i="51"/>
  <c r="W51" i="51"/>
  <c r="S51" i="51"/>
  <c r="O51" i="51"/>
  <c r="K51" i="51"/>
  <c r="G51" i="51"/>
  <c r="C51" i="51"/>
  <c r="AY50" i="51"/>
  <c r="AV50" i="51"/>
  <c r="AI50" i="51"/>
  <c r="AE50" i="51"/>
  <c r="AA50" i="51"/>
  <c r="W50" i="51"/>
  <c r="S50" i="51"/>
  <c r="O50" i="51"/>
  <c r="K50" i="51"/>
  <c r="G50" i="51"/>
  <c r="C50" i="51"/>
  <c r="AY49" i="51"/>
  <c r="AV49" i="51"/>
  <c r="AI49" i="51"/>
  <c r="AE49" i="51"/>
  <c r="AA49" i="51"/>
  <c r="W49" i="51"/>
  <c r="S49" i="51"/>
  <c r="O49" i="51"/>
  <c r="K49" i="51"/>
  <c r="G49" i="51"/>
  <c r="C49" i="51"/>
  <c r="AY48" i="51"/>
  <c r="AV48" i="51"/>
  <c r="AI48" i="51"/>
  <c r="AE48" i="51"/>
  <c r="AA48" i="51"/>
  <c r="W48" i="51"/>
  <c r="S48" i="51"/>
  <c r="O48" i="51"/>
  <c r="K48" i="51"/>
  <c r="G48" i="51"/>
  <c r="C48" i="51"/>
  <c r="AY47" i="51"/>
  <c r="AV47" i="51"/>
  <c r="AI47" i="51"/>
  <c r="AE47" i="51"/>
  <c r="AA47" i="51"/>
  <c r="W47" i="51"/>
  <c r="S47" i="51"/>
  <c r="O47" i="51"/>
  <c r="K47" i="51"/>
  <c r="G47" i="51"/>
  <c r="C47" i="51"/>
  <c r="AY46" i="51"/>
  <c r="AV46" i="51"/>
  <c r="AI46" i="51"/>
  <c r="AE46" i="51"/>
  <c r="AA46" i="51"/>
  <c r="W46" i="51"/>
  <c r="S46" i="51"/>
  <c r="O46" i="51"/>
  <c r="K46" i="51"/>
  <c r="G46" i="51"/>
  <c r="C46" i="51"/>
  <c r="AY45" i="51"/>
  <c r="AV45" i="51"/>
  <c r="AI45" i="51"/>
  <c r="AE45" i="51"/>
  <c r="AA45" i="51"/>
  <c r="W45" i="51"/>
  <c r="S45" i="51"/>
  <c r="O45" i="51"/>
  <c r="K45" i="51"/>
  <c r="G45" i="51"/>
  <c r="C45" i="51"/>
  <c r="AY44" i="51"/>
  <c r="AV44" i="51"/>
  <c r="AI44" i="51"/>
  <c r="AE44" i="51"/>
  <c r="AA44" i="51"/>
  <c r="W44" i="51"/>
  <c r="S44" i="51"/>
  <c r="O44" i="51"/>
  <c r="K44" i="51"/>
  <c r="G44" i="51"/>
  <c r="C44" i="51"/>
  <c r="AY43" i="51"/>
  <c r="AV43" i="51"/>
  <c r="AI43" i="51"/>
  <c r="AE43" i="51"/>
  <c r="AA43" i="51"/>
  <c r="W43" i="51"/>
  <c r="S43" i="51"/>
  <c r="O43" i="51"/>
  <c r="K43" i="51"/>
  <c r="G43" i="51"/>
  <c r="C43" i="51"/>
  <c r="AY42" i="51"/>
  <c r="AV42" i="51"/>
  <c r="AI42" i="51"/>
  <c r="AE42" i="51"/>
  <c r="AA42" i="51"/>
  <c r="W42" i="51"/>
  <c r="S42" i="51"/>
  <c r="O42" i="51"/>
  <c r="K42" i="51"/>
  <c r="G42" i="51"/>
  <c r="C42" i="51"/>
  <c r="AY41" i="51"/>
  <c r="AV41" i="51"/>
  <c r="AI41" i="51"/>
  <c r="AE41" i="51"/>
  <c r="AA41" i="51"/>
  <c r="W41" i="51"/>
  <c r="S41" i="51"/>
  <c r="O41" i="51"/>
  <c r="K41" i="51"/>
  <c r="G41" i="51"/>
  <c r="C41" i="51"/>
  <c r="AY40" i="51"/>
  <c r="AV40" i="51"/>
  <c r="AI40" i="51"/>
  <c r="AE40" i="51"/>
  <c r="AA40" i="51"/>
  <c r="W40" i="51"/>
  <c r="S40" i="51"/>
  <c r="O40" i="51"/>
  <c r="K40" i="51"/>
  <c r="G40" i="51"/>
  <c r="C40" i="51"/>
  <c r="AY39" i="51"/>
  <c r="AV39" i="51"/>
  <c r="AI39" i="51"/>
  <c r="AE39" i="51"/>
  <c r="AA39" i="51"/>
  <c r="W39" i="51"/>
  <c r="S39" i="51"/>
  <c r="O39" i="51"/>
  <c r="K39" i="51"/>
  <c r="G39" i="51"/>
  <c r="C39" i="51"/>
  <c r="AY38" i="51"/>
  <c r="AV38" i="51"/>
  <c r="AI38" i="51"/>
  <c r="AE38" i="51"/>
  <c r="AA38" i="51"/>
  <c r="W38" i="51"/>
  <c r="S38" i="51"/>
  <c r="O38" i="51"/>
  <c r="K38" i="51"/>
  <c r="G38" i="51"/>
  <c r="C38" i="51"/>
  <c r="AY37" i="51"/>
  <c r="AV37" i="51"/>
  <c r="AI37" i="51"/>
  <c r="AE37" i="51"/>
  <c r="AA37" i="51"/>
  <c r="W37" i="51"/>
  <c r="S37" i="51"/>
  <c r="O37" i="51"/>
  <c r="K37" i="51"/>
  <c r="G37" i="51"/>
  <c r="C37" i="51"/>
  <c r="AY36" i="51"/>
  <c r="AV36" i="51"/>
  <c r="AI36" i="51"/>
  <c r="AE36" i="51"/>
  <c r="AA36" i="51"/>
  <c r="W36" i="51"/>
  <c r="S36" i="51"/>
  <c r="O36" i="51"/>
  <c r="K36" i="51"/>
  <c r="G36" i="51"/>
  <c r="C36" i="51"/>
  <c r="AY35" i="51"/>
  <c r="AV35" i="51"/>
  <c r="AI35" i="51"/>
  <c r="AE35" i="51"/>
  <c r="AA35" i="51"/>
  <c r="W35" i="51"/>
  <c r="S35" i="51"/>
  <c r="O35" i="51"/>
  <c r="K35" i="51"/>
  <c r="G35" i="51"/>
  <c r="C35" i="51"/>
  <c r="AY34" i="51"/>
  <c r="AV34" i="51"/>
  <c r="AI34" i="51"/>
  <c r="AE34" i="51"/>
  <c r="AA34" i="51"/>
  <c r="W34" i="51"/>
  <c r="S34" i="51"/>
  <c r="O34" i="51"/>
  <c r="K34" i="51"/>
  <c r="G34" i="51"/>
  <c r="C34" i="51"/>
  <c r="AY33" i="51"/>
  <c r="AV33" i="51"/>
  <c r="AI33" i="51"/>
  <c r="AE33" i="51"/>
  <c r="AA33" i="51"/>
  <c r="W33" i="51"/>
  <c r="S33" i="51"/>
  <c r="O33" i="51"/>
  <c r="K33" i="51"/>
  <c r="G33" i="51"/>
  <c r="C33" i="51"/>
  <c r="AY32" i="51"/>
  <c r="AV32" i="51"/>
  <c r="AI32" i="51"/>
  <c r="AE32" i="51"/>
  <c r="AA32" i="51"/>
  <c r="W32" i="51"/>
  <c r="S32" i="51"/>
  <c r="O32" i="51"/>
  <c r="K32" i="51"/>
  <c r="G32" i="51"/>
  <c r="C32" i="51"/>
  <c r="AY31" i="51"/>
  <c r="AV31" i="51"/>
  <c r="AI31" i="51"/>
  <c r="AE31" i="51"/>
  <c r="AA31" i="51"/>
  <c r="W31" i="51"/>
  <c r="S31" i="51"/>
  <c r="O31" i="51"/>
  <c r="K31" i="51"/>
  <c r="G31" i="51"/>
  <c r="C31" i="51"/>
  <c r="AY30" i="51"/>
  <c r="AV30" i="51"/>
  <c r="AI30" i="51"/>
  <c r="AE30" i="51"/>
  <c r="AA30" i="51"/>
  <c r="W30" i="51"/>
  <c r="S30" i="51"/>
  <c r="O30" i="51"/>
  <c r="K30" i="51"/>
  <c r="G30" i="51"/>
  <c r="C30" i="51"/>
  <c r="AY29" i="51"/>
  <c r="AV29" i="51"/>
  <c r="AI29" i="51"/>
  <c r="AE29" i="51"/>
  <c r="AA29" i="51"/>
  <c r="W29" i="51"/>
  <c r="S29" i="51"/>
  <c r="O29" i="51"/>
  <c r="K29" i="51"/>
  <c r="G29" i="51"/>
  <c r="C29" i="51"/>
  <c r="AY28" i="51"/>
  <c r="AV28" i="51"/>
  <c r="AI28" i="51"/>
  <c r="AE28" i="51"/>
  <c r="AA28" i="51"/>
  <c r="W28" i="51"/>
  <c r="S28" i="51"/>
  <c r="O28" i="51"/>
  <c r="K28" i="51"/>
  <c r="G28" i="51"/>
  <c r="C28" i="51"/>
  <c r="AY27" i="51"/>
  <c r="AV27" i="51"/>
  <c r="AI27" i="51"/>
  <c r="AE27" i="51"/>
  <c r="AA27" i="51"/>
  <c r="W27" i="51"/>
  <c r="S27" i="51"/>
  <c r="O27" i="51"/>
  <c r="K27" i="51"/>
  <c r="G27" i="51"/>
  <c r="C27" i="51"/>
  <c r="AY26" i="51"/>
  <c r="AV26" i="51"/>
  <c r="AI26" i="51"/>
  <c r="AE26" i="51"/>
  <c r="AA26" i="51"/>
  <c r="W26" i="51"/>
  <c r="S26" i="51"/>
  <c r="O26" i="51"/>
  <c r="K26" i="51"/>
  <c r="G26" i="51"/>
  <c r="C26" i="51"/>
  <c r="AY25" i="51"/>
  <c r="AV25" i="51"/>
  <c r="AI25" i="51"/>
  <c r="AE25" i="51"/>
  <c r="AA25" i="51"/>
  <c r="W25" i="51"/>
  <c r="S25" i="51"/>
  <c r="O25" i="51"/>
  <c r="K25" i="51"/>
  <c r="G25" i="51"/>
  <c r="C25" i="51"/>
  <c r="AY24" i="51"/>
  <c r="AV24" i="51"/>
  <c r="AI24" i="51"/>
  <c r="AE24" i="51"/>
  <c r="AA24" i="51"/>
  <c r="W24" i="51"/>
  <c r="S24" i="51"/>
  <c r="O24" i="51"/>
  <c r="K24" i="51"/>
  <c r="G24" i="51"/>
  <c r="C24" i="51"/>
  <c r="AY23" i="51"/>
  <c r="AV23" i="51"/>
  <c r="AI23" i="51"/>
  <c r="AE23" i="51"/>
  <c r="AA23" i="51"/>
  <c r="W23" i="51"/>
  <c r="S23" i="51"/>
  <c r="O23" i="51"/>
  <c r="K23" i="51"/>
  <c r="G23" i="51"/>
  <c r="C23" i="51"/>
  <c r="AY22" i="51"/>
  <c r="AV22" i="51"/>
  <c r="AI22" i="51"/>
  <c r="AE22" i="51"/>
  <c r="AA22" i="51"/>
  <c r="W22" i="51"/>
  <c r="S22" i="51"/>
  <c r="O22" i="51"/>
  <c r="K22" i="51"/>
  <c r="G22" i="51"/>
  <c r="C22" i="51"/>
  <c r="AY21" i="51"/>
  <c r="AV21" i="51"/>
  <c r="AI21" i="51"/>
  <c r="AE21" i="51"/>
  <c r="AA21" i="51"/>
  <c r="W21" i="51"/>
  <c r="S21" i="51"/>
  <c r="O21" i="51"/>
  <c r="K21" i="51"/>
  <c r="G21" i="51"/>
  <c r="C21" i="51"/>
  <c r="AY20" i="51"/>
  <c r="AV20" i="51"/>
  <c r="AI20" i="51"/>
  <c r="AE20" i="51"/>
  <c r="AA20" i="51"/>
  <c r="W20" i="51"/>
  <c r="S20" i="51"/>
  <c r="O20" i="51"/>
  <c r="K20" i="51"/>
  <c r="G20" i="51"/>
  <c r="C20" i="51"/>
  <c r="AY19" i="51"/>
  <c r="AV19" i="51"/>
  <c r="AI19" i="51"/>
  <c r="AE19" i="51"/>
  <c r="AA19" i="51"/>
  <c r="W19" i="51"/>
  <c r="S19" i="51"/>
  <c r="O19" i="51"/>
  <c r="K19" i="51"/>
  <c r="G19" i="51"/>
  <c r="C19" i="51"/>
  <c r="AY18" i="51"/>
  <c r="AV18" i="51"/>
  <c r="AI18" i="51"/>
  <c r="AE18" i="51"/>
  <c r="AA18" i="51"/>
  <c r="W18" i="51"/>
  <c r="S18" i="51"/>
  <c r="O18" i="51"/>
  <c r="K18" i="51"/>
  <c r="G18" i="51"/>
  <c r="C18" i="51"/>
  <c r="AY17" i="51"/>
  <c r="AV17" i="51"/>
  <c r="AI17" i="51"/>
  <c r="AE17" i="51"/>
  <c r="AA17" i="51"/>
  <c r="W17" i="51"/>
  <c r="S17" i="51"/>
  <c r="O17" i="51"/>
  <c r="K17" i="51"/>
  <c r="G17" i="51"/>
  <c r="C17" i="51"/>
  <c r="AY16" i="51"/>
  <c r="AV16" i="51"/>
  <c r="AI16" i="51"/>
  <c r="AE16" i="51"/>
  <c r="AA16" i="51"/>
  <c r="W16" i="51"/>
  <c r="S16" i="51"/>
  <c r="O16" i="51"/>
  <c r="K16" i="51"/>
  <c r="G16" i="51"/>
  <c r="C16" i="51"/>
  <c r="AY15" i="51"/>
  <c r="AV15" i="51"/>
  <c r="AI15" i="51"/>
  <c r="AE15" i="51"/>
  <c r="AA15" i="51"/>
  <c r="W15" i="51"/>
  <c r="S15" i="51"/>
  <c r="O15" i="51"/>
  <c r="K15" i="51"/>
  <c r="G15" i="51"/>
  <c r="C15" i="51"/>
  <c r="AY14" i="51"/>
  <c r="AV14" i="51"/>
  <c r="AI14" i="51"/>
  <c r="AE14" i="51"/>
  <c r="AA14" i="51"/>
  <c r="W14" i="51"/>
  <c r="S14" i="51"/>
  <c r="O14" i="51"/>
  <c r="K14" i="51"/>
  <c r="G14" i="51"/>
  <c r="C14" i="51"/>
  <c r="AY13" i="51"/>
  <c r="AV13" i="51"/>
  <c r="AI13" i="51"/>
  <c r="AE13" i="51"/>
  <c r="AA13" i="51"/>
  <c r="W13" i="51"/>
  <c r="S13" i="51"/>
  <c r="O13" i="51"/>
  <c r="K13" i="51"/>
  <c r="G13" i="51"/>
  <c r="C13" i="51"/>
  <c r="AY12" i="51"/>
  <c r="AV12" i="51"/>
  <c r="AI12" i="51"/>
  <c r="AE12" i="51"/>
  <c r="AA12" i="51"/>
  <c r="W12" i="51"/>
  <c r="S12" i="51"/>
  <c r="O12" i="51"/>
  <c r="K12" i="51"/>
  <c r="G12" i="51"/>
  <c r="C12" i="51"/>
  <c r="AY11" i="51"/>
  <c r="AV11" i="51"/>
  <c r="AI11" i="51"/>
  <c r="AE11" i="51"/>
  <c r="AA11" i="51"/>
  <c r="W11" i="51"/>
  <c r="S11" i="51"/>
  <c r="O11" i="51"/>
  <c r="K11" i="51"/>
  <c r="G11" i="51"/>
  <c r="C11" i="51"/>
  <c r="AY10" i="51"/>
  <c r="AV10" i="51"/>
  <c r="AI10" i="51"/>
  <c r="AE10" i="51"/>
  <c r="AA10" i="51"/>
  <c r="W10" i="51"/>
  <c r="S10" i="51"/>
  <c r="O10" i="51"/>
  <c r="K10" i="51"/>
  <c r="G10" i="51"/>
  <c r="C10" i="51"/>
  <c r="AY9" i="51"/>
  <c r="AV9" i="51"/>
  <c r="AI9" i="51"/>
  <c r="AE9" i="51"/>
  <c r="AA9" i="51"/>
  <c r="W9" i="51"/>
  <c r="S9" i="51"/>
  <c r="O9" i="51"/>
  <c r="K9" i="51"/>
  <c r="G9" i="51"/>
  <c r="C9" i="51"/>
  <c r="AY8" i="51"/>
  <c r="AV8" i="51"/>
  <c r="AI8" i="51"/>
  <c r="AE8" i="51"/>
  <c r="AA8" i="51"/>
  <c r="W8" i="51"/>
  <c r="S8" i="51"/>
  <c r="O8" i="51"/>
  <c r="K8" i="51"/>
  <c r="G8" i="51"/>
  <c r="C8" i="51"/>
  <c r="AY7" i="51"/>
  <c r="AV7" i="51"/>
  <c r="AI7" i="51"/>
  <c r="AE7" i="51"/>
  <c r="AA7" i="51"/>
  <c r="W7" i="51"/>
  <c r="S7" i="51"/>
  <c r="O7" i="51"/>
  <c r="K7" i="51"/>
  <c r="G7" i="51"/>
  <c r="C7" i="51"/>
  <c r="AY6" i="51"/>
  <c r="AV6" i="51"/>
  <c r="AI6" i="51"/>
  <c r="AE6" i="51"/>
  <c r="AA6" i="51"/>
  <c r="W6" i="51"/>
  <c r="S6" i="51"/>
  <c r="O6" i="51"/>
  <c r="K6" i="51"/>
  <c r="G6" i="51"/>
  <c r="C6" i="51"/>
  <c r="AY5" i="51"/>
  <c r="AV5" i="51"/>
  <c r="AI5" i="51"/>
  <c r="AE5" i="51"/>
  <c r="AA5" i="51"/>
  <c r="W5" i="51"/>
  <c r="S5" i="51"/>
  <c r="O5" i="51"/>
  <c r="K5" i="51"/>
  <c r="G5" i="51"/>
  <c r="C5" i="51"/>
  <c r="AY4" i="51"/>
  <c r="AV4" i="51"/>
  <c r="AI4" i="51"/>
  <c r="AE4" i="51"/>
  <c r="AA4" i="51"/>
  <c r="W4" i="51"/>
  <c r="S4" i="51"/>
  <c r="O4" i="51"/>
  <c r="K4" i="51"/>
  <c r="G4" i="51"/>
  <c r="C4" i="51"/>
  <c r="K21" i="49"/>
  <c r="K20" i="49"/>
  <c r="K19" i="49"/>
  <c r="K18" i="49"/>
  <c r="K17" i="49"/>
  <c r="K11" i="43"/>
  <c r="I10" i="43"/>
  <c r="I9" i="43"/>
  <c r="I7" i="43"/>
  <c r="I6" i="43"/>
  <c r="I5" i="43"/>
  <c r="I4" i="43"/>
  <c r="I3" i="43"/>
  <c r="J11" i="41"/>
  <c r="I11" i="39"/>
  <c r="K21" i="52"/>
  <c r="S21" i="52"/>
  <c r="AM21" i="52"/>
  <c r="W21" i="52"/>
  <c r="AI21" i="52"/>
  <c r="P21" i="52"/>
  <c r="AE21" i="52"/>
  <c r="AL21" i="52"/>
  <c r="AD21" i="52"/>
  <c r="V21" i="52"/>
  <c r="N21" i="52"/>
  <c r="AK21" i="52"/>
  <c r="AC21" i="52"/>
  <c r="U21" i="52"/>
  <c r="M21" i="52"/>
  <c r="I21" i="52"/>
  <c r="AJ21" i="52"/>
  <c r="AB21" i="52"/>
  <c r="T21" i="52"/>
  <c r="L21" i="52"/>
  <c r="AP21" i="52"/>
  <c r="AH21" i="52"/>
  <c r="Z21" i="52"/>
  <c r="R21" i="52"/>
  <c r="AO21" i="52"/>
  <c r="AG21" i="52"/>
  <c r="Y21" i="52"/>
  <c r="Q21" i="52"/>
  <c r="AN21" i="52"/>
  <c r="AF21" i="52"/>
  <c r="X21" i="52"/>
  <c r="H24" i="29"/>
  <c r="H9" i="3"/>
  <c r="H42" i="24"/>
  <c r="I24" i="29"/>
  <c r="I9" i="3"/>
  <c r="I42" i="24"/>
  <c r="J24" i="29"/>
  <c r="J9" i="3"/>
  <c r="J42" i="24"/>
  <c r="M80" i="19"/>
  <c r="K42" i="24"/>
  <c r="L42" i="24"/>
  <c r="O80" i="19"/>
  <c r="M42" i="24"/>
  <c r="N42" i="24"/>
  <c r="O42" i="24"/>
  <c r="P24" i="29"/>
  <c r="P9" i="3"/>
  <c r="P42" i="24"/>
  <c r="Q42" i="24"/>
  <c r="R42" i="24"/>
  <c r="S42" i="24"/>
  <c r="T42" i="24"/>
  <c r="U42" i="24"/>
  <c r="V42" i="24"/>
  <c r="W42" i="24"/>
  <c r="X42" i="24"/>
  <c r="Y42" i="24"/>
  <c r="Z42" i="24"/>
  <c r="AA42" i="24"/>
  <c r="AB42" i="24"/>
  <c r="AC42" i="24"/>
  <c r="AD42" i="24"/>
  <c r="AE42" i="24"/>
  <c r="B22" i="10"/>
  <c r="C22" i="10"/>
  <c r="D22" i="10"/>
  <c r="E22" i="10"/>
  <c r="F22" i="10"/>
  <c r="B23" i="10"/>
  <c r="C23" i="10"/>
  <c r="D23" i="10"/>
  <c r="E23" i="10"/>
  <c r="E24" i="10"/>
  <c r="F23" i="10"/>
  <c r="F24" i="10"/>
  <c r="E59" i="11"/>
  <c r="E64" i="10"/>
  <c r="C15" i="30"/>
  <c r="D15" i="30"/>
  <c r="E15" i="30"/>
  <c r="F15" i="30"/>
  <c r="G15" i="30"/>
  <c r="B15" i="30"/>
  <c r="G8" i="30"/>
  <c r="A22" i="28"/>
  <c r="A40" i="28"/>
  <c r="A61" i="28"/>
  <c r="B30" i="10"/>
  <c r="C30" i="10"/>
  <c r="D30" i="10"/>
  <c r="E30" i="10"/>
  <c r="F30" i="10"/>
  <c r="G30" i="10"/>
  <c r="G10" i="23"/>
  <c r="F10" i="23"/>
  <c r="E10" i="23"/>
  <c r="D10" i="23"/>
  <c r="C10" i="23"/>
  <c r="B10" i="23"/>
  <c r="B11" i="23"/>
  <c r="C5" i="23"/>
  <c r="C11" i="23"/>
  <c r="C12" i="23"/>
  <c r="H10" i="24"/>
  <c r="H11" i="24"/>
  <c r="H12" i="24"/>
  <c r="H43" i="24"/>
  <c r="I10" i="24"/>
  <c r="I11" i="24"/>
  <c r="I12" i="24"/>
  <c r="J10" i="24"/>
  <c r="J11" i="24"/>
  <c r="J12" i="24"/>
  <c r="J43" i="24"/>
  <c r="K10" i="24"/>
  <c r="K11" i="24"/>
  <c r="K43" i="24"/>
  <c r="L10" i="24"/>
  <c r="L11" i="24"/>
  <c r="L43" i="24"/>
  <c r="M10" i="24"/>
  <c r="M11" i="24"/>
  <c r="M33" i="24"/>
  <c r="M43" i="24"/>
  <c r="N10" i="24"/>
  <c r="N11" i="24"/>
  <c r="N43" i="24"/>
  <c r="O10" i="24"/>
  <c r="O11" i="24"/>
  <c r="O43" i="24"/>
  <c r="P10" i="24"/>
  <c r="P11" i="24"/>
  <c r="P12" i="24"/>
  <c r="P43" i="24"/>
  <c r="Q10" i="24"/>
  <c r="Q11" i="24"/>
  <c r="Q43" i="24"/>
  <c r="R10" i="24"/>
  <c r="R11" i="24"/>
  <c r="R43" i="24"/>
  <c r="S10" i="24"/>
  <c r="S11" i="24"/>
  <c r="S43" i="24"/>
  <c r="T10" i="24"/>
  <c r="T11" i="24"/>
  <c r="T43" i="24"/>
  <c r="U10" i="24"/>
  <c r="U11" i="24"/>
  <c r="U43" i="24"/>
  <c r="V10" i="24"/>
  <c r="V11" i="24"/>
  <c r="V43" i="24"/>
  <c r="W10" i="24"/>
  <c r="W11" i="24"/>
  <c r="W43" i="24"/>
  <c r="X10" i="24"/>
  <c r="X11" i="24"/>
  <c r="X43" i="24"/>
  <c r="Y10" i="24"/>
  <c r="Y11" i="24"/>
  <c r="Y43" i="24"/>
  <c r="Z10" i="24"/>
  <c r="Z11" i="24"/>
  <c r="Z43" i="24"/>
  <c r="AA10" i="24"/>
  <c r="AA11" i="24"/>
  <c r="AA43" i="24"/>
  <c r="AB10" i="24"/>
  <c r="AB11" i="24"/>
  <c r="AB43" i="24"/>
  <c r="AC10" i="24"/>
  <c r="AC11" i="24"/>
  <c r="AC43" i="24"/>
  <c r="AD10" i="24"/>
  <c r="AD11" i="24"/>
  <c r="AD43" i="24"/>
  <c r="AE10" i="24"/>
  <c r="AE11" i="24"/>
  <c r="AE43" i="24"/>
  <c r="AF10" i="24"/>
  <c r="AF11" i="24"/>
  <c r="AF42" i="24"/>
  <c r="AF43" i="24"/>
  <c r="AG10" i="24"/>
  <c r="AG11" i="24"/>
  <c r="AG42" i="24"/>
  <c r="AG43" i="24"/>
  <c r="AH10" i="24"/>
  <c r="AH11" i="24"/>
  <c r="AH42" i="24"/>
  <c r="AH43" i="24"/>
  <c r="AI10" i="24"/>
  <c r="AI11" i="24"/>
  <c r="AI42" i="24"/>
  <c r="AI43" i="24"/>
  <c r="AJ10" i="24"/>
  <c r="AJ11" i="24"/>
  <c r="AJ42" i="24"/>
  <c r="AJ43" i="24"/>
  <c r="AK10" i="24"/>
  <c r="AK11" i="24"/>
  <c r="AK42" i="24"/>
  <c r="AK43" i="24"/>
  <c r="AL10" i="24"/>
  <c r="AL11" i="24"/>
  <c r="AL42" i="24"/>
  <c r="AL43" i="24"/>
  <c r="AM10" i="24"/>
  <c r="AM11" i="24"/>
  <c r="AM42" i="24"/>
  <c r="AM43" i="24"/>
  <c r="AN10" i="24"/>
  <c r="AN11" i="24"/>
  <c r="AN42" i="24"/>
  <c r="AN43" i="24"/>
  <c r="AO10" i="24"/>
  <c r="AO11" i="24"/>
  <c r="AO42" i="24"/>
  <c r="AO43" i="24"/>
  <c r="H46" i="11"/>
  <c r="C62" i="19"/>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B6" i="2"/>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H44" i="37"/>
  <c r="I50" i="37"/>
  <c r="J56" i="37"/>
  <c r="K62" i="37"/>
  <c r="L68" i="37"/>
  <c r="M74" i="37"/>
  <c r="N80" i="37"/>
  <c r="O86" i="37"/>
  <c r="P92" i="37"/>
  <c r="Q98" i="37"/>
  <c r="R104" i="37"/>
  <c r="S110" i="37"/>
  <c r="T116" i="37"/>
  <c r="U122" i="37"/>
  <c r="V128" i="37"/>
  <c r="W134" i="37"/>
  <c r="X140" i="37"/>
  <c r="Y146" i="37"/>
  <c r="Z152" i="37"/>
  <c r="AA158" i="37"/>
  <c r="AB164" i="37"/>
  <c r="AC170" i="37"/>
  <c r="AD176" i="37"/>
  <c r="AE182" i="37"/>
  <c r="AF188" i="37"/>
  <c r="I44" i="37"/>
  <c r="J50" i="37"/>
  <c r="K56" i="37"/>
  <c r="L62" i="37"/>
  <c r="M68" i="37"/>
  <c r="N74" i="37"/>
  <c r="O80" i="37"/>
  <c r="P86" i="37"/>
  <c r="Q92" i="37"/>
  <c r="R98" i="37"/>
  <c r="S104" i="37"/>
  <c r="T110" i="37"/>
  <c r="U116" i="37"/>
  <c r="V122" i="37"/>
  <c r="W128" i="37"/>
  <c r="X134" i="37"/>
  <c r="Y140" i="37"/>
  <c r="Z146" i="37"/>
  <c r="AA152" i="37"/>
  <c r="AB158" i="37"/>
  <c r="AC164" i="37"/>
  <c r="AD170" i="37"/>
  <c r="AE176" i="37"/>
  <c r="AF182" i="37"/>
  <c r="AG188" i="37"/>
  <c r="J44" i="37"/>
  <c r="K50" i="37"/>
  <c r="L56" i="37"/>
  <c r="M62" i="37"/>
  <c r="N68" i="37"/>
  <c r="O74" i="37"/>
  <c r="P80" i="37"/>
  <c r="Q86" i="37"/>
  <c r="R92" i="37"/>
  <c r="S98" i="37"/>
  <c r="T104" i="37"/>
  <c r="U110" i="37"/>
  <c r="V116" i="37"/>
  <c r="W122" i="37"/>
  <c r="X128" i="37"/>
  <c r="Y134" i="37"/>
  <c r="Z140" i="37"/>
  <c r="AA146" i="37"/>
  <c r="AB152" i="37"/>
  <c r="AC158" i="37"/>
  <c r="AD164" i="37"/>
  <c r="AE170" i="37"/>
  <c r="AF176" i="37"/>
  <c r="AG182" i="37"/>
  <c r="AH188" i="37"/>
  <c r="K44" i="37"/>
  <c r="L50" i="37"/>
  <c r="M56" i="37"/>
  <c r="N62" i="37"/>
  <c r="O68" i="37"/>
  <c r="P74" i="37"/>
  <c r="Q80" i="37"/>
  <c r="R86" i="37"/>
  <c r="S92" i="37"/>
  <c r="T98" i="37"/>
  <c r="U104" i="37"/>
  <c r="V110" i="37"/>
  <c r="W116" i="37"/>
  <c r="X122" i="37"/>
  <c r="Y128" i="37"/>
  <c r="Z134" i="37"/>
  <c r="AA140" i="37"/>
  <c r="AB146" i="37"/>
  <c r="AC152" i="37"/>
  <c r="AD158" i="37"/>
  <c r="AE164" i="37"/>
  <c r="AF170" i="37"/>
  <c r="AG176" i="37"/>
  <c r="AH182" i="37"/>
  <c r="AI188" i="37"/>
  <c r="L44" i="37"/>
  <c r="M50" i="37"/>
  <c r="N56" i="37"/>
  <c r="O62" i="37"/>
  <c r="P68" i="37"/>
  <c r="Q74" i="37"/>
  <c r="R80" i="37"/>
  <c r="S86" i="37"/>
  <c r="T92" i="37"/>
  <c r="U98" i="37"/>
  <c r="V104" i="37"/>
  <c r="W110" i="37"/>
  <c r="X116" i="37"/>
  <c r="Y122" i="37"/>
  <c r="Z128" i="37"/>
  <c r="AA134" i="37"/>
  <c r="AB140" i="37"/>
  <c r="AC146" i="37"/>
  <c r="AD152" i="37"/>
  <c r="AE158" i="37"/>
  <c r="AF164" i="37"/>
  <c r="AG170" i="37"/>
  <c r="AH176" i="37"/>
  <c r="AI182" i="37"/>
  <c r="AJ188" i="37"/>
  <c r="M44" i="37"/>
  <c r="N50" i="37"/>
  <c r="O56" i="37"/>
  <c r="P62" i="37"/>
  <c r="Q68" i="37"/>
  <c r="R74" i="37"/>
  <c r="S80" i="37"/>
  <c r="T86" i="37"/>
  <c r="U92" i="37"/>
  <c r="V98" i="37"/>
  <c r="W104" i="37"/>
  <c r="X110" i="37"/>
  <c r="Y116" i="37"/>
  <c r="Z122" i="37"/>
  <c r="AA128" i="37"/>
  <c r="AB134" i="37"/>
  <c r="AC140" i="37"/>
  <c r="AD146" i="37"/>
  <c r="AE152" i="37"/>
  <c r="AF158" i="37"/>
  <c r="AG164" i="37"/>
  <c r="AH170" i="37"/>
  <c r="AI176" i="37"/>
  <c r="AJ182" i="37"/>
  <c r="AK188" i="37"/>
  <c r="N44" i="37"/>
  <c r="O50" i="37"/>
  <c r="P56" i="37"/>
  <c r="Q62" i="37"/>
  <c r="R68" i="37"/>
  <c r="S74" i="37"/>
  <c r="T80" i="37"/>
  <c r="U86" i="37"/>
  <c r="V92" i="37"/>
  <c r="W98" i="37"/>
  <c r="X104" i="37"/>
  <c r="Y110" i="37"/>
  <c r="Z116" i="37"/>
  <c r="AA122" i="37"/>
  <c r="AB128" i="37"/>
  <c r="AC134" i="37"/>
  <c r="AD140" i="37"/>
  <c r="AE146" i="37"/>
  <c r="AF152" i="37"/>
  <c r="AG158" i="37"/>
  <c r="AH164" i="37"/>
  <c r="AI170" i="37"/>
  <c r="AJ176" i="37"/>
  <c r="AK182" i="37"/>
  <c r="AL188" i="37"/>
  <c r="O44" i="37"/>
  <c r="P50" i="37"/>
  <c r="Q56" i="37"/>
  <c r="R62" i="37"/>
  <c r="S68" i="37"/>
  <c r="T74" i="37"/>
  <c r="U80" i="37"/>
  <c r="V86" i="37"/>
  <c r="W92" i="37"/>
  <c r="X98" i="37"/>
  <c r="Y104" i="37"/>
  <c r="Z110" i="37"/>
  <c r="AA116" i="37"/>
  <c r="AB122" i="37"/>
  <c r="AC128" i="37"/>
  <c r="AD134" i="37"/>
  <c r="AE140" i="37"/>
  <c r="AF146" i="37"/>
  <c r="AG152" i="37"/>
  <c r="AH158" i="37"/>
  <c r="AI164" i="37"/>
  <c r="AJ170" i="37"/>
  <c r="AK176" i="37"/>
  <c r="AL182" i="37"/>
  <c r="AM188" i="37"/>
  <c r="P44" i="37"/>
  <c r="Q50" i="37"/>
  <c r="R56" i="37"/>
  <c r="S62" i="37"/>
  <c r="T68" i="37"/>
  <c r="U74" i="37"/>
  <c r="V80" i="37"/>
  <c r="W86" i="37"/>
  <c r="X92" i="37"/>
  <c r="Y98" i="37"/>
  <c r="Z104" i="37"/>
  <c r="AA110" i="37"/>
  <c r="AB116" i="37"/>
  <c r="AC122" i="37"/>
  <c r="AD128" i="37"/>
  <c r="AE134" i="37"/>
  <c r="AF140" i="37"/>
  <c r="AG146" i="37"/>
  <c r="AH152" i="37"/>
  <c r="AI158" i="37"/>
  <c r="AJ164" i="37"/>
  <c r="AK170" i="37"/>
  <c r="AL176" i="37"/>
  <c r="AM182" i="37"/>
  <c r="AN188" i="37"/>
  <c r="Q44" i="37"/>
  <c r="R50" i="37"/>
  <c r="S56" i="37"/>
  <c r="T62" i="37"/>
  <c r="U68" i="37"/>
  <c r="V74" i="37"/>
  <c r="W80" i="37"/>
  <c r="X86" i="37"/>
  <c r="Y92" i="37"/>
  <c r="Z98" i="37"/>
  <c r="AA104" i="37"/>
  <c r="AB110" i="37"/>
  <c r="AC116" i="37"/>
  <c r="AD122" i="37"/>
  <c r="AE128" i="37"/>
  <c r="AF134" i="37"/>
  <c r="AG140" i="37"/>
  <c r="AH146" i="37"/>
  <c r="AI152" i="37"/>
  <c r="AJ158" i="37"/>
  <c r="AK164" i="37"/>
  <c r="AL170" i="37"/>
  <c r="AM176" i="37"/>
  <c r="AN182" i="37"/>
  <c r="AO188" i="37"/>
  <c r="G6" i="37"/>
  <c r="G40" i="37"/>
  <c r="B8" i="37"/>
  <c r="C14" i="37"/>
  <c r="D20" i="37"/>
  <c r="E26" i="37"/>
  <c r="F32" i="37"/>
  <c r="G38" i="37"/>
  <c r="G39" i="37"/>
  <c r="C8" i="37"/>
  <c r="D14" i="37"/>
  <c r="E20" i="37"/>
  <c r="F26" i="37"/>
  <c r="G32" i="37"/>
  <c r="H38" i="37"/>
  <c r="D8" i="37"/>
  <c r="E14" i="37"/>
  <c r="F20" i="37"/>
  <c r="G26" i="37"/>
  <c r="H32" i="37"/>
  <c r="I38" i="37"/>
  <c r="E8" i="37"/>
  <c r="F14" i="37"/>
  <c r="G20" i="37"/>
  <c r="H26" i="37"/>
  <c r="I32" i="37"/>
  <c r="J38" i="37"/>
  <c r="F8" i="37"/>
  <c r="G14" i="37"/>
  <c r="H20" i="37"/>
  <c r="I26" i="37"/>
  <c r="J32" i="37"/>
  <c r="K38" i="37"/>
  <c r="G8" i="37"/>
  <c r="H14" i="37"/>
  <c r="I20" i="37"/>
  <c r="J26" i="37"/>
  <c r="K32" i="37"/>
  <c r="L38" i="37"/>
  <c r="H8" i="37"/>
  <c r="I14" i="37"/>
  <c r="J20" i="37"/>
  <c r="K26" i="37"/>
  <c r="L32" i="37"/>
  <c r="M38" i="37"/>
  <c r="I8" i="37"/>
  <c r="J14" i="37"/>
  <c r="K20" i="37"/>
  <c r="L26" i="37"/>
  <c r="M32" i="37"/>
  <c r="N38" i="37"/>
  <c r="J8" i="37"/>
  <c r="K14" i="37"/>
  <c r="L20" i="37"/>
  <c r="M26" i="37"/>
  <c r="N32" i="37"/>
  <c r="O38" i="37"/>
  <c r="K8" i="37"/>
  <c r="L14" i="37"/>
  <c r="M20" i="37"/>
  <c r="N26" i="37"/>
  <c r="O32" i="37"/>
  <c r="P38" i="37"/>
  <c r="F6" i="37"/>
  <c r="F15" i="37"/>
  <c r="G34" i="37"/>
  <c r="F33" i="37"/>
  <c r="G33" i="37"/>
  <c r="E6" i="37"/>
  <c r="E28" i="37"/>
  <c r="F28" i="37"/>
  <c r="G28" i="37"/>
  <c r="E27" i="37"/>
  <c r="F27" i="37"/>
  <c r="G27" i="37"/>
  <c r="D6" i="37"/>
  <c r="D22" i="37"/>
  <c r="E22" i="37"/>
  <c r="F22" i="37"/>
  <c r="G22" i="37"/>
  <c r="E21" i="37"/>
  <c r="F21" i="37"/>
  <c r="G21" i="37"/>
  <c r="C6" i="37"/>
  <c r="C16" i="37"/>
  <c r="E16" i="37"/>
  <c r="G16" i="37"/>
  <c r="C15" i="37"/>
  <c r="D15" i="37"/>
  <c r="E15" i="37"/>
  <c r="G15" i="37"/>
  <c r="C10" i="37"/>
  <c r="E10" i="37"/>
  <c r="F10" i="37"/>
  <c r="G10" i="37"/>
  <c r="C9" i="37"/>
  <c r="E9" i="37"/>
  <c r="F9" i="37"/>
  <c r="G9" i="37"/>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C61" i="19"/>
  <c r="B29" i="1"/>
  <c r="B34" i="1"/>
  <c r="C60" i="19"/>
  <c r="B58" i="19"/>
  <c r="B57" i="19"/>
  <c r="B59" i="19"/>
  <c r="B44" i="19"/>
  <c r="B46" i="19"/>
  <c r="B19" i="19"/>
  <c r="B14" i="19"/>
  <c r="B20" i="19"/>
  <c r="B7" i="19"/>
  <c r="C7" i="19"/>
  <c r="C14" i="19"/>
  <c r="C19" i="19"/>
  <c r="C20" i="19"/>
  <c r="C35" i="19"/>
  <c r="C24" i="30"/>
  <c r="C44" i="19"/>
  <c r="C46" i="19"/>
  <c r="C59" i="19"/>
  <c r="C63" i="19"/>
  <c r="C64" i="19"/>
  <c r="C66" i="19"/>
  <c r="B77" i="12"/>
  <c r="B81" i="12"/>
  <c r="B101" i="12"/>
  <c r="B107" i="12"/>
  <c r="C79" i="19"/>
  <c r="C72" i="19"/>
  <c r="B66" i="10"/>
  <c r="C63" i="11"/>
  <c r="C66" i="10"/>
  <c r="D63" i="11"/>
  <c r="D66" i="10"/>
  <c r="E63" i="11"/>
  <c r="E66" i="10"/>
  <c r="F63" i="11"/>
  <c r="F66" i="10"/>
  <c r="G63" i="11"/>
  <c r="G66" i="10"/>
  <c r="G61" i="11"/>
  <c r="G65" i="10"/>
  <c r="F61" i="11"/>
  <c r="F65" i="10"/>
  <c r="E61" i="11"/>
  <c r="E65" i="10"/>
  <c r="D61" i="11"/>
  <c r="D65" i="10"/>
  <c r="C61" i="11"/>
  <c r="C65" i="10"/>
  <c r="B65" i="10"/>
  <c r="B64" i="10"/>
  <c r="C59" i="11"/>
  <c r="C64" i="10"/>
  <c r="D59" i="11"/>
  <c r="D64" i="10"/>
  <c r="F59" i="11"/>
  <c r="F64" i="10"/>
  <c r="G59" i="11"/>
  <c r="G64" i="10"/>
  <c r="B63" i="10"/>
  <c r="C64" i="11"/>
  <c r="B64" i="11"/>
  <c r="C65" i="11"/>
  <c r="C63" i="10"/>
  <c r="D64" i="11"/>
  <c r="E64" i="11"/>
  <c r="E65" i="11"/>
  <c r="E63" i="10"/>
  <c r="F64" i="11"/>
  <c r="F65" i="11"/>
  <c r="F63" i="10"/>
  <c r="C6" i="11"/>
  <c r="D6" i="11"/>
  <c r="E6" i="11"/>
  <c r="F6" i="11"/>
  <c r="G6" i="11"/>
  <c r="C9" i="11"/>
  <c r="D9" i="11"/>
  <c r="E9" i="11"/>
  <c r="F9" i="11"/>
  <c r="G9" i="11"/>
  <c r="C12" i="11"/>
  <c r="D12" i="11"/>
  <c r="E12" i="11"/>
  <c r="F12" i="11"/>
  <c r="G12" i="11"/>
  <c r="C18" i="11"/>
  <c r="D18" i="11"/>
  <c r="E18" i="11"/>
  <c r="F18" i="11"/>
  <c r="G18" i="11"/>
  <c r="C29" i="11"/>
  <c r="D29" i="11"/>
  <c r="E29" i="11"/>
  <c r="F29" i="11"/>
  <c r="G29" i="11"/>
  <c r="H29" i="11"/>
  <c r="C42" i="11"/>
  <c r="D42" i="11"/>
  <c r="E42" i="11"/>
  <c r="F42" i="11"/>
  <c r="G42" i="11"/>
  <c r="B49" i="11"/>
  <c r="B70" i="11"/>
  <c r="C50" i="11"/>
  <c r="E50" i="11"/>
  <c r="B51" i="11"/>
  <c r="B71" i="11"/>
  <c r="B53" i="11"/>
  <c r="J76" i="11"/>
  <c r="C29" i="10"/>
  <c r="H75" i="10"/>
  <c r="H77" i="10"/>
  <c r="B24" i="10"/>
  <c r="C24" i="10"/>
  <c r="D24" i="10"/>
  <c r="E10" i="32"/>
  <c r="E17" i="32"/>
  <c r="B13" i="10"/>
  <c r="F15" i="32"/>
  <c r="C11" i="10"/>
  <c r="G15" i="32"/>
  <c r="D11" i="10"/>
  <c r="H16" i="32"/>
  <c r="E12" i="10"/>
  <c r="I17" i="32"/>
  <c r="F13" i="10"/>
  <c r="J17" i="32"/>
  <c r="G13"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F21" i="32"/>
  <c r="F23" i="32"/>
  <c r="G21" i="32"/>
  <c r="G23" i="32"/>
  <c r="H21" i="32"/>
  <c r="H23" i="32"/>
  <c r="I21" i="32"/>
  <c r="I23" i="32"/>
  <c r="J21" i="32"/>
  <c r="J23" i="32"/>
  <c r="K21" i="32"/>
  <c r="K23" i="32"/>
  <c r="L21" i="32"/>
  <c r="E23" i="32"/>
  <c r="E28" i="32"/>
  <c r="F28" i="32"/>
  <c r="G28" i="32"/>
  <c r="H28" i="32"/>
  <c r="I28" i="32"/>
  <c r="J28" i="32"/>
  <c r="F41" i="32"/>
  <c r="F42" i="32"/>
  <c r="G41" i="32"/>
  <c r="H41" i="32"/>
  <c r="I41" i="32"/>
  <c r="J41" i="32"/>
  <c r="K41" i="32"/>
  <c r="C11" i="5"/>
  <c r="G77" i="12"/>
  <c r="G81" i="12"/>
  <c r="G101" i="12"/>
  <c r="G107" i="12"/>
  <c r="H79" i="19"/>
  <c r="H76" i="19"/>
  <c r="E77" i="12"/>
  <c r="E81" i="12"/>
  <c r="E101" i="12"/>
  <c r="E107" i="12"/>
  <c r="F79" i="19"/>
  <c r="F74" i="19"/>
  <c r="D35" i="19"/>
  <c r="D24" i="30"/>
  <c r="C7" i="1"/>
  <c r="B7" i="1"/>
  <c r="E35" i="19"/>
  <c r="E24" i="30"/>
  <c r="D7" i="1"/>
  <c r="F35" i="19"/>
  <c r="E7" i="1"/>
  <c r="G35" i="19"/>
  <c r="G24" i="30"/>
  <c r="F7" i="1"/>
  <c r="H35" i="19"/>
  <c r="H24" i="30"/>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I11" i="26"/>
  <c r="J13" i="26"/>
  <c r="K13" i="26"/>
  <c r="L13" i="26"/>
  <c r="M13" i="26"/>
  <c r="N13" i="26"/>
  <c r="T13" i="26"/>
  <c r="I5" i="26"/>
  <c r="J7" i="26"/>
  <c r="T7" i="26"/>
  <c r="H19" i="29"/>
  <c r="H20" i="29"/>
  <c r="I20" i="29"/>
  <c r="J20" i="29"/>
  <c r="K20" i="29"/>
  <c r="H21" i="29"/>
  <c r="I21" i="29"/>
  <c r="J21" i="29"/>
  <c r="K21" i="29"/>
  <c r="L21" i="29"/>
  <c r="M21" i="29"/>
  <c r="N21" i="29"/>
  <c r="O21" i="29"/>
  <c r="P21" i="29"/>
  <c r="Q21" i="29"/>
  <c r="R21" i="29"/>
  <c r="S21" i="29"/>
  <c r="T21" i="29"/>
  <c r="U21" i="29"/>
  <c r="V21" i="29"/>
  <c r="W21" i="29"/>
  <c r="X21" i="29"/>
  <c r="Y21" i="29"/>
  <c r="C29" i="1"/>
  <c r="C34" i="1"/>
  <c r="D29" i="1"/>
  <c r="D34" i="1"/>
  <c r="E29" i="1"/>
  <c r="E34" i="1"/>
  <c r="F29" i="1"/>
  <c r="F34" i="1"/>
  <c r="G60" i="19"/>
  <c r="G29" i="1"/>
  <c r="G34" i="1"/>
  <c r="H22" i="29"/>
  <c r="Z21" i="29"/>
  <c r="AA21" i="29"/>
  <c r="AB21" i="29"/>
  <c r="AC21" i="29"/>
  <c r="AD21" i="29"/>
  <c r="AE21" i="29"/>
  <c r="AF21" i="29"/>
  <c r="AG21" i="29"/>
  <c r="AH21" i="29"/>
  <c r="AI21" i="29"/>
  <c r="AJ21" i="29"/>
  <c r="AK21" i="29"/>
  <c r="AL21" i="29"/>
  <c r="AM21" i="29"/>
  <c r="AN21" i="29"/>
  <c r="AO21" i="29"/>
  <c r="B9" i="1"/>
  <c r="B6" i="10"/>
  <c r="B8" i="10"/>
  <c r="B8" i="1"/>
  <c r="F24" i="30"/>
  <c r="C17" i="30"/>
  <c r="D17" i="30"/>
  <c r="E17" i="30"/>
  <c r="F17" i="30"/>
  <c r="G17" i="30"/>
  <c r="B17" i="30"/>
  <c r="C16" i="30"/>
  <c r="D16" i="30"/>
  <c r="E16" i="30"/>
  <c r="F16" i="30"/>
  <c r="G16" i="30"/>
  <c r="B16" i="30"/>
  <c r="D6" i="30"/>
  <c r="C6" i="30"/>
  <c r="D7" i="30"/>
  <c r="E6" i="30"/>
  <c r="E7" i="30"/>
  <c r="F6" i="30"/>
  <c r="F7" i="30"/>
  <c r="G6" i="30"/>
  <c r="G7" i="30"/>
  <c r="B6" i="30"/>
  <c r="C7" i="30"/>
  <c r="D63" i="19"/>
  <c r="E63" i="19"/>
  <c r="F63" i="19"/>
  <c r="G63" i="19"/>
  <c r="D5" i="26"/>
  <c r="D6" i="26"/>
  <c r="C16" i="29"/>
  <c r="C7" i="29"/>
  <c r="C10" i="29"/>
  <c r="E5" i="26"/>
  <c r="E6" i="26"/>
  <c r="D16" i="29"/>
  <c r="D7" i="29"/>
  <c r="D10" i="29"/>
  <c r="F5" i="26"/>
  <c r="F6" i="26"/>
  <c r="E16" i="29"/>
  <c r="E7" i="29"/>
  <c r="E10" i="29"/>
  <c r="G5" i="26"/>
  <c r="G6" i="26"/>
  <c r="F16" i="29"/>
  <c r="F7" i="29"/>
  <c r="F10" i="29"/>
  <c r="H5" i="26"/>
  <c r="H6" i="26"/>
  <c r="G16" i="29"/>
  <c r="G7" i="29"/>
  <c r="G10" i="29"/>
  <c r="C8" i="29"/>
  <c r="C11" i="29"/>
  <c r="D8" i="29"/>
  <c r="D11" i="29"/>
  <c r="E8" i="29"/>
  <c r="E11" i="29"/>
  <c r="F8" i="29"/>
  <c r="F11" i="29"/>
  <c r="G8" i="29"/>
  <c r="G11" i="29"/>
  <c r="B8" i="29"/>
  <c r="B11" i="29"/>
  <c r="B16" i="29"/>
  <c r="B7" i="29"/>
  <c r="B10" i="29"/>
  <c r="C9" i="29"/>
  <c r="D9" i="29"/>
  <c r="E9" i="29"/>
  <c r="F9" i="29"/>
  <c r="G9" i="29"/>
  <c r="B9" i="29"/>
  <c r="G26" i="29"/>
  <c r="F26" i="29"/>
  <c r="E26" i="29"/>
  <c r="C26" i="29"/>
  <c r="D26" i="29"/>
  <c r="B26" i="29"/>
  <c r="D81" i="28"/>
  <c r="D80" i="28"/>
  <c r="C12" i="29"/>
  <c r="D12" i="29"/>
  <c r="E12" i="29"/>
  <c r="F12" i="29"/>
  <c r="G12" i="29"/>
  <c r="C13" i="29"/>
  <c r="D13" i="29"/>
  <c r="E13" i="29"/>
  <c r="F13" i="29"/>
  <c r="G13" i="29"/>
  <c r="B12" i="29"/>
  <c r="B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G147" i="28"/>
  <c r="D147" i="28"/>
  <c r="G146" i="28"/>
  <c r="D146" i="28"/>
  <c r="G145" i="28"/>
  <c r="D145" i="28"/>
  <c r="G144" i="28"/>
  <c r="D144" i="28"/>
  <c r="G143" i="28"/>
  <c r="D143" i="28"/>
  <c r="G142" i="28"/>
  <c r="D142" i="28"/>
  <c r="G141" i="28"/>
  <c r="D141" i="28"/>
  <c r="G140" i="28"/>
  <c r="D140" i="28"/>
  <c r="G139" i="28"/>
  <c r="D139" i="28"/>
  <c r="G138" i="28"/>
  <c r="D138" i="28"/>
  <c r="G137" i="28"/>
  <c r="D137" i="28"/>
  <c r="G136" i="28"/>
  <c r="D136" i="28"/>
  <c r="G135" i="28"/>
  <c r="D135" i="28"/>
  <c r="G134" i="28"/>
  <c r="D134" i="28"/>
  <c r="G133" i="28"/>
  <c r="D133" i="28"/>
  <c r="G132" i="28"/>
  <c r="D132" i="28"/>
  <c r="G131" i="28"/>
  <c r="D131" i="28"/>
  <c r="G130" i="28"/>
  <c r="D130" i="28"/>
  <c r="G129" i="28"/>
  <c r="D129" i="28"/>
  <c r="G128" i="28"/>
  <c r="D128" i="28"/>
  <c r="G127" i="28"/>
  <c r="D127" i="28"/>
  <c r="G126" i="28"/>
  <c r="D126" i="28"/>
  <c r="G125" i="28"/>
  <c r="D125" i="28"/>
  <c r="G124" i="28"/>
  <c r="D124" i="28"/>
  <c r="G123" i="28"/>
  <c r="D123" i="28"/>
  <c r="G122" i="28"/>
  <c r="D122" i="28"/>
  <c r="G121" i="28"/>
  <c r="D121" i="28"/>
  <c r="G120" i="28"/>
  <c r="D120" i="28"/>
  <c r="G119" i="28"/>
  <c r="D119" i="28"/>
  <c r="G118" i="28"/>
  <c r="D118" i="28"/>
  <c r="G117" i="28"/>
  <c r="D117" i="28"/>
  <c r="G116" i="28"/>
  <c r="D116" i="28"/>
  <c r="G115" i="28"/>
  <c r="D115" i="28"/>
  <c r="G114" i="28"/>
  <c r="D114" i="28"/>
  <c r="G113" i="28"/>
  <c r="D113" i="28"/>
  <c r="G112" i="28"/>
  <c r="D112" i="28"/>
  <c r="G111"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H11" i="26"/>
  <c r="G11" i="26"/>
  <c r="F11" i="26"/>
  <c r="E11" i="26"/>
  <c r="D11" i="26"/>
  <c r="C7" i="26"/>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J8" i="10"/>
  <c r="K8" i="10"/>
  <c r="H8" i="10"/>
  <c r="I8" i="10"/>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B32" i="10"/>
  <c r="B15" i="23"/>
  <c r="B16" i="23"/>
  <c r="R32" i="12"/>
  <c r="H77" i="12"/>
  <c r="H81" i="12"/>
  <c r="H101" i="12"/>
  <c r="H107" i="12"/>
  <c r="I79" i="19"/>
  <c r="I74" i="19"/>
  <c r="F77" i="12"/>
  <c r="F81" i="12"/>
  <c r="F101" i="12"/>
  <c r="F107" i="12"/>
  <c r="G79" i="19"/>
  <c r="G74" i="19"/>
  <c r="D77" i="12"/>
  <c r="D81" i="12"/>
  <c r="D101" i="12"/>
  <c r="D107" i="12"/>
  <c r="E79" i="19"/>
  <c r="E78" i="19"/>
  <c r="C77" i="12"/>
  <c r="C81" i="12"/>
  <c r="C101" i="12"/>
  <c r="C107" i="12"/>
  <c r="D79" i="19"/>
  <c r="D76" i="19"/>
  <c r="AD72" i="19"/>
  <c r="AC72" i="19"/>
  <c r="AB72" i="19"/>
  <c r="AA72" i="19"/>
  <c r="Z72" i="19"/>
  <c r="Y72" i="19"/>
  <c r="X72" i="19"/>
  <c r="W72" i="19"/>
  <c r="V72" i="19"/>
  <c r="U72" i="19"/>
  <c r="T72" i="19"/>
  <c r="S72" i="19"/>
  <c r="R72" i="19"/>
  <c r="Q72" i="19"/>
  <c r="P72" i="19"/>
  <c r="O72" i="19"/>
  <c r="N72" i="19"/>
  <c r="M72" i="19"/>
  <c r="L72" i="19"/>
  <c r="K72" i="19"/>
  <c r="J72" i="19"/>
  <c r="H66" i="19"/>
  <c r="G66" i="19"/>
  <c r="F66" i="19"/>
  <c r="E66" i="19"/>
  <c r="D66" i="19"/>
  <c r="H64" i="19"/>
  <c r="G64" i="19"/>
  <c r="F64" i="19"/>
  <c r="E64" i="19"/>
  <c r="D64" i="19"/>
  <c r="H61" i="19"/>
  <c r="G61" i="19"/>
  <c r="F61" i="19"/>
  <c r="E61" i="19"/>
  <c r="D61" i="19"/>
  <c r="H60" i="19"/>
  <c r="F60" i="19"/>
  <c r="E60" i="19"/>
  <c r="D60" i="19"/>
  <c r="H59" i="19"/>
  <c r="G59" i="19"/>
  <c r="F59" i="19"/>
  <c r="E59" i="19"/>
  <c r="D59" i="19"/>
  <c r="G44" i="19"/>
  <c r="G46" i="19"/>
  <c r="F44" i="19"/>
  <c r="F46" i="19"/>
  <c r="E44" i="19"/>
  <c r="E46" i="19"/>
  <c r="D44" i="19"/>
  <c r="D46" i="19"/>
  <c r="F19" i="19"/>
  <c r="F14" i="19"/>
  <c r="E19" i="19"/>
  <c r="E14" i="19"/>
  <c r="D19" i="19"/>
  <c r="D14" i="19"/>
  <c r="F7" i="19"/>
  <c r="E7" i="19"/>
  <c r="D7" i="19"/>
  <c r="H121" i="12"/>
  <c r="G121" i="12"/>
  <c r="F121" i="12"/>
  <c r="E121" i="12"/>
  <c r="D121" i="12"/>
  <c r="C121" i="12"/>
  <c r="B121" i="12"/>
  <c r="H119" i="12"/>
  <c r="G119" i="12"/>
  <c r="F119" i="12"/>
  <c r="E119" i="12"/>
  <c r="D119" i="12"/>
  <c r="C119" i="12"/>
  <c r="B119" i="12"/>
  <c r="H117" i="12"/>
  <c r="G117" i="12"/>
  <c r="F117" i="12"/>
  <c r="E117" i="12"/>
  <c r="D117" i="12"/>
  <c r="C117" i="12"/>
  <c r="B117" i="12"/>
  <c r="H115" i="12"/>
  <c r="G115" i="12"/>
  <c r="F115" i="12"/>
  <c r="E115" i="12"/>
  <c r="D115" i="12"/>
  <c r="C115" i="12"/>
  <c r="B115" i="12"/>
  <c r="H113" i="12"/>
  <c r="G113" i="12"/>
  <c r="F113" i="12"/>
  <c r="E113" i="12"/>
  <c r="D113" i="12"/>
  <c r="C113" i="12"/>
  <c r="B113" i="12"/>
  <c r="H111" i="12"/>
  <c r="G111" i="12"/>
  <c r="F111" i="12"/>
  <c r="E111" i="12"/>
  <c r="D111" i="12"/>
  <c r="C111" i="12"/>
  <c r="B111" i="12"/>
  <c r="H109" i="12"/>
  <c r="G109" i="12"/>
  <c r="F109" i="12"/>
  <c r="E109" i="12"/>
  <c r="D109" i="12"/>
  <c r="C109" i="12"/>
  <c r="B109" i="12"/>
  <c r="H105" i="12"/>
  <c r="G105" i="12"/>
  <c r="F105" i="12"/>
  <c r="E105" i="12"/>
  <c r="D105" i="12"/>
  <c r="C105" i="12"/>
  <c r="B105" i="12"/>
  <c r="H103" i="12"/>
  <c r="G103" i="12"/>
  <c r="F103" i="12"/>
  <c r="E103" i="12"/>
  <c r="D103" i="12"/>
  <c r="C103" i="12"/>
  <c r="B103" i="12"/>
  <c r="H99" i="12"/>
  <c r="G99" i="12"/>
  <c r="F99" i="12"/>
  <c r="E99" i="12"/>
  <c r="D99" i="12"/>
  <c r="C99" i="12"/>
  <c r="B99" i="12"/>
  <c r="H97" i="12"/>
  <c r="G97" i="12"/>
  <c r="F97" i="12"/>
  <c r="E97" i="12"/>
  <c r="D97" i="12"/>
  <c r="C97" i="12"/>
  <c r="B97" i="12"/>
  <c r="H95" i="12"/>
  <c r="G95" i="12"/>
  <c r="F95" i="12"/>
  <c r="E95" i="12"/>
  <c r="D95" i="12"/>
  <c r="C95" i="12"/>
  <c r="B95" i="12"/>
  <c r="H93" i="12"/>
  <c r="G93" i="12"/>
  <c r="F93" i="12"/>
  <c r="E93" i="12"/>
  <c r="D93" i="12"/>
  <c r="C93" i="12"/>
  <c r="B93" i="12"/>
  <c r="H91" i="12"/>
  <c r="G91" i="12"/>
  <c r="F91" i="12"/>
  <c r="E91" i="12"/>
  <c r="D91" i="12"/>
  <c r="C91" i="12"/>
  <c r="B91" i="12"/>
  <c r="H89" i="12"/>
  <c r="G89" i="12"/>
  <c r="F89" i="12"/>
  <c r="E89" i="12"/>
  <c r="D89" i="12"/>
  <c r="C89" i="12"/>
  <c r="B89" i="12"/>
  <c r="H87" i="12"/>
  <c r="G87" i="12"/>
  <c r="F87" i="12"/>
  <c r="E87" i="12"/>
  <c r="D87" i="12"/>
  <c r="C87" i="12"/>
  <c r="B87" i="12"/>
  <c r="H85" i="12"/>
  <c r="G85" i="12"/>
  <c r="F85" i="12"/>
  <c r="E85" i="12"/>
  <c r="D85" i="12"/>
  <c r="C85" i="12"/>
  <c r="B85" i="12"/>
  <c r="H83" i="12"/>
  <c r="G83" i="12"/>
  <c r="F83" i="12"/>
  <c r="E83" i="12"/>
  <c r="D83" i="12"/>
  <c r="C83" i="12"/>
  <c r="B83" i="12"/>
  <c r="H79" i="12"/>
  <c r="G79" i="12"/>
  <c r="F79" i="12"/>
  <c r="E79" i="12"/>
  <c r="D79" i="12"/>
  <c r="C79" i="12"/>
  <c r="B79" i="12"/>
  <c r="AC50" i="12"/>
  <c r="AB50" i="12"/>
  <c r="AA50" i="12"/>
  <c r="Z50" i="12"/>
  <c r="Y50" i="12"/>
  <c r="X50" i="12"/>
  <c r="W50" i="12"/>
  <c r="V50" i="12"/>
  <c r="U50" i="12"/>
  <c r="T50" i="12"/>
  <c r="S50" i="12"/>
  <c r="R50" i="12"/>
  <c r="Q50" i="12"/>
  <c r="P50" i="12"/>
  <c r="O50" i="12"/>
  <c r="N50" i="12"/>
  <c r="M50" i="12"/>
  <c r="L50" i="12"/>
  <c r="K50" i="12"/>
  <c r="J50" i="12"/>
  <c r="I50" i="12"/>
  <c r="AC47" i="12"/>
  <c r="AC48" i="12"/>
  <c r="AC49" i="12"/>
  <c r="AB47" i="12"/>
  <c r="AB48" i="12"/>
  <c r="AB49" i="12"/>
  <c r="AA47" i="12"/>
  <c r="AA48" i="12"/>
  <c r="AA49" i="12"/>
  <c r="Z47" i="12"/>
  <c r="Z48" i="12"/>
  <c r="Z49" i="12"/>
  <c r="Y47" i="12"/>
  <c r="Y48" i="12"/>
  <c r="Y49" i="12"/>
  <c r="X47" i="12"/>
  <c r="X48" i="12"/>
  <c r="X49" i="12"/>
  <c r="W47" i="12"/>
  <c r="W48" i="12"/>
  <c r="W49" i="12"/>
  <c r="V47" i="12"/>
  <c r="V48" i="12"/>
  <c r="V49" i="12"/>
  <c r="U47" i="12"/>
  <c r="U48" i="12"/>
  <c r="U49" i="12"/>
  <c r="T47" i="12"/>
  <c r="T48" i="12"/>
  <c r="T49" i="12"/>
  <c r="S47" i="12"/>
  <c r="S48" i="12"/>
  <c r="S49" i="12"/>
  <c r="R47" i="12"/>
  <c r="R48" i="12"/>
  <c r="R49" i="12"/>
  <c r="Q47" i="12"/>
  <c r="Q48" i="12"/>
  <c r="Q49" i="12"/>
  <c r="P47" i="12"/>
  <c r="P48" i="12"/>
  <c r="P49" i="12"/>
  <c r="O47" i="12"/>
  <c r="O48" i="12"/>
  <c r="O49" i="12"/>
  <c r="N47" i="12"/>
  <c r="N48" i="12"/>
  <c r="N49" i="12"/>
  <c r="M47" i="12"/>
  <c r="M48" i="12"/>
  <c r="M49" i="12"/>
  <c r="L47" i="12"/>
  <c r="L48" i="12"/>
  <c r="L49" i="12"/>
  <c r="K47" i="12"/>
  <c r="K48" i="12"/>
  <c r="K49" i="12"/>
  <c r="J47" i="12"/>
  <c r="J48" i="12"/>
  <c r="J49" i="12"/>
  <c r="I47" i="12"/>
  <c r="I48" i="12"/>
  <c r="I49" i="12"/>
  <c r="H17" i="12"/>
  <c r="H19" i="12"/>
  <c r="H47" i="12"/>
  <c r="G17" i="12"/>
  <c r="G19" i="12"/>
  <c r="G47" i="12"/>
  <c r="F17" i="12"/>
  <c r="F19" i="12"/>
  <c r="F47" i="12"/>
  <c r="E17" i="12"/>
  <c r="E19" i="12"/>
  <c r="E47" i="12"/>
  <c r="D17" i="12"/>
  <c r="D19" i="12"/>
  <c r="D47" i="12"/>
  <c r="C17" i="12"/>
  <c r="C19" i="12"/>
  <c r="C47" i="12"/>
  <c r="B17" i="12"/>
  <c r="B19" i="12"/>
  <c r="B47" i="12"/>
  <c r="H14" i="12"/>
  <c r="H16" i="12"/>
  <c r="H46" i="12"/>
  <c r="G14" i="12"/>
  <c r="G16" i="12"/>
  <c r="G46" i="12"/>
  <c r="F14" i="12"/>
  <c r="F16" i="12"/>
  <c r="F46" i="12"/>
  <c r="E14" i="12"/>
  <c r="E16" i="12"/>
  <c r="E46" i="12"/>
  <c r="D14" i="12"/>
  <c r="D16" i="12"/>
  <c r="D46" i="12"/>
  <c r="C14" i="12"/>
  <c r="C16" i="12"/>
  <c r="C46" i="12"/>
  <c r="B14" i="12"/>
  <c r="B16" i="12"/>
  <c r="B46" i="12"/>
  <c r="H11" i="12"/>
  <c r="H13" i="12"/>
  <c r="H45" i="12"/>
  <c r="G11" i="12"/>
  <c r="G13" i="12"/>
  <c r="G45" i="12"/>
  <c r="F11" i="12"/>
  <c r="F13" i="12"/>
  <c r="F45" i="12"/>
  <c r="E11" i="12"/>
  <c r="E13" i="12"/>
  <c r="E45" i="12"/>
  <c r="D11" i="12"/>
  <c r="D13" i="12"/>
  <c r="D45" i="12"/>
  <c r="C11" i="12"/>
  <c r="C13" i="12"/>
  <c r="C45" i="12"/>
  <c r="B11" i="12"/>
  <c r="B13" i="12"/>
  <c r="B45" i="12"/>
  <c r="H8" i="12"/>
  <c r="H10" i="12"/>
  <c r="H44" i="12"/>
  <c r="G8" i="12"/>
  <c r="G10" i="12"/>
  <c r="G44" i="12"/>
  <c r="F8" i="12"/>
  <c r="F10" i="12"/>
  <c r="F44" i="12"/>
  <c r="E8" i="12"/>
  <c r="E10" i="12"/>
  <c r="E44" i="12"/>
  <c r="D8" i="12"/>
  <c r="D10" i="12"/>
  <c r="D44" i="12"/>
  <c r="C8" i="12"/>
  <c r="C10" i="12"/>
  <c r="C44" i="12"/>
  <c r="B8" i="12"/>
  <c r="B10" i="12"/>
  <c r="B44" i="12"/>
  <c r="H5" i="12"/>
  <c r="H7" i="12"/>
  <c r="H43" i="12"/>
  <c r="G5" i="12"/>
  <c r="G7" i="12"/>
  <c r="G43" i="12"/>
  <c r="F5" i="12"/>
  <c r="F7" i="12"/>
  <c r="F43" i="12"/>
  <c r="E5" i="12"/>
  <c r="E7" i="12"/>
  <c r="E43" i="12"/>
  <c r="D5" i="12"/>
  <c r="D7" i="12"/>
  <c r="D43" i="12"/>
  <c r="C5" i="12"/>
  <c r="C7" i="12"/>
  <c r="C43" i="12"/>
  <c r="B5" i="12"/>
  <c r="B7" i="12"/>
  <c r="B43" i="12"/>
  <c r="R35" i="12"/>
  <c r="AQ35" i="12"/>
  <c r="AP35" i="12"/>
  <c r="R36" i="12"/>
  <c r="AQ36" i="12"/>
  <c r="AP36" i="12"/>
  <c r="R37" i="12"/>
  <c r="AQ37" i="12"/>
  <c r="AP37" i="12"/>
  <c r="R38" i="12"/>
  <c r="AQ38" i="12"/>
  <c r="AP38" i="12"/>
  <c r="AO35" i="12"/>
  <c r="AO36" i="12"/>
  <c r="AO37" i="12"/>
  <c r="AO38" i="12"/>
  <c r="AN35" i="12"/>
  <c r="AN36" i="12"/>
  <c r="AN37" i="12"/>
  <c r="AN38" i="12"/>
  <c r="AM35" i="12"/>
  <c r="AM36" i="12"/>
  <c r="AM37" i="12"/>
  <c r="AM38" i="12"/>
  <c r="AL35" i="12"/>
  <c r="AL36" i="12"/>
  <c r="AL37" i="12"/>
  <c r="AL38" i="12"/>
  <c r="AK35" i="12"/>
  <c r="AK36" i="12"/>
  <c r="AK37" i="12"/>
  <c r="AK38" i="12"/>
  <c r="AJ35" i="12"/>
  <c r="AJ36" i="12"/>
  <c r="AJ37" i="12"/>
  <c r="AJ38" i="12"/>
  <c r="AI35" i="12"/>
  <c r="AI36" i="12"/>
  <c r="AI37" i="12"/>
  <c r="AI38" i="12"/>
  <c r="AH35" i="12"/>
  <c r="AH36" i="12"/>
  <c r="AH37" i="12"/>
  <c r="AH38" i="12"/>
  <c r="AG35" i="12"/>
  <c r="AG36" i="12"/>
  <c r="AG37" i="12"/>
  <c r="AG38" i="12"/>
  <c r="AF35" i="12"/>
  <c r="AF36" i="12"/>
  <c r="AF37" i="12"/>
  <c r="AF38" i="12"/>
  <c r="AE35" i="12"/>
  <c r="AE36" i="12"/>
  <c r="AE37" i="12"/>
  <c r="AE38" i="12"/>
  <c r="AD35" i="12"/>
  <c r="AD36" i="12"/>
  <c r="AD37" i="12"/>
  <c r="AD38" i="12"/>
  <c r="AC35" i="12"/>
  <c r="AC36" i="12"/>
  <c r="AC37" i="12"/>
  <c r="AC38" i="12"/>
  <c r="AC40" i="12"/>
  <c r="AB35" i="12"/>
  <c r="AB36" i="12"/>
  <c r="AB37" i="12"/>
  <c r="AB38" i="12"/>
  <c r="AB40" i="12"/>
  <c r="AA35" i="12"/>
  <c r="AA36" i="12"/>
  <c r="AA37" i="12"/>
  <c r="AA38" i="12"/>
  <c r="AA40" i="12"/>
  <c r="Z35" i="12"/>
  <c r="Z36" i="12"/>
  <c r="Z37" i="12"/>
  <c r="Z38" i="12"/>
  <c r="Z40" i="12"/>
  <c r="Y35" i="12"/>
  <c r="Y36" i="12"/>
  <c r="Y37" i="12"/>
  <c r="Y38" i="12"/>
  <c r="Y40" i="12"/>
  <c r="X35" i="12"/>
  <c r="X36" i="12"/>
  <c r="X37" i="12"/>
  <c r="X38" i="12"/>
  <c r="X40" i="12"/>
  <c r="W35" i="12"/>
  <c r="W36" i="12"/>
  <c r="W37" i="12"/>
  <c r="W38" i="12"/>
  <c r="W40" i="12"/>
  <c r="V35" i="12"/>
  <c r="V36" i="12"/>
  <c r="V37" i="12"/>
  <c r="V38" i="12"/>
  <c r="V40" i="12"/>
  <c r="U35" i="12"/>
  <c r="U36" i="12"/>
  <c r="U37" i="12"/>
  <c r="U38" i="12"/>
  <c r="U40" i="12"/>
  <c r="T35" i="12"/>
  <c r="T36" i="12"/>
  <c r="T37" i="12"/>
  <c r="T38" i="12"/>
  <c r="T40" i="12"/>
  <c r="S35" i="12"/>
  <c r="S36" i="12"/>
  <c r="S37" i="12"/>
  <c r="S38" i="12"/>
  <c r="S40" i="12"/>
  <c r="R40" i="12"/>
  <c r="Q35" i="12"/>
  <c r="Q36" i="12"/>
  <c r="Q37" i="12"/>
  <c r="Q38" i="12"/>
  <c r="Q40" i="12"/>
  <c r="P35" i="12"/>
  <c r="P36" i="12"/>
  <c r="P37" i="12"/>
  <c r="P38" i="12"/>
  <c r="P40" i="12"/>
  <c r="O35" i="12"/>
  <c r="O36" i="12"/>
  <c r="O37" i="12"/>
  <c r="O38" i="12"/>
  <c r="O40" i="12"/>
  <c r="N35" i="12"/>
  <c r="N36" i="12"/>
  <c r="N37" i="12"/>
  <c r="N38" i="12"/>
  <c r="N40" i="12"/>
  <c r="M35" i="12"/>
  <c r="M36" i="12"/>
  <c r="M37" i="12"/>
  <c r="M38" i="12"/>
  <c r="M40" i="12"/>
  <c r="L35" i="12"/>
  <c r="L36" i="12"/>
  <c r="L37" i="12"/>
  <c r="L38" i="12"/>
  <c r="L40" i="12"/>
  <c r="K35" i="12"/>
  <c r="K36" i="12"/>
  <c r="K37" i="12"/>
  <c r="K38" i="12"/>
  <c r="K40" i="12"/>
  <c r="J35" i="12"/>
  <c r="J36" i="12"/>
  <c r="J37" i="12"/>
  <c r="J38" i="12"/>
  <c r="J40" i="12"/>
  <c r="I35" i="12"/>
  <c r="I36" i="12"/>
  <c r="I37" i="12"/>
  <c r="I38" i="12"/>
  <c r="I40" i="12"/>
  <c r="H35" i="12"/>
  <c r="H36" i="12"/>
  <c r="H37" i="12"/>
  <c r="H38" i="12"/>
  <c r="H40" i="12"/>
  <c r="G35" i="12"/>
  <c r="G36" i="12"/>
  <c r="G37" i="12"/>
  <c r="G38" i="12"/>
  <c r="G40" i="12"/>
  <c r="F35" i="12"/>
  <c r="F36" i="12"/>
  <c r="F37" i="12"/>
  <c r="F38" i="12"/>
  <c r="F40" i="12"/>
  <c r="E35" i="12"/>
  <c r="E36" i="12"/>
  <c r="E37" i="12"/>
  <c r="E38" i="12"/>
  <c r="E40" i="12"/>
  <c r="D35" i="12"/>
  <c r="D36" i="12"/>
  <c r="D37" i="12"/>
  <c r="D38" i="12"/>
  <c r="D40" i="12"/>
  <c r="C35" i="12"/>
  <c r="C36" i="12"/>
  <c r="C37" i="12"/>
  <c r="C38" i="12"/>
  <c r="C40" i="12"/>
  <c r="B35" i="12"/>
  <c r="B36" i="12"/>
  <c r="B37" i="12"/>
  <c r="B38" i="12"/>
  <c r="B40" i="12"/>
  <c r="Q39" i="12"/>
  <c r="R39" i="12"/>
  <c r="AQ39" i="12"/>
  <c r="AP39" i="12"/>
  <c r="AO39" i="12"/>
  <c r="AN39" i="12"/>
  <c r="AM39" i="12"/>
  <c r="AL39" i="12"/>
  <c r="AK39" i="12"/>
  <c r="AJ39" i="12"/>
  <c r="AI39" i="12"/>
  <c r="AH39" i="12"/>
  <c r="AG39" i="12"/>
  <c r="AF39" i="12"/>
  <c r="AE39" i="12"/>
  <c r="AD39" i="12"/>
  <c r="AC39" i="12"/>
  <c r="AB39" i="12"/>
  <c r="AA39" i="12"/>
  <c r="Z39" i="12"/>
  <c r="Y39" i="12"/>
  <c r="X39" i="12"/>
  <c r="W39" i="12"/>
  <c r="V39" i="12"/>
  <c r="U39" i="12"/>
  <c r="T39" i="12"/>
  <c r="S39" i="12"/>
  <c r="P39" i="12"/>
  <c r="O39" i="12"/>
  <c r="N39" i="12"/>
  <c r="M39" i="12"/>
  <c r="L39" i="12"/>
  <c r="K39" i="12"/>
  <c r="J39" i="12"/>
  <c r="I39" i="12"/>
  <c r="H39" i="12"/>
  <c r="G39" i="12"/>
  <c r="F39" i="12"/>
  <c r="E39" i="12"/>
  <c r="D39" i="12"/>
  <c r="C39" i="12"/>
  <c r="B39" i="12"/>
  <c r="Q32" i="12"/>
  <c r="P32" i="12"/>
  <c r="O32" i="12"/>
  <c r="N32" i="12"/>
  <c r="M32" i="12"/>
  <c r="L32" i="12"/>
  <c r="K32" i="12"/>
  <c r="J32" i="12"/>
  <c r="I32" i="12"/>
  <c r="H32" i="12"/>
  <c r="G32" i="12"/>
  <c r="F32" i="12"/>
  <c r="E32" i="12"/>
  <c r="D32" i="12"/>
  <c r="C32" i="12"/>
  <c r="B32" i="12"/>
  <c r="R31" i="12"/>
  <c r="Q31" i="12"/>
  <c r="P31" i="12"/>
  <c r="O31" i="12"/>
  <c r="N31" i="12"/>
  <c r="M31" i="12"/>
  <c r="L31" i="12"/>
  <c r="K31" i="12"/>
  <c r="J31" i="12"/>
  <c r="I31" i="12"/>
  <c r="H31" i="12"/>
  <c r="G31" i="12"/>
  <c r="F31" i="12"/>
  <c r="E31" i="12"/>
  <c r="D31" i="12"/>
  <c r="C31" i="12"/>
  <c r="B31" i="12"/>
  <c r="R30" i="12"/>
  <c r="Q30" i="12"/>
  <c r="P30" i="12"/>
  <c r="O30" i="12"/>
  <c r="N30" i="12"/>
  <c r="M30" i="12"/>
  <c r="L30" i="12"/>
  <c r="K30" i="12"/>
  <c r="J30" i="12"/>
  <c r="I30" i="12"/>
  <c r="H30" i="12"/>
  <c r="G30" i="12"/>
  <c r="F30" i="12"/>
  <c r="E30" i="12"/>
  <c r="D30" i="12"/>
  <c r="C30" i="12"/>
  <c r="B30" i="12"/>
  <c r="R29" i="12"/>
  <c r="Q29" i="12"/>
  <c r="P29" i="12"/>
  <c r="O29" i="12"/>
  <c r="N29" i="12"/>
  <c r="M29" i="12"/>
  <c r="L29" i="12"/>
  <c r="K29" i="12"/>
  <c r="J29" i="12"/>
  <c r="I29" i="12"/>
  <c r="H29" i="12"/>
  <c r="G29" i="12"/>
  <c r="F29" i="12"/>
  <c r="E29" i="12"/>
  <c r="D29" i="12"/>
  <c r="C29" i="12"/>
  <c r="B29" i="12"/>
  <c r="R28" i="12"/>
  <c r="Q28" i="12"/>
  <c r="P28" i="12"/>
  <c r="O28" i="12"/>
  <c r="N28" i="12"/>
  <c r="M28" i="12"/>
  <c r="L28" i="12"/>
  <c r="K28" i="12"/>
  <c r="J28" i="12"/>
  <c r="I28" i="12"/>
  <c r="H28" i="12"/>
  <c r="G28" i="12"/>
  <c r="F28" i="12"/>
  <c r="E28" i="12"/>
  <c r="D28" i="12"/>
  <c r="C28" i="12"/>
  <c r="B28" i="12"/>
  <c r="C25" i="12"/>
  <c r="D25" i="12"/>
  <c r="E25" i="12"/>
  <c r="F25" i="12"/>
  <c r="G25" i="12"/>
  <c r="H25" i="12"/>
  <c r="I25" i="12"/>
  <c r="J25" i="12"/>
  <c r="K25" i="12"/>
  <c r="L25" i="12"/>
  <c r="M25" i="12"/>
  <c r="N25" i="12"/>
  <c r="O25" i="12"/>
  <c r="P25" i="12"/>
  <c r="Q25" i="12"/>
  <c r="R25" i="12"/>
  <c r="S25" i="12"/>
  <c r="I23" i="12"/>
  <c r="J23" i="12"/>
  <c r="H23" i="12"/>
  <c r="G23" i="12"/>
  <c r="F23" i="12"/>
  <c r="E23" i="12"/>
  <c r="D23" i="12"/>
  <c r="C23" i="12"/>
  <c r="B23" i="12"/>
  <c r="AC22" i="12"/>
  <c r="AB22" i="12"/>
  <c r="AA22" i="12"/>
  <c r="Z22" i="12"/>
  <c r="Y22" i="12"/>
  <c r="X22" i="12"/>
  <c r="W22" i="12"/>
  <c r="V22" i="12"/>
  <c r="U22" i="12"/>
  <c r="T22" i="12"/>
  <c r="S22" i="12"/>
  <c r="R22" i="12"/>
  <c r="Q22" i="12"/>
  <c r="P22" i="12"/>
  <c r="H22" i="12"/>
  <c r="G22" i="12"/>
  <c r="F22" i="12"/>
  <c r="E22" i="12"/>
  <c r="D22" i="12"/>
  <c r="C22" i="12"/>
  <c r="B22" i="12"/>
  <c r="H21" i="12"/>
  <c r="G21" i="12"/>
  <c r="F21" i="12"/>
  <c r="E21" i="12"/>
  <c r="D21" i="12"/>
  <c r="C21" i="12"/>
  <c r="AC19" i="12"/>
  <c r="AB19" i="12"/>
  <c r="AA19" i="12"/>
  <c r="Z19" i="12"/>
  <c r="Y19" i="12"/>
  <c r="X19" i="12"/>
  <c r="W19" i="12"/>
  <c r="V19" i="12"/>
  <c r="U19" i="12"/>
  <c r="T19" i="12"/>
  <c r="S19" i="12"/>
  <c r="R19" i="12"/>
  <c r="Q19" i="12"/>
  <c r="P19" i="12"/>
  <c r="O19" i="12"/>
  <c r="N19" i="12"/>
  <c r="M19" i="12"/>
  <c r="L19" i="12"/>
  <c r="K19" i="12"/>
  <c r="J19" i="12"/>
  <c r="I19" i="12"/>
  <c r="H18" i="12"/>
  <c r="G18" i="12"/>
  <c r="F18" i="12"/>
  <c r="E18" i="12"/>
  <c r="D18" i="12"/>
  <c r="C18" i="12"/>
  <c r="H15" i="12"/>
  <c r="G15" i="12"/>
  <c r="F15" i="12"/>
  <c r="E15" i="12"/>
  <c r="D15" i="12"/>
  <c r="C15" i="12"/>
  <c r="H12" i="12"/>
  <c r="G12" i="12"/>
  <c r="F12" i="12"/>
  <c r="E12" i="12"/>
  <c r="D12" i="12"/>
  <c r="C12" i="12"/>
  <c r="H9" i="12"/>
  <c r="G9" i="12"/>
  <c r="F9" i="12"/>
  <c r="E9" i="12"/>
  <c r="D9" i="12"/>
  <c r="C9" i="12"/>
  <c r="H6" i="12"/>
  <c r="G6" i="12"/>
  <c r="F6" i="12"/>
  <c r="E6" i="12"/>
  <c r="D6" i="12"/>
  <c r="C6" i="12"/>
  <c r="C28" i="10"/>
  <c r="D28" i="10"/>
  <c r="E28" i="10"/>
  <c r="F28" i="10"/>
  <c r="G28" i="10"/>
  <c r="B31" i="10"/>
  <c r="C31" i="10"/>
  <c r="D31" i="10"/>
  <c r="E31" i="10"/>
  <c r="F31" i="10"/>
  <c r="G31" i="10"/>
  <c r="B7" i="5"/>
  <c r="C8" i="5"/>
  <c r="B48" i="3"/>
  <c r="B35" i="3"/>
  <c r="M12" i="29"/>
  <c r="D20" i="19"/>
  <c r="H62" i="19"/>
  <c r="I72" i="19"/>
  <c r="AA80" i="19"/>
  <c r="X80" i="19"/>
  <c r="R80" i="19"/>
  <c r="Z80" i="19"/>
  <c r="T80" i="19"/>
  <c r="K80" i="19"/>
  <c r="S80" i="19"/>
  <c r="G72" i="19"/>
  <c r="E72" i="19"/>
  <c r="E20" i="19"/>
  <c r="D72" i="19"/>
  <c r="E76" i="19"/>
  <c r="E62" i="19"/>
  <c r="F62" i="19"/>
  <c r="G76" i="19"/>
  <c r="F20" i="19"/>
  <c r="D74" i="19"/>
  <c r="G62" i="19"/>
  <c r="L80" i="19"/>
  <c r="J80" i="19"/>
  <c r="I78" i="19"/>
  <c r="C78" i="19"/>
  <c r="AB80" i="19"/>
  <c r="H74" i="19"/>
  <c r="C76" i="19"/>
  <c r="AC80" i="19"/>
  <c r="G78" i="19"/>
  <c r="C74" i="19"/>
  <c r="Y80" i="19"/>
  <c r="Q80" i="19"/>
  <c r="N80" i="19"/>
  <c r="P80" i="19"/>
  <c r="U80" i="19"/>
  <c r="E74" i="19"/>
  <c r="I76" i="19"/>
  <c r="AD80" i="19"/>
  <c r="W80" i="19"/>
  <c r="V80" i="19"/>
  <c r="F72" i="19"/>
  <c r="H72" i="19"/>
  <c r="F78" i="19"/>
  <c r="D78" i="19"/>
  <c r="D81" i="19"/>
  <c r="F76" i="19"/>
  <c r="H78" i="19"/>
  <c r="I29" i="11"/>
  <c r="D52" i="11"/>
  <c r="C54" i="11"/>
  <c r="C52" i="11"/>
  <c r="B72" i="11"/>
  <c r="H54" i="11"/>
  <c r="D50" i="11"/>
  <c r="F52" i="11"/>
  <c r="I46" i="11"/>
  <c r="G50" i="11"/>
  <c r="G52" i="11"/>
  <c r="G65" i="11"/>
  <c r="G63" i="10"/>
  <c r="E52" i="11"/>
  <c r="E54" i="11"/>
  <c r="D65" i="11"/>
  <c r="D63" i="10"/>
  <c r="H52" i="11"/>
  <c r="G54" i="11"/>
  <c r="D54" i="11"/>
  <c r="J29" i="11"/>
  <c r="H18" i="11"/>
  <c r="C15" i="23"/>
  <c r="C16" i="23"/>
  <c r="D5" i="23"/>
  <c r="D11" i="23"/>
  <c r="AD22" i="12"/>
  <c r="AD40" i="12"/>
  <c r="AD50" i="12"/>
  <c r="AD47" i="12"/>
  <c r="AE72" i="19"/>
  <c r="AE47" i="12"/>
  <c r="AE19" i="12"/>
  <c r="H15" i="32"/>
  <c r="E11" i="10"/>
  <c r="K29" i="11"/>
  <c r="F54" i="11"/>
  <c r="F50" i="11"/>
  <c r="D29" i="10"/>
  <c r="C5" i="14"/>
  <c r="C26" i="2"/>
  <c r="C25" i="2"/>
  <c r="C8" i="30"/>
  <c r="D26" i="2"/>
  <c r="D5" i="14"/>
  <c r="D25" i="2"/>
  <c r="D8" i="30"/>
  <c r="E29" i="10"/>
  <c r="G29" i="10"/>
  <c r="C27" i="36"/>
  <c r="F29" i="10"/>
  <c r="G26" i="2"/>
  <c r="G25" i="2"/>
  <c r="D10" i="37"/>
  <c r="F16" i="37"/>
  <c r="D21" i="37"/>
  <c r="F34" i="37"/>
  <c r="G5" i="14"/>
  <c r="B15" i="1"/>
  <c r="D9" i="37"/>
  <c r="D16" i="37"/>
  <c r="J18" i="32"/>
  <c r="G14" i="10"/>
  <c r="K17" i="32"/>
  <c r="G18" i="32"/>
  <c r="D14" i="10"/>
  <c r="K18" i="32"/>
  <c r="H27" i="32"/>
  <c r="H29" i="32"/>
  <c r="K16" i="32"/>
  <c r="G27" i="32"/>
  <c r="G29" i="32"/>
  <c r="C16" i="1"/>
  <c r="C35" i="10"/>
  <c r="H17" i="32"/>
  <c r="E13" i="10"/>
  <c r="E15" i="32"/>
  <c r="B11" i="10"/>
  <c r="G17" i="32"/>
  <c r="D13" i="10"/>
  <c r="F16" i="32"/>
  <c r="C12" i="10"/>
  <c r="F27" i="32"/>
  <c r="F29" i="32"/>
  <c r="F18" i="32"/>
  <c r="C14" i="10"/>
  <c r="J27" i="32"/>
  <c r="J29" i="32"/>
  <c r="E16" i="32"/>
  <c r="B12" i="10"/>
  <c r="E27" i="32"/>
  <c r="E29" i="32"/>
  <c r="I11" i="32"/>
  <c r="E17" i="10"/>
  <c r="J15" i="32"/>
  <c r="G11" i="10"/>
  <c r="H11" i="32"/>
  <c r="D17" i="10"/>
  <c r="G16" i="32"/>
  <c r="D12" i="10"/>
  <c r="I15" i="32"/>
  <c r="F11" i="10"/>
  <c r="F11" i="32"/>
  <c r="B17" i="10"/>
  <c r="E18" i="32"/>
  <c r="B14" i="10"/>
  <c r="J16" i="32"/>
  <c r="G12" i="10"/>
  <c r="I18" i="32"/>
  <c r="F14" i="10"/>
  <c r="I16" i="32"/>
  <c r="F12" i="10"/>
  <c r="K15" i="32"/>
  <c r="K11" i="32"/>
  <c r="G17" i="10"/>
  <c r="H18" i="32"/>
  <c r="E14" i="10"/>
  <c r="F17" i="32"/>
  <c r="C13" i="10"/>
  <c r="G11" i="32"/>
  <c r="C17" i="10"/>
  <c r="I27" i="32"/>
  <c r="I29" i="32"/>
  <c r="J11" i="32"/>
  <c r="F17" i="10"/>
  <c r="Q269" i="32"/>
  <c r="H42" i="32"/>
  <c r="J42" i="32"/>
  <c r="L11" i="32"/>
  <c r="M27" i="32"/>
  <c r="Q345" i="32"/>
  <c r="K42" i="32"/>
  <c r="L27" i="32"/>
  <c r="I42" i="32"/>
  <c r="G42" i="32"/>
  <c r="E81" i="19"/>
  <c r="I80" i="19"/>
  <c r="E80" i="19"/>
  <c r="G80" i="19"/>
  <c r="K41" i="19"/>
  <c r="K54" i="19"/>
  <c r="F81" i="19"/>
  <c r="G81" i="19"/>
  <c r="D62" i="19"/>
  <c r="H81" i="19"/>
  <c r="H80" i="19"/>
  <c r="I81" i="19"/>
  <c r="C81" i="19"/>
  <c r="C80" i="19"/>
  <c r="D80" i="19"/>
  <c r="F80" i="19"/>
  <c r="L41" i="19"/>
  <c r="L54" i="19"/>
  <c r="J46" i="11"/>
  <c r="I54" i="11"/>
  <c r="H63" i="11"/>
  <c r="H66" i="10"/>
  <c r="D15" i="23"/>
  <c r="D16" i="23"/>
  <c r="E5" i="23"/>
  <c r="E11" i="23"/>
  <c r="D12" i="23"/>
  <c r="AD48" i="12"/>
  <c r="AD49" i="12"/>
  <c r="AD19" i="12"/>
  <c r="AE80" i="19"/>
  <c r="AE40" i="12"/>
  <c r="AF72" i="19"/>
  <c r="AE50" i="12"/>
  <c r="AE48" i="12"/>
  <c r="AE49" i="12"/>
  <c r="J30" i="32"/>
  <c r="H30" i="32"/>
  <c r="K46" i="11"/>
  <c r="J18" i="11"/>
  <c r="H59" i="11"/>
  <c r="H64" i="10"/>
  <c r="H50" i="11"/>
  <c r="J52" i="11"/>
  <c r="H61" i="11"/>
  <c r="H65" i="10"/>
  <c r="K52" i="11"/>
  <c r="I52" i="11"/>
  <c r="L29" i="11"/>
  <c r="F26" i="2"/>
  <c r="F5" i="14"/>
  <c r="F8" i="30"/>
  <c r="F25" i="2"/>
  <c r="C35" i="34"/>
  <c r="C36" i="36"/>
  <c r="C34" i="36"/>
  <c r="C32" i="36"/>
  <c r="C50" i="3"/>
  <c r="C9" i="1"/>
  <c r="E5" i="14"/>
  <c r="E8" i="30"/>
  <c r="E9" i="30"/>
  <c r="E26" i="2"/>
  <c r="E25" i="2"/>
  <c r="C26" i="34"/>
  <c r="D9" i="30"/>
  <c r="G30" i="32"/>
  <c r="P345" i="32"/>
  <c r="D16" i="1"/>
  <c r="D35" i="10"/>
  <c r="F30" i="32"/>
  <c r="B16" i="1"/>
  <c r="B34" i="10"/>
  <c r="K30" i="32"/>
  <c r="G16" i="1"/>
  <c r="F16" i="1"/>
  <c r="I30" i="32"/>
  <c r="E16" i="1"/>
  <c r="U345" i="32"/>
  <c r="C34" i="10"/>
  <c r="V345" i="32"/>
  <c r="Y345" i="32"/>
  <c r="O345" i="32"/>
  <c r="L269" i="32"/>
  <c r="L303" i="32"/>
  <c r="M269" i="32"/>
  <c r="N345" i="32"/>
  <c r="P269" i="32"/>
  <c r="X345" i="32"/>
  <c r="W345" i="32"/>
  <c r="N269" i="32"/>
  <c r="R345" i="32"/>
  <c r="Z345" i="32"/>
  <c r="O269" i="32"/>
  <c r="M345" i="32"/>
  <c r="L345" i="32"/>
  <c r="L379" i="32"/>
  <c r="S345" i="32"/>
  <c r="T345" i="32"/>
  <c r="AA345" i="32"/>
  <c r="Y346" i="32"/>
  <c r="M11" i="32"/>
  <c r="R270" i="32"/>
  <c r="O231" i="32"/>
  <c r="P231" i="32"/>
  <c r="N231" i="32"/>
  <c r="M231" i="32"/>
  <c r="Q231" i="32"/>
  <c r="R231" i="32"/>
  <c r="S231" i="32"/>
  <c r="L231" i="32"/>
  <c r="L265" i="32"/>
  <c r="L307" i="32"/>
  <c r="L341" i="32"/>
  <c r="O307" i="32"/>
  <c r="P307" i="32"/>
  <c r="M307" i="32"/>
  <c r="N307" i="32"/>
  <c r="Q307" i="32"/>
  <c r="I62" i="19"/>
  <c r="I53" i="19"/>
  <c r="J41" i="19"/>
  <c r="J54" i="19"/>
  <c r="J56" i="19"/>
  <c r="J62" i="19"/>
  <c r="K56" i="19"/>
  <c r="K54" i="11"/>
  <c r="J54" i="11"/>
  <c r="J63" i="11"/>
  <c r="J66" i="10"/>
  <c r="F5" i="23"/>
  <c r="F11" i="23"/>
  <c r="E12" i="23"/>
  <c r="E15" i="23"/>
  <c r="E16" i="23"/>
  <c r="AF80" i="19"/>
  <c r="AE22" i="12"/>
  <c r="AF50" i="12"/>
  <c r="AF47" i="12"/>
  <c r="AF22" i="12"/>
  <c r="L52" i="11"/>
  <c r="I59" i="11"/>
  <c r="I64" i="10"/>
  <c r="I50" i="11"/>
  <c r="M29" i="11"/>
  <c r="I63" i="11"/>
  <c r="I66" i="10"/>
  <c r="L54" i="11"/>
  <c r="L46" i="11"/>
  <c r="I61" i="11"/>
  <c r="I65" i="10"/>
  <c r="D9" i="1"/>
  <c r="D50" i="3"/>
  <c r="F9" i="30"/>
  <c r="G9" i="30"/>
  <c r="C6" i="10"/>
  <c r="C8" i="10"/>
  <c r="C8" i="1"/>
  <c r="C15" i="1"/>
  <c r="C21" i="1"/>
  <c r="C22" i="30"/>
  <c r="C31" i="34"/>
  <c r="C37" i="36"/>
  <c r="C38" i="36"/>
  <c r="C33" i="34"/>
  <c r="C36" i="34"/>
  <c r="C37" i="34"/>
  <c r="D34" i="10"/>
  <c r="G34" i="10"/>
  <c r="B35" i="10"/>
  <c r="B21" i="1"/>
  <c r="B22" i="30"/>
  <c r="G35" i="10"/>
  <c r="F34" i="10"/>
  <c r="F35" i="10"/>
  <c r="E34" i="10"/>
  <c r="E35" i="10"/>
  <c r="Q346" i="32"/>
  <c r="O308" i="32"/>
  <c r="M38" i="32"/>
  <c r="N270" i="32"/>
  <c r="P270" i="32"/>
  <c r="O270" i="32"/>
  <c r="M36" i="32"/>
  <c r="M270" i="32"/>
  <c r="M303" i="32"/>
  <c r="Q270" i="32"/>
  <c r="M308" i="32"/>
  <c r="M341" i="32"/>
  <c r="AA346" i="32"/>
  <c r="P308" i="32"/>
  <c r="U346" i="32"/>
  <c r="N27" i="32"/>
  <c r="N11" i="32"/>
  <c r="W346" i="32"/>
  <c r="P346" i="32"/>
  <c r="Z346" i="32"/>
  <c r="R308" i="32"/>
  <c r="R346" i="32"/>
  <c r="V346" i="32"/>
  <c r="N308" i="32"/>
  <c r="X346" i="32"/>
  <c r="AB346" i="32"/>
  <c r="M40" i="32"/>
  <c r="N346" i="32"/>
  <c r="T346" i="32"/>
  <c r="S346" i="32"/>
  <c r="O346" i="32"/>
  <c r="Q308" i="32"/>
  <c r="M346" i="32"/>
  <c r="M379" i="32"/>
  <c r="L71" i="32"/>
  <c r="L42" i="32"/>
  <c r="AT78" i="32"/>
  <c r="AU78" i="32"/>
  <c r="AV78" i="32"/>
  <c r="AW78" i="32"/>
  <c r="Q232" i="32"/>
  <c r="P232" i="32"/>
  <c r="M34" i="32"/>
  <c r="O232" i="32"/>
  <c r="R232" i="32"/>
  <c r="N232" i="32"/>
  <c r="M232" i="32"/>
  <c r="M265" i="32"/>
  <c r="S232" i="32"/>
  <c r="T232" i="32"/>
  <c r="J53" i="19"/>
  <c r="K53" i="19"/>
  <c r="L53" i="19"/>
  <c r="K62" i="19"/>
  <c r="L56" i="19"/>
  <c r="L62" i="19"/>
  <c r="M41" i="19"/>
  <c r="M54" i="19"/>
  <c r="J20" i="12"/>
  <c r="F15" i="23"/>
  <c r="F16" i="23"/>
  <c r="F12" i="23"/>
  <c r="G5" i="23"/>
  <c r="G11" i="23"/>
  <c r="AG50" i="12"/>
  <c r="AG47" i="12"/>
  <c r="AG19" i="12"/>
  <c r="AG48" i="12"/>
  <c r="AG49" i="12"/>
  <c r="AG72" i="19"/>
  <c r="AF40" i="12"/>
  <c r="AH72" i="19"/>
  <c r="AF48" i="12"/>
  <c r="AF49" i="12"/>
  <c r="AF19" i="12"/>
  <c r="N29" i="11"/>
  <c r="J59" i="11"/>
  <c r="J64" i="10"/>
  <c r="J50" i="11"/>
  <c r="K63" i="11"/>
  <c r="K66" i="10"/>
  <c r="L63" i="11"/>
  <c r="L66" i="10"/>
  <c r="J5" i="5"/>
  <c r="I20" i="12"/>
  <c r="M54" i="11"/>
  <c r="M46" i="11"/>
  <c r="L18" i="11"/>
  <c r="M52" i="11"/>
  <c r="C21" i="30"/>
  <c r="E50" i="3"/>
  <c r="E9" i="1"/>
  <c r="D6" i="10"/>
  <c r="D8" i="10"/>
  <c r="D8" i="1"/>
  <c r="D15" i="1"/>
  <c r="D21" i="1"/>
  <c r="D21" i="30"/>
  <c r="B21" i="30"/>
  <c r="C11" i="30"/>
  <c r="C10" i="30"/>
  <c r="M71" i="32"/>
  <c r="Q309" i="32"/>
  <c r="S309" i="32"/>
  <c r="P309" i="32"/>
  <c r="R309" i="32"/>
  <c r="N309" i="32"/>
  <c r="N341" i="32"/>
  <c r="N38" i="32"/>
  <c r="O309" i="32"/>
  <c r="T233" i="32"/>
  <c r="P233" i="32"/>
  <c r="Q233" i="32"/>
  <c r="N34" i="32"/>
  <c r="U233" i="32"/>
  <c r="R233" i="32"/>
  <c r="AT79" i="32"/>
  <c r="AU79" i="32"/>
  <c r="AV79" i="32"/>
  <c r="AW79" i="32"/>
  <c r="AX79" i="32"/>
  <c r="N233" i="32"/>
  <c r="N265" i="32"/>
  <c r="S233" i="32"/>
  <c r="O233" i="32"/>
  <c r="O11" i="32"/>
  <c r="O27" i="32"/>
  <c r="Q271" i="32"/>
  <c r="N36" i="32"/>
  <c r="R271" i="32"/>
  <c r="S271" i="32"/>
  <c r="O271" i="32"/>
  <c r="N271" i="32"/>
  <c r="N303" i="32"/>
  <c r="P271" i="32"/>
  <c r="N40" i="32"/>
  <c r="AC347" i="32"/>
  <c r="X347" i="32"/>
  <c r="P347" i="32"/>
  <c r="S347" i="32"/>
  <c r="Q347" i="32"/>
  <c r="R347" i="32"/>
  <c r="AA347" i="32"/>
  <c r="Y347" i="32"/>
  <c r="W347" i="32"/>
  <c r="O347" i="32"/>
  <c r="U347" i="32"/>
  <c r="T347" i="32"/>
  <c r="N347" i="32"/>
  <c r="N379" i="32"/>
  <c r="Z347" i="32"/>
  <c r="V347" i="32"/>
  <c r="AB347" i="32"/>
  <c r="M42" i="32"/>
  <c r="L24" i="32"/>
  <c r="M53" i="19"/>
  <c r="N53" i="19"/>
  <c r="K5" i="5"/>
  <c r="G12" i="23"/>
  <c r="G15" i="23"/>
  <c r="G16" i="23"/>
  <c r="H5" i="23"/>
  <c r="AG22" i="12"/>
  <c r="AH80" i="19"/>
  <c r="AG40" i="12"/>
  <c r="AI72" i="19"/>
  <c r="AG80" i="19"/>
  <c r="AH50" i="12"/>
  <c r="AH22" i="12"/>
  <c r="AH47" i="12"/>
  <c r="AH19" i="12"/>
  <c r="AH48" i="12"/>
  <c r="AH49" i="12"/>
  <c r="D10" i="30"/>
  <c r="D22" i="30"/>
  <c r="N52" i="11"/>
  <c r="J61" i="11"/>
  <c r="J65" i="10"/>
  <c r="J21" i="12"/>
  <c r="J17" i="12"/>
  <c r="J5" i="12"/>
  <c r="J8" i="12"/>
  <c r="J11" i="12"/>
  <c r="J14" i="12"/>
  <c r="N46" i="11"/>
  <c r="M18" i="11"/>
  <c r="I21" i="12"/>
  <c r="I8" i="12"/>
  <c r="I9" i="12"/>
  <c r="I11" i="12"/>
  <c r="I12" i="12"/>
  <c r="I14" i="12"/>
  <c r="I15" i="12"/>
  <c r="I5" i="12"/>
  <c r="I6" i="12"/>
  <c r="I17" i="12"/>
  <c r="I18" i="12"/>
  <c r="N54" i="11"/>
  <c r="M63" i="11"/>
  <c r="M66" i="10"/>
  <c r="H6" i="23"/>
  <c r="H8" i="23"/>
  <c r="H9" i="23"/>
  <c r="H7" i="23"/>
  <c r="K59" i="11"/>
  <c r="K64" i="10"/>
  <c r="K50" i="11"/>
  <c r="O29" i="11"/>
  <c r="D11" i="30"/>
  <c r="F50" i="3"/>
  <c r="F9" i="1"/>
  <c r="E15" i="1"/>
  <c r="E21" i="1"/>
  <c r="E6" i="10"/>
  <c r="E8" i="10"/>
  <c r="E8" i="1"/>
  <c r="C12" i="30"/>
  <c r="N71" i="32"/>
  <c r="T310" i="32"/>
  <c r="Q310" i="32"/>
  <c r="P310" i="32"/>
  <c r="R310" i="32"/>
  <c r="S310" i="32"/>
  <c r="O38" i="32"/>
  <c r="O310" i="32"/>
  <c r="O341" i="32"/>
  <c r="O34" i="32"/>
  <c r="P234" i="32"/>
  <c r="AT80" i="32"/>
  <c r="AU80" i="32"/>
  <c r="AV80" i="32"/>
  <c r="AW80" i="32"/>
  <c r="V234" i="32"/>
  <c r="Q234" i="32"/>
  <c r="O234" i="32"/>
  <c r="O265" i="32"/>
  <c r="R234" i="32"/>
  <c r="S234" i="32"/>
  <c r="U234" i="32"/>
  <c r="T234" i="32"/>
  <c r="N42" i="32"/>
  <c r="Z348" i="32"/>
  <c r="Q348" i="32"/>
  <c r="AD348" i="32"/>
  <c r="AC348" i="32"/>
  <c r="S348" i="32"/>
  <c r="O348" i="32"/>
  <c r="O379" i="32"/>
  <c r="U348" i="32"/>
  <c r="Y348" i="32"/>
  <c r="P348" i="32"/>
  <c r="AA348" i="32"/>
  <c r="R348" i="32"/>
  <c r="X348" i="32"/>
  <c r="T348" i="32"/>
  <c r="V348" i="32"/>
  <c r="W348" i="32"/>
  <c r="O40" i="32"/>
  <c r="AB348" i="32"/>
  <c r="S272" i="32"/>
  <c r="T272" i="32"/>
  <c r="O272" i="32"/>
  <c r="O303" i="32"/>
  <c r="O36" i="32"/>
  <c r="R272" i="32"/>
  <c r="P272" i="32"/>
  <c r="Q272" i="32"/>
  <c r="P11" i="32"/>
  <c r="P27" i="32"/>
  <c r="H26" i="30"/>
  <c r="L28" i="32"/>
  <c r="L29" i="32"/>
  <c r="M21" i="32"/>
  <c r="I9" i="23"/>
  <c r="I8" i="23"/>
  <c r="I7" i="23"/>
  <c r="AI22" i="12"/>
  <c r="AH40" i="12"/>
  <c r="AI50" i="12"/>
  <c r="AI47" i="12"/>
  <c r="AI19" i="12"/>
  <c r="AI48" i="12"/>
  <c r="AI49" i="12"/>
  <c r="D12" i="30"/>
  <c r="P29" i="11"/>
  <c r="I6" i="23"/>
  <c r="H10" i="23"/>
  <c r="H11" i="23"/>
  <c r="J12" i="12"/>
  <c r="J9" i="12"/>
  <c r="K61" i="11"/>
  <c r="K65" i="10"/>
  <c r="J6" i="12"/>
  <c r="H69" i="10"/>
  <c r="H70" i="10"/>
  <c r="H22" i="10"/>
  <c r="H6" i="30"/>
  <c r="H7" i="30"/>
  <c r="J18" i="12"/>
  <c r="O46" i="11"/>
  <c r="N18" i="11"/>
  <c r="J15" i="12"/>
  <c r="L61" i="11"/>
  <c r="L65" i="10"/>
  <c r="O52" i="11"/>
  <c r="N63" i="11"/>
  <c r="N66" i="10"/>
  <c r="L59" i="11"/>
  <c r="L64" i="10"/>
  <c r="L50" i="11"/>
  <c r="O61" i="11"/>
  <c r="O65" i="10"/>
  <c r="K20" i="12"/>
  <c r="L5" i="5"/>
  <c r="O54" i="11"/>
  <c r="E22" i="30"/>
  <c r="E10" i="30"/>
  <c r="E21" i="30"/>
  <c r="E11" i="30"/>
  <c r="F15" i="1"/>
  <c r="F21" i="1"/>
  <c r="F6" i="10"/>
  <c r="F8" i="10"/>
  <c r="F8" i="1"/>
  <c r="G50" i="3"/>
  <c r="H15" i="30"/>
  <c r="AX80" i="32"/>
  <c r="Q311" i="32"/>
  <c r="P38" i="32"/>
  <c r="P311" i="32"/>
  <c r="P341" i="32"/>
  <c r="S311" i="32"/>
  <c r="U311" i="32"/>
  <c r="R311" i="32"/>
  <c r="T311" i="32"/>
  <c r="U273" i="32"/>
  <c r="Q273" i="32"/>
  <c r="P36" i="32"/>
  <c r="P273" i="32"/>
  <c r="P303" i="32"/>
  <c r="R273" i="32"/>
  <c r="T273" i="32"/>
  <c r="S273" i="32"/>
  <c r="O71" i="32"/>
  <c r="V235" i="32"/>
  <c r="P34" i="32"/>
  <c r="T235" i="32"/>
  <c r="Q235" i="32"/>
  <c r="R235" i="32"/>
  <c r="P235" i="32"/>
  <c r="P265" i="32"/>
  <c r="U235" i="32"/>
  <c r="AT81" i="32"/>
  <c r="AU81" i="32"/>
  <c r="AV81" i="32"/>
  <c r="AW81" i="32"/>
  <c r="AX81" i="32"/>
  <c r="AY81" i="32"/>
  <c r="AZ81" i="32"/>
  <c r="W235" i="32"/>
  <c r="S235" i="32"/>
  <c r="O42" i="32"/>
  <c r="S349" i="32"/>
  <c r="R349" i="32"/>
  <c r="Y349" i="32"/>
  <c r="V349" i="32"/>
  <c r="T349" i="32"/>
  <c r="Q349" i="32"/>
  <c r="AB349" i="32"/>
  <c r="X349" i="32"/>
  <c r="U349" i="32"/>
  <c r="P349" i="32"/>
  <c r="P379" i="32"/>
  <c r="AC349" i="32"/>
  <c r="P40" i="32"/>
  <c r="AA349" i="32"/>
  <c r="Z349" i="32"/>
  <c r="W349" i="32"/>
  <c r="AD349" i="32"/>
  <c r="AE349" i="32"/>
  <c r="Q11" i="32"/>
  <c r="Q27" i="32"/>
  <c r="N70" i="32"/>
  <c r="H16" i="1"/>
  <c r="L30" i="32"/>
  <c r="M70" i="32"/>
  <c r="AI80" i="19"/>
  <c r="J8" i="23"/>
  <c r="AK72" i="19"/>
  <c r="AJ50" i="12"/>
  <c r="AJ47" i="12"/>
  <c r="AJ19" i="12"/>
  <c r="AI40" i="12"/>
  <c r="AJ72" i="19"/>
  <c r="O63" i="11"/>
  <c r="O66" i="10"/>
  <c r="I22" i="10"/>
  <c r="I6" i="30"/>
  <c r="I7" i="30"/>
  <c r="I69" i="10"/>
  <c r="I70" i="10"/>
  <c r="P54" i="11"/>
  <c r="H49" i="24"/>
  <c r="M5" i="5"/>
  <c r="L20" i="12"/>
  <c r="I5" i="23"/>
  <c r="H15" i="23"/>
  <c r="H12" i="23"/>
  <c r="I10" i="23"/>
  <c r="K14" i="12"/>
  <c r="K15" i="12"/>
  <c r="K21" i="12"/>
  <c r="K5" i="12"/>
  <c r="K6" i="12"/>
  <c r="K11" i="12"/>
  <c r="K12" i="12"/>
  <c r="K8" i="12"/>
  <c r="K9" i="12"/>
  <c r="K17" i="12"/>
  <c r="K18" i="12"/>
  <c r="P46" i="11"/>
  <c r="O18" i="11"/>
  <c r="P52" i="11"/>
  <c r="Q29" i="11"/>
  <c r="M59" i="11"/>
  <c r="M64" i="10"/>
  <c r="M50" i="11"/>
  <c r="I15" i="30"/>
  <c r="P61" i="11"/>
  <c r="P65" i="10"/>
  <c r="M61" i="11"/>
  <c r="M65" i="10"/>
  <c r="N61" i="11"/>
  <c r="N65" i="10"/>
  <c r="E12" i="30"/>
  <c r="G15" i="1"/>
  <c r="G21" i="1"/>
  <c r="G11" i="30"/>
  <c r="F10" i="30"/>
  <c r="F22" i="30"/>
  <c r="F21" i="30"/>
  <c r="F11" i="30"/>
  <c r="AY80" i="32"/>
  <c r="U236" i="32"/>
  <c r="R236" i="32"/>
  <c r="Q34" i="32"/>
  <c r="AT82" i="32"/>
  <c r="AU82" i="32"/>
  <c r="AV82" i="32"/>
  <c r="AW82" i="32"/>
  <c r="X236" i="32"/>
  <c r="W236" i="32"/>
  <c r="Q236" i="32"/>
  <c r="Q265" i="32"/>
  <c r="S236" i="32"/>
  <c r="V236" i="32"/>
  <c r="T236" i="32"/>
  <c r="Q36" i="32"/>
  <c r="R274" i="32"/>
  <c r="V274" i="32"/>
  <c r="T274" i="32"/>
  <c r="S274" i="32"/>
  <c r="Q274" i="32"/>
  <c r="Q303" i="32"/>
  <c r="U274" i="32"/>
  <c r="P42" i="32"/>
  <c r="S312" i="32"/>
  <c r="R312" i="32"/>
  <c r="V312" i="32"/>
  <c r="T312" i="32"/>
  <c r="Q312" i="32"/>
  <c r="Q341" i="32"/>
  <c r="Q38" i="32"/>
  <c r="U312" i="32"/>
  <c r="AA350" i="32"/>
  <c r="Z350" i="32"/>
  <c r="AE350" i="32"/>
  <c r="AF350" i="32"/>
  <c r="R350" i="32"/>
  <c r="AC350" i="32"/>
  <c r="V350" i="32"/>
  <c r="Q350" i="32"/>
  <c r="Q379" i="32"/>
  <c r="X350" i="32"/>
  <c r="W350" i="32"/>
  <c r="S350" i="32"/>
  <c r="Q40" i="32"/>
  <c r="AD350" i="32"/>
  <c r="U350" i="32"/>
  <c r="T350" i="32"/>
  <c r="AB350" i="32"/>
  <c r="Y350" i="32"/>
  <c r="R11" i="32"/>
  <c r="R27" i="32"/>
  <c r="P71" i="32"/>
  <c r="I26" i="30"/>
  <c r="M24" i="32"/>
  <c r="J7" i="23"/>
  <c r="J9" i="23"/>
  <c r="J6" i="23"/>
  <c r="N20" i="12"/>
  <c r="J26" i="30"/>
  <c r="AK50" i="12"/>
  <c r="AK47" i="12"/>
  <c r="AK48" i="12"/>
  <c r="AK49" i="12"/>
  <c r="AK19" i="12"/>
  <c r="AJ40" i="12"/>
  <c r="AJ80" i="19"/>
  <c r="AJ48" i="12"/>
  <c r="AJ49" i="12"/>
  <c r="AJ22" i="12"/>
  <c r="R29" i="11"/>
  <c r="N50" i="11"/>
  <c r="Q54" i="11"/>
  <c r="N5" i="5"/>
  <c r="M20" i="12"/>
  <c r="I19" i="29"/>
  <c r="I22" i="29"/>
  <c r="H26" i="29"/>
  <c r="H18" i="1"/>
  <c r="Q61" i="11"/>
  <c r="Q65" i="10"/>
  <c r="Q52" i="11"/>
  <c r="P63" i="11"/>
  <c r="P66" i="10"/>
  <c r="O7" i="26"/>
  <c r="I8" i="26"/>
  <c r="O13" i="26"/>
  <c r="I11" i="23"/>
  <c r="P18" i="11"/>
  <c r="Q46" i="11"/>
  <c r="L11" i="12"/>
  <c r="L12" i="12"/>
  <c r="L17" i="12"/>
  <c r="L18" i="12"/>
  <c r="L14" i="12"/>
  <c r="L15" i="12"/>
  <c r="L8" i="12"/>
  <c r="L9" i="12"/>
  <c r="L5" i="12"/>
  <c r="L6" i="12"/>
  <c r="L21" i="12"/>
  <c r="I49" i="24"/>
  <c r="F12" i="30"/>
  <c r="G21" i="30"/>
  <c r="G22" i="30"/>
  <c r="G10" i="30"/>
  <c r="G12" i="30"/>
  <c r="O70" i="32"/>
  <c r="AX82" i="32"/>
  <c r="Q71" i="32"/>
  <c r="S27" i="32"/>
  <c r="S11" i="32"/>
  <c r="S275" i="32"/>
  <c r="U275" i="32"/>
  <c r="R36" i="32"/>
  <c r="R275" i="32"/>
  <c r="R303" i="32"/>
  <c r="V275" i="32"/>
  <c r="W275" i="32"/>
  <c r="T275" i="32"/>
  <c r="V313" i="32"/>
  <c r="S313" i="32"/>
  <c r="T313" i="32"/>
  <c r="W313" i="32"/>
  <c r="R313" i="32"/>
  <c r="R341" i="32"/>
  <c r="R38" i="32"/>
  <c r="U313" i="32"/>
  <c r="R351" i="32"/>
  <c r="R379" i="32"/>
  <c r="T351" i="32"/>
  <c r="AD351" i="32"/>
  <c r="AE351" i="32"/>
  <c r="Z351" i="32"/>
  <c r="U351" i="32"/>
  <c r="AF351" i="32"/>
  <c r="AG351" i="32"/>
  <c r="X351" i="32"/>
  <c r="S351" i="32"/>
  <c r="R40" i="32"/>
  <c r="Y351" i="32"/>
  <c r="V351" i="32"/>
  <c r="AA351" i="32"/>
  <c r="AB351" i="32"/>
  <c r="W351" i="32"/>
  <c r="AC351" i="32"/>
  <c r="Q42" i="32"/>
  <c r="T237" i="32"/>
  <c r="W237" i="32"/>
  <c r="X237" i="32"/>
  <c r="R237" i="32"/>
  <c r="R265" i="32"/>
  <c r="V237" i="32"/>
  <c r="R34" i="32"/>
  <c r="U237" i="32"/>
  <c r="AT83" i="32"/>
  <c r="AU83" i="32"/>
  <c r="AV83" i="32"/>
  <c r="AW83" i="32"/>
  <c r="AX83" i="32"/>
  <c r="AY83" i="32"/>
  <c r="AZ83" i="32"/>
  <c r="BA83" i="32"/>
  <c r="BB83" i="32"/>
  <c r="Y237" i="32"/>
  <c r="S237" i="32"/>
  <c r="K26" i="30"/>
  <c r="N21" i="32"/>
  <c r="N24" i="32"/>
  <c r="M28" i="32"/>
  <c r="M29" i="32"/>
  <c r="J15" i="30"/>
  <c r="K9" i="23"/>
  <c r="J22" i="10"/>
  <c r="J69" i="10"/>
  <c r="J70" i="10"/>
  <c r="J10" i="23"/>
  <c r="K6" i="23"/>
  <c r="J6" i="30"/>
  <c r="J7" i="30"/>
  <c r="K7" i="23"/>
  <c r="K8" i="23"/>
  <c r="O5" i="5"/>
  <c r="AM72" i="19"/>
  <c r="AK40" i="12"/>
  <c r="AL50" i="12"/>
  <c r="AL47" i="12"/>
  <c r="AL19" i="12"/>
  <c r="AL48" i="12"/>
  <c r="AL49" i="12"/>
  <c r="AK80" i="19"/>
  <c r="AL72" i="19"/>
  <c r="AK22" i="12"/>
  <c r="J19" i="29"/>
  <c r="J22" i="29"/>
  <c r="H12" i="29"/>
  <c r="P13" i="26"/>
  <c r="P7" i="26"/>
  <c r="J5" i="26"/>
  <c r="J8" i="26"/>
  <c r="M8" i="12"/>
  <c r="M9" i="12"/>
  <c r="M17" i="12"/>
  <c r="M18" i="12"/>
  <c r="M5" i="12"/>
  <c r="M6" i="12"/>
  <c r="M11" i="12"/>
  <c r="M12" i="12"/>
  <c r="M21" i="12"/>
  <c r="M14" i="12"/>
  <c r="M15" i="12"/>
  <c r="N59" i="11"/>
  <c r="N64" i="10"/>
  <c r="R54" i="11"/>
  <c r="N17" i="12"/>
  <c r="N5" i="12"/>
  <c r="N21" i="12"/>
  <c r="N14" i="12"/>
  <c r="N11" i="12"/>
  <c r="N8" i="12"/>
  <c r="S29" i="11"/>
  <c r="I15" i="23"/>
  <c r="I12" i="23"/>
  <c r="J5" i="23"/>
  <c r="I26" i="29"/>
  <c r="I18" i="1"/>
  <c r="O50" i="11"/>
  <c r="R61" i="11"/>
  <c r="R65" i="10"/>
  <c r="R52" i="11"/>
  <c r="R46" i="11"/>
  <c r="Q18" i="11"/>
  <c r="L20" i="29"/>
  <c r="Q63" i="11"/>
  <c r="Q66" i="10"/>
  <c r="P70" i="32"/>
  <c r="AY82" i="32"/>
  <c r="AZ82" i="32"/>
  <c r="BA82" i="32"/>
  <c r="X276" i="32"/>
  <c r="T276" i="32"/>
  <c r="S276" i="32"/>
  <c r="S303" i="32"/>
  <c r="S36" i="32"/>
  <c r="U276" i="32"/>
  <c r="V276" i="32"/>
  <c r="W276" i="32"/>
  <c r="Z352" i="32"/>
  <c r="W352" i="32"/>
  <c r="AG352" i="32"/>
  <c r="S352" i="32"/>
  <c r="S379" i="32"/>
  <c r="AA352" i="32"/>
  <c r="AH352" i="32"/>
  <c r="AB352" i="32"/>
  <c r="AF352" i="32"/>
  <c r="AC352" i="32"/>
  <c r="Y352" i="32"/>
  <c r="AD352" i="32"/>
  <c r="S40" i="32"/>
  <c r="AE352" i="32"/>
  <c r="T352" i="32"/>
  <c r="X352" i="32"/>
  <c r="V352" i="32"/>
  <c r="U352" i="32"/>
  <c r="T11" i="32"/>
  <c r="T27" i="32"/>
  <c r="Y238" i="32"/>
  <c r="V238" i="32"/>
  <c r="T238" i="32"/>
  <c r="X238" i="32"/>
  <c r="S238" i="32"/>
  <c r="S265" i="32"/>
  <c r="U238" i="32"/>
  <c r="AT84" i="32"/>
  <c r="AU84" i="32"/>
  <c r="AV84" i="32"/>
  <c r="AW84" i="32"/>
  <c r="W238" i="32"/>
  <c r="S34" i="32"/>
  <c r="Z238" i="32"/>
  <c r="R71" i="32"/>
  <c r="R42" i="32"/>
  <c r="U314" i="32"/>
  <c r="S314" i="32"/>
  <c r="S341" i="32"/>
  <c r="W314" i="32"/>
  <c r="X314" i="32"/>
  <c r="V314" i="32"/>
  <c r="S38" i="32"/>
  <c r="T314" i="32"/>
  <c r="M30" i="32"/>
  <c r="I16" i="1"/>
  <c r="O21" i="32"/>
  <c r="O24" i="32"/>
  <c r="N28" i="32"/>
  <c r="N29" i="32"/>
  <c r="L26" i="30"/>
  <c r="J49" i="24"/>
  <c r="J11" i="23"/>
  <c r="J12" i="23"/>
  <c r="K6" i="30"/>
  <c r="K7" i="30"/>
  <c r="K69" i="10"/>
  <c r="K70" i="10"/>
  <c r="L7" i="23"/>
  <c r="K10" i="23"/>
  <c r="L15" i="30"/>
  <c r="L9" i="23"/>
  <c r="K22" i="10"/>
  <c r="L6" i="23"/>
  <c r="L8" i="23"/>
  <c r="N9" i="12"/>
  <c r="N15" i="12"/>
  <c r="N6" i="12"/>
  <c r="N18" i="12"/>
  <c r="M20" i="29"/>
  <c r="AL80" i="19"/>
  <c r="AM50" i="12"/>
  <c r="AM47" i="12"/>
  <c r="AM19" i="12"/>
  <c r="AL40" i="12"/>
  <c r="AL22" i="12"/>
  <c r="P50" i="11"/>
  <c r="S54" i="11"/>
  <c r="J26" i="29"/>
  <c r="J18" i="1"/>
  <c r="S46" i="11"/>
  <c r="R18" i="11"/>
  <c r="I14" i="26"/>
  <c r="R63" i="11"/>
  <c r="R66" i="10"/>
  <c r="O59" i="11"/>
  <c r="O64" i="10"/>
  <c r="K5" i="26"/>
  <c r="S61" i="11"/>
  <c r="S65" i="10"/>
  <c r="S52" i="11"/>
  <c r="T29" i="11"/>
  <c r="K19" i="29"/>
  <c r="K22" i="29"/>
  <c r="N12" i="12"/>
  <c r="O20" i="12"/>
  <c r="P5" i="5"/>
  <c r="I12" i="29"/>
  <c r="Q70" i="32"/>
  <c r="AX84" i="32"/>
  <c r="T38" i="32"/>
  <c r="Y315" i="32"/>
  <c r="X315" i="32"/>
  <c r="U315" i="32"/>
  <c r="T315" i="32"/>
  <c r="T341" i="32"/>
  <c r="V315" i="32"/>
  <c r="W315" i="32"/>
  <c r="S71" i="32"/>
  <c r="T40" i="32"/>
  <c r="W353" i="32"/>
  <c r="AA353" i="32"/>
  <c r="AF353" i="32"/>
  <c r="AD353" i="32"/>
  <c r="AH353" i="32"/>
  <c r="Y353" i="32"/>
  <c r="T353" i="32"/>
  <c r="T379" i="32"/>
  <c r="AC353" i="32"/>
  <c r="AI353" i="32"/>
  <c r="U353" i="32"/>
  <c r="AG353" i="32"/>
  <c r="Z353" i="32"/>
  <c r="V353" i="32"/>
  <c r="X353" i="32"/>
  <c r="AB353" i="32"/>
  <c r="AE353" i="32"/>
  <c r="U27" i="32"/>
  <c r="U11" i="32"/>
  <c r="T277" i="32"/>
  <c r="T303" i="32"/>
  <c r="W277" i="32"/>
  <c r="X277" i="32"/>
  <c r="U277" i="32"/>
  <c r="Y277" i="32"/>
  <c r="T36" i="32"/>
  <c r="V277" i="32"/>
  <c r="R70" i="32"/>
  <c r="T34" i="32"/>
  <c r="T239" i="32"/>
  <c r="T265" i="32"/>
  <c r="U239" i="32"/>
  <c r="Y239" i="32"/>
  <c r="AT85" i="32"/>
  <c r="AU85" i="32"/>
  <c r="AV85" i="32"/>
  <c r="AW85" i="32"/>
  <c r="AX85" i="32"/>
  <c r="AY85" i="32"/>
  <c r="AZ85" i="32"/>
  <c r="BA85" i="32"/>
  <c r="BB85" i="32"/>
  <c r="BC85" i="32"/>
  <c r="BD85" i="32"/>
  <c r="Z239" i="32"/>
  <c r="AA239" i="32"/>
  <c r="V239" i="32"/>
  <c r="X239" i="32"/>
  <c r="W239" i="32"/>
  <c r="S42" i="32"/>
  <c r="P21" i="32"/>
  <c r="P24" i="32"/>
  <c r="O28" i="32"/>
  <c r="O29" i="32"/>
  <c r="M26" i="30"/>
  <c r="N30" i="32"/>
  <c r="J16" i="1"/>
  <c r="K8" i="26"/>
  <c r="L5" i="26"/>
  <c r="L8" i="26"/>
  <c r="J15" i="23"/>
  <c r="Q13" i="26"/>
  <c r="Q7" i="26"/>
  <c r="K5" i="23"/>
  <c r="K11" i="23"/>
  <c r="L5" i="23"/>
  <c r="K49" i="24"/>
  <c r="K15" i="30"/>
  <c r="M7" i="23"/>
  <c r="N7" i="23"/>
  <c r="M9" i="23"/>
  <c r="N9" i="23"/>
  <c r="M6" i="23"/>
  <c r="N6" i="23"/>
  <c r="L69" i="10"/>
  <c r="L70" i="10"/>
  <c r="L49" i="24"/>
  <c r="M8" i="23"/>
  <c r="N8" i="23"/>
  <c r="L6" i="30"/>
  <c r="L7" i="30"/>
  <c r="L22" i="10"/>
  <c r="L10" i="23"/>
  <c r="N20" i="29"/>
  <c r="AM40" i="12"/>
  <c r="AN50" i="12"/>
  <c r="AN47" i="12"/>
  <c r="AN19" i="12"/>
  <c r="AN48" i="12"/>
  <c r="AN49" i="12"/>
  <c r="AN72" i="19"/>
  <c r="AO72" i="19"/>
  <c r="AM22" i="12"/>
  <c r="AM80" i="19"/>
  <c r="AM48" i="12"/>
  <c r="AM49" i="12"/>
  <c r="R13" i="26"/>
  <c r="R7" i="26"/>
  <c r="U29" i="11"/>
  <c r="T46" i="11"/>
  <c r="S18" i="11"/>
  <c r="I17" i="30"/>
  <c r="T61" i="11"/>
  <c r="T65" i="10"/>
  <c r="T52" i="11"/>
  <c r="P20" i="12"/>
  <c r="Q5" i="5"/>
  <c r="P59" i="11"/>
  <c r="P64" i="10"/>
  <c r="O14" i="12"/>
  <c r="O15" i="12"/>
  <c r="O11" i="12"/>
  <c r="O12" i="12"/>
  <c r="O8" i="12"/>
  <c r="O9" i="12"/>
  <c r="O21" i="12"/>
  <c r="O17" i="12"/>
  <c r="O18" i="12"/>
  <c r="O5" i="12"/>
  <c r="O6" i="12"/>
  <c r="J11" i="26"/>
  <c r="J14" i="26"/>
  <c r="I16" i="26"/>
  <c r="H17" i="1"/>
  <c r="Q50" i="11"/>
  <c r="H17" i="30"/>
  <c r="T54" i="11"/>
  <c r="S63" i="11"/>
  <c r="S66" i="10"/>
  <c r="J12" i="29"/>
  <c r="AY84" i="32"/>
  <c r="AZ84" i="32"/>
  <c r="BA84" i="32"/>
  <c r="BB84" i="32"/>
  <c r="BC84" i="32"/>
  <c r="AT86" i="32"/>
  <c r="AU86" i="32"/>
  <c r="AV86" i="32"/>
  <c r="AW86" i="32"/>
  <c r="AX86" i="32"/>
  <c r="AY86" i="32"/>
  <c r="AZ86" i="32"/>
  <c r="BA86" i="32"/>
  <c r="BB86" i="32"/>
  <c r="BC86" i="32"/>
  <c r="BD86" i="32"/>
  <c r="BE86" i="32"/>
  <c r="AA240" i="32"/>
  <c r="U240" i="32"/>
  <c r="U265" i="32"/>
  <c r="U34" i="32"/>
  <c r="V240" i="32"/>
  <c r="Y240" i="32"/>
  <c r="Z240" i="32"/>
  <c r="X240" i="32"/>
  <c r="W240" i="32"/>
  <c r="AB240" i="32"/>
  <c r="U36" i="32"/>
  <c r="W278" i="32"/>
  <c r="Y278" i="32"/>
  <c r="U278" i="32"/>
  <c r="U303" i="32"/>
  <c r="Z278" i="32"/>
  <c r="V278" i="32"/>
  <c r="X278" i="32"/>
  <c r="X316" i="32"/>
  <c r="U38" i="32"/>
  <c r="Z316" i="32"/>
  <c r="V316" i="32"/>
  <c r="Y316" i="32"/>
  <c r="W316" i="32"/>
  <c r="U316" i="32"/>
  <c r="U341" i="32"/>
  <c r="T42" i="32"/>
  <c r="S70" i="32"/>
  <c r="V11" i="32"/>
  <c r="V27" i="32"/>
  <c r="T71" i="32"/>
  <c r="U354" i="32"/>
  <c r="U379" i="32"/>
  <c r="AF354" i="32"/>
  <c r="AG354" i="32"/>
  <c r="W354" i="32"/>
  <c r="AD354" i="32"/>
  <c r="AE354" i="32"/>
  <c r="X354" i="32"/>
  <c r="Z354" i="32"/>
  <c r="V354" i="32"/>
  <c r="AA354" i="32"/>
  <c r="Y354" i="32"/>
  <c r="AJ354" i="32"/>
  <c r="AH354" i="32"/>
  <c r="AC354" i="32"/>
  <c r="AB354" i="32"/>
  <c r="AI354" i="32"/>
  <c r="U40" i="32"/>
  <c r="O30" i="32"/>
  <c r="K16" i="1"/>
  <c r="P28" i="32"/>
  <c r="P29" i="32"/>
  <c r="Q21" i="32"/>
  <c r="Q24" i="32"/>
  <c r="J17" i="30"/>
  <c r="L19" i="29"/>
  <c r="L22" i="29"/>
  <c r="K26" i="29"/>
  <c r="K18" i="1"/>
  <c r="K12" i="29"/>
  <c r="K15" i="23"/>
  <c r="K12" i="23"/>
  <c r="M6" i="30"/>
  <c r="M7" i="30"/>
  <c r="M22" i="10"/>
  <c r="L11" i="23"/>
  <c r="M5" i="23"/>
  <c r="M15" i="30"/>
  <c r="M49" i="24"/>
  <c r="M5" i="29"/>
  <c r="M9" i="29"/>
  <c r="M69" i="10"/>
  <c r="M70" i="10"/>
  <c r="M10" i="23"/>
  <c r="O9" i="23"/>
  <c r="AO22" i="12"/>
  <c r="AN40" i="12"/>
  <c r="AN22" i="12"/>
  <c r="AO50" i="12"/>
  <c r="AO47" i="12"/>
  <c r="AO19" i="12"/>
  <c r="AO48" i="12"/>
  <c r="AO49" i="12"/>
  <c r="AN80" i="19"/>
  <c r="U61" i="11"/>
  <c r="U65" i="10"/>
  <c r="U52" i="11"/>
  <c r="T63" i="11"/>
  <c r="T66" i="10"/>
  <c r="M5" i="26"/>
  <c r="M8" i="26"/>
  <c r="O8" i="23"/>
  <c r="U54" i="11"/>
  <c r="U46" i="11"/>
  <c r="T18" i="11"/>
  <c r="S7" i="26"/>
  <c r="S13" i="26"/>
  <c r="R50" i="11"/>
  <c r="Q59" i="11"/>
  <c r="Q64" i="10"/>
  <c r="P11" i="12"/>
  <c r="P12" i="12"/>
  <c r="P21" i="12"/>
  <c r="P8" i="12"/>
  <c r="P9" i="12"/>
  <c r="P14" i="12"/>
  <c r="P15" i="12"/>
  <c r="P5" i="12"/>
  <c r="P6" i="12"/>
  <c r="P17" i="12"/>
  <c r="P18" i="12"/>
  <c r="V29" i="11"/>
  <c r="O20" i="29"/>
  <c r="O6" i="23"/>
  <c r="N10" i="23"/>
  <c r="O7" i="23"/>
  <c r="K11" i="26"/>
  <c r="J16" i="26"/>
  <c r="I17" i="1"/>
  <c r="Q20" i="12"/>
  <c r="R5" i="5"/>
  <c r="I80" i="28"/>
  <c r="I7" i="28"/>
  <c r="N26" i="30"/>
  <c r="O26" i="30"/>
  <c r="Y241" i="32"/>
  <c r="AC241" i="32"/>
  <c r="AT87" i="32"/>
  <c r="AU87" i="32"/>
  <c r="AV87" i="32"/>
  <c r="AW87" i="32"/>
  <c r="AX87" i="32"/>
  <c r="AY87" i="32"/>
  <c r="AZ87" i="32"/>
  <c r="BA87" i="32"/>
  <c r="BB87" i="32"/>
  <c r="BC87" i="32"/>
  <c r="BD87" i="32"/>
  <c r="BE87" i="32"/>
  <c r="BF87" i="32"/>
  <c r="Z241" i="32"/>
  <c r="AB241" i="32"/>
  <c r="V34" i="32"/>
  <c r="AA241" i="32"/>
  <c r="V241" i="32"/>
  <c r="V265" i="32"/>
  <c r="X241" i="32"/>
  <c r="W241" i="32"/>
  <c r="Z355" i="32"/>
  <c r="X355" i="32"/>
  <c r="AA355" i="32"/>
  <c r="AI355" i="32"/>
  <c r="AB355" i="32"/>
  <c r="AF355" i="32"/>
  <c r="V355" i="32"/>
  <c r="V379" i="32"/>
  <c r="AC355" i="32"/>
  <c r="AG355" i="32"/>
  <c r="AD355" i="32"/>
  <c r="AK355" i="32"/>
  <c r="W355" i="32"/>
  <c r="AE355" i="32"/>
  <c r="AJ355" i="32"/>
  <c r="V40" i="32"/>
  <c r="Y355" i="32"/>
  <c r="AH355" i="32"/>
  <c r="U42" i="32"/>
  <c r="U71" i="32"/>
  <c r="Z279" i="32"/>
  <c r="V36" i="32"/>
  <c r="Y279" i="32"/>
  <c r="W279" i="32"/>
  <c r="AA279" i="32"/>
  <c r="X279" i="32"/>
  <c r="V279" i="32"/>
  <c r="V303" i="32"/>
  <c r="W11" i="32"/>
  <c r="W27" i="32"/>
  <c r="W317" i="32"/>
  <c r="V317" i="32"/>
  <c r="V341" i="32"/>
  <c r="Z317" i="32"/>
  <c r="Y317" i="32"/>
  <c r="X317" i="32"/>
  <c r="AA317" i="32"/>
  <c r="V38" i="32"/>
  <c r="P30" i="32"/>
  <c r="L16" i="1"/>
  <c r="Q28" i="32"/>
  <c r="Q29" i="32"/>
  <c r="R21" i="32"/>
  <c r="R24" i="32"/>
  <c r="K14" i="26"/>
  <c r="L11" i="26"/>
  <c r="L14" i="26"/>
  <c r="L26" i="29"/>
  <c r="L18" i="1"/>
  <c r="M19" i="29"/>
  <c r="N19" i="29"/>
  <c r="N22" i="29"/>
  <c r="L12" i="29"/>
  <c r="M11" i="23"/>
  <c r="N5" i="23"/>
  <c r="N11" i="23"/>
  <c r="N6" i="30"/>
  <c r="N7" i="30"/>
  <c r="L15" i="23"/>
  <c r="L12" i="23"/>
  <c r="N69" i="10"/>
  <c r="N70" i="10"/>
  <c r="N22" i="10"/>
  <c r="P9" i="23"/>
  <c r="P20" i="29"/>
  <c r="Q20" i="29"/>
  <c r="P8" i="23"/>
  <c r="P7" i="23"/>
  <c r="AO40" i="12"/>
  <c r="AP50" i="12"/>
  <c r="AP47" i="12"/>
  <c r="AP19" i="12"/>
  <c r="AP48" i="12"/>
  <c r="AP49" i="12"/>
  <c r="AO80" i="19"/>
  <c r="AP72" i="19"/>
  <c r="V61" i="11"/>
  <c r="V65" i="10"/>
  <c r="V52" i="11"/>
  <c r="S50" i="11"/>
  <c r="V54" i="11"/>
  <c r="Q21" i="12"/>
  <c r="Q8" i="12"/>
  <c r="Q9" i="12"/>
  <c r="Q5" i="12"/>
  <c r="Q6" i="12"/>
  <c r="Q17" i="12"/>
  <c r="Q18" i="12"/>
  <c r="Q11" i="12"/>
  <c r="Q12" i="12"/>
  <c r="Q14" i="12"/>
  <c r="Q15" i="12"/>
  <c r="O10" i="23"/>
  <c r="P6" i="23"/>
  <c r="V46" i="11"/>
  <c r="U18" i="11"/>
  <c r="N5" i="26"/>
  <c r="N8" i="26"/>
  <c r="W29" i="11"/>
  <c r="R59" i="11"/>
  <c r="R64" i="10"/>
  <c r="U63" i="11"/>
  <c r="U66" i="10"/>
  <c r="K17" i="30"/>
  <c r="R20" i="12"/>
  <c r="S5" i="5"/>
  <c r="T70" i="32"/>
  <c r="V42" i="32"/>
  <c r="X11" i="32"/>
  <c r="X27" i="32"/>
  <c r="V71" i="32"/>
  <c r="Z280" i="32"/>
  <c r="W280" i="32"/>
  <c r="W303" i="32"/>
  <c r="AB280" i="32"/>
  <c r="Y280" i="32"/>
  <c r="AA280" i="32"/>
  <c r="W36" i="32"/>
  <c r="X280" i="32"/>
  <c r="AE356" i="32"/>
  <c r="AJ356" i="32"/>
  <c r="Y356" i="32"/>
  <c r="AA356" i="32"/>
  <c r="AF356" i="32"/>
  <c r="AH356" i="32"/>
  <c r="Z356" i="32"/>
  <c r="AL356" i="32"/>
  <c r="AK356" i="32"/>
  <c r="W356" i="32"/>
  <c r="W379" i="32"/>
  <c r="AI356" i="32"/>
  <c r="AB356" i="32"/>
  <c r="AC356" i="32"/>
  <c r="W40" i="32"/>
  <c r="AG356" i="32"/>
  <c r="AD356" i="32"/>
  <c r="X356" i="32"/>
  <c r="Z318" i="32"/>
  <c r="AB318" i="32"/>
  <c r="AA318" i="32"/>
  <c r="W38" i="32"/>
  <c r="X318" i="32"/>
  <c r="Y318" i="32"/>
  <c r="W318" i="32"/>
  <c r="W341" i="32"/>
  <c r="Z242" i="32"/>
  <c r="Y242" i="32"/>
  <c r="W34" i="32"/>
  <c r="AT88" i="32"/>
  <c r="AU88" i="32"/>
  <c r="AV88" i="32"/>
  <c r="AW88" i="32"/>
  <c r="AX88" i="32"/>
  <c r="AY88" i="32"/>
  <c r="AZ88" i="32"/>
  <c r="BA88" i="32"/>
  <c r="BB88" i="32"/>
  <c r="BC88" i="32"/>
  <c r="BD88" i="32"/>
  <c r="BE88" i="32"/>
  <c r="BF88" i="32"/>
  <c r="BG88" i="32"/>
  <c r="AA242" i="32"/>
  <c r="AB242" i="32"/>
  <c r="W242" i="32"/>
  <c r="W265" i="32"/>
  <c r="X242" i="32"/>
  <c r="AC242" i="32"/>
  <c r="AD242" i="32"/>
  <c r="S21" i="32"/>
  <c r="S24" i="32"/>
  <c r="R28" i="32"/>
  <c r="R29" i="32"/>
  <c r="P26" i="30"/>
  <c r="M16" i="1"/>
  <c r="Q30" i="32"/>
  <c r="K16" i="26"/>
  <c r="J17" i="1"/>
  <c r="M22" i="29"/>
  <c r="M26" i="29"/>
  <c r="M18" i="1"/>
  <c r="O15" i="30"/>
  <c r="O69" i="10"/>
  <c r="O70" i="10"/>
  <c r="O22" i="10"/>
  <c r="N49" i="24"/>
  <c r="O49" i="24"/>
  <c r="O6" i="30"/>
  <c r="O7" i="30"/>
  <c r="M12" i="23"/>
  <c r="M15" i="23"/>
  <c r="N15" i="30"/>
  <c r="U13" i="26"/>
  <c r="Q8" i="23"/>
  <c r="AP80" i="19"/>
  <c r="AP40" i="12"/>
  <c r="AP22" i="12"/>
  <c r="AQ72" i="19"/>
  <c r="L17" i="30"/>
  <c r="O5" i="26"/>
  <c r="N15" i="23"/>
  <c r="N12" i="23"/>
  <c r="O5" i="23"/>
  <c r="O11" i="23"/>
  <c r="W54" i="11"/>
  <c r="Q6" i="23"/>
  <c r="P10" i="23"/>
  <c r="Q7" i="23"/>
  <c r="O19" i="29"/>
  <c r="O22" i="29"/>
  <c r="M11" i="26"/>
  <c r="M14" i="26"/>
  <c r="L16" i="26"/>
  <c r="K17" i="1"/>
  <c r="W61" i="11"/>
  <c r="W65" i="10"/>
  <c r="W52" i="11"/>
  <c r="R21" i="12"/>
  <c r="R17" i="12"/>
  <c r="R18" i="12"/>
  <c r="R5" i="12"/>
  <c r="R6" i="12"/>
  <c r="R11" i="12"/>
  <c r="R12" i="12"/>
  <c r="R14" i="12"/>
  <c r="R15" i="12"/>
  <c r="R8" i="12"/>
  <c r="R9" i="12"/>
  <c r="Q9" i="23"/>
  <c r="X29" i="11"/>
  <c r="S59" i="11"/>
  <c r="S64" i="10"/>
  <c r="S20" i="12"/>
  <c r="T5" i="5"/>
  <c r="T50" i="11"/>
  <c r="N26" i="29"/>
  <c r="N18" i="1"/>
  <c r="M17" i="30"/>
  <c r="W46" i="11"/>
  <c r="V18" i="11"/>
  <c r="V63" i="11"/>
  <c r="V66" i="10"/>
  <c r="U70" i="32"/>
  <c r="AK357" i="32"/>
  <c r="Y357" i="32"/>
  <c r="AM357" i="32"/>
  <c r="AI357" i="32"/>
  <c r="AE357" i="32"/>
  <c r="AD357" i="32"/>
  <c r="AC357" i="32"/>
  <c r="AJ357" i="32"/>
  <c r="X40" i="32"/>
  <c r="AF357" i="32"/>
  <c r="AA357" i="32"/>
  <c r="X357" i="32"/>
  <c r="X379" i="32"/>
  <c r="AG357" i="32"/>
  <c r="AL357" i="32"/>
  <c r="Z357" i="32"/>
  <c r="AB357" i="32"/>
  <c r="AH357" i="32"/>
  <c r="AD243" i="32"/>
  <c r="AE243" i="32"/>
  <c r="Y243" i="32"/>
  <c r="AC243" i="32"/>
  <c r="AA243" i="32"/>
  <c r="Z243" i="32"/>
  <c r="AB243" i="32"/>
  <c r="AT89" i="32"/>
  <c r="AU89" i="32"/>
  <c r="AV89" i="32"/>
  <c r="AW89" i="32"/>
  <c r="AX89" i="32"/>
  <c r="AY89" i="32"/>
  <c r="AZ89" i="32"/>
  <c r="BA89" i="32"/>
  <c r="BB89" i="32"/>
  <c r="BC89" i="32"/>
  <c r="BD89" i="32"/>
  <c r="BE89" i="32"/>
  <c r="BF89" i="32"/>
  <c r="BG89" i="32"/>
  <c r="BH89" i="32"/>
  <c r="X243" i="32"/>
  <c r="X265" i="32"/>
  <c r="X34" i="32"/>
  <c r="AB281" i="32"/>
  <c r="X36" i="32"/>
  <c r="Z281" i="32"/>
  <c r="AC281" i="32"/>
  <c r="AA281" i="32"/>
  <c r="X281" i="32"/>
  <c r="X303" i="32"/>
  <c r="Y281" i="32"/>
  <c r="W42" i="32"/>
  <c r="AC319" i="32"/>
  <c r="Z319" i="32"/>
  <c r="AA319" i="32"/>
  <c r="X38" i="32"/>
  <c r="AB319" i="32"/>
  <c r="Y319" i="32"/>
  <c r="X319" i="32"/>
  <c r="X341" i="32"/>
  <c r="V70" i="32"/>
  <c r="W71" i="32"/>
  <c r="Y11" i="32"/>
  <c r="Y27" i="32"/>
  <c r="R30" i="32"/>
  <c r="N16" i="1"/>
  <c r="T21" i="32"/>
  <c r="T24" i="32"/>
  <c r="S28" i="32"/>
  <c r="S29" i="32"/>
  <c r="Q26" i="30"/>
  <c r="P6" i="30"/>
  <c r="P7" i="30"/>
  <c r="P15" i="30"/>
  <c r="P69" i="10"/>
  <c r="P70" i="10"/>
  <c r="P22" i="10"/>
  <c r="N12" i="29"/>
  <c r="U7" i="26"/>
  <c r="O8" i="26"/>
  <c r="P5" i="26"/>
  <c r="O26" i="29"/>
  <c r="O18" i="1"/>
  <c r="AQ80" i="19"/>
  <c r="Y29" i="11"/>
  <c r="R9" i="23"/>
  <c r="R7" i="23"/>
  <c r="U50" i="11"/>
  <c r="T59" i="11"/>
  <c r="T64" i="10"/>
  <c r="X54" i="11"/>
  <c r="U5" i="5"/>
  <c r="T20" i="12"/>
  <c r="R6" i="23"/>
  <c r="Q10" i="23"/>
  <c r="W63" i="11"/>
  <c r="W66" i="10"/>
  <c r="R8" i="23"/>
  <c r="N11" i="26"/>
  <c r="N14" i="26"/>
  <c r="M16" i="26"/>
  <c r="L17" i="1"/>
  <c r="X46" i="11"/>
  <c r="W18" i="11"/>
  <c r="P19" i="29"/>
  <c r="P22" i="29"/>
  <c r="S14" i="12"/>
  <c r="S15" i="12"/>
  <c r="S11" i="12"/>
  <c r="S12" i="12"/>
  <c r="S17" i="12"/>
  <c r="S18" i="12"/>
  <c r="S21" i="12"/>
  <c r="S8" i="12"/>
  <c r="S9" i="12"/>
  <c r="S5" i="12"/>
  <c r="S6" i="12"/>
  <c r="R20" i="29"/>
  <c r="X61" i="11"/>
  <c r="X65" i="10"/>
  <c r="X52" i="11"/>
  <c r="O15" i="23"/>
  <c r="O12" i="23"/>
  <c r="P5" i="23"/>
  <c r="P11" i="23"/>
  <c r="AE244" i="32"/>
  <c r="AT90" i="32"/>
  <c r="AU90" i="32"/>
  <c r="AV90" i="32"/>
  <c r="AW90" i="32"/>
  <c r="AX90" i="32"/>
  <c r="AY90" i="32"/>
  <c r="AZ90" i="32"/>
  <c r="BA90" i="32"/>
  <c r="BB90" i="32"/>
  <c r="BC90" i="32"/>
  <c r="BD90" i="32"/>
  <c r="BE90" i="32"/>
  <c r="BF90" i="32"/>
  <c r="BG90" i="32"/>
  <c r="BH90" i="32"/>
  <c r="BI90" i="32"/>
  <c r="AA244" i="32"/>
  <c r="Y34" i="32"/>
  <c r="AB244" i="32"/>
  <c r="AD244" i="32"/>
  <c r="AC244" i="32"/>
  <c r="AF244" i="32"/>
  <c r="Z244" i="32"/>
  <c r="Y244" i="32"/>
  <c r="Y265" i="32"/>
  <c r="AD320" i="32"/>
  <c r="Y320" i="32"/>
  <c r="Y341" i="32"/>
  <c r="AC320" i="32"/>
  <c r="AB320" i="32"/>
  <c r="AA320" i="32"/>
  <c r="Z320" i="32"/>
  <c r="Y38" i="32"/>
  <c r="X71" i="32"/>
  <c r="X42" i="32"/>
  <c r="AC358" i="32"/>
  <c r="Z358" i="32"/>
  <c r="AB358" i="32"/>
  <c r="AD358" i="32"/>
  <c r="AH358" i="32"/>
  <c r="AI358" i="32"/>
  <c r="AK358" i="32"/>
  <c r="Y358" i="32"/>
  <c r="Y379" i="32"/>
  <c r="AE358" i="32"/>
  <c r="AJ358" i="32"/>
  <c r="AM358" i="32"/>
  <c r="AA358" i="32"/>
  <c r="AG358" i="32"/>
  <c r="AF358" i="32"/>
  <c r="Y40" i="32"/>
  <c r="AL358" i="32"/>
  <c r="AN358" i="32"/>
  <c r="Z282" i="32"/>
  <c r="Y36" i="32"/>
  <c r="AA282" i="32"/>
  <c r="AB282" i="32"/>
  <c r="AD282" i="32"/>
  <c r="AC282" i="32"/>
  <c r="Y282" i="32"/>
  <c r="Y303" i="32"/>
  <c r="W70" i="32"/>
  <c r="Z11" i="32"/>
  <c r="Z27" i="32"/>
  <c r="U21" i="32"/>
  <c r="U24" i="32"/>
  <c r="T28" i="32"/>
  <c r="T29" i="32"/>
  <c r="S30" i="32"/>
  <c r="O16" i="1"/>
  <c r="Q6" i="30"/>
  <c r="Q7" i="30"/>
  <c r="Q22" i="10"/>
  <c r="Q15" i="30"/>
  <c r="Q69" i="10"/>
  <c r="Q70" i="10"/>
  <c r="Q49" i="24"/>
  <c r="P49" i="24"/>
  <c r="V7" i="26"/>
  <c r="V13" i="26"/>
  <c r="P8" i="26"/>
  <c r="Q5" i="26"/>
  <c r="Q8" i="26"/>
  <c r="W7" i="26"/>
  <c r="W13" i="26"/>
  <c r="Z29" i="11"/>
  <c r="Y61" i="11"/>
  <c r="Y65" i="10"/>
  <c r="Y52" i="11"/>
  <c r="P15" i="23"/>
  <c r="P12" i="23"/>
  <c r="Q5" i="23"/>
  <c r="Q11" i="23"/>
  <c r="R10" i="23"/>
  <c r="S6" i="23"/>
  <c r="S9" i="23"/>
  <c r="X18" i="11"/>
  <c r="Y46" i="11"/>
  <c r="T11" i="12"/>
  <c r="T12" i="12"/>
  <c r="T17" i="12"/>
  <c r="T18" i="12"/>
  <c r="T14" i="12"/>
  <c r="T15" i="12"/>
  <c r="T5" i="12"/>
  <c r="T6" i="12"/>
  <c r="T8" i="12"/>
  <c r="T9" i="12"/>
  <c r="T21" i="12"/>
  <c r="X63" i="11"/>
  <c r="X66" i="10"/>
  <c r="Y54" i="11"/>
  <c r="V50" i="11"/>
  <c r="O11" i="26"/>
  <c r="N16" i="26"/>
  <c r="M17" i="1"/>
  <c r="V5" i="5"/>
  <c r="U20" i="12"/>
  <c r="U59" i="11"/>
  <c r="U64" i="10"/>
  <c r="O12" i="29"/>
  <c r="S20" i="29"/>
  <c r="S8" i="23"/>
  <c r="S7" i="23"/>
  <c r="R26" i="30"/>
  <c r="S26" i="30"/>
  <c r="AD321" i="32"/>
  <c r="AB321" i="32"/>
  <c r="Z321" i="32"/>
  <c r="Z341" i="32"/>
  <c r="AE321" i="32"/>
  <c r="AC321" i="32"/>
  <c r="Z38" i="32"/>
  <c r="AA321" i="32"/>
  <c r="AA245" i="32"/>
  <c r="AB245" i="32"/>
  <c r="AF245" i="32"/>
  <c r="Z34" i="32"/>
  <c r="AC245" i="32"/>
  <c r="AG245" i="32"/>
  <c r="AD245" i="32"/>
  <c r="Z245" i="32"/>
  <c r="Z265" i="32"/>
  <c r="AE245" i="32"/>
  <c r="AT91" i="32"/>
  <c r="AU91" i="32"/>
  <c r="AV91" i="32"/>
  <c r="AW91" i="32"/>
  <c r="AX91" i="32"/>
  <c r="AY91" i="32"/>
  <c r="AZ91" i="32"/>
  <c r="BA91" i="32"/>
  <c r="BB91" i="32"/>
  <c r="BC91" i="32"/>
  <c r="BD91" i="32"/>
  <c r="BE91" i="32"/>
  <c r="BF91" i="32"/>
  <c r="BG91" i="32"/>
  <c r="BH91" i="32"/>
  <c r="BI91" i="32"/>
  <c r="BJ91" i="32"/>
  <c r="Y42" i="32"/>
  <c r="AA11" i="32"/>
  <c r="AA27" i="32"/>
  <c r="AJ359" i="32"/>
  <c r="AC359" i="32"/>
  <c r="Z40" i="32"/>
  <c r="AE359" i="32"/>
  <c r="Z359" i="32"/>
  <c r="Z379" i="32"/>
  <c r="AK359" i="32"/>
  <c r="AF359" i="32"/>
  <c r="AL359" i="32"/>
  <c r="AD359" i="32"/>
  <c r="AM359" i="32"/>
  <c r="AI359" i="32"/>
  <c r="AA359" i="32"/>
  <c r="AN359" i="32"/>
  <c r="AO359" i="32"/>
  <c r="AG359" i="32"/>
  <c r="AB359" i="32"/>
  <c r="AH359" i="32"/>
  <c r="AD283" i="32"/>
  <c r="AB283" i="32"/>
  <c r="AA283" i="32"/>
  <c r="AE283" i="32"/>
  <c r="AC283" i="32"/>
  <c r="Z283" i="32"/>
  <c r="Z303" i="32"/>
  <c r="Z36" i="32"/>
  <c r="Y71" i="32"/>
  <c r="T30" i="32"/>
  <c r="P16" i="1"/>
  <c r="U28" i="32"/>
  <c r="U29" i="32"/>
  <c r="V21" i="32"/>
  <c r="V24" i="32"/>
  <c r="R6" i="30"/>
  <c r="R7" i="30"/>
  <c r="R69" i="10"/>
  <c r="R70" i="10"/>
  <c r="R15" i="30"/>
  <c r="R22" i="10"/>
  <c r="R49" i="24"/>
  <c r="Q19" i="29"/>
  <c r="Q22" i="29"/>
  <c r="Q26" i="29"/>
  <c r="Q18" i="1"/>
  <c r="P26" i="29"/>
  <c r="P18" i="1"/>
  <c r="T20" i="29"/>
  <c r="O14" i="26"/>
  <c r="O16" i="26"/>
  <c r="N17" i="1"/>
  <c r="N17" i="30"/>
  <c r="R5" i="26"/>
  <c r="T6" i="23"/>
  <c r="S10" i="23"/>
  <c r="T8" i="23"/>
  <c r="AA29" i="11"/>
  <c r="R5" i="23"/>
  <c r="R11" i="23"/>
  <c r="Q12" i="23"/>
  <c r="Q15" i="23"/>
  <c r="Y63" i="11"/>
  <c r="Y66" i="10"/>
  <c r="W5" i="5"/>
  <c r="V20" i="12"/>
  <c r="P12" i="29"/>
  <c r="U8" i="12"/>
  <c r="U9" i="12"/>
  <c r="U17" i="12"/>
  <c r="U18" i="12"/>
  <c r="U21" i="12"/>
  <c r="U14" i="12"/>
  <c r="U15" i="12"/>
  <c r="U11" i="12"/>
  <c r="U12" i="12"/>
  <c r="U5" i="12"/>
  <c r="U6" i="12"/>
  <c r="W50" i="11"/>
  <c r="Z61" i="11"/>
  <c r="Z65" i="10"/>
  <c r="Z52" i="11"/>
  <c r="Z54" i="11"/>
  <c r="Z46" i="11"/>
  <c r="Y18" i="11"/>
  <c r="T7" i="23"/>
  <c r="V59" i="11"/>
  <c r="V64" i="10"/>
  <c r="T9" i="23"/>
  <c r="X70" i="32"/>
  <c r="Z71" i="32"/>
  <c r="AF322" i="32"/>
  <c r="AC322" i="32"/>
  <c r="AE322" i="32"/>
  <c r="AD322" i="32"/>
  <c r="AA322" i="32"/>
  <c r="AA341" i="32"/>
  <c r="AA38" i="32"/>
  <c r="AB322" i="32"/>
  <c r="AB284" i="32"/>
  <c r="AA36" i="32"/>
  <c r="AA284" i="32"/>
  <c r="AA303" i="32"/>
  <c r="AE284" i="32"/>
  <c r="AF284" i="32"/>
  <c r="AD284" i="32"/>
  <c r="AC284" i="32"/>
  <c r="AB11" i="32"/>
  <c r="AB27" i="32"/>
  <c r="AA246" i="32"/>
  <c r="AA265" i="32"/>
  <c r="AF246" i="32"/>
  <c r="AH246" i="32"/>
  <c r="AD246" i="32"/>
  <c r="AC246" i="32"/>
  <c r="AT92" i="32"/>
  <c r="AU92" i="32"/>
  <c r="AV92" i="32"/>
  <c r="AW92" i="32"/>
  <c r="AX92" i="32"/>
  <c r="AY92" i="32"/>
  <c r="AZ92" i="32"/>
  <c r="BA92" i="32"/>
  <c r="BB92" i="32"/>
  <c r="BC92" i="32"/>
  <c r="BD92" i="32"/>
  <c r="BE92" i="32"/>
  <c r="BF92" i="32"/>
  <c r="BG92" i="32"/>
  <c r="BH92" i="32"/>
  <c r="BI92" i="32"/>
  <c r="BJ92" i="32"/>
  <c r="BK92" i="32"/>
  <c r="AE246" i="32"/>
  <c r="AG246" i="32"/>
  <c r="AA34" i="32"/>
  <c r="AB246" i="32"/>
  <c r="AJ360" i="32"/>
  <c r="AF360" i="32"/>
  <c r="AA40" i="32"/>
  <c r="AL360" i="32"/>
  <c r="AD360" i="32"/>
  <c r="AO360" i="32"/>
  <c r="AE360" i="32"/>
  <c r="AP360" i="32"/>
  <c r="AM360" i="32"/>
  <c r="AG360" i="32"/>
  <c r="AC360" i="32"/>
  <c r="AA360" i="32"/>
  <c r="AA379" i="32"/>
  <c r="AH360" i="32"/>
  <c r="AN360" i="32"/>
  <c r="AB360" i="32"/>
  <c r="AI360" i="32"/>
  <c r="AK360" i="32"/>
  <c r="Z42" i="32"/>
  <c r="U30" i="32"/>
  <c r="Q16" i="1"/>
  <c r="T26" i="30"/>
  <c r="V28" i="32"/>
  <c r="V29" i="32"/>
  <c r="W21" i="32"/>
  <c r="W24" i="32"/>
  <c r="R8" i="26"/>
  <c r="S5" i="26"/>
  <c r="X7" i="26"/>
  <c r="X13" i="26"/>
  <c r="R19" i="29"/>
  <c r="R22" i="29"/>
  <c r="R26" i="29"/>
  <c r="R18" i="1"/>
  <c r="S15" i="30"/>
  <c r="S6" i="30"/>
  <c r="S7" i="30"/>
  <c r="O17" i="30"/>
  <c r="S69" i="10"/>
  <c r="S70" i="10"/>
  <c r="S22" i="10"/>
  <c r="P11" i="26"/>
  <c r="P14" i="26"/>
  <c r="Q11" i="26"/>
  <c r="Q14" i="26"/>
  <c r="U20" i="29"/>
  <c r="U8" i="23"/>
  <c r="U9" i="23"/>
  <c r="P17" i="30"/>
  <c r="W59" i="11"/>
  <c r="W64" i="10"/>
  <c r="X5" i="5"/>
  <c r="W20" i="12"/>
  <c r="Q12" i="29"/>
  <c r="V17" i="12"/>
  <c r="V18" i="12"/>
  <c r="V5" i="12"/>
  <c r="V6" i="12"/>
  <c r="V21" i="12"/>
  <c r="V8" i="12"/>
  <c r="V9" i="12"/>
  <c r="V14" i="12"/>
  <c r="V15" i="12"/>
  <c r="V11" i="12"/>
  <c r="V12" i="12"/>
  <c r="R12" i="23"/>
  <c r="R15" i="23"/>
  <c r="S5" i="23"/>
  <c r="S11" i="23"/>
  <c r="AA54" i="11"/>
  <c r="U7" i="23"/>
  <c r="X50" i="11"/>
  <c r="Z63" i="11"/>
  <c r="Z66" i="10"/>
  <c r="AA61" i="11"/>
  <c r="AA65" i="10"/>
  <c r="AA52" i="11"/>
  <c r="U6" i="23"/>
  <c r="T10" i="23"/>
  <c r="AB29" i="11"/>
  <c r="AA46" i="11"/>
  <c r="Z18" i="11"/>
  <c r="Y70" i="32"/>
  <c r="AF285" i="32"/>
  <c r="AE285" i="32"/>
  <c r="AB285" i="32"/>
  <c r="AB303" i="32"/>
  <c r="AB36" i="32"/>
  <c r="AG285" i="32"/>
  <c r="AC285" i="32"/>
  <c r="AD285" i="32"/>
  <c r="AE323" i="32"/>
  <c r="AF323" i="32"/>
  <c r="AD323" i="32"/>
  <c r="AB323" i="32"/>
  <c r="AB341" i="32"/>
  <c r="AC323" i="32"/>
  <c r="AB38" i="32"/>
  <c r="AG323" i="32"/>
  <c r="AB247" i="32"/>
  <c r="AB265" i="32"/>
  <c r="AC247" i="32"/>
  <c r="AG247" i="32"/>
  <c r="AD247" i="32"/>
  <c r="AH247" i="32"/>
  <c r="AT93" i="32"/>
  <c r="AU93" i="32"/>
  <c r="AV93" i="32"/>
  <c r="AW93" i="32"/>
  <c r="AX93" i="32"/>
  <c r="AY93" i="32"/>
  <c r="AZ93" i="32"/>
  <c r="BA93" i="32"/>
  <c r="BB93" i="32"/>
  <c r="BC93" i="32"/>
  <c r="BD93" i="32"/>
  <c r="BE93" i="32"/>
  <c r="BF93" i="32"/>
  <c r="BG93" i="32"/>
  <c r="BH93" i="32"/>
  <c r="BI93" i="32"/>
  <c r="BJ93" i="32"/>
  <c r="BK93" i="32"/>
  <c r="BL93" i="32"/>
  <c r="AB34" i="32"/>
  <c r="AF247" i="32"/>
  <c r="AE247" i="32"/>
  <c r="AI247" i="32"/>
  <c r="AE361" i="32"/>
  <c r="AM361" i="32"/>
  <c r="AB40" i="32"/>
  <c r="AC361" i="32"/>
  <c r="AL361" i="32"/>
  <c r="AG361" i="32"/>
  <c r="AO361" i="32"/>
  <c r="AB361" i="32"/>
  <c r="AB379" i="32"/>
  <c r="AI361" i="32"/>
  <c r="AJ361" i="32"/>
  <c r="AF361" i="32"/>
  <c r="AP361" i="32"/>
  <c r="AN361" i="32"/>
  <c r="AD361" i="32"/>
  <c r="AK361" i="32"/>
  <c r="AQ361" i="32"/>
  <c r="AH361" i="32"/>
  <c r="AA71" i="32"/>
  <c r="AA42" i="32"/>
  <c r="AC11" i="32"/>
  <c r="AC27" i="32"/>
  <c r="X21" i="32"/>
  <c r="X24" i="32"/>
  <c r="W28" i="32"/>
  <c r="W29" i="32"/>
  <c r="V30" i="32"/>
  <c r="R16" i="1"/>
  <c r="U26" i="30"/>
  <c r="Y13" i="26"/>
  <c r="Y7" i="26"/>
  <c r="S8" i="26"/>
  <c r="T5" i="26"/>
  <c r="T8" i="26"/>
  <c r="Q17" i="30"/>
  <c r="P16" i="26"/>
  <c r="O17" i="1"/>
  <c r="S19" i="29"/>
  <c r="S22" i="29"/>
  <c r="U15" i="30"/>
  <c r="T6" i="30"/>
  <c r="T7" i="30"/>
  <c r="S49" i="24"/>
  <c r="T22" i="10"/>
  <c r="T69" i="10"/>
  <c r="T70" i="10"/>
  <c r="V7" i="23"/>
  <c r="V20" i="29"/>
  <c r="V9" i="23"/>
  <c r="S15" i="23"/>
  <c r="T5" i="23"/>
  <c r="T11" i="23"/>
  <c r="S12" i="23"/>
  <c r="T49" i="24"/>
  <c r="W14" i="12"/>
  <c r="W15" i="12"/>
  <c r="W21" i="12"/>
  <c r="W5" i="12"/>
  <c r="W6" i="12"/>
  <c r="W11" i="12"/>
  <c r="W12" i="12"/>
  <c r="W8" i="12"/>
  <c r="W9" i="12"/>
  <c r="W17" i="12"/>
  <c r="W18" i="12"/>
  <c r="V8" i="23"/>
  <c r="V6" i="23"/>
  <c r="U10" i="23"/>
  <c r="R11" i="26"/>
  <c r="Q16" i="26"/>
  <c r="P17" i="1"/>
  <c r="AC29" i="11"/>
  <c r="AA63" i="11"/>
  <c r="AA66" i="10"/>
  <c r="AB54" i="11"/>
  <c r="X20" i="12"/>
  <c r="Y5" i="5"/>
  <c r="AB61" i="11"/>
  <c r="AB65" i="10"/>
  <c r="AB52" i="11"/>
  <c r="AB46" i="11"/>
  <c r="AA18" i="11"/>
  <c r="R12" i="29"/>
  <c r="Z7" i="26"/>
  <c r="Z13" i="26"/>
  <c r="X59" i="11"/>
  <c r="X64" i="10"/>
  <c r="Y50" i="11"/>
  <c r="Z70" i="32"/>
  <c r="AA70" i="32"/>
  <c r="AO362" i="32"/>
  <c r="AK362" i="32"/>
  <c r="AF362" i="32"/>
  <c r="AM362" i="32"/>
  <c r="AE362" i="32"/>
  <c r="AC362" i="32"/>
  <c r="AC379" i="32"/>
  <c r="AH362" i="32"/>
  <c r="AL362" i="32"/>
  <c r="AN362" i="32"/>
  <c r="AI362" i="32"/>
  <c r="AC40" i="32"/>
  <c r="AP362" i="32"/>
  <c r="AJ362" i="32"/>
  <c r="AG362" i="32"/>
  <c r="AQ362" i="32"/>
  <c r="AR362" i="32"/>
  <c r="AD362" i="32"/>
  <c r="AD11" i="32"/>
  <c r="AD27" i="32"/>
  <c r="AB71" i="32"/>
  <c r="AF286" i="32"/>
  <c r="AC286" i="32"/>
  <c r="AC303" i="32"/>
  <c r="AD286" i="32"/>
  <c r="AH286" i="32"/>
  <c r="AC36" i="32"/>
  <c r="AE286" i="32"/>
  <c r="AG286" i="32"/>
  <c r="AE248" i="32"/>
  <c r="AJ248" i="32"/>
  <c r="AH248" i="32"/>
  <c r="AI248" i="32"/>
  <c r="AC248" i="32"/>
  <c r="AC265" i="32"/>
  <c r="AT94" i="32"/>
  <c r="AU94" i="32"/>
  <c r="AV94" i="32"/>
  <c r="AW94" i="32"/>
  <c r="AX94" i="32"/>
  <c r="AY94" i="32"/>
  <c r="AZ94" i="32"/>
  <c r="BA94" i="32"/>
  <c r="BB94" i="32"/>
  <c r="BC94" i="32"/>
  <c r="BD94" i="32"/>
  <c r="BE94" i="32"/>
  <c r="BF94" i="32"/>
  <c r="BG94" i="32"/>
  <c r="BH94" i="32"/>
  <c r="BI94" i="32"/>
  <c r="BJ94" i="32"/>
  <c r="BK94" i="32"/>
  <c r="BL94" i="32"/>
  <c r="BM94" i="32"/>
  <c r="AF248" i="32"/>
  <c r="AD248" i="32"/>
  <c r="AC34" i="32"/>
  <c r="AG248" i="32"/>
  <c r="AD324" i="32"/>
  <c r="AC324" i="32"/>
  <c r="AC341" i="32"/>
  <c r="AF324" i="32"/>
  <c r="AG324" i="32"/>
  <c r="AC38" i="32"/>
  <c r="AH324" i="32"/>
  <c r="AE324" i="32"/>
  <c r="AB42" i="32"/>
  <c r="X28" i="32"/>
  <c r="X29" i="32"/>
  <c r="Y21" i="32"/>
  <c r="Y24" i="32"/>
  <c r="W30" i="32"/>
  <c r="S16" i="1"/>
  <c r="V26" i="30"/>
  <c r="R14" i="26"/>
  <c r="S11" i="26"/>
  <c r="U6" i="30"/>
  <c r="U7" i="30"/>
  <c r="U22" i="10"/>
  <c r="T15" i="30"/>
  <c r="U69" i="10"/>
  <c r="U70" i="10"/>
  <c r="S26" i="29"/>
  <c r="S18" i="1"/>
  <c r="T19" i="29"/>
  <c r="T22" i="29"/>
  <c r="T26" i="29"/>
  <c r="T18" i="1"/>
  <c r="W20" i="29"/>
  <c r="W9" i="23"/>
  <c r="AC54" i="11"/>
  <c r="U5" i="23"/>
  <c r="U11" i="23"/>
  <c r="T15" i="23"/>
  <c r="T12" i="23"/>
  <c r="Z50" i="11"/>
  <c r="U5" i="26"/>
  <c r="AB63" i="11"/>
  <c r="AB66" i="10"/>
  <c r="AC46" i="11"/>
  <c r="AB18" i="11"/>
  <c r="AD29" i="11"/>
  <c r="Y59" i="11"/>
  <c r="Y64" i="10"/>
  <c r="S12" i="29"/>
  <c r="X11" i="12"/>
  <c r="X12" i="12"/>
  <c r="X21" i="12"/>
  <c r="X14" i="12"/>
  <c r="X15" i="12"/>
  <c r="X17" i="12"/>
  <c r="X18" i="12"/>
  <c r="X8" i="12"/>
  <c r="X9" i="12"/>
  <c r="X5" i="12"/>
  <c r="X6" i="12"/>
  <c r="Y20" i="12"/>
  <c r="Z5" i="5"/>
  <c r="AC61" i="11"/>
  <c r="AC65" i="10"/>
  <c r="AC52" i="11"/>
  <c r="V10" i="23"/>
  <c r="AT95" i="32"/>
  <c r="AU95" i="32"/>
  <c r="AV95" i="32"/>
  <c r="AW95" i="32"/>
  <c r="AX95" i="32"/>
  <c r="AY95" i="32"/>
  <c r="AZ95" i="32"/>
  <c r="BA95" i="32"/>
  <c r="BB95" i="32"/>
  <c r="BC95" i="32"/>
  <c r="BD95" i="32"/>
  <c r="BE95" i="32"/>
  <c r="BF95" i="32"/>
  <c r="BG95" i="32"/>
  <c r="BH95" i="32"/>
  <c r="BI95" i="32"/>
  <c r="BJ95" i="32"/>
  <c r="BK95" i="32"/>
  <c r="BL95" i="32"/>
  <c r="BM95" i="32"/>
  <c r="BN95" i="32"/>
  <c r="AJ249" i="32"/>
  <c r="AD34" i="32"/>
  <c r="AG249" i="32"/>
  <c r="AD249" i="32"/>
  <c r="AD265" i="32"/>
  <c r="AH249" i="32"/>
  <c r="AI249" i="32"/>
  <c r="AK249" i="32"/>
  <c r="AF249" i="32"/>
  <c r="AE249" i="32"/>
  <c r="AD38" i="32"/>
  <c r="AG325" i="32"/>
  <c r="AI325" i="32"/>
  <c r="AE325" i="32"/>
  <c r="AH325" i="32"/>
  <c r="AD325" i="32"/>
  <c r="AD341" i="32"/>
  <c r="AF325" i="32"/>
  <c r="AQ363" i="32"/>
  <c r="AL363" i="32"/>
  <c r="AF363" i="32"/>
  <c r="AO363" i="32"/>
  <c r="AJ363" i="32"/>
  <c r="AI363" i="32"/>
  <c r="AR363" i="32"/>
  <c r="AG363" i="32"/>
  <c r="AS363" i="32"/>
  <c r="AN363" i="32"/>
  <c r="AH363" i="32"/>
  <c r="AM363" i="32"/>
  <c r="AE363" i="32"/>
  <c r="AP363" i="32"/>
  <c r="AK363" i="32"/>
  <c r="AD40" i="32"/>
  <c r="AD363" i="32"/>
  <c r="AD379" i="32"/>
  <c r="AC71" i="32"/>
  <c r="AE11" i="32"/>
  <c r="AE27" i="32"/>
  <c r="AD36" i="32"/>
  <c r="AI287" i="32"/>
  <c r="AG287" i="32"/>
  <c r="AE287" i="32"/>
  <c r="AF287" i="32"/>
  <c r="AH287" i="32"/>
  <c r="AD287" i="32"/>
  <c r="AD303" i="32"/>
  <c r="AC42" i="32"/>
  <c r="X30" i="32"/>
  <c r="T16" i="1"/>
  <c r="Z21" i="32"/>
  <c r="Z24" i="32"/>
  <c r="Y28" i="32"/>
  <c r="Y29" i="32"/>
  <c r="AB7" i="26"/>
  <c r="R17" i="30"/>
  <c r="S14" i="26"/>
  <c r="T11" i="26"/>
  <c r="T14" i="26"/>
  <c r="R16" i="26"/>
  <c r="Q17" i="1"/>
  <c r="V15" i="30"/>
  <c r="AA13" i="26"/>
  <c r="V22" i="10"/>
  <c r="AA7" i="26"/>
  <c r="U8" i="26"/>
  <c r="V5" i="26"/>
  <c r="V69" i="10"/>
  <c r="V70" i="10"/>
  <c r="V49" i="24"/>
  <c r="U49" i="24"/>
  <c r="V6" i="30"/>
  <c r="V7" i="30"/>
  <c r="U19" i="29"/>
  <c r="U22" i="29"/>
  <c r="U26" i="29"/>
  <c r="U18" i="1"/>
  <c r="W6" i="23"/>
  <c r="W7" i="23"/>
  <c r="W8" i="23"/>
  <c r="X9" i="23"/>
  <c r="S17" i="30"/>
  <c r="V5" i="23"/>
  <c r="V11" i="23"/>
  <c r="U12" i="23"/>
  <c r="U15" i="23"/>
  <c r="Z59" i="11"/>
  <c r="Z64" i="10"/>
  <c r="AD61" i="11"/>
  <c r="AD65" i="10"/>
  <c r="AD52" i="11"/>
  <c r="AE29" i="11"/>
  <c r="AD54" i="11"/>
  <c r="Y21" i="12"/>
  <c r="Y8" i="12"/>
  <c r="Y9" i="12"/>
  <c r="Y11" i="12"/>
  <c r="Y12" i="12"/>
  <c r="Y14" i="12"/>
  <c r="Y15" i="12"/>
  <c r="Y5" i="12"/>
  <c r="Y6" i="12"/>
  <c r="Y17" i="12"/>
  <c r="Y18" i="12"/>
  <c r="AC18" i="11"/>
  <c r="AD46" i="11"/>
  <c r="AC63" i="11"/>
  <c r="AC66" i="10"/>
  <c r="AA50" i="11"/>
  <c r="Z20" i="12"/>
  <c r="AA5" i="5"/>
  <c r="X20" i="29"/>
  <c r="W26" i="30"/>
  <c r="AB70" i="32"/>
  <c r="AD42" i="32"/>
  <c r="AK250" i="32"/>
  <c r="AT96" i="32"/>
  <c r="AU96" i="32"/>
  <c r="AV96" i="32"/>
  <c r="AW96" i="32"/>
  <c r="AX96" i="32"/>
  <c r="AY96" i="32"/>
  <c r="AZ96" i="32"/>
  <c r="BA96" i="32"/>
  <c r="BB96" i="32"/>
  <c r="BC96" i="32"/>
  <c r="BD96" i="32"/>
  <c r="BE96" i="32"/>
  <c r="BF96" i="32"/>
  <c r="BG96" i="32"/>
  <c r="BH96" i="32"/>
  <c r="BI96" i="32"/>
  <c r="BJ96" i="32"/>
  <c r="BK96" i="32"/>
  <c r="BL96" i="32"/>
  <c r="BM96" i="32"/>
  <c r="BN96" i="32"/>
  <c r="BO96" i="32"/>
  <c r="AE34" i="32"/>
  <c r="AH250" i="32"/>
  <c r="AE250" i="32"/>
  <c r="AE265" i="32"/>
  <c r="AF250" i="32"/>
  <c r="AG250" i="32"/>
  <c r="AI250" i="32"/>
  <c r="AJ250" i="32"/>
  <c r="AL250" i="32"/>
  <c r="AJ288" i="32"/>
  <c r="AE36" i="32"/>
  <c r="AG288" i="32"/>
  <c r="AH288" i="32"/>
  <c r="AI288" i="32"/>
  <c r="AF288" i="32"/>
  <c r="AE288" i="32"/>
  <c r="AE303" i="32"/>
  <c r="AF27" i="32"/>
  <c r="AF11" i="32"/>
  <c r="AD71" i="32"/>
  <c r="AJ364" i="32"/>
  <c r="AM364" i="32"/>
  <c r="AN364" i="32"/>
  <c r="AP364" i="32"/>
  <c r="AL364" i="32"/>
  <c r="AF364" i="32"/>
  <c r="AG364" i="32"/>
  <c r="AQ364" i="32"/>
  <c r="AE40" i="32"/>
  <c r="AS364" i="32"/>
  <c r="AE364" i="32"/>
  <c r="AE379" i="32"/>
  <c r="AT364" i="32"/>
  <c r="AH364" i="32"/>
  <c r="AK364" i="32"/>
  <c r="AI364" i="32"/>
  <c r="AO364" i="32"/>
  <c r="AR364" i="32"/>
  <c r="AG326" i="32"/>
  <c r="AJ326" i="32"/>
  <c r="AE38" i="32"/>
  <c r="AI326" i="32"/>
  <c r="AE326" i="32"/>
  <c r="AE341" i="32"/>
  <c r="AF326" i="32"/>
  <c r="AH326" i="32"/>
  <c r="X26" i="30"/>
  <c r="Y30" i="32"/>
  <c r="U16" i="1"/>
  <c r="Z28" i="32"/>
  <c r="Z29" i="32"/>
  <c r="AA21" i="32"/>
  <c r="AA24" i="32"/>
  <c r="AB13" i="26"/>
  <c r="V8" i="26"/>
  <c r="W5" i="26"/>
  <c r="W8" i="26"/>
  <c r="S16" i="26"/>
  <c r="R17" i="1"/>
  <c r="T12" i="29"/>
  <c r="W22" i="10"/>
  <c r="W69" i="10"/>
  <c r="W70" i="10"/>
  <c r="V19" i="29"/>
  <c r="V22" i="29"/>
  <c r="W6" i="30"/>
  <c r="W7" i="30"/>
  <c r="W10" i="23"/>
  <c r="X7" i="23"/>
  <c r="Y7" i="23"/>
  <c r="X6" i="23"/>
  <c r="Y6" i="23"/>
  <c r="X8" i="23"/>
  <c r="Y20" i="29"/>
  <c r="Y9" i="23"/>
  <c r="U11" i="26"/>
  <c r="T16" i="26"/>
  <c r="S17" i="1"/>
  <c r="AF29" i="11"/>
  <c r="AE52" i="11"/>
  <c r="AE61" i="11"/>
  <c r="AE65" i="10"/>
  <c r="Z21" i="12"/>
  <c r="Z17" i="12"/>
  <c r="Z18" i="12"/>
  <c r="Z5" i="12"/>
  <c r="Z6" i="12"/>
  <c r="Z11" i="12"/>
  <c r="Z12" i="12"/>
  <c r="Z8" i="12"/>
  <c r="Z9" i="12"/>
  <c r="Z14" i="12"/>
  <c r="Z15" i="12"/>
  <c r="AE46" i="11"/>
  <c r="AD18" i="11"/>
  <c r="AA20" i="12"/>
  <c r="AB5" i="5"/>
  <c r="AB50" i="11"/>
  <c r="AE54" i="11"/>
  <c r="AC7" i="26"/>
  <c r="AC13" i="26"/>
  <c r="AD63" i="11"/>
  <c r="AD66" i="10"/>
  <c r="AA59" i="11"/>
  <c r="AA64" i="10"/>
  <c r="V12" i="23"/>
  <c r="V15" i="23"/>
  <c r="W5" i="23"/>
  <c r="AC70" i="32"/>
  <c r="AE71" i="32"/>
  <c r="AM251" i="32"/>
  <c r="AG251" i="32"/>
  <c r="AH251" i="32"/>
  <c r="AL251" i="32"/>
  <c r="AT97" i="32"/>
  <c r="AU97" i="32"/>
  <c r="AV97" i="32"/>
  <c r="AW97" i="32"/>
  <c r="AX97" i="32"/>
  <c r="AY97" i="32"/>
  <c r="AZ97" i="32"/>
  <c r="BA97" i="32"/>
  <c r="BB97" i="32"/>
  <c r="BC97" i="32"/>
  <c r="BD97" i="32"/>
  <c r="BE97" i="32"/>
  <c r="BF97" i="32"/>
  <c r="BG97" i="32"/>
  <c r="BH97" i="32"/>
  <c r="BI97" i="32"/>
  <c r="BJ97" i="32"/>
  <c r="BK97" i="32"/>
  <c r="BL97" i="32"/>
  <c r="BM97" i="32"/>
  <c r="BN97" i="32"/>
  <c r="BO97" i="32"/>
  <c r="BP97" i="32"/>
  <c r="AJ251" i="32"/>
  <c r="AK251" i="32"/>
  <c r="AF251" i="32"/>
  <c r="AF265" i="32"/>
  <c r="AI251" i="32"/>
  <c r="AF34" i="32"/>
  <c r="AE42" i="32"/>
  <c r="AG27" i="32"/>
  <c r="AG11" i="32"/>
  <c r="AR365" i="32"/>
  <c r="AO365" i="32"/>
  <c r="AK365" i="32"/>
  <c r="AQ365" i="32"/>
  <c r="AH365" i="32"/>
  <c r="AJ365" i="32"/>
  <c r="AS365" i="32"/>
  <c r="AF40" i="32"/>
  <c r="AL365" i="32"/>
  <c r="AP365" i="32"/>
  <c r="AU365" i="32"/>
  <c r="AM365" i="32"/>
  <c r="AF365" i="32"/>
  <c r="AF379" i="32"/>
  <c r="AT365" i="32"/>
  <c r="AI365" i="32"/>
  <c r="AN365" i="32"/>
  <c r="AG365" i="32"/>
  <c r="AH327" i="32"/>
  <c r="AF38" i="32"/>
  <c r="AG327" i="32"/>
  <c r="AJ327" i="32"/>
  <c r="AK327" i="32"/>
  <c r="AF327" i="32"/>
  <c r="AF341" i="32"/>
  <c r="AI327" i="32"/>
  <c r="AF289" i="32"/>
  <c r="AF303" i="32"/>
  <c r="AH289" i="32"/>
  <c r="AF36" i="32"/>
  <c r="AJ289" i="32"/>
  <c r="AG289" i="32"/>
  <c r="AI289" i="32"/>
  <c r="AK289" i="32"/>
  <c r="AB21" i="32"/>
  <c r="AB24" i="32"/>
  <c r="AA28" i="32"/>
  <c r="AA29" i="32"/>
  <c r="V16" i="1"/>
  <c r="Z30" i="32"/>
  <c r="Y26" i="30"/>
  <c r="U12" i="29"/>
  <c r="W49" i="24"/>
  <c r="U14" i="26"/>
  <c r="V11" i="26"/>
  <c r="T17" i="30"/>
  <c r="V26" i="29"/>
  <c r="V18" i="1"/>
  <c r="W19" i="29"/>
  <c r="W22" i="29"/>
  <c r="W26" i="29"/>
  <c r="W18" i="1"/>
  <c r="W11" i="23"/>
  <c r="W15" i="23"/>
  <c r="AD13" i="26"/>
  <c r="W15" i="30"/>
  <c r="X6" i="30"/>
  <c r="X7" i="30"/>
  <c r="X10" i="23"/>
  <c r="Y8" i="23"/>
  <c r="Z8" i="23"/>
  <c r="X22" i="10"/>
  <c r="X49" i="24"/>
  <c r="X15" i="30"/>
  <c r="X69" i="10"/>
  <c r="X70" i="10"/>
  <c r="Z9" i="23"/>
  <c r="AF61" i="11"/>
  <c r="AF65" i="10"/>
  <c r="AF52" i="11"/>
  <c r="Z20" i="29"/>
  <c r="AG29" i="11"/>
  <c r="AB20" i="12"/>
  <c r="AC5" i="5"/>
  <c r="AC50" i="11"/>
  <c r="X5" i="26"/>
  <c r="AE63" i="11"/>
  <c r="AE66" i="10"/>
  <c r="AA14" i="12"/>
  <c r="AA15" i="12"/>
  <c r="AA17" i="12"/>
  <c r="AA18" i="12"/>
  <c r="AA8" i="12"/>
  <c r="AA9" i="12"/>
  <c r="AA5" i="12"/>
  <c r="AA6" i="12"/>
  <c r="AA21" i="12"/>
  <c r="AA11" i="12"/>
  <c r="AA12" i="12"/>
  <c r="Z6" i="23"/>
  <c r="AB59" i="11"/>
  <c r="AB64" i="10"/>
  <c r="AE18" i="11"/>
  <c r="AF46" i="11"/>
  <c r="Z7" i="23"/>
  <c r="AF54" i="11"/>
  <c r="AI290" i="32"/>
  <c r="AG36" i="32"/>
  <c r="AH290" i="32"/>
  <c r="AG290" i="32"/>
  <c r="AG303" i="32"/>
  <c r="AK290" i="32"/>
  <c r="AJ290" i="32"/>
  <c r="AL290" i="32"/>
  <c r="AF71" i="32"/>
  <c r="AU366" i="32"/>
  <c r="AJ366" i="32"/>
  <c r="AO366" i="32"/>
  <c r="AK366" i="32"/>
  <c r="AI366" i="32"/>
  <c r="AV366" i="32"/>
  <c r="AS366" i="32"/>
  <c r="AQ366" i="32"/>
  <c r="AP366" i="32"/>
  <c r="AM366" i="32"/>
  <c r="AG40" i="32"/>
  <c r="AH366" i="32"/>
  <c r="AL366" i="32"/>
  <c r="AT366" i="32"/>
  <c r="AR366" i="32"/>
  <c r="AN366" i="32"/>
  <c r="AG366" i="32"/>
  <c r="AG379" i="32"/>
  <c r="AD70" i="32"/>
  <c r="AF42" i="32"/>
  <c r="AG34" i="32"/>
  <c r="AJ252" i="32"/>
  <c r="AM252" i="32"/>
  <c r="AL252" i="32"/>
  <c r="AH252" i="32"/>
  <c r="AI252" i="32"/>
  <c r="AT98" i="32"/>
  <c r="AU98" i="32"/>
  <c r="AV98" i="32"/>
  <c r="AW98" i="32"/>
  <c r="AX98" i="32"/>
  <c r="AY98" i="32"/>
  <c r="AZ98" i="32"/>
  <c r="BA98" i="32"/>
  <c r="BB98" i="32"/>
  <c r="BC98" i="32"/>
  <c r="BD98" i="32"/>
  <c r="BE98" i="32"/>
  <c r="BF98" i="32"/>
  <c r="BG98" i="32"/>
  <c r="BH98" i="32"/>
  <c r="BI98" i="32"/>
  <c r="BJ98" i="32"/>
  <c r="BK98" i="32"/>
  <c r="BL98" i="32"/>
  <c r="BM98" i="32"/>
  <c r="BN98" i="32"/>
  <c r="BO98" i="32"/>
  <c r="BP98" i="32"/>
  <c r="BQ98" i="32"/>
  <c r="AN252" i="32"/>
  <c r="AG252" i="32"/>
  <c r="AG265" i="32"/>
  <c r="AK252" i="32"/>
  <c r="AK328" i="32"/>
  <c r="AG328" i="32"/>
  <c r="AG341" i="32"/>
  <c r="AL328" i="32"/>
  <c r="AJ328" i="32"/>
  <c r="AG38" i="32"/>
  <c r="AI328" i="32"/>
  <c r="AH328" i="32"/>
  <c r="AH27" i="32"/>
  <c r="AH11" i="32"/>
  <c r="AA30" i="32"/>
  <c r="W16" i="1"/>
  <c r="AC21" i="32"/>
  <c r="AC24" i="32"/>
  <c r="AB28" i="32"/>
  <c r="AB29" i="32"/>
  <c r="Z26" i="30"/>
  <c r="U17" i="30"/>
  <c r="V14" i="26"/>
  <c r="W11" i="26"/>
  <c r="W14" i="26"/>
  <c r="W12" i="29"/>
  <c r="U16" i="26"/>
  <c r="T17" i="1"/>
  <c r="V12" i="29"/>
  <c r="AD7" i="26"/>
  <c r="W12" i="23"/>
  <c r="X5" i="23"/>
  <c r="X11" i="23"/>
  <c r="X15" i="23"/>
  <c r="X19" i="29"/>
  <c r="X22" i="29"/>
  <c r="X26" i="29"/>
  <c r="X18" i="1"/>
  <c r="X8" i="26"/>
  <c r="Y5" i="26"/>
  <c r="Y10" i="23"/>
  <c r="Y69" i="10"/>
  <c r="Y70" i="10"/>
  <c r="Z15" i="30"/>
  <c r="Y22" i="10"/>
  <c r="Y6" i="30"/>
  <c r="Y7" i="30"/>
  <c r="Y49" i="24"/>
  <c r="AA9" i="23"/>
  <c r="AA7" i="23"/>
  <c r="AA8" i="23"/>
  <c r="AH29" i="11"/>
  <c r="AF63" i="11"/>
  <c r="AF66" i="10"/>
  <c r="AA6" i="23"/>
  <c r="Z10" i="23"/>
  <c r="AD50" i="11"/>
  <c r="AA20" i="29"/>
  <c r="AG46" i="11"/>
  <c r="AF18" i="11"/>
  <c r="AC59" i="11"/>
  <c r="AC64" i="10"/>
  <c r="AD5" i="5"/>
  <c r="AC20" i="12"/>
  <c r="AB11" i="12"/>
  <c r="AB12" i="12"/>
  <c r="AB17" i="12"/>
  <c r="AB18" i="12"/>
  <c r="AB8" i="12"/>
  <c r="AB9" i="12"/>
  <c r="AB5" i="12"/>
  <c r="AB6" i="12"/>
  <c r="AB14" i="12"/>
  <c r="AB15" i="12"/>
  <c r="AB21" i="12"/>
  <c r="AG61" i="11"/>
  <c r="AG65" i="10"/>
  <c r="AG52" i="11"/>
  <c r="AG54" i="11"/>
  <c r="V17" i="30"/>
  <c r="AF70" i="32"/>
  <c r="AE70" i="32"/>
  <c r="AI27" i="32"/>
  <c r="AI11" i="32"/>
  <c r="AL291" i="32"/>
  <c r="AK291" i="32"/>
  <c r="AH291" i="32"/>
  <c r="AH303" i="32"/>
  <c r="AH36" i="32"/>
  <c r="AM291" i="32"/>
  <c r="AJ291" i="32"/>
  <c r="AI291" i="32"/>
  <c r="AG71" i="32"/>
  <c r="AQ367" i="32"/>
  <c r="AS367" i="32"/>
  <c r="AT367" i="32"/>
  <c r="AH40" i="32"/>
  <c r="AP367" i="32"/>
  <c r="AI367" i="32"/>
  <c r="AN367" i="32"/>
  <c r="AK367" i="32"/>
  <c r="AJ367" i="32"/>
  <c r="AU367" i="32"/>
  <c r="AR367" i="32"/>
  <c r="AL367" i="32"/>
  <c r="AH367" i="32"/>
  <c r="AH379" i="32"/>
  <c r="AW367" i="32"/>
  <c r="AM367" i="32"/>
  <c r="AO367" i="32"/>
  <c r="AV367" i="32"/>
  <c r="AL329" i="32"/>
  <c r="AH329" i="32"/>
  <c r="AH341" i="32"/>
  <c r="AK329" i="32"/>
  <c r="AJ329" i="32"/>
  <c r="AI329" i="32"/>
  <c r="AH38" i="32"/>
  <c r="AM329" i="32"/>
  <c r="AG42" i="32"/>
  <c r="AH34" i="32"/>
  <c r="AJ253" i="32"/>
  <c r="AO253" i="32"/>
  <c r="AL253" i="32"/>
  <c r="AH253" i="32"/>
  <c r="AH265" i="32"/>
  <c r="AT99" i="32"/>
  <c r="AU99" i="32"/>
  <c r="AV99" i="32"/>
  <c r="AW99" i="32"/>
  <c r="AX99" i="32"/>
  <c r="AY99" i="32"/>
  <c r="AZ99" i="32"/>
  <c r="BA99" i="32"/>
  <c r="BB99" i="32"/>
  <c r="BC99" i="32"/>
  <c r="BD99" i="32"/>
  <c r="BE99" i="32"/>
  <c r="BF99" i="32"/>
  <c r="BG99" i="32"/>
  <c r="BH99" i="32"/>
  <c r="BI99" i="32"/>
  <c r="BJ99" i="32"/>
  <c r="BK99" i="32"/>
  <c r="BL99" i="32"/>
  <c r="BM99" i="32"/>
  <c r="BN99" i="32"/>
  <c r="BO99" i="32"/>
  <c r="BP99" i="32"/>
  <c r="BQ99" i="32"/>
  <c r="BR99" i="32"/>
  <c r="AK253" i="32"/>
  <c r="AI253" i="32"/>
  <c r="AM253" i="32"/>
  <c r="AN253" i="32"/>
  <c r="AA26" i="30"/>
  <c r="AB30" i="32"/>
  <c r="X16" i="1"/>
  <c r="AC28" i="32"/>
  <c r="AC29" i="32"/>
  <c r="AD21" i="32"/>
  <c r="AD24" i="32"/>
  <c r="V16" i="26"/>
  <c r="U17" i="1"/>
  <c r="W17" i="30"/>
  <c r="Y19" i="29"/>
  <c r="Y22" i="29"/>
  <c r="X12" i="23"/>
  <c r="Y5" i="23"/>
  <c r="Y11" i="23"/>
  <c r="Y12" i="23"/>
  <c r="Y15" i="30"/>
  <c r="Z69" i="10"/>
  <c r="Z70" i="10"/>
  <c r="Z22" i="10"/>
  <c r="AE13" i="26"/>
  <c r="Z6" i="30"/>
  <c r="Z7" i="30"/>
  <c r="AE7" i="26"/>
  <c r="Y8" i="26"/>
  <c r="Z5" i="26"/>
  <c r="Z8" i="26"/>
  <c r="AB9" i="23"/>
  <c r="AF13" i="26"/>
  <c r="AF7" i="26"/>
  <c r="AC8" i="12"/>
  <c r="AC9" i="12"/>
  <c r="AC21" i="12"/>
  <c r="AC5" i="12"/>
  <c r="AC6" i="12"/>
  <c r="AC14" i="12"/>
  <c r="AC15" i="12"/>
  <c r="AC11" i="12"/>
  <c r="AC12" i="12"/>
  <c r="AC17" i="12"/>
  <c r="AC18" i="12"/>
  <c r="X11" i="26"/>
  <c r="W16" i="26"/>
  <c r="V17" i="1"/>
  <c r="AB7" i="23"/>
  <c r="AG63" i="11"/>
  <c r="AG66" i="10"/>
  <c r="AH54" i="11"/>
  <c r="AH61" i="11"/>
  <c r="AH65" i="10"/>
  <c r="AH52" i="11"/>
  <c r="AH46" i="11"/>
  <c r="AG18" i="11"/>
  <c r="AE5" i="5"/>
  <c r="AD20" i="12"/>
  <c r="AE50" i="11"/>
  <c r="AB8" i="23"/>
  <c r="AD59" i="11"/>
  <c r="AD64" i="10"/>
  <c r="AI29" i="11"/>
  <c r="AB20" i="29"/>
  <c r="X12" i="29"/>
  <c r="AB6" i="23"/>
  <c r="AA10" i="23"/>
  <c r="AJ27" i="32"/>
  <c r="AJ11" i="32"/>
  <c r="AN254" i="32"/>
  <c r="AK254" i="32"/>
  <c r="AO254" i="32"/>
  <c r="AJ254" i="32"/>
  <c r="AI254" i="32"/>
  <c r="AI265" i="32"/>
  <c r="AT100" i="32"/>
  <c r="AU100" i="32"/>
  <c r="AV100" i="32"/>
  <c r="AW100" i="32"/>
  <c r="AX100" i="32"/>
  <c r="AY100" i="32"/>
  <c r="AZ100" i="32"/>
  <c r="BA100" i="32"/>
  <c r="BB100" i="32"/>
  <c r="BC100" i="32"/>
  <c r="BD100" i="32"/>
  <c r="BE100" i="32"/>
  <c r="BF100" i="32"/>
  <c r="BG100" i="32"/>
  <c r="BH100" i="32"/>
  <c r="BI100" i="32"/>
  <c r="BJ100" i="32"/>
  <c r="BK100" i="32"/>
  <c r="BL100" i="32"/>
  <c r="BM100" i="32"/>
  <c r="BN100" i="32"/>
  <c r="BO100" i="32"/>
  <c r="BP100" i="32"/>
  <c r="BQ100" i="32"/>
  <c r="BR100" i="32"/>
  <c r="BS100" i="32"/>
  <c r="AL254" i="32"/>
  <c r="AP254" i="32"/>
  <c r="AM254" i="32"/>
  <c r="AI34" i="32"/>
  <c r="AG70" i="32"/>
  <c r="AH71" i="32"/>
  <c r="AS368" i="32"/>
  <c r="AQ368" i="32"/>
  <c r="AP368" i="32"/>
  <c r="AO368" i="32"/>
  <c r="AV368" i="32"/>
  <c r="AR368" i="32"/>
  <c r="AX368" i="32"/>
  <c r="AN368" i="32"/>
  <c r="AM368" i="32"/>
  <c r="AK368" i="32"/>
  <c r="AI368" i="32"/>
  <c r="AI379" i="32"/>
  <c r="AI40" i="32"/>
  <c r="AT368" i="32"/>
  <c r="AW368" i="32"/>
  <c r="AJ368" i="32"/>
  <c r="AL368" i="32"/>
  <c r="AU368" i="32"/>
  <c r="AJ292" i="32"/>
  <c r="AN292" i="32"/>
  <c r="AK292" i="32"/>
  <c r="AI36" i="32"/>
  <c r="AL292" i="32"/>
  <c r="AI292" i="32"/>
  <c r="AI303" i="32"/>
  <c r="AM292" i="32"/>
  <c r="AK330" i="32"/>
  <c r="AJ330" i="32"/>
  <c r="AM330" i="32"/>
  <c r="AI38" i="32"/>
  <c r="AI330" i="32"/>
  <c r="AI341" i="32"/>
  <c r="AN330" i="32"/>
  <c r="AL330" i="32"/>
  <c r="AH42" i="32"/>
  <c r="AE21" i="32"/>
  <c r="AE24" i="32"/>
  <c r="AD28" i="32"/>
  <c r="AD29" i="32"/>
  <c r="AC30" i="32"/>
  <c r="Y16" i="1"/>
  <c r="X14" i="26"/>
  <c r="X16" i="26"/>
  <c r="W17" i="1"/>
  <c r="Z19" i="29"/>
  <c r="Z22" i="29"/>
  <c r="Z26" i="29"/>
  <c r="Z18" i="1"/>
  <c r="Z5" i="23"/>
  <c r="Z11" i="23"/>
  <c r="AA5" i="23"/>
  <c r="AA11" i="23"/>
  <c r="Y15" i="23"/>
  <c r="AG7" i="26"/>
  <c r="AA49" i="24"/>
  <c r="AA15" i="30"/>
  <c r="AA22" i="10"/>
  <c r="AA69" i="10"/>
  <c r="AA70" i="10"/>
  <c r="AB15" i="30"/>
  <c r="AA6" i="30"/>
  <c r="AA7" i="30"/>
  <c r="Y12" i="29"/>
  <c r="Z49" i="24"/>
  <c r="Y26" i="29"/>
  <c r="Y18" i="1"/>
  <c r="AC8" i="23"/>
  <c r="AC9" i="23"/>
  <c r="AB26" i="30"/>
  <c r="AF5" i="5"/>
  <c r="AE20" i="12"/>
  <c r="AI61" i="11"/>
  <c r="AI65" i="10"/>
  <c r="AI52" i="11"/>
  <c r="AA5" i="26"/>
  <c r="AH63" i="11"/>
  <c r="AH66" i="10"/>
  <c r="AE59" i="11"/>
  <c r="AE64" i="10"/>
  <c r="AC6" i="23"/>
  <c r="AB10" i="23"/>
  <c r="AD17" i="12"/>
  <c r="AD18" i="12"/>
  <c r="AD5" i="12"/>
  <c r="AD6" i="12"/>
  <c r="AD21" i="12"/>
  <c r="AD14" i="12"/>
  <c r="AD15" i="12"/>
  <c r="AD11" i="12"/>
  <c r="AD12" i="12"/>
  <c r="AD8" i="12"/>
  <c r="AD9" i="12"/>
  <c r="AI54" i="11"/>
  <c r="AH18" i="11"/>
  <c r="AI46" i="11"/>
  <c r="AF50" i="11"/>
  <c r="AC7" i="23"/>
  <c r="AJ29" i="11"/>
  <c r="AC26" i="30"/>
  <c r="AO255" i="32"/>
  <c r="AL255" i="32"/>
  <c r="AN255" i="32"/>
  <c r="AT101" i="32"/>
  <c r="AU101" i="32"/>
  <c r="AV101" i="32"/>
  <c r="AW101" i="32"/>
  <c r="AX101" i="32"/>
  <c r="AY101" i="32"/>
  <c r="AZ101" i="32"/>
  <c r="BA101" i="32"/>
  <c r="BB101" i="32"/>
  <c r="BC101" i="32"/>
  <c r="BD101" i="32"/>
  <c r="BE101" i="32"/>
  <c r="BF101" i="32"/>
  <c r="BG101" i="32"/>
  <c r="BH101" i="32"/>
  <c r="BI101" i="32"/>
  <c r="BJ101" i="32"/>
  <c r="BK101" i="32"/>
  <c r="BL101" i="32"/>
  <c r="BM101" i="32"/>
  <c r="BN101" i="32"/>
  <c r="BO101" i="32"/>
  <c r="BP101" i="32"/>
  <c r="BQ101" i="32"/>
  <c r="BR101" i="32"/>
  <c r="BS101" i="32"/>
  <c r="BT101" i="32"/>
  <c r="AJ34" i="32"/>
  <c r="AK255" i="32"/>
  <c r="AQ255" i="32"/>
  <c r="AP255" i="32"/>
  <c r="AM255" i="32"/>
  <c r="AJ255" i="32"/>
  <c r="AJ265" i="32"/>
  <c r="AS369" i="32"/>
  <c r="AN369" i="32"/>
  <c r="AJ369" i="32"/>
  <c r="AJ379" i="32"/>
  <c r="AL369" i="32"/>
  <c r="AT369" i="32"/>
  <c r="AY369" i="32"/>
  <c r="AM369" i="32"/>
  <c r="AQ369" i="32"/>
  <c r="AV369" i="32"/>
  <c r="AJ40" i="32"/>
  <c r="AU369" i="32"/>
  <c r="AO369" i="32"/>
  <c r="AR369" i="32"/>
  <c r="AX369" i="32"/>
  <c r="AK369" i="32"/>
  <c r="AP369" i="32"/>
  <c r="AW369" i="32"/>
  <c r="AI42" i="32"/>
  <c r="AK11" i="32"/>
  <c r="AK27" i="32"/>
  <c r="AJ38" i="32"/>
  <c r="AM331" i="32"/>
  <c r="AK331" i="32"/>
  <c r="AO331" i="32"/>
  <c r="AN331" i="32"/>
  <c r="AL331" i="32"/>
  <c r="AJ331" i="32"/>
  <c r="AJ341" i="32"/>
  <c r="AI71" i="32"/>
  <c r="AL293" i="32"/>
  <c r="AK293" i="32"/>
  <c r="AN293" i="32"/>
  <c r="AO293" i="32"/>
  <c r="AJ36" i="32"/>
  <c r="AM293" i="32"/>
  <c r="AJ293" i="32"/>
  <c r="AJ303" i="32"/>
  <c r="AD30" i="32"/>
  <c r="Z16" i="1"/>
  <c r="AE28" i="32"/>
  <c r="AE29" i="32"/>
  <c r="AF21" i="32"/>
  <c r="AF24" i="32"/>
  <c r="Y11" i="26"/>
  <c r="Y14" i="26"/>
  <c r="AA19" i="29"/>
  <c r="AA22" i="29"/>
  <c r="Z12" i="23"/>
  <c r="X17" i="30"/>
  <c r="Z15" i="23"/>
  <c r="AA8" i="26"/>
  <c r="AB5" i="26"/>
  <c r="AB8" i="26"/>
  <c r="Z12" i="29"/>
  <c r="AG13" i="26"/>
  <c r="AC20" i="29"/>
  <c r="AD20" i="29"/>
  <c r="AB22" i="10"/>
  <c r="AB69" i="10"/>
  <c r="AB70" i="10"/>
  <c r="AB49" i="24"/>
  <c r="AB6" i="30"/>
  <c r="AB7" i="30"/>
  <c r="AD7" i="23"/>
  <c r="AD9" i="23"/>
  <c r="AI63" i="11"/>
  <c r="AI66" i="10"/>
  <c r="AA15" i="23"/>
  <c r="AA12" i="23"/>
  <c r="AB5" i="23"/>
  <c r="AB11" i="23"/>
  <c r="AJ61" i="11"/>
  <c r="AJ65" i="10"/>
  <c r="AJ52" i="11"/>
  <c r="Y17" i="30"/>
  <c r="AF59" i="11"/>
  <c r="AF64" i="10"/>
  <c r="AD6" i="23"/>
  <c r="AC10" i="23"/>
  <c r="AH13" i="26"/>
  <c r="AH7" i="26"/>
  <c r="AJ54" i="11"/>
  <c r="AJ46" i="11"/>
  <c r="AI18" i="11"/>
  <c r="AF20" i="12"/>
  <c r="AG5" i="5"/>
  <c r="AE14" i="12"/>
  <c r="AE15" i="12"/>
  <c r="AE21" i="12"/>
  <c r="AE17" i="12"/>
  <c r="AE18" i="12"/>
  <c r="AE8" i="12"/>
  <c r="AE9" i="12"/>
  <c r="AE11" i="12"/>
  <c r="AE12" i="12"/>
  <c r="AE5" i="12"/>
  <c r="AE6" i="12"/>
  <c r="AK29" i="11"/>
  <c r="AG50" i="11"/>
  <c r="AD8" i="23"/>
  <c r="AH70" i="32"/>
  <c r="AT102" i="32"/>
  <c r="AU102" i="32"/>
  <c r="AV102" i="32"/>
  <c r="AW102" i="32"/>
  <c r="AX102" i="32"/>
  <c r="AY102" i="32"/>
  <c r="AZ102" i="32"/>
  <c r="BA102" i="32"/>
  <c r="BB102" i="32"/>
  <c r="BC102" i="32"/>
  <c r="BD102" i="32"/>
  <c r="BE102" i="32"/>
  <c r="BF102" i="32"/>
  <c r="BG102" i="32"/>
  <c r="BH102" i="32"/>
  <c r="BI102" i="32"/>
  <c r="BJ102" i="32"/>
  <c r="BK102" i="32"/>
  <c r="BL102" i="32"/>
  <c r="BM102" i="32"/>
  <c r="BN102" i="32"/>
  <c r="BO102" i="32"/>
  <c r="BP102" i="32"/>
  <c r="BQ102" i="32"/>
  <c r="BR102" i="32"/>
  <c r="BS102" i="32"/>
  <c r="BT102" i="32"/>
  <c r="BU102" i="32"/>
  <c r="AK34" i="32"/>
  <c r="AM256" i="32"/>
  <c r="AN256" i="32"/>
  <c r="AP256" i="32"/>
  <c r="AK256" i="32"/>
  <c r="AK265" i="32"/>
  <c r="AR256" i="32"/>
  <c r="AL256" i="32"/>
  <c r="AO256" i="32"/>
  <c r="AQ256" i="32"/>
  <c r="AX370" i="32"/>
  <c r="AN370" i="32"/>
  <c r="AP370" i="32"/>
  <c r="AM370" i="32"/>
  <c r="AL370" i="32"/>
  <c r="AS370" i="32"/>
  <c r="AR370" i="32"/>
  <c r="AT370" i="32"/>
  <c r="AU370" i="32"/>
  <c r="AY370" i="32"/>
  <c r="AO370" i="32"/>
  <c r="AV370" i="32"/>
  <c r="AZ370" i="32"/>
  <c r="AK370" i="32"/>
  <c r="AK379" i="32"/>
  <c r="AK40" i="32"/>
  <c r="AW370" i="32"/>
  <c r="AQ370" i="32"/>
  <c r="AL27" i="32"/>
  <c r="AL11" i="32"/>
  <c r="AN294" i="32"/>
  <c r="AK36" i="32"/>
  <c r="AP294" i="32"/>
  <c r="AO294" i="32"/>
  <c r="AK294" i="32"/>
  <c r="AK303" i="32"/>
  <c r="AL294" i="32"/>
  <c r="AM294" i="32"/>
  <c r="AP332" i="32"/>
  <c r="AO332" i="32"/>
  <c r="AK332" i="32"/>
  <c r="AK341" i="32"/>
  <c r="AK38" i="32"/>
  <c r="AM332" i="32"/>
  <c r="AN332" i="32"/>
  <c r="AL332" i="32"/>
  <c r="AJ42" i="32"/>
  <c r="AJ71" i="32"/>
  <c r="AD26" i="30"/>
  <c r="AG21" i="32"/>
  <c r="AG24" i="32"/>
  <c r="AF28" i="32"/>
  <c r="AF29" i="32"/>
  <c r="AE30" i="32"/>
  <c r="AA16" i="1"/>
  <c r="Y16" i="26"/>
  <c r="X17" i="1"/>
  <c r="Z11" i="26"/>
  <c r="Z14" i="26"/>
  <c r="AA11" i="26"/>
  <c r="AC22" i="10"/>
  <c r="AC15" i="30"/>
  <c r="AA12" i="29"/>
  <c r="AA26" i="29"/>
  <c r="AA18" i="1"/>
  <c r="AC69" i="10"/>
  <c r="AC70" i="10"/>
  <c r="AC49" i="24"/>
  <c r="AC6" i="30"/>
  <c r="AC7" i="30"/>
  <c r="AD15" i="30"/>
  <c r="AB19" i="29"/>
  <c r="AB22" i="29"/>
  <c r="AE8" i="23"/>
  <c r="AE9" i="23"/>
  <c r="AG59" i="11"/>
  <c r="AG64" i="10"/>
  <c r="AK46" i="11"/>
  <c r="AJ18" i="11"/>
  <c r="AE7" i="23"/>
  <c r="AC5" i="23"/>
  <c r="AC11" i="23"/>
  <c r="AB15" i="23"/>
  <c r="AB12" i="23"/>
  <c r="AJ63" i="11"/>
  <c r="AJ66" i="10"/>
  <c r="AH5" i="5"/>
  <c r="AG20" i="12"/>
  <c r="AH50" i="11"/>
  <c r="AK54" i="11"/>
  <c r="AC5" i="26"/>
  <c r="AC8" i="26"/>
  <c r="AI13" i="26"/>
  <c r="AI7" i="26"/>
  <c r="AE6" i="23"/>
  <c r="AD10" i="23"/>
  <c r="AE20" i="29"/>
  <c r="AL29" i="11"/>
  <c r="AF11" i="12"/>
  <c r="AF12" i="12"/>
  <c r="AF21" i="12"/>
  <c r="AF8" i="12"/>
  <c r="AF9" i="12"/>
  <c r="AF5" i="12"/>
  <c r="AF6" i="12"/>
  <c r="AF17" i="12"/>
  <c r="AF18" i="12"/>
  <c r="AF14" i="12"/>
  <c r="AF15" i="12"/>
  <c r="AK61" i="11"/>
  <c r="AK65" i="10"/>
  <c r="AK52" i="11"/>
  <c r="AK71" i="32"/>
  <c r="AQ295" i="32"/>
  <c r="AL295" i="32"/>
  <c r="AL303" i="32"/>
  <c r="AN295" i="32"/>
  <c r="AL36" i="32"/>
  <c r="AP295" i="32"/>
  <c r="AM295" i="32"/>
  <c r="AO295" i="32"/>
  <c r="AK42" i="32"/>
  <c r="AI70" i="32"/>
  <c r="AL34" i="32"/>
  <c r="AP257" i="32"/>
  <c r="AS257" i="32"/>
  <c r="AL257" i="32"/>
  <c r="AL265" i="32"/>
  <c r="AT103" i="32"/>
  <c r="AU103" i="32"/>
  <c r="AV103" i="32"/>
  <c r="AW103" i="32"/>
  <c r="AX103" i="32"/>
  <c r="AY103" i="32"/>
  <c r="AZ103" i="32"/>
  <c r="BA103" i="32"/>
  <c r="BB103" i="32"/>
  <c r="BC103" i="32"/>
  <c r="BD103" i="32"/>
  <c r="BE103" i="32"/>
  <c r="BF103" i="32"/>
  <c r="BG103" i="32"/>
  <c r="BH103" i="32"/>
  <c r="BI103" i="32"/>
  <c r="BJ103" i="32"/>
  <c r="BK103" i="32"/>
  <c r="BL103" i="32"/>
  <c r="BM103" i="32"/>
  <c r="BN103" i="32"/>
  <c r="BO103" i="32"/>
  <c r="BP103" i="32"/>
  <c r="BQ103" i="32"/>
  <c r="BR103" i="32"/>
  <c r="BS103" i="32"/>
  <c r="BT103" i="32"/>
  <c r="BU103" i="32"/>
  <c r="BV103" i="32"/>
  <c r="AN257" i="32"/>
  <c r="AM257" i="32"/>
  <c r="AO257" i="32"/>
  <c r="AQ257" i="32"/>
  <c r="AR257" i="32"/>
  <c r="AP371" i="32"/>
  <c r="AN371" i="32"/>
  <c r="AR371" i="32"/>
  <c r="AY371" i="32"/>
  <c r="AV371" i="32"/>
  <c r="AX371" i="32"/>
  <c r="AM371" i="32"/>
  <c r="AW371" i="32"/>
  <c r="AT371" i="32"/>
  <c r="AQ371" i="32"/>
  <c r="AL40" i="32"/>
  <c r="AZ371" i="32"/>
  <c r="AU371" i="32"/>
  <c r="AO371" i="32"/>
  <c r="BA371" i="32"/>
  <c r="AL371" i="32"/>
  <c r="AL379" i="32"/>
  <c r="AS371" i="32"/>
  <c r="AP333" i="32"/>
  <c r="AL38" i="32"/>
  <c r="AM333" i="32"/>
  <c r="AO333" i="32"/>
  <c r="AN333" i="32"/>
  <c r="AQ333" i="32"/>
  <c r="AL333" i="32"/>
  <c r="AL341" i="32"/>
  <c r="AF30" i="32"/>
  <c r="AB16" i="1"/>
  <c r="AG28" i="32"/>
  <c r="AG29" i="32"/>
  <c r="AH21" i="32"/>
  <c r="AH24" i="32"/>
  <c r="AE26" i="30"/>
  <c r="Z16" i="26"/>
  <c r="Y17" i="1"/>
  <c r="Z17" i="30"/>
  <c r="AB26" i="29"/>
  <c r="AB18" i="1"/>
  <c r="AD22" i="10"/>
  <c r="AJ13" i="26"/>
  <c r="AA14" i="26"/>
  <c r="AB11" i="26"/>
  <c r="AB14" i="26"/>
  <c r="AD6" i="30"/>
  <c r="AD7" i="30"/>
  <c r="AD69" i="10"/>
  <c r="AD70" i="10"/>
  <c r="AC19" i="29"/>
  <c r="AC22" i="29"/>
  <c r="AC26" i="29"/>
  <c r="AC18" i="1"/>
  <c r="AF9" i="23"/>
  <c r="AD5" i="26"/>
  <c r="AL61" i="11"/>
  <c r="AL65" i="10"/>
  <c r="AL52" i="11"/>
  <c r="AL46" i="11"/>
  <c r="AK18" i="11"/>
  <c r="AM29" i="11"/>
  <c r="AL54" i="11"/>
  <c r="AF8" i="23"/>
  <c r="AH20" i="12"/>
  <c r="AI5" i="5"/>
  <c r="AH59" i="11"/>
  <c r="AH64" i="10"/>
  <c r="AB12" i="29"/>
  <c r="AF6" i="23"/>
  <c r="AE10" i="23"/>
  <c r="AF7" i="23"/>
  <c r="AA17" i="30"/>
  <c r="AG21" i="12"/>
  <c r="AG8" i="12"/>
  <c r="AG9" i="12"/>
  <c r="AG17" i="12"/>
  <c r="AG18" i="12"/>
  <c r="AG14" i="12"/>
  <c r="AG15" i="12"/>
  <c r="AG11" i="12"/>
  <c r="AG12" i="12"/>
  <c r="AG5" i="12"/>
  <c r="AG6" i="12"/>
  <c r="AI50" i="11"/>
  <c r="AK63" i="11"/>
  <c r="AK66" i="10"/>
  <c r="AC15" i="23"/>
  <c r="AC12" i="23"/>
  <c r="AD5" i="23"/>
  <c r="AD11" i="23"/>
  <c r="AL42" i="32"/>
  <c r="AJ70" i="32"/>
  <c r="AL71" i="32"/>
  <c r="AI21" i="32"/>
  <c r="AI24" i="32"/>
  <c r="AH28" i="32"/>
  <c r="AH29" i="32"/>
  <c r="AG30" i="32"/>
  <c r="AC16" i="1"/>
  <c r="AF26" i="30"/>
  <c r="AF20" i="29"/>
  <c r="AG20" i="29"/>
  <c r="AE6" i="30"/>
  <c r="AE7" i="30"/>
  <c r="AE69" i="10"/>
  <c r="AE70" i="10"/>
  <c r="AA16" i="26"/>
  <c r="Z17" i="1"/>
  <c r="AE22" i="10"/>
  <c r="AD8" i="26"/>
  <c r="AE5" i="26"/>
  <c r="AK7" i="26"/>
  <c r="AJ7" i="26"/>
  <c r="AD49" i="24"/>
  <c r="AD19" i="29"/>
  <c r="AD22" i="29"/>
  <c r="AD26" i="29"/>
  <c r="AD18" i="1"/>
  <c r="AG9" i="23"/>
  <c r="AK70" i="32"/>
  <c r="AH21" i="12"/>
  <c r="AH17" i="12"/>
  <c r="AH18" i="12"/>
  <c r="AH5" i="12"/>
  <c r="AH6" i="12"/>
  <c r="AH11" i="12"/>
  <c r="AH12" i="12"/>
  <c r="AH8" i="12"/>
  <c r="AH9" i="12"/>
  <c r="AH14" i="12"/>
  <c r="AH15" i="12"/>
  <c r="AB17" i="30"/>
  <c r="AM54" i="11"/>
  <c r="AI20" i="12"/>
  <c r="AJ5" i="5"/>
  <c r="AL63" i="11"/>
  <c r="AL66" i="10"/>
  <c r="AF22" i="10"/>
  <c r="AF69" i="10"/>
  <c r="AF70" i="10"/>
  <c r="AF6" i="30"/>
  <c r="AD12" i="23"/>
  <c r="AE5" i="23"/>
  <c r="AE11" i="23"/>
  <c r="AD15" i="23"/>
  <c r="AM61" i="11"/>
  <c r="AM65" i="10"/>
  <c r="AM52" i="11"/>
  <c r="AG6" i="23"/>
  <c r="AF10" i="23"/>
  <c r="AJ50" i="11"/>
  <c r="AG8" i="23"/>
  <c r="AM46" i="11"/>
  <c r="AL18" i="11"/>
  <c r="AC11" i="26"/>
  <c r="AC14" i="26"/>
  <c r="AB16" i="26"/>
  <c r="AA17" i="1"/>
  <c r="AI59" i="11"/>
  <c r="AI64" i="10"/>
  <c r="AG7" i="23"/>
  <c r="AN29" i="11"/>
  <c r="AF15" i="30"/>
  <c r="AG26" i="30"/>
  <c r="AJ21" i="32"/>
  <c r="AJ24" i="32"/>
  <c r="AI28" i="32"/>
  <c r="AI29" i="32"/>
  <c r="AD16" i="1"/>
  <c r="AH30" i="32"/>
  <c r="AC12" i="29"/>
  <c r="AF7" i="30"/>
  <c r="AD12" i="29"/>
  <c r="AK13" i="26"/>
  <c r="AE8" i="26"/>
  <c r="AF5" i="26"/>
  <c r="AF8" i="26"/>
  <c r="AE49" i="24"/>
  <c r="AE15" i="30"/>
  <c r="AE19" i="29"/>
  <c r="AE22" i="29"/>
  <c r="AO29" i="11"/>
  <c r="AH8" i="23"/>
  <c r="AH7" i="23"/>
  <c r="AH9" i="23"/>
  <c r="AL13" i="26"/>
  <c r="AL7" i="26"/>
  <c r="AH6" i="23"/>
  <c r="AG10" i="23"/>
  <c r="AI14" i="12"/>
  <c r="AI15" i="12"/>
  <c r="AI8" i="12"/>
  <c r="AI9" i="12"/>
  <c r="AI17" i="12"/>
  <c r="AI18" i="12"/>
  <c r="AI5" i="12"/>
  <c r="AI6" i="12"/>
  <c r="AI21" i="12"/>
  <c r="AI11" i="12"/>
  <c r="AI12" i="12"/>
  <c r="AC17" i="30"/>
  <c r="AM18" i="11"/>
  <c r="AN46" i="11"/>
  <c r="AH20" i="29"/>
  <c r="AD11" i="26"/>
  <c r="AD14" i="26"/>
  <c r="AC16" i="26"/>
  <c r="AB17" i="1"/>
  <c r="AM63" i="11"/>
  <c r="AM66" i="10"/>
  <c r="AJ20" i="12"/>
  <c r="AK5" i="5"/>
  <c r="AK50" i="11"/>
  <c r="AF49" i="24"/>
  <c r="AJ59" i="11"/>
  <c r="AJ64" i="10"/>
  <c r="AE15" i="23"/>
  <c r="AE12" i="23"/>
  <c r="AF5" i="23"/>
  <c r="AF11" i="23"/>
  <c r="AN54" i="11"/>
  <c r="AG22" i="10"/>
  <c r="AG6" i="30"/>
  <c r="AG7" i="30"/>
  <c r="AG69" i="10"/>
  <c r="AG70" i="10"/>
  <c r="AN61" i="11"/>
  <c r="AN65" i="10"/>
  <c r="AN52" i="11"/>
  <c r="AG15" i="30"/>
  <c r="AL70" i="32"/>
  <c r="AE16" i="1"/>
  <c r="AI30" i="32"/>
  <c r="AH26" i="30"/>
  <c r="AJ28" i="32"/>
  <c r="AJ29" i="32"/>
  <c r="AK21" i="32"/>
  <c r="AK24" i="32"/>
  <c r="AE12" i="29"/>
  <c r="AE26" i="29"/>
  <c r="AE18" i="1"/>
  <c r="AF19" i="29"/>
  <c r="AF22" i="29"/>
  <c r="AF26" i="29"/>
  <c r="AF18" i="1"/>
  <c r="AO54" i="11"/>
  <c r="AI9" i="23"/>
  <c r="AI8" i="23"/>
  <c r="AE11" i="26"/>
  <c r="AD16" i="26"/>
  <c r="AC17" i="1"/>
  <c r="AO63" i="11"/>
  <c r="AO66" i="10"/>
  <c r="AG49" i="24"/>
  <c r="AO61" i="11"/>
  <c r="AO65" i="10"/>
  <c r="AO52" i="11"/>
  <c r="AJ11" i="12"/>
  <c r="AJ12" i="12"/>
  <c r="AJ5" i="12"/>
  <c r="AJ6" i="12"/>
  <c r="AJ21" i="12"/>
  <c r="AJ17" i="12"/>
  <c r="AJ18" i="12"/>
  <c r="AJ14" i="12"/>
  <c r="AJ15" i="12"/>
  <c r="AJ8" i="12"/>
  <c r="AJ9" i="12"/>
  <c r="AF15" i="23"/>
  <c r="AF12" i="23"/>
  <c r="AG5" i="23"/>
  <c r="AG11" i="23"/>
  <c r="AI7" i="23"/>
  <c r="AM13" i="26"/>
  <c r="AM7" i="26"/>
  <c r="AL50" i="11"/>
  <c r="AH6" i="30"/>
  <c r="AH7" i="30"/>
  <c r="AH22" i="10"/>
  <c r="AH69" i="10"/>
  <c r="AH70" i="10"/>
  <c r="AN18" i="11"/>
  <c r="AG5" i="26"/>
  <c r="AG8" i="26"/>
  <c r="AI6" i="23"/>
  <c r="AH10" i="23"/>
  <c r="AL5" i="5"/>
  <c r="AK20" i="12"/>
  <c r="AN63" i="11"/>
  <c r="AN66" i="10"/>
  <c r="AK59" i="11"/>
  <c r="AK64" i="10"/>
  <c r="AI20" i="29"/>
  <c r="AH15" i="30"/>
  <c r="AK28" i="32"/>
  <c r="AK29" i="32"/>
  <c r="AL21" i="32"/>
  <c r="AL24" i="32"/>
  <c r="AJ30" i="32"/>
  <c r="AF16" i="1"/>
  <c r="AD17" i="30"/>
  <c r="AG19" i="29"/>
  <c r="AG22" i="29"/>
  <c r="AG26" i="29"/>
  <c r="AG18" i="1"/>
  <c r="AE14" i="26"/>
  <c r="AE16" i="26"/>
  <c r="AD17" i="1"/>
  <c r="AO18" i="11"/>
  <c r="AO46" i="11"/>
  <c r="AJ9" i="23"/>
  <c r="AJ8" i="23"/>
  <c r="AJ20" i="29"/>
  <c r="AJ7" i="23"/>
  <c r="AK8" i="12"/>
  <c r="AK9" i="12"/>
  <c r="AK21" i="12"/>
  <c r="AK14" i="12"/>
  <c r="AK15" i="12"/>
  <c r="AK11" i="12"/>
  <c r="AK12" i="12"/>
  <c r="AK5" i="12"/>
  <c r="AK6" i="12"/>
  <c r="AK17" i="12"/>
  <c r="AK18" i="12"/>
  <c r="AM50" i="11"/>
  <c r="AE17" i="30"/>
  <c r="AI6" i="30"/>
  <c r="AI7" i="30"/>
  <c r="AI22" i="10"/>
  <c r="AI69" i="10"/>
  <c r="AI70" i="10"/>
  <c r="AG15" i="23"/>
  <c r="AG12" i="23"/>
  <c r="AH5" i="23"/>
  <c r="AH11" i="23"/>
  <c r="AH49" i="24"/>
  <c r="AL59" i="11"/>
  <c r="AL64" i="10"/>
  <c r="AJ6" i="23"/>
  <c r="AI10" i="23"/>
  <c r="AH5" i="26"/>
  <c r="AH8" i="26"/>
  <c r="AF12" i="29"/>
  <c r="AM5" i="5"/>
  <c r="AL20" i="12"/>
  <c r="AF11" i="26"/>
  <c r="AF14" i="26"/>
  <c r="AN7" i="26"/>
  <c r="AN13" i="26"/>
  <c r="AG16" i="1"/>
  <c r="AK30" i="32"/>
  <c r="AL28" i="32"/>
  <c r="AL29" i="32"/>
  <c r="AM21" i="32"/>
  <c r="AH19" i="29"/>
  <c r="AH22" i="29"/>
  <c r="AH26" i="29"/>
  <c r="AH18" i="1"/>
  <c r="AJ15" i="30"/>
  <c r="AK8" i="23"/>
  <c r="AK9" i="23"/>
  <c r="AI15" i="30"/>
  <c r="AK20" i="29"/>
  <c r="AK7" i="23"/>
  <c r="AG12" i="29"/>
  <c r="AI5" i="26"/>
  <c r="AI8" i="26"/>
  <c r="AI49" i="24"/>
  <c r="AO50" i="11"/>
  <c r="AF17" i="30"/>
  <c r="AJ6" i="30"/>
  <c r="AJ7" i="30"/>
  <c r="AJ22" i="10"/>
  <c r="AJ69" i="10"/>
  <c r="AJ70" i="10"/>
  <c r="AL17" i="12"/>
  <c r="AL18" i="12"/>
  <c r="AL5" i="12"/>
  <c r="AL6" i="12"/>
  <c r="AL21" i="12"/>
  <c r="AL14" i="12"/>
  <c r="AL15" i="12"/>
  <c r="AL8" i="12"/>
  <c r="AL9" i="12"/>
  <c r="AL11" i="12"/>
  <c r="AL12" i="12"/>
  <c r="AH12" i="23"/>
  <c r="AI5" i="23"/>
  <c r="AI11" i="23"/>
  <c r="AH15" i="23"/>
  <c r="AM59" i="11"/>
  <c r="AM64" i="10"/>
  <c r="AG11" i="26"/>
  <c r="AG14" i="26"/>
  <c r="AF16" i="26"/>
  <c r="AE17" i="1"/>
  <c r="AN50" i="11"/>
  <c r="AM20" i="12"/>
  <c r="AN5" i="5"/>
  <c r="AK6" i="23"/>
  <c r="AJ10" i="23"/>
  <c r="AO7" i="26"/>
  <c r="AO13" i="26"/>
  <c r="AH16" i="1"/>
  <c r="AL30" i="32"/>
  <c r="AI19" i="29"/>
  <c r="AI22" i="29"/>
  <c r="AI26" i="29"/>
  <c r="AI18" i="1"/>
  <c r="AK15" i="30"/>
  <c r="AP7" i="26"/>
  <c r="AP13" i="26"/>
  <c r="AJ49" i="24"/>
  <c r="AJ5" i="26"/>
  <c r="AJ8" i="26"/>
  <c r="AI12" i="23"/>
  <c r="AJ5" i="23"/>
  <c r="AJ11" i="23"/>
  <c r="AI15" i="23"/>
  <c r="AH11" i="26"/>
  <c r="AH14" i="26"/>
  <c r="AG16" i="26"/>
  <c r="AF17" i="1"/>
  <c r="AO59" i="11"/>
  <c r="AO64" i="10"/>
  <c r="AN20" i="12"/>
  <c r="AO5" i="5"/>
  <c r="AG17" i="30"/>
  <c r="AK10" i="23"/>
  <c r="AL20" i="29"/>
  <c r="AK6" i="30"/>
  <c r="AK7" i="30"/>
  <c r="AK22" i="10"/>
  <c r="AK69" i="10"/>
  <c r="AK70" i="10"/>
  <c r="AM14" i="12"/>
  <c r="AM15" i="12"/>
  <c r="AM21" i="12"/>
  <c r="AM11" i="12"/>
  <c r="AM12" i="12"/>
  <c r="AM17" i="12"/>
  <c r="AM18" i="12"/>
  <c r="AM5" i="12"/>
  <c r="AM6" i="12"/>
  <c r="AM8" i="12"/>
  <c r="AM9" i="12"/>
  <c r="AH12" i="29"/>
  <c r="AN59" i="11"/>
  <c r="AN64" i="10"/>
  <c r="AJ19" i="29"/>
  <c r="AJ22" i="29"/>
  <c r="AJ26" i="29"/>
  <c r="AJ18" i="1"/>
  <c r="AL6" i="23"/>
  <c r="AM6" i="23"/>
  <c r="AM20" i="29"/>
  <c r="AL69" i="10"/>
  <c r="AL70" i="10"/>
  <c r="AL22" i="10"/>
  <c r="AL6" i="30"/>
  <c r="AL7" i="30"/>
  <c r="AK49" i="24"/>
  <c r="AK5" i="26"/>
  <c r="AK8" i="26"/>
  <c r="AI11" i="26"/>
  <c r="AI14" i="26"/>
  <c r="AH16" i="26"/>
  <c r="AG17" i="1"/>
  <c r="AP5" i="5"/>
  <c r="AO20" i="12"/>
  <c r="AH17" i="30"/>
  <c r="AL9" i="23"/>
  <c r="AM9" i="23"/>
  <c r="AL8" i="23"/>
  <c r="AM8" i="23"/>
  <c r="AL7" i="23"/>
  <c r="AM7" i="23"/>
  <c r="AN11" i="12"/>
  <c r="AN12" i="12"/>
  <c r="AN14" i="12"/>
  <c r="AN15" i="12"/>
  <c r="AN8" i="12"/>
  <c r="AN9" i="12"/>
  <c r="AN17" i="12"/>
  <c r="AN18" i="12"/>
  <c r="AN5" i="12"/>
  <c r="AN6" i="12"/>
  <c r="AN21" i="12"/>
  <c r="AK5" i="23"/>
  <c r="AK11" i="23"/>
  <c r="AJ12" i="23"/>
  <c r="AJ15" i="23"/>
  <c r="AI12" i="29"/>
  <c r="AP20" i="12"/>
  <c r="AQ5" i="5"/>
  <c r="AT77" i="32"/>
  <c r="AK19" i="29"/>
  <c r="AK22" i="29"/>
  <c r="AK26" i="29"/>
  <c r="AK18" i="1"/>
  <c r="AN20" i="29"/>
  <c r="AM15" i="30"/>
  <c r="AL15" i="30"/>
  <c r="AO21" i="12"/>
  <c r="AO8" i="12"/>
  <c r="AO9" i="12"/>
  <c r="AO11" i="12"/>
  <c r="AO12" i="12"/>
  <c r="AO17" i="12"/>
  <c r="AO18" i="12"/>
  <c r="AO5" i="12"/>
  <c r="AO6" i="12"/>
  <c r="AO14" i="12"/>
  <c r="AO15" i="12"/>
  <c r="AL5" i="23"/>
  <c r="AK12" i="23"/>
  <c r="AK15" i="23"/>
  <c r="AL5" i="26"/>
  <c r="AL8" i="26"/>
  <c r="AP21" i="12"/>
  <c r="AP8" i="12"/>
  <c r="AP14" i="12"/>
  <c r="AP11" i="12"/>
  <c r="AP17" i="12"/>
  <c r="AP5" i="12"/>
  <c r="AQ55" i="26"/>
  <c r="AN9" i="23"/>
  <c r="AO9" i="23"/>
  <c r="J77" i="11"/>
  <c r="AL10" i="23"/>
  <c r="AL49" i="24"/>
  <c r="AM10" i="23"/>
  <c r="AJ11" i="26"/>
  <c r="AJ14" i="26"/>
  <c r="AI16" i="26"/>
  <c r="AH17" i="1"/>
  <c r="AM6" i="30"/>
  <c r="AM7" i="30"/>
  <c r="AM69" i="10"/>
  <c r="AM70" i="10"/>
  <c r="AM22" i="10"/>
  <c r="AJ12" i="29"/>
  <c r="AU77" i="32"/>
  <c r="B29" i="10"/>
  <c r="B6" i="37"/>
  <c r="AL19" i="29"/>
  <c r="AL22" i="29"/>
  <c r="AL26" i="29"/>
  <c r="AL18" i="1"/>
  <c r="AP9" i="12"/>
  <c r="AN6" i="23"/>
  <c r="AO6" i="23"/>
  <c r="AP6" i="12"/>
  <c r="AP12" i="12"/>
  <c r="AP18" i="12"/>
  <c r="AM49" i="24"/>
  <c r="AN7" i="23"/>
  <c r="AO7" i="23"/>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O20" i="29"/>
  <c r="AK11" i="26"/>
  <c r="AK14" i="26"/>
  <c r="AJ16" i="26"/>
  <c r="AI17" i="1"/>
  <c r="AN8" i="23"/>
  <c r="AO8" i="23"/>
  <c r="AK12" i="29"/>
  <c r="AL11" i="23"/>
  <c r="AM19" i="29"/>
  <c r="AM22" i="29"/>
  <c r="AP15" i="12"/>
  <c r="AM5" i="26"/>
  <c r="AM8" i="26"/>
  <c r="AQ56" i="26"/>
  <c r="AR56" i="26"/>
  <c r="AV77" i="32"/>
  <c r="B16" i="2"/>
  <c r="B21" i="2"/>
  <c r="B23" i="2"/>
  <c r="B10" i="37"/>
  <c r="B9" i="37"/>
  <c r="AN19" i="29"/>
  <c r="AN22" i="29"/>
  <c r="AL15" i="23"/>
  <c r="AL12" i="23"/>
  <c r="AM5" i="23"/>
  <c r="AM11" i="23"/>
  <c r="AN22" i="10"/>
  <c r="AN6" i="30"/>
  <c r="AN7" i="30"/>
  <c r="AN69" i="10"/>
  <c r="AN70" i="10"/>
  <c r="AL12" i="29"/>
  <c r="AO9" i="3"/>
  <c r="AM26" i="29"/>
  <c r="AM18" i="1"/>
  <c r="AQ57" i="26"/>
  <c r="AR57" i="26"/>
  <c r="AS57" i="26"/>
  <c r="AN10" i="23"/>
  <c r="AN5" i="26"/>
  <c r="AN8" i="26"/>
  <c r="AL11" i="26"/>
  <c r="AL14" i="26"/>
  <c r="AK16" i="26"/>
  <c r="AJ17" i="1"/>
  <c r="AO10" i="23"/>
  <c r="B26" i="2"/>
  <c r="B6" i="3"/>
  <c r="B27" i="3"/>
  <c r="B25" i="2"/>
  <c r="B8" i="30"/>
  <c r="C9" i="30"/>
  <c r="B5" i="14"/>
  <c r="B9" i="14"/>
  <c r="AM12" i="29"/>
  <c r="AO22" i="10"/>
  <c r="AO6" i="30"/>
  <c r="AO7" i="30"/>
  <c r="AO69" i="10"/>
  <c r="AO70" i="10"/>
  <c r="AN5" i="23"/>
  <c r="AN11" i="23"/>
  <c r="AM15" i="23"/>
  <c r="AM12" i="23"/>
  <c r="AO5" i="26"/>
  <c r="AN15" i="30"/>
  <c r="AM11" i="26"/>
  <c r="AM14" i="26"/>
  <c r="AL16" i="26"/>
  <c r="AK17" i="1"/>
  <c r="AN49" i="24"/>
  <c r="H29" i="10"/>
  <c r="J6" i="5"/>
  <c r="B43" i="1"/>
  <c r="B45" i="1"/>
  <c r="B46" i="1"/>
  <c r="B48" i="1"/>
  <c r="C4" i="14"/>
  <c r="C9" i="14"/>
  <c r="AN12" i="23"/>
  <c r="AN15" i="23"/>
  <c r="AO5" i="23"/>
  <c r="AO11" i="23"/>
  <c r="AO15" i="30"/>
  <c r="AQ58" i="26"/>
  <c r="AR58" i="26"/>
  <c r="AS58" i="26"/>
  <c r="AT58" i="26"/>
  <c r="AO19" i="29"/>
  <c r="AO22" i="29"/>
  <c r="AN26" i="29"/>
  <c r="AN18" i="1"/>
  <c r="AO20" i="3"/>
  <c r="AO26" i="3"/>
  <c r="AN11" i="26"/>
  <c r="AN14" i="26"/>
  <c r="AM16" i="26"/>
  <c r="AL17" i="1"/>
  <c r="AO8" i="26"/>
  <c r="AO49" i="24"/>
  <c r="K6" i="5"/>
  <c r="I29" i="10"/>
  <c r="H9" i="37"/>
  <c r="H10" i="37"/>
  <c r="H22" i="37"/>
  <c r="H39" i="37"/>
  <c r="H16" i="37"/>
  <c r="H27" i="37"/>
  <c r="H15" i="37"/>
  <c r="H21" i="37"/>
  <c r="H34" i="37"/>
  <c r="H40" i="37"/>
  <c r="H45" i="37"/>
  <c r="H28" i="37"/>
  <c r="H33" i="37"/>
  <c r="H46" i="37"/>
  <c r="C43" i="1"/>
  <c r="C45" i="1"/>
  <c r="C46" i="1"/>
  <c r="C48" i="1"/>
  <c r="D4" i="14"/>
  <c r="D9" i="14"/>
  <c r="H19" i="1"/>
  <c r="AP5" i="26"/>
  <c r="AP8" i="26"/>
  <c r="AO31" i="3"/>
  <c r="AQ59" i="26"/>
  <c r="AR59" i="26"/>
  <c r="AS59" i="26"/>
  <c r="AT59" i="26"/>
  <c r="AU59" i="26"/>
  <c r="AN12" i="29"/>
  <c r="AO26" i="29"/>
  <c r="AO18" i="1"/>
  <c r="AO24" i="3"/>
  <c r="AO11" i="26"/>
  <c r="AN16" i="26"/>
  <c r="AM17" i="1"/>
  <c r="AO12" i="23"/>
  <c r="AO15" i="23"/>
  <c r="J29" i="10"/>
  <c r="L6" i="5"/>
  <c r="H194" i="37"/>
  <c r="D43" i="1"/>
  <c r="D45" i="1"/>
  <c r="D46" i="1"/>
  <c r="D48" i="1"/>
  <c r="E4" i="14"/>
  <c r="E9" i="14"/>
  <c r="I33" i="37"/>
  <c r="I28" i="37"/>
  <c r="I10" i="37"/>
  <c r="I39" i="37"/>
  <c r="I40" i="37"/>
  <c r="I16" i="37"/>
  <c r="I9" i="37"/>
  <c r="I15" i="37"/>
  <c r="I27" i="37"/>
  <c r="I21" i="37"/>
  <c r="I22" i="37"/>
  <c r="I34" i="37"/>
  <c r="I52" i="37"/>
  <c r="I51" i="37"/>
  <c r="I45" i="37"/>
  <c r="I46" i="37"/>
  <c r="AO14" i="26"/>
  <c r="AP11" i="26"/>
  <c r="AO21" i="3"/>
  <c r="AO12" i="29"/>
  <c r="I194" i="37"/>
  <c r="M6" i="5"/>
  <c r="K29" i="10"/>
  <c r="J51" i="37"/>
  <c r="J40" i="37"/>
  <c r="J21" i="37"/>
  <c r="J10" i="37"/>
  <c r="J33" i="37"/>
  <c r="J39" i="37"/>
  <c r="J9" i="37"/>
  <c r="J16" i="37"/>
  <c r="J52" i="37"/>
  <c r="J15" i="37"/>
  <c r="J45" i="37"/>
  <c r="J22" i="37"/>
  <c r="J34" i="37"/>
  <c r="J28" i="37"/>
  <c r="J27" i="37"/>
  <c r="J57" i="37"/>
  <c r="J58" i="37"/>
  <c r="J46" i="37"/>
  <c r="E43" i="1"/>
  <c r="E45" i="1"/>
  <c r="E46" i="1"/>
  <c r="E48" i="1"/>
  <c r="F4" i="14"/>
  <c r="F9" i="14"/>
  <c r="AP14" i="26"/>
  <c r="AP16" i="26"/>
  <c r="AO17" i="1"/>
  <c r="AO16" i="26"/>
  <c r="AN17" i="1"/>
  <c r="J194" i="37"/>
  <c r="F43" i="1"/>
  <c r="F45" i="1"/>
  <c r="F46" i="1"/>
  <c r="F48" i="1"/>
  <c r="G4" i="14"/>
  <c r="G9" i="14"/>
  <c r="N6" i="5"/>
  <c r="L29" i="10"/>
  <c r="K16" i="37"/>
  <c r="K22" i="37"/>
  <c r="K58" i="37"/>
  <c r="K10" i="37"/>
  <c r="K12" i="37"/>
  <c r="K21" i="37"/>
  <c r="K9" i="37"/>
  <c r="K11" i="37"/>
  <c r="K195" i="37"/>
  <c r="K52" i="37"/>
  <c r="K40" i="37"/>
  <c r="K57" i="37"/>
  <c r="K39" i="37"/>
  <c r="K51" i="37"/>
  <c r="K34" i="37"/>
  <c r="K45" i="37"/>
  <c r="K33" i="37"/>
  <c r="K64" i="37"/>
  <c r="K27" i="37"/>
  <c r="K15" i="37"/>
  <c r="K28" i="37"/>
  <c r="K63" i="37"/>
  <c r="K46" i="37"/>
  <c r="G43" i="1"/>
  <c r="G45" i="1"/>
  <c r="G46" i="1"/>
  <c r="G48" i="1"/>
  <c r="H4" i="14"/>
  <c r="K194" i="37"/>
  <c r="O6" i="5"/>
  <c r="M29" i="10"/>
  <c r="L33" i="37"/>
  <c r="L40" i="37"/>
  <c r="L21" i="37"/>
  <c r="L28" i="37"/>
  <c r="L57" i="37"/>
  <c r="L63" i="37"/>
  <c r="L39" i="37"/>
  <c r="L52" i="37"/>
  <c r="L34" i="37"/>
  <c r="L58" i="37"/>
  <c r="L27" i="37"/>
  <c r="L45" i="37"/>
  <c r="L15" i="37"/>
  <c r="L17" i="37"/>
  <c r="L195" i="37"/>
  <c r="L22" i="37"/>
  <c r="L70" i="37"/>
  <c r="L69" i="37"/>
  <c r="L16" i="37"/>
  <c r="L18" i="37"/>
  <c r="L64" i="37"/>
  <c r="L51" i="37"/>
  <c r="L46" i="37"/>
  <c r="N29" i="10"/>
  <c r="P6" i="5"/>
  <c r="M22" i="37"/>
  <c r="M24" i="37"/>
  <c r="M69" i="37"/>
  <c r="M58" i="37"/>
  <c r="M40" i="37"/>
  <c r="M28" i="37"/>
  <c r="M52" i="37"/>
  <c r="M63" i="37"/>
  <c r="M45" i="37"/>
  <c r="M21" i="37"/>
  <c r="M23" i="37"/>
  <c r="M195" i="37"/>
  <c r="M57" i="37"/>
  <c r="M39" i="37"/>
  <c r="M34" i="37"/>
  <c r="M51" i="37"/>
  <c r="M64" i="37"/>
  <c r="M70" i="37"/>
  <c r="M27" i="37"/>
  <c r="M33" i="37"/>
  <c r="M76" i="37"/>
  <c r="M75" i="37"/>
  <c r="M46" i="37"/>
  <c r="L194" i="37"/>
  <c r="M194" i="37"/>
  <c r="N51" i="37"/>
  <c r="N58" i="37"/>
  <c r="N76" i="37"/>
  <c r="N57" i="37"/>
  <c r="N63" i="37"/>
  <c r="N33" i="37"/>
  <c r="N69" i="37"/>
  <c r="N39" i="37"/>
  <c r="N45" i="37"/>
  <c r="N27" i="37"/>
  <c r="N29" i="37"/>
  <c r="N195" i="37"/>
  <c r="N64" i="37"/>
  <c r="N40" i="37"/>
  <c r="N28" i="37"/>
  <c r="N30" i="37"/>
  <c r="N34" i="37"/>
  <c r="N75" i="37"/>
  <c r="N52" i="37"/>
  <c r="N70" i="37"/>
  <c r="N81" i="37"/>
  <c r="N46" i="37"/>
  <c r="N82" i="37"/>
  <c r="O29" i="10"/>
  <c r="Q6" i="5"/>
  <c r="P29" i="10"/>
  <c r="R6" i="5"/>
  <c r="O64" i="37"/>
  <c r="O52" i="37"/>
  <c r="O82" i="37"/>
  <c r="O40" i="37"/>
  <c r="O39" i="37"/>
  <c r="O45" i="37"/>
  <c r="O34" i="37"/>
  <c r="O36" i="37"/>
  <c r="O70" i="37"/>
  <c r="O58" i="37"/>
  <c r="O57" i="37"/>
  <c r="O33" i="37"/>
  <c r="O35" i="37"/>
  <c r="O195" i="37"/>
  <c r="O81" i="37"/>
  <c r="O63" i="37"/>
  <c r="O69" i="37"/>
  <c r="O76" i="37"/>
  <c r="O75" i="37"/>
  <c r="O51" i="37"/>
  <c r="O88" i="37"/>
  <c r="O87" i="37"/>
  <c r="O46" i="37"/>
  <c r="N194" i="37"/>
  <c r="S6" i="5"/>
  <c r="Q29" i="10"/>
  <c r="P81" i="37"/>
  <c r="P63" i="37"/>
  <c r="P64" i="37"/>
  <c r="P40" i="37"/>
  <c r="P42" i="37"/>
  <c r="P57" i="37"/>
  <c r="P87" i="37"/>
  <c r="P82" i="37"/>
  <c r="P69" i="37"/>
  <c r="P76" i="37"/>
  <c r="P58" i="37"/>
  <c r="P94" i="37"/>
  <c r="P51" i="37"/>
  <c r="P75" i="37"/>
  <c r="P88" i="37"/>
  <c r="P39" i="37"/>
  <c r="P41" i="37"/>
  <c r="P195" i="37"/>
  <c r="P52" i="37"/>
  <c r="P70" i="37"/>
  <c r="P45" i="37"/>
  <c r="P93" i="37"/>
  <c r="P46" i="37"/>
  <c r="O194" i="37"/>
  <c r="R29" i="10"/>
  <c r="T6" i="5"/>
  <c r="P194" i="37"/>
  <c r="Q63" i="37"/>
  <c r="Q51" i="37"/>
  <c r="Q82" i="37"/>
  <c r="Q88" i="37"/>
  <c r="Q64" i="37"/>
  <c r="Q87" i="37"/>
  <c r="Q81" i="37"/>
  <c r="Q75" i="37"/>
  <c r="Q94" i="37"/>
  <c r="Q45" i="37"/>
  <c r="Q47" i="37"/>
  <c r="Q195" i="37"/>
  <c r="Q69" i="37"/>
  <c r="Q76" i="37"/>
  <c r="Q57" i="37"/>
  <c r="Q70" i="37"/>
  <c r="Q58" i="37"/>
  <c r="Q93" i="37"/>
  <c r="Q100" i="37"/>
  <c r="Q52" i="37"/>
  <c r="Q99" i="37"/>
  <c r="Q46" i="37"/>
  <c r="S29" i="10"/>
  <c r="U6" i="5"/>
  <c r="R82" i="37"/>
  <c r="R75" i="37"/>
  <c r="R51" i="37"/>
  <c r="R53" i="37"/>
  <c r="R195" i="37"/>
  <c r="R88" i="37"/>
  <c r="R64" i="37"/>
  <c r="R58" i="37"/>
  <c r="R76" i="37"/>
  <c r="R100" i="37"/>
  <c r="R81" i="37"/>
  <c r="R57" i="37"/>
  <c r="R69" i="37"/>
  <c r="R87" i="37"/>
  <c r="R99" i="37"/>
  <c r="R70" i="37"/>
  <c r="R93" i="37"/>
  <c r="R94" i="37"/>
  <c r="R63" i="37"/>
  <c r="R105" i="37"/>
  <c r="R106" i="37"/>
  <c r="R52" i="37"/>
  <c r="Q194" i="37"/>
  <c r="Q48" i="37"/>
  <c r="S94" i="37"/>
  <c r="S75" i="37"/>
  <c r="S70" i="37"/>
  <c r="S105" i="37"/>
  <c r="S93" i="37"/>
  <c r="S88" i="37"/>
  <c r="S87" i="37"/>
  <c r="S63" i="37"/>
  <c r="S69" i="37"/>
  <c r="S57" i="37"/>
  <c r="S59" i="37"/>
  <c r="S195" i="37"/>
  <c r="S100" i="37"/>
  <c r="S106" i="37"/>
  <c r="S64" i="37"/>
  <c r="S81" i="37"/>
  <c r="S76" i="37"/>
  <c r="S99" i="37"/>
  <c r="S111" i="37"/>
  <c r="S82" i="37"/>
  <c r="S112" i="37"/>
  <c r="S58" i="37"/>
  <c r="R194" i="37"/>
  <c r="R54" i="37"/>
  <c r="T29" i="10"/>
  <c r="V6" i="5"/>
  <c r="W6" i="5"/>
  <c r="U29" i="10"/>
  <c r="S194" i="37"/>
  <c r="S60" i="37"/>
  <c r="T82" i="37"/>
  <c r="T105" i="37"/>
  <c r="T81" i="37"/>
  <c r="T87" i="37"/>
  <c r="T75" i="37"/>
  <c r="T94" i="37"/>
  <c r="T111" i="37"/>
  <c r="T63" i="37"/>
  <c r="T65" i="37"/>
  <c r="T195" i="37"/>
  <c r="T69" i="37"/>
  <c r="T93" i="37"/>
  <c r="T70" i="37"/>
  <c r="T88" i="37"/>
  <c r="T106" i="37"/>
  <c r="T117" i="37"/>
  <c r="T76" i="37"/>
  <c r="T100" i="37"/>
  <c r="T112" i="37"/>
  <c r="T99" i="37"/>
  <c r="T118" i="37"/>
  <c r="T64" i="37"/>
  <c r="T194" i="37"/>
  <c r="T66" i="37"/>
  <c r="X6" i="5"/>
  <c r="V29" i="10"/>
  <c r="U94" i="37"/>
  <c r="U118" i="37"/>
  <c r="U106" i="37"/>
  <c r="U111" i="37"/>
  <c r="U105" i="37"/>
  <c r="U88" i="37"/>
  <c r="U99" i="37"/>
  <c r="U93" i="37"/>
  <c r="U76" i="37"/>
  <c r="U117" i="37"/>
  <c r="U87" i="37"/>
  <c r="U82" i="37"/>
  <c r="U69" i="37"/>
  <c r="U71" i="37"/>
  <c r="U195" i="37"/>
  <c r="U112" i="37"/>
  <c r="U81" i="37"/>
  <c r="U100" i="37"/>
  <c r="U75" i="37"/>
  <c r="U124" i="37"/>
  <c r="U123" i="37"/>
  <c r="U70" i="37"/>
  <c r="Y6" i="5"/>
  <c r="W29" i="10"/>
  <c r="V123" i="37"/>
  <c r="V105" i="37"/>
  <c r="V112" i="37"/>
  <c r="V118" i="37"/>
  <c r="V106" i="37"/>
  <c r="V88" i="37"/>
  <c r="V99" i="37"/>
  <c r="V111" i="37"/>
  <c r="V94" i="37"/>
  <c r="V87" i="37"/>
  <c r="V93" i="37"/>
  <c r="V75" i="37"/>
  <c r="V77" i="37"/>
  <c r="V195" i="37"/>
  <c r="V81" i="37"/>
  <c r="V124" i="37"/>
  <c r="V100" i="37"/>
  <c r="V117" i="37"/>
  <c r="V130" i="37"/>
  <c r="V82" i="37"/>
  <c r="V129" i="37"/>
  <c r="V76" i="37"/>
  <c r="U194" i="37"/>
  <c r="U72" i="37"/>
  <c r="X29" i="10"/>
  <c r="Z6" i="5"/>
  <c r="W124" i="37"/>
  <c r="W94" i="37"/>
  <c r="W129" i="37"/>
  <c r="W105" i="37"/>
  <c r="W93" i="37"/>
  <c r="W130" i="37"/>
  <c r="W111" i="37"/>
  <c r="W87" i="37"/>
  <c r="W81" i="37"/>
  <c r="W83" i="37"/>
  <c r="W195" i="37"/>
  <c r="W123" i="37"/>
  <c r="W112" i="37"/>
  <c r="W99" i="37"/>
  <c r="W117" i="37"/>
  <c r="W100" i="37"/>
  <c r="W106" i="37"/>
  <c r="W88" i="37"/>
  <c r="W118" i="37"/>
  <c r="W135" i="37"/>
  <c r="W136" i="37"/>
  <c r="W82" i="37"/>
  <c r="V194" i="37"/>
  <c r="V78" i="37"/>
  <c r="AA6" i="5"/>
  <c r="Y29" i="10"/>
  <c r="W194" i="37"/>
  <c r="W84" i="37"/>
  <c r="X136" i="37"/>
  <c r="X111" i="37"/>
  <c r="X129" i="37"/>
  <c r="X94" i="37"/>
  <c r="X118" i="37"/>
  <c r="X87" i="37"/>
  <c r="X89" i="37"/>
  <c r="X195" i="37"/>
  <c r="X99" i="37"/>
  <c r="X112" i="37"/>
  <c r="X130" i="37"/>
  <c r="X117" i="37"/>
  <c r="X124" i="37"/>
  <c r="X100" i="37"/>
  <c r="X93" i="37"/>
  <c r="X123" i="37"/>
  <c r="X135" i="37"/>
  <c r="X105" i="37"/>
  <c r="X106" i="37"/>
  <c r="X142" i="37"/>
  <c r="X141" i="37"/>
  <c r="X88" i="37"/>
  <c r="X194" i="37"/>
  <c r="X90" i="37"/>
  <c r="Y106" i="37"/>
  <c r="Y105" i="37"/>
  <c r="Y99" i="37"/>
  <c r="Y124" i="37"/>
  <c r="Y111" i="37"/>
  <c r="Y117" i="37"/>
  <c r="Y129" i="37"/>
  <c r="Y112" i="37"/>
  <c r="Y100" i="37"/>
  <c r="Y141" i="37"/>
  <c r="Y130" i="37"/>
  <c r="Y118" i="37"/>
  <c r="Y136" i="37"/>
  <c r="Y93" i="37"/>
  <c r="Y95" i="37"/>
  <c r="Y195" i="37"/>
  <c r="Y123" i="37"/>
  <c r="Y142" i="37"/>
  <c r="Y135" i="37"/>
  <c r="Y147" i="37"/>
  <c r="Y94" i="37"/>
  <c r="Y148" i="37"/>
  <c r="Z29" i="10"/>
  <c r="AB6" i="5"/>
  <c r="Z112" i="37"/>
  <c r="Z135" i="37"/>
  <c r="Z99" i="37"/>
  <c r="Z101" i="37"/>
  <c r="Z195" i="37"/>
  <c r="Z142" i="37"/>
  <c r="Z105" i="37"/>
  <c r="Z136" i="37"/>
  <c r="Z141" i="37"/>
  <c r="Z124" i="37"/>
  <c r="Z118" i="37"/>
  <c r="Z123" i="37"/>
  <c r="Z129" i="37"/>
  <c r="Z117" i="37"/>
  <c r="Z106" i="37"/>
  <c r="Z111" i="37"/>
  <c r="Z130" i="37"/>
  <c r="Z154" i="37"/>
  <c r="Z147" i="37"/>
  <c r="Z148" i="37"/>
  <c r="Z153" i="37"/>
  <c r="Z100" i="37"/>
  <c r="AC6" i="5"/>
  <c r="AA29" i="10"/>
  <c r="Y194" i="37"/>
  <c r="Y96" i="37"/>
  <c r="AA129" i="37"/>
  <c r="AA123" i="37"/>
  <c r="AA124" i="37"/>
  <c r="AA111" i="37"/>
  <c r="AA148" i="37"/>
  <c r="AA118" i="37"/>
  <c r="AA153" i="37"/>
  <c r="AA130" i="37"/>
  <c r="AA154" i="37"/>
  <c r="AA117" i="37"/>
  <c r="AA135" i="37"/>
  <c r="AA105" i="37"/>
  <c r="AA107" i="37"/>
  <c r="AA195" i="37"/>
  <c r="AA141" i="37"/>
  <c r="AA147" i="37"/>
  <c r="AA136" i="37"/>
  <c r="AA112" i="37"/>
  <c r="AA142" i="37"/>
  <c r="AA159" i="37"/>
  <c r="AA160" i="37"/>
  <c r="AA106" i="37"/>
  <c r="AB29" i="10"/>
  <c r="AD6" i="5"/>
  <c r="Z194" i="37"/>
  <c r="Z102" i="37"/>
  <c r="AE6" i="5"/>
  <c r="AC29" i="10"/>
  <c r="AB148" i="37"/>
  <c r="AB117" i="37"/>
  <c r="AB147" i="37"/>
  <c r="AB130" i="37"/>
  <c r="AB111" i="37"/>
  <c r="AB113" i="37"/>
  <c r="AB195" i="37"/>
  <c r="AB160" i="37"/>
  <c r="AB124" i="37"/>
  <c r="AB135" i="37"/>
  <c r="AB118" i="37"/>
  <c r="AB153" i="37"/>
  <c r="AB154" i="37"/>
  <c r="AB141" i="37"/>
  <c r="AB159" i="37"/>
  <c r="AB136" i="37"/>
  <c r="AB129" i="37"/>
  <c r="AB142" i="37"/>
  <c r="AB166" i="37"/>
  <c r="AB123" i="37"/>
  <c r="AB112" i="37"/>
  <c r="AB165" i="37"/>
  <c r="AA194" i="37"/>
  <c r="AA108" i="37"/>
  <c r="AF6" i="5"/>
  <c r="AD29" i="10"/>
  <c r="AC117" i="37"/>
  <c r="AC119" i="37"/>
  <c r="AC195" i="37"/>
  <c r="AC141" i="37"/>
  <c r="AC130" i="37"/>
  <c r="AC153" i="37"/>
  <c r="AC165" i="37"/>
  <c r="AC166" i="37"/>
  <c r="AC154" i="37"/>
  <c r="AC147" i="37"/>
  <c r="AC142" i="37"/>
  <c r="AC148" i="37"/>
  <c r="AC172" i="37"/>
  <c r="AC136" i="37"/>
  <c r="AC124" i="37"/>
  <c r="AC135" i="37"/>
  <c r="AC159" i="37"/>
  <c r="AC160" i="37"/>
  <c r="AC129" i="37"/>
  <c r="AC123" i="37"/>
  <c r="AC118" i="37"/>
  <c r="AC171" i="37"/>
  <c r="AB194" i="37"/>
  <c r="AB114" i="37"/>
  <c r="AC194" i="37"/>
  <c r="AC120" i="37"/>
  <c r="AD148" i="37"/>
  <c r="AD154" i="37"/>
  <c r="AD159" i="37"/>
  <c r="AD172" i="37"/>
  <c r="AD160" i="37"/>
  <c r="AD135" i="37"/>
  <c r="AD171" i="37"/>
  <c r="AD130" i="37"/>
  <c r="AD166" i="37"/>
  <c r="AD136" i="37"/>
  <c r="AD165" i="37"/>
  <c r="AD142" i="37"/>
  <c r="AD153" i="37"/>
  <c r="AD147" i="37"/>
  <c r="AD141" i="37"/>
  <c r="AD123" i="37"/>
  <c r="AD125" i="37"/>
  <c r="AD195" i="37"/>
  <c r="AD129" i="37"/>
  <c r="AD178" i="37"/>
  <c r="AD177" i="37"/>
  <c r="AD124" i="37"/>
  <c r="AE29" i="10"/>
  <c r="AG6" i="5"/>
  <c r="AH6" i="5"/>
  <c r="AF29" i="10"/>
  <c r="AE154" i="37"/>
  <c r="AE142" i="37"/>
  <c r="AE171" i="37"/>
  <c r="AE166" i="37"/>
  <c r="AE160" i="37"/>
  <c r="AE178" i="37"/>
  <c r="AE172" i="37"/>
  <c r="AE141" i="37"/>
  <c r="AE148" i="37"/>
  <c r="AE165" i="37"/>
  <c r="AE159" i="37"/>
  <c r="AE177" i="37"/>
  <c r="AE153" i="37"/>
  <c r="AE147" i="37"/>
  <c r="AE136" i="37"/>
  <c r="AE129" i="37"/>
  <c r="AE131" i="37"/>
  <c r="AE195" i="37"/>
  <c r="AE183" i="37"/>
  <c r="AE135" i="37"/>
  <c r="AE184" i="37"/>
  <c r="AE130" i="37"/>
  <c r="AD194" i="37"/>
  <c r="AD126" i="37"/>
  <c r="AG29" i="10"/>
  <c r="AI6" i="5"/>
  <c r="AF141" i="37"/>
  <c r="AF171" i="37"/>
  <c r="AF183" i="37"/>
  <c r="AF160" i="37"/>
  <c r="AF159" i="37"/>
  <c r="AF166" i="37"/>
  <c r="AF177" i="37"/>
  <c r="AF178" i="37"/>
  <c r="AF172" i="37"/>
  <c r="AF135" i="37"/>
  <c r="AF137" i="37"/>
  <c r="AF195" i="37"/>
  <c r="AF184" i="37"/>
  <c r="AF142" i="37"/>
  <c r="AF165" i="37"/>
  <c r="AF154" i="37"/>
  <c r="AF148" i="37"/>
  <c r="AF153" i="37"/>
  <c r="AF147" i="37"/>
  <c r="AF189" i="37"/>
  <c r="AF190" i="37"/>
  <c r="AF136" i="37"/>
  <c r="AE194" i="37"/>
  <c r="AE132" i="37"/>
  <c r="AJ6" i="5"/>
  <c r="AH29" i="10"/>
  <c r="AF194" i="37"/>
  <c r="AF138" i="37"/>
  <c r="AG190" i="37"/>
  <c r="AG172" i="37"/>
  <c r="AG154" i="37"/>
  <c r="AG189" i="37"/>
  <c r="AG166" i="37"/>
  <c r="AG171" i="37"/>
  <c r="AG183" i="37"/>
  <c r="AG159" i="37"/>
  <c r="AG184" i="37"/>
  <c r="AG153" i="37"/>
  <c r="AG165" i="37"/>
  <c r="AG178" i="37"/>
  <c r="AG148" i="37"/>
  <c r="AG177" i="37"/>
  <c r="AG141" i="37"/>
  <c r="AG143" i="37"/>
  <c r="AG195" i="37"/>
  <c r="AG147" i="37"/>
  <c r="AG142" i="37"/>
  <c r="AG160" i="37"/>
  <c r="AG194" i="37"/>
  <c r="AG144" i="37"/>
  <c r="AH159" i="37"/>
  <c r="AH171" i="37"/>
  <c r="AH172" i="37"/>
  <c r="AH178" i="37"/>
  <c r="AH154" i="37"/>
  <c r="AH189" i="37"/>
  <c r="AH183" i="37"/>
  <c r="AH160" i="37"/>
  <c r="AH165" i="37"/>
  <c r="AH153" i="37"/>
  <c r="AH184" i="37"/>
  <c r="AH190" i="37"/>
  <c r="AH147" i="37"/>
  <c r="AH149" i="37"/>
  <c r="AH195" i="37"/>
  <c r="AH166" i="37"/>
  <c r="AH177" i="37"/>
  <c r="AH148" i="37"/>
  <c r="AK6" i="5"/>
  <c r="AI29" i="10"/>
  <c r="AJ29" i="10"/>
  <c r="AK29" i="10"/>
  <c r="AL29" i="10"/>
  <c r="AM29" i="10"/>
  <c r="AN29" i="10"/>
  <c r="AO29" i="10"/>
  <c r="AL171" i="37"/>
  <c r="AL177" i="37"/>
  <c r="AL178" i="37"/>
  <c r="AL189" i="37"/>
  <c r="AL183" i="37"/>
  <c r="AL184" i="37"/>
  <c r="AL190" i="37"/>
  <c r="AL172" i="37"/>
  <c r="AH194" i="37"/>
  <c r="AH150" i="37"/>
  <c r="AM184" i="37"/>
  <c r="AM177" i="37"/>
  <c r="AM189" i="37"/>
  <c r="AM190" i="37"/>
  <c r="AM183" i="37"/>
  <c r="AM178" i="37"/>
  <c r="AO189" i="37"/>
  <c r="AO190" i="37"/>
  <c r="AO194" i="37"/>
  <c r="AN190" i="37"/>
  <c r="AN183" i="37"/>
  <c r="AN189" i="37"/>
  <c r="AN184" i="37"/>
  <c r="AI153" i="37"/>
  <c r="AI155" i="37"/>
  <c r="AI195" i="37"/>
  <c r="AI165" i="37"/>
  <c r="AI190" i="37"/>
  <c r="AI183" i="37"/>
  <c r="AI159" i="37"/>
  <c r="AI184" i="37"/>
  <c r="AI177" i="37"/>
  <c r="AI172" i="37"/>
  <c r="AI166" i="37"/>
  <c r="AI160" i="37"/>
  <c r="AI171" i="37"/>
  <c r="AI178" i="37"/>
  <c r="AI189" i="37"/>
  <c r="AI154" i="37"/>
  <c r="AJ171" i="37"/>
  <c r="AJ166" i="37"/>
  <c r="AJ183" i="37"/>
  <c r="AJ159" i="37"/>
  <c r="AJ172" i="37"/>
  <c r="AJ189" i="37"/>
  <c r="AJ184" i="37"/>
  <c r="AJ190" i="37"/>
  <c r="AJ178" i="37"/>
  <c r="AJ165" i="37"/>
  <c r="AJ177" i="37"/>
  <c r="AJ160" i="37"/>
  <c r="AK184" i="37"/>
  <c r="AK183" i="37"/>
  <c r="AK178" i="37"/>
  <c r="AK165" i="37"/>
  <c r="AK172" i="37"/>
  <c r="AK171" i="37"/>
  <c r="AK189" i="37"/>
  <c r="AK190" i="37"/>
  <c r="AK177" i="37"/>
  <c r="AK166" i="37"/>
  <c r="AL6" i="5"/>
  <c r="AN194" i="37"/>
  <c r="AJ161" i="37"/>
  <c r="AJ195" i="37"/>
  <c r="AO192" i="37"/>
  <c r="AK167" i="37"/>
  <c r="AK195" i="37"/>
  <c r="AO191" i="37"/>
  <c r="AO195" i="37"/>
  <c r="AL173" i="37"/>
  <c r="AL195" i="37"/>
  <c r="AN185" i="37"/>
  <c r="AN195" i="37"/>
  <c r="AM180" i="37"/>
  <c r="AJ194" i="37"/>
  <c r="AJ162" i="37"/>
  <c r="AI194" i="37"/>
  <c r="AI156" i="37"/>
  <c r="AL194" i="37"/>
  <c r="AL174" i="37"/>
  <c r="AN186" i="37"/>
  <c r="AK194" i="37"/>
  <c r="AK168" i="37"/>
  <c r="AM194" i="37"/>
  <c r="AM179" i="37"/>
  <c r="AM195" i="37"/>
  <c r="AM6" i="5"/>
  <c r="AN6" i="5"/>
  <c r="AO6" i="5"/>
  <c r="AO25" i="3"/>
  <c r="AP6" i="5"/>
  <c r="AQ6" i="5"/>
  <c r="AM11" i="32"/>
  <c r="AM27" i="32"/>
  <c r="AT258" i="32"/>
  <c r="AM34" i="32"/>
  <c r="AM258" i="32"/>
  <c r="AM265" i="32"/>
  <c r="AO258" i="32"/>
  <c r="AS258" i="32"/>
  <c r="AR258" i="32"/>
  <c r="AP258" i="32"/>
  <c r="AQ258" i="32"/>
  <c r="AN258" i="32"/>
  <c r="AN296" i="32"/>
  <c r="AM36" i="32"/>
  <c r="AQ296" i="32"/>
  <c r="AP296" i="32"/>
  <c r="AR296" i="32"/>
  <c r="AM296" i="32"/>
  <c r="AM303" i="32"/>
  <c r="AO296" i="32"/>
  <c r="AZ372" i="32"/>
  <c r="AW372" i="32"/>
  <c r="AO372" i="32"/>
  <c r="AY372" i="32"/>
  <c r="BB372" i="32"/>
  <c r="AX372" i="32"/>
  <c r="AR372" i="32"/>
  <c r="AT372" i="32"/>
  <c r="AS372" i="32"/>
  <c r="AM372" i="32"/>
  <c r="AM379" i="32"/>
  <c r="AM334" i="32"/>
  <c r="AM341" i="32"/>
  <c r="AM71" i="32"/>
  <c r="AM40" i="32"/>
  <c r="BA372" i="32"/>
  <c r="AP372" i="32"/>
  <c r="AV372" i="32"/>
  <c r="AQ372" i="32"/>
  <c r="AN372" i="32"/>
  <c r="AU372" i="32"/>
  <c r="AN11" i="32"/>
  <c r="AN27" i="32"/>
  <c r="AM38" i="32"/>
  <c r="AN334" i="32"/>
  <c r="AP334" i="32"/>
  <c r="AR334" i="32"/>
  <c r="AO334" i="32"/>
  <c r="AQ334" i="32"/>
  <c r="AO11" i="32"/>
  <c r="AO27" i="32"/>
  <c r="AN34" i="32"/>
  <c r="AQ259" i="32"/>
  <c r="AN259" i="32"/>
  <c r="AU259" i="32"/>
  <c r="AO259" i="32"/>
  <c r="AR259" i="32"/>
  <c r="AS259" i="32"/>
  <c r="AT259" i="32"/>
  <c r="AT105" i="32"/>
  <c r="AU105" i="32"/>
  <c r="AV105" i="32"/>
  <c r="AW105" i="32"/>
  <c r="AX105" i="32"/>
  <c r="AY105" i="32"/>
  <c r="AZ105" i="32"/>
  <c r="BA105" i="32"/>
  <c r="BB105" i="32"/>
  <c r="BC105" i="32"/>
  <c r="BD105" i="32"/>
  <c r="BE105" i="32"/>
  <c r="BF105" i="32"/>
  <c r="BG105" i="32"/>
  <c r="BH105" i="32"/>
  <c r="BI105" i="32"/>
  <c r="BJ105" i="32"/>
  <c r="BK105" i="32"/>
  <c r="BL105" i="32"/>
  <c r="BM105" i="32"/>
  <c r="BN105" i="32"/>
  <c r="BO105" i="32"/>
  <c r="BP105" i="32"/>
  <c r="BQ105" i="32"/>
  <c r="BR105" i="32"/>
  <c r="BS105" i="32"/>
  <c r="BT105" i="32"/>
  <c r="BU105" i="32"/>
  <c r="BV105" i="32"/>
  <c r="BW105" i="32"/>
  <c r="BX105" i="32"/>
  <c r="AP259" i="32"/>
  <c r="AR373" i="32"/>
  <c r="AS373" i="32"/>
  <c r="AW373" i="32"/>
  <c r="AT373" i="32"/>
  <c r="AY373" i="32"/>
  <c r="BA373" i="32"/>
  <c r="AZ373" i="32"/>
  <c r="AO373" i="32"/>
  <c r="BC373" i="32"/>
  <c r="AU373" i="32"/>
  <c r="AQ373" i="32"/>
  <c r="AN40" i="32"/>
  <c r="AV373" i="32"/>
  <c r="BB373" i="32"/>
  <c r="AX373" i="32"/>
  <c r="AN373" i="32"/>
  <c r="AN379" i="32"/>
  <c r="AP373" i="32"/>
  <c r="AT219" i="32"/>
  <c r="AU219" i="32"/>
  <c r="AO335" i="32"/>
  <c r="AN335" i="32"/>
  <c r="AQ335" i="32"/>
  <c r="AN38" i="32"/>
  <c r="AS335" i="32"/>
  <c r="AP335" i="32"/>
  <c r="AR335" i="32"/>
  <c r="AM42" i="32"/>
  <c r="AN265" i="32"/>
  <c r="AP297" i="32"/>
  <c r="AN36" i="32"/>
  <c r="AQ297" i="32"/>
  <c r="AN297" i="32"/>
  <c r="AN303" i="32"/>
  <c r="AO297" i="32"/>
  <c r="AS297" i="32"/>
  <c r="AR297" i="32"/>
  <c r="AT143" i="32"/>
  <c r="AU143" i="32"/>
  <c r="AN341" i="32"/>
  <c r="AN71" i="32"/>
  <c r="BA374" i="32"/>
  <c r="AW374" i="32"/>
  <c r="AP374" i="32"/>
  <c r="BC374" i="32"/>
  <c r="AR374" i="32"/>
  <c r="AQ374" i="32"/>
  <c r="BD374" i="32"/>
  <c r="AS374" i="32"/>
  <c r="AX374" i="32"/>
  <c r="AU374" i="32"/>
  <c r="AZ374" i="32"/>
  <c r="AY374" i="32"/>
  <c r="AO40" i="32"/>
  <c r="AT220" i="32"/>
  <c r="AU220" i="32"/>
  <c r="AV220" i="32"/>
  <c r="AV374" i="32"/>
  <c r="AO374" i="32"/>
  <c r="AO379" i="32"/>
  <c r="BB374" i="32"/>
  <c r="AT374" i="32"/>
  <c r="AR336" i="32"/>
  <c r="AO336" i="32"/>
  <c r="AO341" i="32"/>
  <c r="AQ336" i="32"/>
  <c r="AO38" i="32"/>
  <c r="AS336" i="32"/>
  <c r="AT336" i="32"/>
  <c r="AP336" i="32"/>
  <c r="AP11" i="32"/>
  <c r="AP27" i="32"/>
  <c r="AM70" i="32"/>
  <c r="AQ298" i="32"/>
  <c r="AS298" i="32"/>
  <c r="AO298" i="32"/>
  <c r="AO303" i="32"/>
  <c r="AT298" i="32"/>
  <c r="AP298" i="32"/>
  <c r="AR298" i="32"/>
  <c r="AO36" i="32"/>
  <c r="AT144" i="32"/>
  <c r="AU144" i="32"/>
  <c r="AV144" i="32"/>
  <c r="AN42" i="32"/>
  <c r="AV260" i="32"/>
  <c r="AQ260" i="32"/>
  <c r="AO34" i="32"/>
  <c r="AR260" i="32"/>
  <c r="AT260" i="32"/>
  <c r="AO260" i="32"/>
  <c r="AO265" i="32"/>
  <c r="AS260" i="32"/>
  <c r="AP260" i="32"/>
  <c r="AU260" i="32"/>
  <c r="AT106" i="32"/>
  <c r="AU106" i="32"/>
  <c r="AV106" i="32"/>
  <c r="AW106" i="32"/>
  <c r="AX106" i="32"/>
  <c r="AY106" i="32"/>
  <c r="AZ106" i="32"/>
  <c r="BA106" i="32"/>
  <c r="BB106" i="32"/>
  <c r="BC106" i="32"/>
  <c r="BD106" i="32"/>
  <c r="BE106" i="32"/>
  <c r="BF106" i="32"/>
  <c r="BG106" i="32"/>
  <c r="BH106" i="32"/>
  <c r="BI106" i="32"/>
  <c r="BJ106" i="32"/>
  <c r="BK106" i="32"/>
  <c r="BL106" i="32"/>
  <c r="BM106" i="32"/>
  <c r="BN106" i="32"/>
  <c r="BO106" i="32"/>
  <c r="BP106" i="32"/>
  <c r="BQ106" i="32"/>
  <c r="BR106" i="32"/>
  <c r="BS106" i="32"/>
  <c r="BT106" i="32"/>
  <c r="BU106" i="32"/>
  <c r="BV106" i="32"/>
  <c r="BW106" i="32"/>
  <c r="BX106" i="32"/>
  <c r="BY106" i="32"/>
  <c r="AO71" i="32"/>
  <c r="AM24" i="32"/>
  <c r="AI26" i="30"/>
  <c r="AV375" i="32"/>
  <c r="AP40" i="32"/>
  <c r="AY375" i="32"/>
  <c r="BB375" i="32"/>
  <c r="AX375" i="32"/>
  <c r="BD375" i="32"/>
  <c r="AS375" i="32"/>
  <c r="BE375" i="32"/>
  <c r="AW375" i="32"/>
  <c r="AT375" i="32"/>
  <c r="AQ375" i="32"/>
  <c r="AP375" i="32"/>
  <c r="AP379" i="32"/>
  <c r="AU375" i="32"/>
  <c r="BA375" i="32"/>
  <c r="AR375" i="32"/>
  <c r="BC375" i="32"/>
  <c r="AT221" i="32"/>
  <c r="AU221" i="32"/>
  <c r="AV221" i="32"/>
  <c r="AW221" i="32"/>
  <c r="AZ375" i="32"/>
  <c r="AS299" i="32"/>
  <c r="AP36" i="32"/>
  <c r="AQ299" i="32"/>
  <c r="AT299" i="32"/>
  <c r="AU299" i="32"/>
  <c r="AR299" i="32"/>
  <c r="AP299" i="32"/>
  <c r="AP303" i="32"/>
  <c r="AT145" i="32"/>
  <c r="AU145" i="32"/>
  <c r="AV145" i="32"/>
  <c r="AW145" i="32"/>
  <c r="AO42" i="32"/>
  <c r="AR337" i="32"/>
  <c r="AT337" i="32"/>
  <c r="AP38" i="32"/>
  <c r="AQ337" i="32"/>
  <c r="AS337" i="32"/>
  <c r="AP337" i="32"/>
  <c r="AP341" i="32"/>
  <c r="AU337" i="32"/>
  <c r="AR261" i="32"/>
  <c r="AT261" i="32"/>
  <c r="AW261" i="32"/>
  <c r="AU261" i="32"/>
  <c r="AQ261" i="32"/>
  <c r="AV261" i="32"/>
  <c r="AS261" i="32"/>
  <c r="AP261" i="32"/>
  <c r="AP265" i="32"/>
  <c r="AP34" i="32"/>
  <c r="AT107" i="32"/>
  <c r="AU107" i="32"/>
  <c r="AV107" i="32"/>
  <c r="AW107" i="32"/>
  <c r="AX107" i="32"/>
  <c r="AY107" i="32"/>
  <c r="AZ107" i="32"/>
  <c r="BA107" i="32"/>
  <c r="BB107" i="32"/>
  <c r="BC107" i="32"/>
  <c r="BD107" i="32"/>
  <c r="BE107" i="32"/>
  <c r="BF107" i="32"/>
  <c r="BG107" i="32"/>
  <c r="BH107" i="32"/>
  <c r="BI107" i="32"/>
  <c r="BJ107" i="32"/>
  <c r="BK107" i="32"/>
  <c r="BL107" i="32"/>
  <c r="BM107" i="32"/>
  <c r="BN107" i="32"/>
  <c r="BO107" i="32"/>
  <c r="BP107" i="32"/>
  <c r="BQ107" i="32"/>
  <c r="BR107" i="32"/>
  <c r="BS107" i="32"/>
  <c r="BT107" i="32"/>
  <c r="BU107" i="32"/>
  <c r="BV107" i="32"/>
  <c r="BW107" i="32"/>
  <c r="BX107" i="32"/>
  <c r="BY107" i="32"/>
  <c r="BZ107" i="32"/>
  <c r="AQ27" i="32"/>
  <c r="AQ11" i="32"/>
  <c r="AQ376" i="32"/>
  <c r="AQ379" i="32"/>
  <c r="BE376" i="32"/>
  <c r="AS376" i="32"/>
  <c r="AV376" i="32"/>
  <c r="BF376" i="32"/>
  <c r="AX376" i="32"/>
  <c r="AU376" i="32"/>
  <c r="AW376" i="32"/>
  <c r="AQ40" i="32"/>
  <c r="AY376" i="32"/>
  <c r="AZ376" i="32"/>
  <c r="AR376" i="32"/>
  <c r="BA376" i="32"/>
  <c r="AT376" i="32"/>
  <c r="AT222" i="32"/>
  <c r="AU222" i="32"/>
  <c r="AV222" i="32"/>
  <c r="AW222" i="32"/>
  <c r="AX222" i="32"/>
  <c r="BC376" i="32"/>
  <c r="BD376" i="32"/>
  <c r="BB376" i="32"/>
  <c r="AP42" i="32"/>
  <c r="AP71" i="32"/>
  <c r="AM28" i="32"/>
  <c r="AM29" i="32"/>
  <c r="AN21" i="32"/>
  <c r="AN70" i="32"/>
  <c r="AR338" i="32"/>
  <c r="AQ38" i="32"/>
  <c r="AS338" i="32"/>
  <c r="AQ338" i="32"/>
  <c r="AQ341" i="32"/>
  <c r="AT338" i="32"/>
  <c r="AU338" i="32"/>
  <c r="AV338" i="32"/>
  <c r="AI17" i="30"/>
  <c r="AR11" i="32"/>
  <c r="AR27" i="32"/>
  <c r="AV262" i="32"/>
  <c r="AU262" i="32"/>
  <c r="AT262" i="32"/>
  <c r="AW262" i="32"/>
  <c r="AQ34" i="32"/>
  <c r="AS262" i="32"/>
  <c r="AR262" i="32"/>
  <c r="AQ262" i="32"/>
  <c r="AQ265" i="32"/>
  <c r="AX262" i="32"/>
  <c r="AT108" i="32"/>
  <c r="AU108" i="32"/>
  <c r="AV108" i="32"/>
  <c r="AW108" i="32"/>
  <c r="AX108" i="32"/>
  <c r="AY108" i="32"/>
  <c r="AZ108" i="32"/>
  <c r="BA108" i="32"/>
  <c r="BB108" i="32"/>
  <c r="BC108" i="32"/>
  <c r="BD108" i="32"/>
  <c r="BE108" i="32"/>
  <c r="BF108" i="32"/>
  <c r="BG108" i="32"/>
  <c r="BH108" i="32"/>
  <c r="BI108" i="32"/>
  <c r="BJ108" i="32"/>
  <c r="BK108" i="32"/>
  <c r="BL108" i="32"/>
  <c r="BM108" i="32"/>
  <c r="BN108" i="32"/>
  <c r="BO108" i="32"/>
  <c r="BP108" i="32"/>
  <c r="BQ108" i="32"/>
  <c r="BR108" i="32"/>
  <c r="BS108" i="32"/>
  <c r="BT108" i="32"/>
  <c r="BU108" i="32"/>
  <c r="BV108" i="32"/>
  <c r="BW108" i="32"/>
  <c r="BX108" i="32"/>
  <c r="BY108" i="32"/>
  <c r="BZ108" i="32"/>
  <c r="CA108" i="32"/>
  <c r="AU300" i="32"/>
  <c r="AR300" i="32"/>
  <c r="AV300" i="32"/>
  <c r="AS300" i="32"/>
  <c r="AQ300" i="32"/>
  <c r="AQ303" i="32"/>
  <c r="AQ36" i="32"/>
  <c r="AT300" i="32"/>
  <c r="AT146" i="32"/>
  <c r="AU146" i="32"/>
  <c r="AV146" i="32"/>
  <c r="AW146" i="32"/>
  <c r="AX146" i="32"/>
  <c r="AS11" i="32"/>
  <c r="AS27" i="32"/>
  <c r="AX377" i="32"/>
  <c r="AT377" i="32"/>
  <c r="BA377" i="32"/>
  <c r="AY377" i="32"/>
  <c r="BB377" i="32"/>
  <c r="AW377" i="32"/>
  <c r="AZ377" i="32"/>
  <c r="AS377" i="32"/>
  <c r="BE377" i="32"/>
  <c r="AV377" i="32"/>
  <c r="AR40" i="32"/>
  <c r="BG377" i="32"/>
  <c r="BD377" i="32"/>
  <c r="AT223" i="32"/>
  <c r="AU223" i="32"/>
  <c r="AV223" i="32"/>
  <c r="AW223" i="32"/>
  <c r="AX223" i="32"/>
  <c r="AY223" i="32"/>
  <c r="AR377" i="32"/>
  <c r="AR379" i="32"/>
  <c r="BC377" i="32"/>
  <c r="AU377" i="32"/>
  <c r="BF377" i="32"/>
  <c r="AN24" i="32"/>
  <c r="AM30" i="32"/>
  <c r="AI16" i="1"/>
  <c r="AQ71" i="32"/>
  <c r="AJ26" i="30"/>
  <c r="AO70" i="32"/>
  <c r="AW301" i="32"/>
  <c r="AU301" i="32"/>
  <c r="AR36" i="32"/>
  <c r="AT301" i="32"/>
  <c r="AR301" i="32"/>
  <c r="AR303" i="32"/>
  <c r="AS301" i="32"/>
  <c r="AV301" i="32"/>
  <c r="AT147" i="32"/>
  <c r="AU147" i="32"/>
  <c r="AV147" i="32"/>
  <c r="AW147" i="32"/>
  <c r="AX147" i="32"/>
  <c r="AY147" i="32"/>
  <c r="AW339" i="32"/>
  <c r="AR339" i="32"/>
  <c r="AR341" i="32"/>
  <c r="AS339" i="32"/>
  <c r="AV339" i="32"/>
  <c r="AT339" i="32"/>
  <c r="AR38" i="32"/>
  <c r="AU339" i="32"/>
  <c r="AT185" i="32"/>
  <c r="AU185" i="32"/>
  <c r="AY263" i="32"/>
  <c r="AW263" i="32"/>
  <c r="AT263" i="32"/>
  <c r="AX263" i="32"/>
  <c r="AU263" i="32"/>
  <c r="AR34" i="32"/>
  <c r="AR263" i="32"/>
  <c r="AR265" i="32"/>
  <c r="AV263" i="32"/>
  <c r="AS263" i="32"/>
  <c r="AT109" i="32"/>
  <c r="AU109" i="32"/>
  <c r="AV109" i="32"/>
  <c r="AW109" i="32"/>
  <c r="AX109" i="32"/>
  <c r="AY109" i="32"/>
  <c r="AZ109" i="32"/>
  <c r="BA109" i="32"/>
  <c r="BB109" i="32"/>
  <c r="BC109" i="32"/>
  <c r="BD109" i="32"/>
  <c r="BE109" i="32"/>
  <c r="BF109" i="32"/>
  <c r="BG109" i="32"/>
  <c r="BH109" i="32"/>
  <c r="BI109" i="32"/>
  <c r="BJ109" i="32"/>
  <c r="BK109" i="32"/>
  <c r="BL109" i="32"/>
  <c r="BM109" i="32"/>
  <c r="BN109" i="32"/>
  <c r="BO109" i="32"/>
  <c r="BP109" i="32"/>
  <c r="BQ109" i="32"/>
  <c r="BR109" i="32"/>
  <c r="BS109" i="32"/>
  <c r="BT109" i="32"/>
  <c r="BU109" i="32"/>
  <c r="BV109" i="32"/>
  <c r="BW109" i="32"/>
  <c r="BX109" i="32"/>
  <c r="BY109" i="32"/>
  <c r="BZ109" i="32"/>
  <c r="CA109" i="32"/>
  <c r="CB109" i="32"/>
  <c r="AQ42" i="32"/>
  <c r="AJ17" i="30"/>
  <c r="AX302" i="32"/>
  <c r="AS302" i="32"/>
  <c r="AV302" i="32"/>
  <c r="AS36" i="32"/>
  <c r="AT302" i="32"/>
  <c r="AW302" i="32"/>
  <c r="AU302" i="32"/>
  <c r="AT148" i="32"/>
  <c r="AU148" i="32"/>
  <c r="AV148" i="32"/>
  <c r="AW148" i="32"/>
  <c r="AX148" i="32"/>
  <c r="AY148" i="32"/>
  <c r="AZ148" i="32"/>
  <c r="AK26" i="30"/>
  <c r="AS340" i="32"/>
  <c r="AS341" i="32"/>
  <c r="AT340" i="32"/>
  <c r="AW340" i="32"/>
  <c r="AX340" i="32"/>
  <c r="AU340" i="32"/>
  <c r="AV340" i="32"/>
  <c r="AS38" i="32"/>
  <c r="AT186" i="32"/>
  <c r="AU186" i="32"/>
  <c r="AV186" i="32"/>
  <c r="AR71" i="32"/>
  <c r="AZ264" i="32"/>
  <c r="AS264" i="32"/>
  <c r="AS265" i="32"/>
  <c r="AV264" i="32"/>
  <c r="AS34" i="32"/>
  <c r="AY264" i="32"/>
  <c r="AW264" i="32"/>
  <c r="AX264" i="32"/>
  <c r="AU264" i="32"/>
  <c r="AT264" i="32"/>
  <c r="AT110" i="32"/>
  <c r="AU110" i="32"/>
  <c r="AV110" i="32"/>
  <c r="AW110" i="32"/>
  <c r="AX110" i="32"/>
  <c r="AY110" i="32"/>
  <c r="AZ110" i="32"/>
  <c r="BA110" i="32"/>
  <c r="BB110" i="32"/>
  <c r="BC110" i="32"/>
  <c r="BD110" i="32"/>
  <c r="BE110" i="32"/>
  <c r="BF110" i="32"/>
  <c r="BG110" i="32"/>
  <c r="BH110" i="32"/>
  <c r="BI110" i="32"/>
  <c r="BJ110" i="32"/>
  <c r="BK110" i="32"/>
  <c r="BL110" i="32"/>
  <c r="BM110" i="32"/>
  <c r="BN110" i="32"/>
  <c r="BO110" i="32"/>
  <c r="BP110" i="32"/>
  <c r="BQ110" i="32"/>
  <c r="BR110" i="32"/>
  <c r="BS110" i="32"/>
  <c r="BT110" i="32"/>
  <c r="BU110" i="32"/>
  <c r="BV110" i="32"/>
  <c r="BW110" i="32"/>
  <c r="BX110" i="32"/>
  <c r="BY110" i="32"/>
  <c r="BZ110" i="32"/>
  <c r="CA110" i="32"/>
  <c r="CB110" i="32"/>
  <c r="CC110" i="32"/>
  <c r="AR42" i="32"/>
  <c r="AS303" i="32"/>
  <c r="AN28" i="32"/>
  <c r="AN29" i="32"/>
  <c r="AO21" i="32"/>
  <c r="AO24" i="32"/>
  <c r="AP70" i="32"/>
  <c r="AT184" i="32"/>
  <c r="BD378" i="32"/>
  <c r="BF378" i="32"/>
  <c r="AT378" i="32"/>
  <c r="AX378" i="32"/>
  <c r="AS378" i="32"/>
  <c r="AS379" i="32"/>
  <c r="BB378" i="32"/>
  <c r="AU378" i="32"/>
  <c r="AZ378" i="32"/>
  <c r="AS40" i="32"/>
  <c r="BC378" i="32"/>
  <c r="AW378" i="32"/>
  <c r="AY378" i="32"/>
  <c r="BG378" i="32"/>
  <c r="BE378" i="32"/>
  <c r="BH378" i="32"/>
  <c r="AV378" i="32"/>
  <c r="BA378" i="32"/>
  <c r="AT224" i="32"/>
  <c r="AU224" i="32"/>
  <c r="AV224" i="32"/>
  <c r="AW224" i="32"/>
  <c r="AX224" i="32"/>
  <c r="AY224" i="32"/>
  <c r="AZ224" i="32"/>
  <c r="AK17" i="30"/>
  <c r="AS42" i="32"/>
  <c r="AO33" i="3"/>
  <c r="AO35" i="3"/>
  <c r="AL26" i="30"/>
  <c r="AT142" i="32"/>
  <c r="AS71" i="32"/>
  <c r="AT218" i="32"/>
  <c r="AJ16" i="1"/>
  <c r="AN30" i="32"/>
  <c r="AQ70" i="32"/>
  <c r="AT104" i="32"/>
  <c r="AU104" i="32"/>
  <c r="AV104" i="32"/>
  <c r="AW104" i="32"/>
  <c r="AX104" i="32"/>
  <c r="AY104" i="32"/>
  <c r="AZ104" i="32"/>
  <c r="BA104" i="32"/>
  <c r="BB104" i="32"/>
  <c r="BC104" i="32"/>
  <c r="BD104" i="32"/>
  <c r="BE104" i="32"/>
  <c r="BF104" i="32"/>
  <c r="BG104" i="32"/>
  <c r="BH104" i="32"/>
  <c r="BI104" i="32"/>
  <c r="BJ104" i="32"/>
  <c r="BK104" i="32"/>
  <c r="BL104" i="32"/>
  <c r="BM104" i="32"/>
  <c r="BN104" i="32"/>
  <c r="BO104" i="32"/>
  <c r="BP104" i="32"/>
  <c r="BQ104" i="32"/>
  <c r="BR104" i="32"/>
  <c r="BS104" i="32"/>
  <c r="BT104" i="32"/>
  <c r="BU104" i="32"/>
  <c r="BV104" i="32"/>
  <c r="BW104" i="32"/>
  <c r="AO28" i="32"/>
  <c r="AO29" i="32"/>
  <c r="AP21" i="32"/>
  <c r="AP24" i="32"/>
  <c r="AK16" i="1"/>
  <c r="AO30" i="32"/>
  <c r="AM26" i="30"/>
  <c r="AL17" i="30"/>
  <c r="AP28" i="32"/>
  <c r="AP29" i="32"/>
  <c r="AQ21" i="32"/>
  <c r="AQ24" i="32"/>
  <c r="AR70" i="32"/>
  <c r="AM17" i="30"/>
  <c r="AS70" i="32"/>
  <c r="AN26" i="30"/>
  <c r="AQ28" i="32"/>
  <c r="AQ29" i="32"/>
  <c r="AR21" i="32"/>
  <c r="AR24" i="32"/>
  <c r="AP30" i="32"/>
  <c r="AL16" i="1"/>
  <c r="AN17" i="30"/>
  <c r="AR28" i="32"/>
  <c r="AR29" i="32"/>
  <c r="AS21" i="32"/>
  <c r="AS24" i="32"/>
  <c r="AS28" i="32"/>
  <c r="AS29" i="32"/>
  <c r="AO26" i="30"/>
  <c r="AM16" i="1"/>
  <c r="AQ30" i="32"/>
  <c r="AO16" i="1"/>
  <c r="AS30" i="32"/>
  <c r="AR30" i="32"/>
  <c r="AN16" i="1"/>
  <c r="AO17" i="30"/>
  <c r="H23" i="10"/>
  <c r="I23" i="10"/>
  <c r="H16" i="30"/>
  <c r="I16" i="30"/>
  <c r="J23" i="10"/>
  <c r="J16" i="30"/>
  <c r="K23" i="10"/>
  <c r="K16" i="30"/>
  <c r="L23" i="10"/>
  <c r="L16" i="30"/>
  <c r="M16" i="30"/>
  <c r="M23" i="10"/>
  <c r="N23" i="10"/>
  <c r="O23" i="10"/>
  <c r="N16" i="30"/>
  <c r="O16" i="30"/>
  <c r="P16" i="30"/>
  <c r="P23" i="10"/>
  <c r="Q16" i="30"/>
  <c r="Q23" i="10"/>
  <c r="R16" i="30"/>
  <c r="R23" i="10"/>
  <c r="S16" i="30"/>
  <c r="S23" i="10"/>
  <c r="T16" i="30"/>
  <c r="T23" i="10"/>
  <c r="U23" i="10"/>
  <c r="U16" i="30"/>
  <c r="V23" i="10"/>
  <c r="W23" i="10"/>
  <c r="V16" i="30"/>
  <c r="W16" i="30"/>
  <c r="X23" i="10"/>
  <c r="X16" i="30"/>
  <c r="Y16" i="30"/>
  <c r="Z23" i="10"/>
  <c r="Z16" i="30"/>
  <c r="AA23" i="10"/>
  <c r="AA16" i="30"/>
  <c r="AB23" i="10"/>
  <c r="AC23" i="10"/>
  <c r="AB16" i="30"/>
  <c r="AD23" i="10"/>
  <c r="AC16" i="30"/>
  <c r="AD16" i="30"/>
  <c r="AE23" i="10"/>
  <c r="AF23" i="10"/>
  <c r="AE16" i="30"/>
  <c r="AF16" i="30"/>
  <c r="AG23" i="10"/>
  <c r="AG16" i="30"/>
  <c r="AH23" i="10"/>
  <c r="AI23" i="10"/>
  <c r="AH16" i="30"/>
  <c r="AI16" i="30"/>
  <c r="AJ23" i="10"/>
  <c r="AJ16" i="30"/>
  <c r="AK23" i="10"/>
  <c r="AL23" i="10"/>
  <c r="AK16" i="30"/>
  <c r="AL16" i="30"/>
  <c r="AM23" i="10"/>
  <c r="AM16" i="30"/>
  <c r="AN23" i="10"/>
  <c r="AO23" i="10"/>
  <c r="AN16" i="30"/>
  <c r="AO16" i="30"/>
  <c r="H15" i="2"/>
  <c r="I15" i="2"/>
  <c r="J15" i="2"/>
  <c r="I7" i="19"/>
  <c r="K15" i="2"/>
  <c r="B11" i="36"/>
  <c r="L15" i="2"/>
  <c r="B11" i="34"/>
  <c r="M15" i="2"/>
  <c r="D33" i="34"/>
  <c r="D35" i="34"/>
  <c r="D36" i="34"/>
  <c r="D37" i="34"/>
  <c r="C11" i="34"/>
  <c r="D34" i="36"/>
  <c r="D36" i="36"/>
  <c r="D37" i="36"/>
  <c r="D38" i="36"/>
  <c r="N15" i="2"/>
  <c r="C11" i="36"/>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K20" i="36"/>
  <c r="AK74" i="36"/>
  <c r="AK75" i="36"/>
  <c r="AO22" i="3"/>
  <c r="Y23" i="10"/>
  <c r="I34" i="19" a="1"/>
  <c r="I34" i="19"/>
  <c r="I35" i="19"/>
  <c r="D5" i="36"/>
  <c r="D13" i="36"/>
  <c r="D16" i="36"/>
  <c r="D21" i="36"/>
  <c r="D23" i="36"/>
  <c r="E19" i="36"/>
  <c r="J34" i="19"/>
  <c r="J35" i="19"/>
  <c r="E5" i="36"/>
  <c r="E13" i="36"/>
  <c r="D10" i="36"/>
  <c r="E33" i="36"/>
  <c r="E35" i="36"/>
  <c r="E39" i="36"/>
  <c r="E14" i="36"/>
  <c r="E16" i="36"/>
  <c r="E21" i="36"/>
  <c r="E42" i="36"/>
  <c r="E76" i="36"/>
  <c r="E22" i="36"/>
  <c r="E23" i="36"/>
  <c r="F19" i="36"/>
  <c r="K34" i="19"/>
  <c r="K35" i="19"/>
  <c r="F5" i="36"/>
  <c r="F13" i="36"/>
  <c r="E10" i="36"/>
  <c r="F33" i="36"/>
  <c r="F35" i="36"/>
  <c r="F39" i="36"/>
  <c r="F14" i="36"/>
  <c r="F16" i="36"/>
  <c r="F21" i="36"/>
  <c r="F42" i="36"/>
  <c r="F43" i="36"/>
  <c r="F76" i="36"/>
  <c r="F22" i="36"/>
  <c r="F23" i="36"/>
  <c r="G19" i="36"/>
  <c r="L34" i="19"/>
  <c r="L35" i="19"/>
  <c r="G5" i="36"/>
  <c r="G13" i="36"/>
  <c r="F10" i="36"/>
  <c r="G33" i="36"/>
  <c r="G35" i="36"/>
  <c r="G39" i="36"/>
  <c r="G14" i="36"/>
  <c r="G16" i="36"/>
  <c r="G21" i="36"/>
  <c r="G42" i="36"/>
  <c r="G43" i="36"/>
  <c r="G44" i="36"/>
  <c r="G76" i="36"/>
  <c r="G22" i="36"/>
  <c r="G23" i="36"/>
  <c r="H19" i="36"/>
  <c r="M34" i="19"/>
  <c r="M35" i="19"/>
  <c r="H5" i="36"/>
  <c r="H13" i="36"/>
  <c r="G10" i="36"/>
  <c r="H33" i="36"/>
  <c r="H35" i="36"/>
  <c r="H39" i="36"/>
  <c r="H14" i="36"/>
  <c r="H16" i="36"/>
  <c r="H21" i="36"/>
  <c r="H42" i="36"/>
  <c r="H43" i="36"/>
  <c r="H44" i="36"/>
  <c r="H45" i="36"/>
  <c r="H76" i="36"/>
  <c r="H22" i="36"/>
  <c r="H23" i="36"/>
  <c r="I19" i="36"/>
  <c r="N34" i="19"/>
  <c r="N35" i="19"/>
  <c r="I5" i="36"/>
  <c r="I13" i="36"/>
  <c r="H10" i="36"/>
  <c r="I33" i="36"/>
  <c r="I35" i="36"/>
  <c r="I39" i="36"/>
  <c r="I14" i="36"/>
  <c r="I16" i="36"/>
  <c r="I21" i="36"/>
  <c r="I42" i="36"/>
  <c r="I43" i="36"/>
  <c r="I44" i="36"/>
  <c r="I45" i="36"/>
  <c r="I46" i="36"/>
  <c r="I76" i="36"/>
  <c r="I22" i="36"/>
  <c r="I23" i="36"/>
  <c r="J19" i="36"/>
  <c r="O34" i="19"/>
  <c r="O35" i="19"/>
  <c r="J5" i="36"/>
  <c r="J13" i="36"/>
  <c r="I10" i="36"/>
  <c r="J33" i="36"/>
  <c r="J35" i="36"/>
  <c r="J39" i="36"/>
  <c r="J14" i="36"/>
  <c r="J16" i="36"/>
  <c r="J21" i="36"/>
  <c r="J42" i="36"/>
  <c r="J43" i="36"/>
  <c r="J44" i="36"/>
  <c r="J45" i="36"/>
  <c r="J46" i="36"/>
  <c r="J47" i="36"/>
  <c r="J76" i="36"/>
  <c r="J22" i="36"/>
  <c r="J23" i="36"/>
  <c r="K19" i="36"/>
  <c r="P34" i="19"/>
  <c r="P35" i="19"/>
  <c r="K5" i="36"/>
  <c r="K13" i="36"/>
  <c r="J10" i="36"/>
  <c r="K33" i="36"/>
  <c r="K35" i="36"/>
  <c r="K39" i="36"/>
  <c r="K14" i="36"/>
  <c r="K16" i="36"/>
  <c r="K21" i="36"/>
  <c r="K42" i="36"/>
  <c r="K43" i="36"/>
  <c r="K44" i="36"/>
  <c r="K45" i="36"/>
  <c r="K46" i="36"/>
  <c r="K47" i="36"/>
  <c r="K48" i="36"/>
  <c r="K76" i="36"/>
  <c r="K22" i="36"/>
  <c r="K23" i="36"/>
  <c r="L19" i="36"/>
  <c r="Q34" i="19"/>
  <c r="Q35" i="19"/>
  <c r="L5" i="36"/>
  <c r="L13" i="36"/>
  <c r="K10" i="36"/>
  <c r="L33" i="36"/>
  <c r="L35" i="36"/>
  <c r="L39" i="36"/>
  <c r="L14" i="36"/>
  <c r="L16" i="36"/>
  <c r="L21" i="36"/>
  <c r="L42" i="36"/>
  <c r="L43" i="36"/>
  <c r="L44" i="36"/>
  <c r="L45" i="36"/>
  <c r="L46" i="36"/>
  <c r="L47" i="36"/>
  <c r="L48" i="36"/>
  <c r="L49" i="36"/>
  <c r="L76" i="36"/>
  <c r="L22" i="36"/>
  <c r="L23" i="36"/>
  <c r="M19" i="36"/>
  <c r="R34" i="19"/>
  <c r="R35" i="19"/>
  <c r="M5" i="36"/>
  <c r="M13" i="36"/>
  <c r="L10" i="36"/>
  <c r="M33" i="36"/>
  <c r="M35" i="36"/>
  <c r="M39" i="36"/>
  <c r="M14" i="36"/>
  <c r="M16" i="36"/>
  <c r="M21" i="36"/>
  <c r="M42" i="36"/>
  <c r="M43" i="36"/>
  <c r="M44" i="36"/>
  <c r="M45" i="36"/>
  <c r="M46" i="36"/>
  <c r="M47" i="36"/>
  <c r="M48" i="36"/>
  <c r="M49" i="36"/>
  <c r="M50" i="36"/>
  <c r="M76" i="36"/>
  <c r="M22" i="36"/>
  <c r="M23" i="36"/>
  <c r="N19" i="36"/>
  <c r="S34" i="19"/>
  <c r="S35" i="19"/>
  <c r="N5" i="36"/>
  <c r="N13" i="36"/>
  <c r="M10" i="36"/>
  <c r="N33" i="36"/>
  <c r="N35" i="36"/>
  <c r="N39" i="36"/>
  <c r="N14" i="36"/>
  <c r="N16" i="36"/>
  <c r="N21" i="36"/>
  <c r="N42" i="36"/>
  <c r="N43" i="36"/>
  <c r="N44" i="36"/>
  <c r="N45" i="36"/>
  <c r="N46" i="36"/>
  <c r="N47" i="36"/>
  <c r="N48" i="36"/>
  <c r="N49" i="36"/>
  <c r="N50" i="36"/>
  <c r="N51" i="36"/>
  <c r="N76" i="36"/>
  <c r="N22" i="36"/>
  <c r="N23" i="36"/>
  <c r="O19" i="36"/>
  <c r="T34" i="19"/>
  <c r="T35" i="19"/>
  <c r="O5" i="36"/>
  <c r="O13" i="36"/>
  <c r="N10" i="36"/>
  <c r="O33" i="36"/>
  <c r="O35" i="36"/>
  <c r="O39" i="36"/>
  <c r="O14" i="36"/>
  <c r="O16" i="36"/>
  <c r="O21" i="36"/>
  <c r="O42" i="36"/>
  <c r="O43" i="36"/>
  <c r="O44" i="36"/>
  <c r="O45" i="36"/>
  <c r="O46" i="36"/>
  <c r="O47" i="36"/>
  <c r="O48" i="36"/>
  <c r="O49" i="36"/>
  <c r="O50" i="36"/>
  <c r="O51" i="36"/>
  <c r="O52" i="36"/>
  <c r="O76" i="36"/>
  <c r="O22" i="36"/>
  <c r="O23" i="36"/>
  <c r="P19" i="36"/>
  <c r="U34" i="19"/>
  <c r="U35" i="19"/>
  <c r="P5" i="36"/>
  <c r="P13" i="36"/>
  <c r="O10" i="36"/>
  <c r="P33" i="36"/>
  <c r="P35" i="36"/>
  <c r="P39" i="36"/>
  <c r="P14" i="36"/>
  <c r="P16" i="36"/>
  <c r="P21" i="36"/>
  <c r="P42" i="36"/>
  <c r="P43" i="36"/>
  <c r="P44" i="36"/>
  <c r="P45" i="36"/>
  <c r="P46" i="36"/>
  <c r="P47" i="36"/>
  <c r="P48" i="36"/>
  <c r="P49" i="36"/>
  <c r="P50" i="36"/>
  <c r="P51" i="36"/>
  <c r="P52" i="36"/>
  <c r="P53" i="36"/>
  <c r="P76" i="36"/>
  <c r="P22" i="36"/>
  <c r="P23" i="36"/>
  <c r="Q19" i="36"/>
  <c r="V34" i="19"/>
  <c r="V35" i="19"/>
  <c r="Q5" i="36"/>
  <c r="Q13" i="36"/>
  <c r="P10" i="36"/>
  <c r="Q33" i="36"/>
  <c r="Q35" i="36"/>
  <c r="Q39" i="36"/>
  <c r="Q14" i="36"/>
  <c r="Q16" i="36"/>
  <c r="Q21" i="36"/>
  <c r="Q42" i="36"/>
  <c r="Q43" i="36"/>
  <c r="Q44" i="36"/>
  <c r="Q45" i="36"/>
  <c r="Q46" i="36"/>
  <c r="Q47" i="36"/>
  <c r="Q48" i="36"/>
  <c r="Q49" i="36"/>
  <c r="Q50" i="36"/>
  <c r="Q51" i="36"/>
  <c r="Q52" i="36"/>
  <c r="Q53" i="36"/>
  <c r="Q54" i="36"/>
  <c r="Q76" i="36"/>
  <c r="Q22" i="36"/>
  <c r="Q23" i="36"/>
  <c r="R19" i="36"/>
  <c r="W34" i="19"/>
  <c r="W35" i="19"/>
  <c r="R5" i="36"/>
  <c r="R13" i="36"/>
  <c r="Q10" i="36"/>
  <c r="R33" i="36"/>
  <c r="R35" i="36"/>
  <c r="R39" i="36"/>
  <c r="R14" i="36"/>
  <c r="R16" i="36"/>
  <c r="R21" i="36"/>
  <c r="R42" i="36"/>
  <c r="R43" i="36"/>
  <c r="R44" i="36"/>
  <c r="R45" i="36"/>
  <c r="R46" i="36"/>
  <c r="R47" i="36"/>
  <c r="R48" i="36"/>
  <c r="R49" i="36"/>
  <c r="R50" i="36"/>
  <c r="R51" i="36"/>
  <c r="R52" i="36"/>
  <c r="R53" i="36"/>
  <c r="R54" i="36"/>
  <c r="R55" i="36"/>
  <c r="R76" i="36"/>
  <c r="R22" i="36"/>
  <c r="R23" i="36"/>
  <c r="S19" i="36"/>
  <c r="X34" i="19"/>
  <c r="X35" i="19"/>
  <c r="S5" i="36"/>
  <c r="S13" i="36"/>
  <c r="R10" i="36"/>
  <c r="S33" i="36"/>
  <c r="S35" i="36"/>
  <c r="S39" i="36"/>
  <c r="S14" i="36"/>
  <c r="S16" i="36"/>
  <c r="S21" i="36"/>
  <c r="S42" i="36"/>
  <c r="S43" i="36"/>
  <c r="S44" i="36"/>
  <c r="S45" i="36"/>
  <c r="S46" i="36"/>
  <c r="S47" i="36"/>
  <c r="S48" i="36"/>
  <c r="S49" i="36"/>
  <c r="S50" i="36"/>
  <c r="S51" i="36"/>
  <c r="S52" i="36"/>
  <c r="S53" i="36"/>
  <c r="S54" i="36"/>
  <c r="S55" i="36"/>
  <c r="S56" i="36"/>
  <c r="S76" i="36"/>
  <c r="S22" i="36"/>
  <c r="S23" i="36"/>
  <c r="T19" i="36"/>
  <c r="Y34" i="19"/>
  <c r="Y35" i="19"/>
  <c r="T5" i="36"/>
  <c r="T13" i="36"/>
  <c r="S10" i="36"/>
  <c r="T33" i="36"/>
  <c r="T35" i="36"/>
  <c r="T39" i="36"/>
  <c r="T14" i="36"/>
  <c r="T16" i="36"/>
  <c r="T21" i="36"/>
  <c r="T42" i="36"/>
  <c r="T43" i="36"/>
  <c r="T44" i="36"/>
  <c r="T45" i="36"/>
  <c r="T46" i="36"/>
  <c r="T47" i="36"/>
  <c r="T48" i="36"/>
  <c r="T49" i="36"/>
  <c r="T50" i="36"/>
  <c r="T51" i="36"/>
  <c r="T52" i="36"/>
  <c r="T53" i="36"/>
  <c r="T54" i="36"/>
  <c r="T55" i="36"/>
  <c r="T56" i="36"/>
  <c r="T57" i="36"/>
  <c r="T76" i="36"/>
  <c r="T22" i="36"/>
  <c r="T23" i="36"/>
  <c r="U19" i="36"/>
  <c r="Z34" i="19"/>
  <c r="Z35" i="19"/>
  <c r="U5" i="36"/>
  <c r="U13" i="36"/>
  <c r="T10" i="36"/>
  <c r="U33" i="36"/>
  <c r="U35" i="36"/>
  <c r="U39" i="36"/>
  <c r="U14" i="36"/>
  <c r="U16" i="36"/>
  <c r="U21" i="36"/>
  <c r="U42" i="36"/>
  <c r="U43" i="36"/>
  <c r="U44" i="36"/>
  <c r="U45" i="36"/>
  <c r="U46" i="36"/>
  <c r="U47" i="36"/>
  <c r="U48" i="36"/>
  <c r="U49" i="36"/>
  <c r="U50" i="36"/>
  <c r="U51" i="36"/>
  <c r="U52" i="36"/>
  <c r="U53" i="36"/>
  <c r="U54" i="36"/>
  <c r="U55" i="36"/>
  <c r="U56" i="36"/>
  <c r="U57" i="36"/>
  <c r="U58" i="36"/>
  <c r="U76" i="36"/>
  <c r="U22" i="36"/>
  <c r="U23" i="36"/>
  <c r="V19" i="36"/>
  <c r="AA34" i="19"/>
  <c r="AA35" i="19"/>
  <c r="V5" i="36"/>
  <c r="V13" i="36"/>
  <c r="U10" i="36"/>
  <c r="V33" i="36"/>
  <c r="V35" i="36"/>
  <c r="V39" i="36"/>
  <c r="V14" i="36"/>
  <c r="V16" i="36"/>
  <c r="V21" i="36"/>
  <c r="V42" i="36"/>
  <c r="V43" i="36"/>
  <c r="V44" i="36"/>
  <c r="V45" i="36"/>
  <c r="V46" i="36"/>
  <c r="V47" i="36"/>
  <c r="V48" i="36"/>
  <c r="V49" i="36"/>
  <c r="V50" i="36"/>
  <c r="V51" i="36"/>
  <c r="V52" i="36"/>
  <c r="V53" i="36"/>
  <c r="V54" i="36"/>
  <c r="V55" i="36"/>
  <c r="V56" i="36"/>
  <c r="V57" i="36"/>
  <c r="V58" i="36"/>
  <c r="V59" i="36"/>
  <c r="V76" i="36"/>
  <c r="V22" i="36"/>
  <c r="V23" i="36"/>
  <c r="W19" i="36"/>
  <c r="AB34" i="19"/>
  <c r="AB35" i="19"/>
  <c r="W5" i="36"/>
  <c r="W13" i="36"/>
  <c r="V10" i="36"/>
  <c r="W33" i="36"/>
  <c r="W35" i="36"/>
  <c r="W39" i="36"/>
  <c r="W14" i="36"/>
  <c r="W16" i="36"/>
  <c r="W21" i="36"/>
  <c r="W42" i="36"/>
  <c r="W43" i="36"/>
  <c r="W44" i="36"/>
  <c r="W45" i="36"/>
  <c r="W46" i="36"/>
  <c r="W47" i="36"/>
  <c r="W48" i="36"/>
  <c r="W49" i="36"/>
  <c r="W50" i="36"/>
  <c r="W51" i="36"/>
  <c r="W52" i="36"/>
  <c r="W53" i="36"/>
  <c r="W54" i="36"/>
  <c r="W55" i="36"/>
  <c r="W56" i="36"/>
  <c r="W57" i="36"/>
  <c r="W58" i="36"/>
  <c r="W59" i="36"/>
  <c r="W60" i="36"/>
  <c r="W76" i="36"/>
  <c r="W22" i="36"/>
  <c r="W23" i="36"/>
  <c r="X19" i="36"/>
  <c r="AC34" i="19"/>
  <c r="AC35" i="19"/>
  <c r="X5" i="36"/>
  <c r="X13" i="36"/>
  <c r="W10" i="36"/>
  <c r="X33" i="36"/>
  <c r="X35" i="36"/>
  <c r="X39" i="36"/>
  <c r="X14" i="36"/>
  <c r="X16" i="36"/>
  <c r="X21" i="36"/>
  <c r="X42" i="36"/>
  <c r="X43" i="36"/>
  <c r="X44" i="36"/>
  <c r="X45" i="36"/>
  <c r="X46" i="36"/>
  <c r="X47" i="36"/>
  <c r="X48" i="36"/>
  <c r="X49" i="36"/>
  <c r="X50" i="36"/>
  <c r="X51" i="36"/>
  <c r="X52" i="36"/>
  <c r="X53" i="36"/>
  <c r="X54" i="36"/>
  <c r="X55" i="36"/>
  <c r="X56" i="36"/>
  <c r="X57" i="36"/>
  <c r="X58" i="36"/>
  <c r="X59" i="36"/>
  <c r="X60" i="36"/>
  <c r="X61" i="36"/>
  <c r="X76" i="36"/>
  <c r="X22" i="36"/>
  <c r="X23" i="36"/>
  <c r="Y19" i="36"/>
  <c r="AD34" i="19"/>
  <c r="AD35" i="19"/>
  <c r="Y5" i="36"/>
  <c r="Y13" i="36"/>
  <c r="X10" i="36"/>
  <c r="Y33" i="36"/>
  <c r="Y35" i="36"/>
  <c r="Y39" i="36"/>
  <c r="Y14" i="36"/>
  <c r="Y16" i="36"/>
  <c r="Y21" i="36"/>
  <c r="Y42" i="36"/>
  <c r="Y43" i="36"/>
  <c r="Y44" i="36"/>
  <c r="Y45" i="36"/>
  <c r="Y46" i="36"/>
  <c r="Y47" i="36"/>
  <c r="Y48" i="36"/>
  <c r="Y49" i="36"/>
  <c r="Y50" i="36"/>
  <c r="Y51" i="36"/>
  <c r="Y52" i="36"/>
  <c r="Y53" i="36"/>
  <c r="Y54" i="36"/>
  <c r="Y55" i="36"/>
  <c r="Y56" i="36"/>
  <c r="Y57" i="36"/>
  <c r="Y58" i="36"/>
  <c r="Y59" i="36"/>
  <c r="Y60" i="36"/>
  <c r="Y61" i="36"/>
  <c r="Y62" i="36"/>
  <c r="Y76" i="36"/>
  <c r="Y22" i="36"/>
  <c r="Y23" i="36"/>
  <c r="Z19" i="36"/>
  <c r="AE34" i="19"/>
  <c r="AE35" i="19"/>
  <c r="Z5" i="36"/>
  <c r="Z13" i="36"/>
  <c r="Y10" i="36"/>
  <c r="Z33" i="36"/>
  <c r="Z35" i="36"/>
  <c r="Z39" i="36"/>
  <c r="Z14" i="36"/>
  <c r="Z16" i="36"/>
  <c r="Z21" i="36"/>
  <c r="Z42" i="36"/>
  <c r="Z43" i="36"/>
  <c r="Z44" i="36"/>
  <c r="Z45" i="36"/>
  <c r="Z46" i="36"/>
  <c r="Z47" i="36"/>
  <c r="Z48" i="36"/>
  <c r="Z49" i="36"/>
  <c r="Z50" i="36"/>
  <c r="Z51" i="36"/>
  <c r="Z52" i="36"/>
  <c r="Z53" i="36"/>
  <c r="Z54" i="36"/>
  <c r="Z55" i="36"/>
  <c r="Z56" i="36"/>
  <c r="Z57" i="36"/>
  <c r="Z58" i="36"/>
  <c r="Z59" i="36"/>
  <c r="Z60" i="36"/>
  <c r="Z61" i="36"/>
  <c r="Z62" i="36"/>
  <c r="Z63" i="36"/>
  <c r="Z76" i="36"/>
  <c r="Z22" i="36"/>
  <c r="Z23" i="36"/>
  <c r="AA19" i="36"/>
  <c r="AF34" i="19"/>
  <c r="AF35" i="19"/>
  <c r="AA5" i="36"/>
  <c r="AA13" i="36"/>
  <c r="Z10" i="36"/>
  <c r="AA33" i="36"/>
  <c r="AA35" i="36"/>
  <c r="AA39" i="36"/>
  <c r="AA14" i="36"/>
  <c r="AA16" i="36"/>
  <c r="AA21" i="36"/>
  <c r="AA42" i="36"/>
  <c r="AA43" i="36"/>
  <c r="AA44" i="36"/>
  <c r="AA45" i="36"/>
  <c r="AA46" i="36"/>
  <c r="AA47" i="36"/>
  <c r="AA48" i="36"/>
  <c r="AA49" i="36"/>
  <c r="AA50" i="36"/>
  <c r="AA51" i="36"/>
  <c r="AA52" i="36"/>
  <c r="AA53" i="36"/>
  <c r="AA54" i="36"/>
  <c r="AA55" i="36"/>
  <c r="AA56" i="36"/>
  <c r="AA57" i="36"/>
  <c r="AA58" i="36"/>
  <c r="AA59" i="36"/>
  <c r="AA60" i="36"/>
  <c r="AA61" i="36"/>
  <c r="AA62" i="36"/>
  <c r="AA63" i="36"/>
  <c r="AA64" i="36"/>
  <c r="AA76" i="36"/>
  <c r="AA22" i="36"/>
  <c r="AA23" i="36"/>
  <c r="AB19" i="36"/>
  <c r="AG34" i="19"/>
  <c r="AG35" i="19"/>
  <c r="AB5" i="36"/>
  <c r="AB13" i="36"/>
  <c r="AA10" i="36"/>
  <c r="AB33" i="36"/>
  <c r="AB35" i="36"/>
  <c r="AB39" i="36"/>
  <c r="AB14" i="36"/>
  <c r="AB16" i="36"/>
  <c r="AB21" i="36"/>
  <c r="AB42" i="36"/>
  <c r="AB43" i="36"/>
  <c r="AB44" i="36"/>
  <c r="AB45" i="36"/>
  <c r="AB46" i="36"/>
  <c r="AB47" i="36"/>
  <c r="AB48" i="36"/>
  <c r="AB49" i="36"/>
  <c r="AB50" i="36"/>
  <c r="AB51" i="36"/>
  <c r="AB52" i="36"/>
  <c r="AB53" i="36"/>
  <c r="AB54" i="36"/>
  <c r="AB55" i="36"/>
  <c r="AB56" i="36"/>
  <c r="AB57" i="36"/>
  <c r="AB58" i="36"/>
  <c r="AB59" i="36"/>
  <c r="AB60" i="36"/>
  <c r="AB61" i="36"/>
  <c r="AB62" i="36"/>
  <c r="AB63" i="36"/>
  <c r="AB64" i="36"/>
  <c r="AB65" i="36"/>
  <c r="AB76" i="36"/>
  <c r="AB22" i="36"/>
  <c r="AB23" i="36"/>
  <c r="AC19" i="36"/>
  <c r="AH34" i="19"/>
  <c r="AH35" i="19"/>
  <c r="AC5" i="36"/>
  <c r="AC13" i="36"/>
  <c r="AB10" i="36"/>
  <c r="AC33" i="36"/>
  <c r="AC35" i="36"/>
  <c r="AC39" i="36"/>
  <c r="AC14" i="36"/>
  <c r="AC16" i="36"/>
  <c r="AC2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76" i="36"/>
  <c r="AC22" i="36"/>
  <c r="AC23" i="36"/>
  <c r="AD19" i="36"/>
  <c r="AI34" i="19"/>
  <c r="AI35" i="19"/>
  <c r="AD5" i="36"/>
  <c r="AD13" i="36"/>
  <c r="AC10" i="36"/>
  <c r="AD33" i="36"/>
  <c r="AD35" i="36"/>
  <c r="AD39" i="36"/>
  <c r="AD14" i="36"/>
  <c r="AD16" i="36"/>
  <c r="AD21" i="36"/>
  <c r="AD42" i="36"/>
  <c r="AD43" i="36"/>
  <c r="AD44" i="36"/>
  <c r="AD45" i="36"/>
  <c r="AD46" i="36"/>
  <c r="AD47" i="36"/>
  <c r="AD48" i="36"/>
  <c r="AD49" i="36"/>
  <c r="AD50" i="36"/>
  <c r="AD51" i="36"/>
  <c r="AD52" i="36"/>
  <c r="AD53" i="36"/>
  <c r="AD54" i="36"/>
  <c r="AD55" i="36"/>
  <c r="AD56" i="36"/>
  <c r="AD57" i="36"/>
  <c r="AD58" i="36"/>
  <c r="AD59" i="36"/>
  <c r="AD60" i="36"/>
  <c r="AD61" i="36"/>
  <c r="AD62" i="36"/>
  <c r="AD63" i="36"/>
  <c r="AD64" i="36"/>
  <c r="AD65" i="36"/>
  <c r="AD66" i="36"/>
  <c r="AD67" i="36"/>
  <c r="AD76" i="36"/>
  <c r="AD22" i="36"/>
  <c r="AD23" i="36"/>
  <c r="AE19" i="36"/>
  <c r="AJ34" i="19"/>
  <c r="AJ35" i="19"/>
  <c r="AE5" i="36"/>
  <c r="AE13" i="36"/>
  <c r="AD10" i="36"/>
  <c r="AE33" i="36"/>
  <c r="AE35" i="36"/>
  <c r="AE39" i="36"/>
  <c r="AE14" i="36"/>
  <c r="AE16" i="36"/>
  <c r="AE21" i="36"/>
  <c r="AE42" i="36"/>
  <c r="AE43" i="36"/>
  <c r="AE44" i="36"/>
  <c r="AE45" i="36"/>
  <c r="AE46" i="36"/>
  <c r="AE47" i="36"/>
  <c r="AE48" i="36"/>
  <c r="AE49" i="36"/>
  <c r="AE50" i="36"/>
  <c r="AE51" i="36"/>
  <c r="AE52" i="36"/>
  <c r="AE53" i="36"/>
  <c r="AE54" i="36"/>
  <c r="AE55" i="36"/>
  <c r="AE56" i="36"/>
  <c r="AE57" i="36"/>
  <c r="AE58" i="36"/>
  <c r="AE59" i="36"/>
  <c r="AE60" i="36"/>
  <c r="AE61" i="36"/>
  <c r="AE62" i="36"/>
  <c r="AE63" i="36"/>
  <c r="AE64" i="36"/>
  <c r="AE65" i="36"/>
  <c r="AE66" i="36"/>
  <c r="AE67" i="36"/>
  <c r="AE68" i="36"/>
  <c r="AE76" i="36"/>
  <c r="AE22" i="36"/>
  <c r="AE23" i="36"/>
  <c r="AF19" i="36"/>
  <c r="AK34" i="19"/>
  <c r="AK35" i="19"/>
  <c r="AF5" i="36"/>
  <c r="AF13" i="36"/>
  <c r="AE10" i="36"/>
  <c r="AF33" i="36"/>
  <c r="AF35" i="36"/>
  <c r="AF39" i="36"/>
  <c r="AF14" i="36"/>
  <c r="AF16" i="36"/>
  <c r="AF21" i="36"/>
  <c r="AF42" i="36"/>
  <c r="AF43" i="36"/>
  <c r="AF44" i="36"/>
  <c r="AF45" i="36"/>
  <c r="AF46" i="36"/>
  <c r="AF47" i="36"/>
  <c r="AF48" i="36"/>
  <c r="AF49" i="36"/>
  <c r="AF50" i="36"/>
  <c r="AF51" i="36"/>
  <c r="AF52" i="36"/>
  <c r="AF53" i="36"/>
  <c r="AF54" i="36"/>
  <c r="AF55" i="36"/>
  <c r="AF56" i="36"/>
  <c r="AF57" i="36"/>
  <c r="AF58" i="36"/>
  <c r="AF59" i="36"/>
  <c r="AF60" i="36"/>
  <c r="AF61" i="36"/>
  <c r="AF62" i="36"/>
  <c r="AF63" i="36"/>
  <c r="AF64" i="36"/>
  <c r="AF65" i="36"/>
  <c r="AF66" i="36"/>
  <c r="AF67" i="36"/>
  <c r="AF68" i="36"/>
  <c r="AF69" i="36"/>
  <c r="AF76" i="36"/>
  <c r="AF22" i="36"/>
  <c r="AF23" i="36"/>
  <c r="AG19" i="36"/>
  <c r="AL34" i="19"/>
  <c r="AL35" i="19"/>
  <c r="AG5" i="36"/>
  <c r="AG13" i="36"/>
  <c r="AF10" i="36"/>
  <c r="AG33" i="36"/>
  <c r="AG35" i="36"/>
  <c r="AG39" i="36"/>
  <c r="AG14" i="36"/>
  <c r="AG16" i="36"/>
  <c r="AG2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6" i="36"/>
  <c r="AG22" i="36"/>
  <c r="AG23" i="36"/>
  <c r="AH19" i="36"/>
  <c r="AM34" i="19"/>
  <c r="AM35" i="19"/>
  <c r="AH5" i="36"/>
  <c r="AH13" i="36"/>
  <c r="AG10" i="36"/>
  <c r="AH33" i="36"/>
  <c r="AH35" i="36"/>
  <c r="AH39" i="36"/>
  <c r="AH14" i="36"/>
  <c r="AH16" i="36"/>
  <c r="AH2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6" i="36"/>
  <c r="AH22" i="36"/>
  <c r="AH23" i="36"/>
  <c r="AI19" i="36"/>
  <c r="AN34" i="19"/>
  <c r="AN35" i="19"/>
  <c r="AI5" i="36"/>
  <c r="AI13" i="36"/>
  <c r="AH10" i="36"/>
  <c r="AI33" i="36"/>
  <c r="AI35" i="36"/>
  <c r="AI39" i="36"/>
  <c r="AI14" i="36"/>
  <c r="AI16" i="36"/>
  <c r="AI21" i="36"/>
  <c r="AI42" i="36"/>
  <c r="AI43" i="36"/>
  <c r="AI44" i="36"/>
  <c r="AI45" i="36"/>
  <c r="AI46" i="36"/>
  <c r="AI47" i="36"/>
  <c r="AI48" i="36"/>
  <c r="AI49" i="36"/>
  <c r="AI50" i="36"/>
  <c r="AI51" i="36"/>
  <c r="AI52" i="36"/>
  <c r="AI53" i="36"/>
  <c r="AI54" i="36"/>
  <c r="AI55" i="36"/>
  <c r="AI56" i="36"/>
  <c r="AI57" i="36"/>
  <c r="AI58" i="36"/>
  <c r="AI59" i="36"/>
  <c r="AI60" i="36"/>
  <c r="AI61" i="36"/>
  <c r="AI62" i="36"/>
  <c r="AI63" i="36"/>
  <c r="AI64" i="36"/>
  <c r="AI65" i="36"/>
  <c r="AI66" i="36"/>
  <c r="AI67" i="36"/>
  <c r="AI68" i="36"/>
  <c r="AI69" i="36"/>
  <c r="AI70" i="36"/>
  <c r="AI71" i="36"/>
  <c r="AI72" i="36"/>
  <c r="AI76" i="36"/>
  <c r="AI22" i="36"/>
  <c r="AI23" i="36"/>
  <c r="AJ19" i="36"/>
  <c r="AO34" i="19"/>
  <c r="AO35" i="19"/>
  <c r="AJ5" i="36"/>
  <c r="AJ13" i="36"/>
  <c r="AI10" i="36"/>
  <c r="AJ33" i="36"/>
  <c r="AJ35" i="36"/>
  <c r="AJ39" i="36"/>
  <c r="AJ14" i="36"/>
  <c r="AJ16" i="36"/>
  <c r="AJ21" i="36"/>
  <c r="AJ42" i="36"/>
  <c r="AJ43" i="36"/>
  <c r="AJ44" i="36"/>
  <c r="AJ45" i="36"/>
  <c r="AJ46" i="36"/>
  <c r="AJ47" i="36"/>
  <c r="AJ48" i="36"/>
  <c r="AJ49" i="36"/>
  <c r="AJ50" i="36"/>
  <c r="AJ51" i="36"/>
  <c r="AJ52" i="36"/>
  <c r="AJ53" i="36"/>
  <c r="AJ54" i="36"/>
  <c r="AJ55" i="36"/>
  <c r="AJ56" i="36"/>
  <c r="AJ57" i="36"/>
  <c r="AJ58" i="36"/>
  <c r="AJ59" i="36"/>
  <c r="AJ60" i="36"/>
  <c r="AJ61" i="36"/>
  <c r="AJ62" i="36"/>
  <c r="AJ63" i="36"/>
  <c r="AJ64" i="36"/>
  <c r="AJ65" i="36"/>
  <c r="AJ66" i="36"/>
  <c r="AJ67" i="36"/>
  <c r="AJ68" i="36"/>
  <c r="AJ69" i="36"/>
  <c r="AJ70" i="36"/>
  <c r="AJ71" i="36"/>
  <c r="AJ72" i="36"/>
  <c r="AJ73" i="36"/>
  <c r="AJ76" i="36"/>
  <c r="AJ22" i="36"/>
  <c r="AJ23" i="36"/>
  <c r="AK19" i="36"/>
  <c r="AP34" i="19"/>
  <c r="AP35" i="19"/>
  <c r="AK5" i="36"/>
  <c r="AK13" i="36"/>
  <c r="AJ10" i="36"/>
  <c r="AK33" i="36"/>
  <c r="AK35" i="36"/>
  <c r="AK39" i="36"/>
  <c r="AK14" i="36"/>
  <c r="D5" i="34"/>
  <c r="D13" i="34"/>
  <c r="H22" i="2"/>
  <c r="H23" i="2"/>
  <c r="H6" i="3"/>
  <c r="H27" i="3"/>
  <c r="H38" i="24"/>
  <c r="H5" i="24"/>
  <c r="H6" i="24"/>
  <c r="H31" i="24"/>
  <c r="H35" i="24"/>
  <c r="H39" i="24"/>
  <c r="H41" i="24"/>
  <c r="H45" i="24"/>
  <c r="H47" i="24"/>
  <c r="H45" i="3"/>
  <c r="H46" i="24"/>
  <c r="H46" i="3"/>
  <c r="H48" i="3"/>
  <c r="H52" i="3"/>
  <c r="H9" i="1"/>
  <c r="J10" i="28"/>
  <c r="J26" i="28"/>
  <c r="J27" i="28"/>
  <c r="K23" i="28"/>
  <c r="K24" i="28"/>
  <c r="I51" i="3"/>
  <c r="J28" i="28"/>
  <c r="J29" i="28"/>
  <c r="J30" i="28"/>
  <c r="J44" i="28"/>
  <c r="J45" i="28"/>
  <c r="J46" i="28"/>
  <c r="J47" i="28"/>
  <c r="J48" i="28"/>
  <c r="J65" i="28"/>
  <c r="J66" i="28"/>
  <c r="J67" i="28"/>
  <c r="J68" i="28"/>
  <c r="J69" i="28"/>
  <c r="J74" i="28"/>
  <c r="J73" i="28"/>
  <c r="J75" i="28"/>
  <c r="J76" i="28"/>
  <c r="J78" i="28"/>
  <c r="J8" i="28"/>
  <c r="I19" i="2"/>
  <c r="I21" i="2"/>
  <c r="E8" i="34"/>
  <c r="E9" i="34"/>
  <c r="D16" i="34"/>
  <c r="D21" i="34"/>
  <c r="D23" i="34"/>
  <c r="E19" i="34"/>
  <c r="E5" i="34"/>
  <c r="E13" i="34"/>
  <c r="E27" i="34"/>
  <c r="E29" i="34"/>
  <c r="E26" i="34"/>
  <c r="E30" i="34"/>
  <c r="E28" i="34"/>
  <c r="E31" i="34"/>
  <c r="D10" i="34"/>
  <c r="E32" i="34"/>
  <c r="E34" i="34"/>
  <c r="E38" i="34"/>
  <c r="E14" i="34"/>
  <c r="I22" i="2"/>
  <c r="I23" i="2"/>
  <c r="I6" i="3"/>
  <c r="J5" i="28"/>
  <c r="I26" i="1"/>
  <c r="I29" i="1"/>
  <c r="J6" i="28"/>
  <c r="I31" i="1"/>
  <c r="I34" i="1"/>
  <c r="J39" i="19"/>
  <c r="J44" i="19"/>
  <c r="J46" i="19"/>
  <c r="J19" i="19"/>
  <c r="I13" i="3"/>
  <c r="I27" i="3"/>
  <c r="I40" i="3"/>
  <c r="I38" i="24"/>
  <c r="I37" i="24"/>
  <c r="I5" i="24"/>
  <c r="I6" i="24"/>
  <c r="I16" i="24"/>
  <c r="I31" i="24"/>
  <c r="I35" i="24"/>
  <c r="I39" i="24"/>
  <c r="I40" i="24"/>
  <c r="I41" i="24"/>
  <c r="I45" i="24"/>
  <c r="I47" i="24"/>
  <c r="I45" i="3"/>
  <c r="I46" i="24"/>
  <c r="I46" i="3"/>
  <c r="I48" i="3"/>
  <c r="I52" i="3"/>
  <c r="I9" i="1"/>
  <c r="K10" i="28"/>
  <c r="K26" i="28"/>
  <c r="K27" i="28"/>
  <c r="L23" i="28"/>
  <c r="L24" i="28"/>
  <c r="J51" i="3"/>
  <c r="K28" i="28"/>
  <c r="K29" i="28"/>
  <c r="K41" i="28"/>
  <c r="K42" i="28"/>
  <c r="K30" i="28"/>
  <c r="K44" i="28"/>
  <c r="K45" i="28"/>
  <c r="K46" i="28"/>
  <c r="K47" i="28"/>
  <c r="K62" i="28"/>
  <c r="K63" i="28"/>
  <c r="K48" i="28"/>
  <c r="K65" i="28"/>
  <c r="K66" i="28"/>
  <c r="K67" i="28"/>
  <c r="K68" i="28"/>
  <c r="K72" i="28"/>
  <c r="K69" i="28"/>
  <c r="K74" i="28"/>
  <c r="K73" i="28"/>
  <c r="K75" i="28"/>
  <c r="K76" i="28"/>
  <c r="K78" i="28"/>
  <c r="K8" i="28"/>
  <c r="J19" i="2"/>
  <c r="J21" i="2"/>
  <c r="F8" i="34"/>
  <c r="F9" i="34"/>
  <c r="E20" i="34"/>
  <c r="E16" i="34"/>
  <c r="E21" i="34"/>
  <c r="E41" i="34"/>
  <c r="E42" i="34"/>
  <c r="E75" i="34"/>
  <c r="E22" i="34"/>
  <c r="E23" i="34"/>
  <c r="F19" i="34"/>
  <c r="F5" i="34"/>
  <c r="F13" i="34"/>
  <c r="F27" i="34"/>
  <c r="F29" i="34"/>
  <c r="F26" i="34"/>
  <c r="F30" i="34"/>
  <c r="F28" i="34"/>
  <c r="F31" i="34"/>
  <c r="E10" i="34"/>
  <c r="F32" i="34"/>
  <c r="F34" i="34"/>
  <c r="F38" i="34"/>
  <c r="F14" i="34"/>
  <c r="J22" i="2"/>
  <c r="J23" i="2"/>
  <c r="J6" i="3"/>
  <c r="K5" i="28"/>
  <c r="J26" i="1"/>
  <c r="J29" i="1"/>
  <c r="K6" i="28"/>
  <c r="J31" i="1"/>
  <c r="J34" i="1"/>
  <c r="K39" i="19"/>
  <c r="K44" i="19"/>
  <c r="K46" i="19"/>
  <c r="K19" i="19"/>
  <c r="J13" i="3"/>
  <c r="J27" i="3"/>
  <c r="J40" i="3"/>
  <c r="J38" i="24"/>
  <c r="J37" i="24"/>
  <c r="J5" i="24"/>
  <c r="J6" i="24"/>
  <c r="J16" i="24"/>
  <c r="J31" i="24"/>
  <c r="J35" i="24"/>
  <c r="J39" i="24"/>
  <c r="J40" i="24"/>
  <c r="J41" i="24"/>
  <c r="J45" i="24"/>
  <c r="J47" i="24"/>
  <c r="J45" i="3"/>
  <c r="J46" i="24"/>
  <c r="J46" i="3"/>
  <c r="J48" i="3"/>
  <c r="J52" i="3"/>
  <c r="J9" i="1"/>
  <c r="L10" i="28"/>
  <c r="L26" i="28"/>
  <c r="L27" i="28"/>
  <c r="M23" i="28"/>
  <c r="M24" i="28"/>
  <c r="K51" i="3"/>
  <c r="L28" i="28"/>
  <c r="L29" i="28"/>
  <c r="L41" i="28"/>
  <c r="L42" i="28"/>
  <c r="L30" i="28"/>
  <c r="L44" i="28"/>
  <c r="L45" i="28"/>
  <c r="L46" i="28"/>
  <c r="L47" i="28"/>
  <c r="L62" i="28"/>
  <c r="L63" i="28"/>
  <c r="L48" i="28"/>
  <c r="L65" i="28"/>
  <c r="L66" i="28"/>
  <c r="L67" i="28"/>
  <c r="L68" i="28"/>
  <c r="L72" i="28"/>
  <c r="L69" i="28"/>
  <c r="L74" i="28"/>
  <c r="L73" i="28"/>
  <c r="L75" i="28"/>
  <c r="L76" i="28"/>
  <c r="L78" i="28"/>
  <c r="L8" i="28"/>
  <c r="K19" i="2"/>
  <c r="K21" i="2"/>
  <c r="G8" i="34"/>
  <c r="G9" i="34"/>
  <c r="F20" i="34"/>
  <c r="F16" i="34"/>
  <c r="F21" i="34"/>
  <c r="F41" i="34"/>
  <c r="F42" i="34"/>
  <c r="F43" i="34"/>
  <c r="F75" i="34"/>
  <c r="F22" i="34"/>
  <c r="F23" i="34"/>
  <c r="G19" i="34"/>
  <c r="G5" i="34"/>
  <c r="G13" i="34"/>
  <c r="G27" i="34"/>
  <c r="G29" i="34"/>
  <c r="G26" i="34"/>
  <c r="G30" i="34"/>
  <c r="G28" i="34"/>
  <c r="G31" i="34"/>
  <c r="F10" i="34"/>
  <c r="G32" i="34"/>
  <c r="G34" i="34"/>
  <c r="G38" i="34"/>
  <c r="G14" i="34"/>
  <c r="K22" i="2"/>
  <c r="K23" i="2"/>
  <c r="K6" i="3"/>
  <c r="L5" i="28"/>
  <c r="K26" i="1"/>
  <c r="K29" i="1"/>
  <c r="L6" i="28"/>
  <c r="K31" i="1"/>
  <c r="K34" i="1"/>
  <c r="L39" i="19"/>
  <c r="L44" i="19"/>
  <c r="L46" i="19"/>
  <c r="L19" i="19"/>
  <c r="K13" i="3"/>
  <c r="K27" i="3"/>
  <c r="K40" i="3"/>
  <c r="K38" i="24"/>
  <c r="K37" i="24"/>
  <c r="K5" i="24"/>
  <c r="K6" i="24"/>
  <c r="K16" i="24"/>
  <c r="K31" i="24"/>
  <c r="K35" i="24"/>
  <c r="K39" i="24"/>
  <c r="K40" i="24"/>
  <c r="K41" i="24"/>
  <c r="K45" i="24"/>
  <c r="K47" i="24"/>
  <c r="K45" i="3"/>
  <c r="K46" i="24"/>
  <c r="K46" i="3"/>
  <c r="K48" i="3"/>
  <c r="K52" i="3"/>
  <c r="K9" i="1"/>
  <c r="M10" i="28"/>
  <c r="M26" i="28"/>
  <c r="M27" i="28"/>
  <c r="N23" i="28"/>
  <c r="N24" i="28"/>
  <c r="L51" i="3"/>
  <c r="M28" i="28"/>
  <c r="M29" i="28"/>
  <c r="M41" i="28"/>
  <c r="M42" i="28"/>
  <c r="M30" i="28"/>
  <c r="M44" i="28"/>
  <c r="M45" i="28"/>
  <c r="M46" i="28"/>
  <c r="M47" i="28"/>
  <c r="M62" i="28"/>
  <c r="M63" i="28"/>
  <c r="M48" i="28"/>
  <c r="M65" i="28"/>
  <c r="M66" i="28"/>
  <c r="M67" i="28"/>
  <c r="M68" i="28"/>
  <c r="M72" i="28"/>
  <c r="M69" i="28"/>
  <c r="M74" i="28"/>
  <c r="M73" i="28"/>
  <c r="M75" i="28"/>
  <c r="M76" i="28"/>
  <c r="M78" i="28"/>
  <c r="M8" i="28"/>
  <c r="L19" i="2"/>
  <c r="L21" i="2"/>
  <c r="H8" i="34"/>
  <c r="H9" i="34"/>
  <c r="G20" i="34"/>
  <c r="G16" i="34"/>
  <c r="G21" i="34"/>
  <c r="G41" i="34"/>
  <c r="G42" i="34"/>
  <c r="G43" i="34"/>
  <c r="G44" i="34"/>
  <c r="G75" i="34"/>
  <c r="G22" i="34"/>
  <c r="G23" i="34"/>
  <c r="H19" i="34"/>
  <c r="H5" i="34"/>
  <c r="H13" i="34"/>
  <c r="H27" i="34"/>
  <c r="H29" i="34"/>
  <c r="H26" i="34"/>
  <c r="H30" i="34"/>
  <c r="H28" i="34"/>
  <c r="H31" i="34"/>
  <c r="G10" i="34"/>
  <c r="H32" i="34"/>
  <c r="H34" i="34"/>
  <c r="H38" i="34"/>
  <c r="H14" i="34"/>
  <c r="L22" i="2"/>
  <c r="L23" i="2"/>
  <c r="L6" i="3"/>
  <c r="M5" i="28"/>
  <c r="L26" i="1"/>
  <c r="L29" i="1"/>
  <c r="M6" i="28"/>
  <c r="L31" i="1"/>
  <c r="L34" i="1"/>
  <c r="M39" i="19"/>
  <c r="M44" i="19"/>
  <c r="M46" i="19"/>
  <c r="M19" i="19"/>
  <c r="L13" i="3"/>
  <c r="L27" i="3"/>
  <c r="L40" i="3"/>
  <c r="L38" i="24"/>
  <c r="L37" i="24"/>
  <c r="L5" i="24"/>
  <c r="L6" i="24"/>
  <c r="L16" i="24"/>
  <c r="L31" i="24"/>
  <c r="L35" i="24"/>
  <c r="L39" i="24"/>
  <c r="L40" i="24"/>
  <c r="L41" i="24"/>
  <c r="L45" i="24"/>
  <c r="L47" i="24"/>
  <c r="L45" i="3"/>
  <c r="L46" i="24"/>
  <c r="L46" i="3"/>
  <c r="L48" i="3"/>
  <c r="L52" i="3"/>
  <c r="L9" i="1"/>
  <c r="N10" i="28"/>
  <c r="N26" i="28"/>
  <c r="N27" i="28"/>
  <c r="O23" i="28"/>
  <c r="O24" i="28"/>
  <c r="M51" i="3"/>
  <c r="N28" i="28"/>
  <c r="N29" i="28"/>
  <c r="N30" i="28"/>
  <c r="N44" i="28"/>
  <c r="N45" i="28"/>
  <c r="N46" i="28"/>
  <c r="N47" i="28"/>
  <c r="N63" i="28"/>
  <c r="N48" i="28"/>
  <c r="N65" i="28"/>
  <c r="N66" i="28"/>
  <c r="N67" i="28"/>
  <c r="N68" i="28"/>
  <c r="N72" i="28"/>
  <c r="N69" i="28"/>
  <c r="N74" i="28"/>
  <c r="N73" i="28"/>
  <c r="N75" i="28"/>
  <c r="N76" i="28"/>
  <c r="N78" i="28"/>
  <c r="N8" i="28"/>
  <c r="M19" i="2"/>
  <c r="M21" i="2"/>
  <c r="I8" i="34"/>
  <c r="I9" i="34"/>
  <c r="H20" i="34"/>
  <c r="H16" i="34"/>
  <c r="H21" i="34"/>
  <c r="H41" i="34"/>
  <c r="H42" i="34"/>
  <c r="H43" i="34"/>
  <c r="H44" i="34"/>
  <c r="H45" i="34"/>
  <c r="H75" i="34"/>
  <c r="H22" i="34"/>
  <c r="H23" i="34"/>
  <c r="I19" i="34"/>
  <c r="I5" i="34"/>
  <c r="I13" i="34"/>
  <c r="I27" i="34"/>
  <c r="I29" i="34"/>
  <c r="I26" i="34"/>
  <c r="I30" i="34"/>
  <c r="I28" i="34"/>
  <c r="I31" i="34"/>
  <c r="H10" i="34"/>
  <c r="I32" i="34"/>
  <c r="I34" i="34"/>
  <c r="I38" i="34"/>
  <c r="I14" i="34"/>
  <c r="M22" i="2"/>
  <c r="M23" i="2"/>
  <c r="M6" i="3"/>
  <c r="N5" i="28"/>
  <c r="M26" i="1"/>
  <c r="M29" i="1"/>
  <c r="N6" i="28"/>
  <c r="M31" i="1"/>
  <c r="M34" i="1"/>
  <c r="N39" i="19"/>
  <c r="N44" i="19"/>
  <c r="N46" i="19"/>
  <c r="N19" i="19"/>
  <c r="M13" i="3"/>
  <c r="M27" i="3"/>
  <c r="M40" i="3"/>
  <c r="M38" i="24"/>
  <c r="M37" i="24"/>
  <c r="M5" i="24"/>
  <c r="M6" i="24"/>
  <c r="M16" i="24"/>
  <c r="M31" i="24"/>
  <c r="M35" i="24"/>
  <c r="M39" i="24"/>
  <c r="M40" i="24"/>
  <c r="M41" i="24"/>
  <c r="M45" i="24"/>
  <c r="M47" i="24"/>
  <c r="M45" i="3"/>
  <c r="M46" i="24"/>
  <c r="M46" i="3"/>
  <c r="M48" i="3"/>
  <c r="M52" i="3"/>
  <c r="M9" i="1"/>
  <c r="O10" i="28"/>
  <c r="O26" i="28"/>
  <c r="O27" i="28"/>
  <c r="P23" i="28"/>
  <c r="P24" i="28"/>
  <c r="N51" i="3"/>
  <c r="O28" i="28"/>
  <c r="O29" i="28"/>
  <c r="O41" i="28"/>
  <c r="O42" i="28"/>
  <c r="O30" i="28"/>
  <c r="O44" i="28"/>
  <c r="O45" i="28"/>
  <c r="O46" i="28"/>
  <c r="O47" i="28"/>
  <c r="O62" i="28"/>
  <c r="O63" i="28"/>
  <c r="O48" i="28"/>
  <c r="O65" i="28"/>
  <c r="O66" i="28"/>
  <c r="O67" i="28"/>
  <c r="O68" i="28"/>
  <c r="O72" i="28"/>
  <c r="O69" i="28"/>
  <c r="O74" i="28"/>
  <c r="O73" i="28"/>
  <c r="O75" i="28"/>
  <c r="O76" i="28"/>
  <c r="O78" i="28"/>
  <c r="O8" i="28"/>
  <c r="N19" i="2"/>
  <c r="N21" i="2"/>
  <c r="J8" i="34"/>
  <c r="J9" i="34"/>
  <c r="I20" i="34"/>
  <c r="I16" i="34"/>
  <c r="I21" i="34"/>
  <c r="I41" i="34"/>
  <c r="I42" i="34"/>
  <c r="I43" i="34"/>
  <c r="I44" i="34"/>
  <c r="I45" i="34"/>
  <c r="I46" i="34"/>
  <c r="I75" i="34"/>
  <c r="I22" i="34"/>
  <c r="I23" i="34"/>
  <c r="J19" i="34"/>
  <c r="J5" i="34"/>
  <c r="J13" i="34"/>
  <c r="J27" i="34"/>
  <c r="J29" i="34"/>
  <c r="J26" i="34"/>
  <c r="J30" i="34"/>
  <c r="J28" i="34"/>
  <c r="J31" i="34"/>
  <c r="I10" i="34"/>
  <c r="J32" i="34"/>
  <c r="J34" i="34"/>
  <c r="J38" i="34"/>
  <c r="J14" i="34"/>
  <c r="N22" i="2"/>
  <c r="N23" i="2"/>
  <c r="N6" i="3"/>
  <c r="O5" i="28"/>
  <c r="N26" i="1"/>
  <c r="N29" i="1"/>
  <c r="O6" i="28"/>
  <c r="N31" i="1"/>
  <c r="N34" i="1"/>
  <c r="O39" i="19"/>
  <c r="O44" i="19"/>
  <c r="O46" i="19"/>
  <c r="O19" i="19"/>
  <c r="N13" i="3"/>
  <c r="N27" i="3"/>
  <c r="N40" i="3"/>
  <c r="N38" i="24"/>
  <c r="N37" i="24"/>
  <c r="N5" i="24"/>
  <c r="N6" i="24"/>
  <c r="N16" i="24"/>
  <c r="N31" i="24"/>
  <c r="N35" i="24"/>
  <c r="N39" i="24"/>
  <c r="N40" i="24"/>
  <c r="N41" i="24"/>
  <c r="N45" i="24"/>
  <c r="N47" i="24"/>
  <c r="N45" i="3"/>
  <c r="N46" i="24"/>
  <c r="N46" i="3"/>
  <c r="N48" i="3"/>
  <c r="N52" i="3"/>
  <c r="N9" i="1"/>
  <c r="P10" i="28"/>
  <c r="P26" i="28"/>
  <c r="P27" i="28"/>
  <c r="Q23" i="28"/>
  <c r="Q24" i="28"/>
  <c r="O51" i="3"/>
  <c r="P28" i="28"/>
  <c r="P29" i="28"/>
  <c r="P41" i="28"/>
  <c r="P42" i="28"/>
  <c r="P30" i="28"/>
  <c r="P44" i="28"/>
  <c r="P45" i="28"/>
  <c r="P46" i="28"/>
  <c r="P47" i="28"/>
  <c r="P62" i="28"/>
  <c r="P63" i="28"/>
  <c r="P48" i="28"/>
  <c r="P65" i="28"/>
  <c r="P66" i="28"/>
  <c r="P67" i="28"/>
  <c r="P68" i="28"/>
  <c r="P72" i="28"/>
  <c r="P69" i="28"/>
  <c r="P74" i="28"/>
  <c r="P73" i="28"/>
  <c r="P75" i="28"/>
  <c r="P76" i="28"/>
  <c r="P78" i="28"/>
  <c r="P8" i="28"/>
  <c r="O19" i="2"/>
  <c r="O21" i="2"/>
  <c r="K8" i="34"/>
  <c r="K9" i="34"/>
  <c r="J20" i="34"/>
  <c r="J16" i="34"/>
  <c r="J21" i="34"/>
  <c r="J41" i="34"/>
  <c r="J42" i="34"/>
  <c r="J43" i="34"/>
  <c r="J44" i="34"/>
  <c r="J45" i="34"/>
  <c r="J46" i="34"/>
  <c r="J47" i="34"/>
  <c r="J75" i="34"/>
  <c r="J22" i="34"/>
  <c r="J23" i="34"/>
  <c r="K19" i="34"/>
  <c r="K5" i="34"/>
  <c r="K13" i="34"/>
  <c r="K27" i="34"/>
  <c r="K29" i="34"/>
  <c r="K26" i="34"/>
  <c r="K30" i="34"/>
  <c r="K28" i="34"/>
  <c r="K31" i="34"/>
  <c r="J10" i="34"/>
  <c r="K32" i="34"/>
  <c r="K34" i="34"/>
  <c r="K38" i="34"/>
  <c r="K14" i="34"/>
  <c r="O22" i="2"/>
  <c r="O23" i="2"/>
  <c r="O6" i="3"/>
  <c r="P5" i="28"/>
  <c r="O26" i="1"/>
  <c r="O29" i="1"/>
  <c r="P6" i="28"/>
  <c r="O31" i="1"/>
  <c r="O34" i="1"/>
  <c r="P39" i="19"/>
  <c r="P44" i="19"/>
  <c r="P46" i="19"/>
  <c r="P19" i="19"/>
  <c r="O13" i="3"/>
  <c r="O27" i="3"/>
  <c r="O40" i="3"/>
  <c r="O38" i="24"/>
  <c r="O37" i="24"/>
  <c r="O5" i="24"/>
  <c r="O6" i="24"/>
  <c r="O16" i="24"/>
  <c r="O31" i="24"/>
  <c r="O35" i="24"/>
  <c r="O39" i="24"/>
  <c r="O40" i="24"/>
  <c r="O41" i="24"/>
  <c r="O45" i="24"/>
  <c r="O47" i="24"/>
  <c r="O45" i="3"/>
  <c r="O46" i="24"/>
  <c r="O46" i="3"/>
  <c r="O48" i="3"/>
  <c r="O52" i="3"/>
  <c r="O9" i="1"/>
  <c r="Q10" i="28"/>
  <c r="Q26" i="28"/>
  <c r="Q27" i="28"/>
  <c r="R23" i="28"/>
  <c r="R24" i="28"/>
  <c r="P51" i="3"/>
  <c r="Q28" i="28"/>
  <c r="Q29" i="28"/>
  <c r="Q41" i="28"/>
  <c r="Q42" i="28"/>
  <c r="Q30" i="28"/>
  <c r="Q44" i="28"/>
  <c r="Q45" i="28"/>
  <c r="Q46" i="28"/>
  <c r="Q47" i="28"/>
  <c r="Q62" i="28"/>
  <c r="Q63" i="28"/>
  <c r="Q48" i="28"/>
  <c r="Q65" i="28"/>
  <c r="Q66" i="28"/>
  <c r="Q67" i="28"/>
  <c r="Q68" i="28"/>
  <c r="Q72" i="28"/>
  <c r="Q69" i="28"/>
  <c r="Q74" i="28"/>
  <c r="Q73" i="28"/>
  <c r="Q75" i="28"/>
  <c r="Q76" i="28"/>
  <c r="Q78" i="28"/>
  <c r="Q8" i="28"/>
  <c r="P19" i="2"/>
  <c r="P21" i="2"/>
  <c r="L8" i="34"/>
  <c r="L9" i="34"/>
  <c r="K20" i="34"/>
  <c r="K16" i="34"/>
  <c r="K21" i="34"/>
  <c r="K41" i="34"/>
  <c r="K42" i="34"/>
  <c r="K43" i="34"/>
  <c r="K44" i="34"/>
  <c r="K45" i="34"/>
  <c r="K46" i="34"/>
  <c r="K47" i="34"/>
  <c r="K48" i="34"/>
  <c r="K75" i="34"/>
  <c r="K22" i="34"/>
  <c r="K23" i="34"/>
  <c r="L19" i="34"/>
  <c r="L5" i="34"/>
  <c r="L13" i="34"/>
  <c r="L27" i="34"/>
  <c r="L29" i="34"/>
  <c r="L26" i="34"/>
  <c r="L30" i="34"/>
  <c r="L28" i="34"/>
  <c r="L31" i="34"/>
  <c r="K10" i="34"/>
  <c r="L32" i="34"/>
  <c r="L34" i="34"/>
  <c r="L38" i="34"/>
  <c r="L14" i="34"/>
  <c r="P22" i="2"/>
  <c r="P23" i="2"/>
  <c r="P6" i="3"/>
  <c r="Q5" i="28"/>
  <c r="P26" i="1"/>
  <c r="P29" i="1"/>
  <c r="Q6" i="28"/>
  <c r="P31" i="1"/>
  <c r="P34" i="1"/>
  <c r="Q39" i="19"/>
  <c r="Q44" i="19"/>
  <c r="Q46" i="19"/>
  <c r="Q19" i="19"/>
  <c r="P13" i="3"/>
  <c r="P27" i="3"/>
  <c r="P40" i="3"/>
  <c r="P38" i="24"/>
  <c r="P37" i="24"/>
  <c r="P5" i="24"/>
  <c r="P6" i="24"/>
  <c r="P16" i="24"/>
  <c r="P31" i="24"/>
  <c r="P35" i="24"/>
  <c r="P39" i="24"/>
  <c r="P40" i="24"/>
  <c r="P41" i="24"/>
  <c r="P45" i="24"/>
  <c r="P47" i="24"/>
  <c r="P45" i="3"/>
  <c r="P46" i="24"/>
  <c r="P46" i="3"/>
  <c r="P48" i="3"/>
  <c r="P52" i="3"/>
  <c r="P9" i="1"/>
  <c r="R10" i="28"/>
  <c r="R26" i="28"/>
  <c r="R27" i="28"/>
  <c r="S23" i="28"/>
  <c r="S24" i="28"/>
  <c r="Q51" i="3"/>
  <c r="R28" i="28"/>
  <c r="R29" i="28"/>
  <c r="R41" i="28"/>
  <c r="R42" i="28"/>
  <c r="R30" i="28"/>
  <c r="R44" i="28"/>
  <c r="R45" i="28"/>
  <c r="R46" i="28"/>
  <c r="R47" i="28"/>
  <c r="R62" i="28"/>
  <c r="R63" i="28"/>
  <c r="R48" i="28"/>
  <c r="R65" i="28"/>
  <c r="R66" i="28"/>
  <c r="R67" i="28"/>
  <c r="R68" i="28"/>
  <c r="R72" i="28"/>
  <c r="R69" i="28"/>
  <c r="R74" i="28"/>
  <c r="R73" i="28"/>
  <c r="R75" i="28"/>
  <c r="R76" i="28"/>
  <c r="R78" i="28"/>
  <c r="R8" i="28"/>
  <c r="Q19" i="2"/>
  <c r="Q21" i="2"/>
  <c r="M8" i="34"/>
  <c r="M9" i="34"/>
  <c r="L20" i="34"/>
  <c r="L16" i="34"/>
  <c r="L21" i="34"/>
  <c r="L41" i="34"/>
  <c r="L42" i="34"/>
  <c r="L43" i="34"/>
  <c r="L44" i="34"/>
  <c r="L45" i="34"/>
  <c r="L46" i="34"/>
  <c r="L47" i="34"/>
  <c r="L48" i="34"/>
  <c r="L49" i="34"/>
  <c r="L75" i="34"/>
  <c r="L22" i="34"/>
  <c r="L23" i="34"/>
  <c r="M19" i="34"/>
  <c r="M5" i="34"/>
  <c r="M13" i="34"/>
  <c r="M27" i="34"/>
  <c r="M29" i="34"/>
  <c r="M26" i="34"/>
  <c r="M30" i="34"/>
  <c r="M28" i="34"/>
  <c r="M31" i="34"/>
  <c r="L10" i="34"/>
  <c r="M32" i="34"/>
  <c r="M34" i="34"/>
  <c r="M38" i="34"/>
  <c r="M14" i="34"/>
  <c r="Q22" i="2"/>
  <c r="Q23" i="2"/>
  <c r="Q6" i="3"/>
  <c r="R5" i="28"/>
  <c r="Q26" i="1"/>
  <c r="Q29" i="1"/>
  <c r="R6" i="28"/>
  <c r="Q31" i="1"/>
  <c r="Q34" i="1"/>
  <c r="R39" i="19"/>
  <c r="R44" i="19"/>
  <c r="R46" i="19"/>
  <c r="R19" i="19"/>
  <c r="Q13" i="3"/>
  <c r="Q27" i="3"/>
  <c r="Q40" i="3"/>
  <c r="Q38" i="24"/>
  <c r="Q37" i="24"/>
  <c r="Q5" i="24"/>
  <c r="Q6" i="24"/>
  <c r="Q16" i="24"/>
  <c r="Q31" i="24"/>
  <c r="Q35" i="24"/>
  <c r="Q39" i="24"/>
  <c r="Q40" i="24"/>
  <c r="Q41" i="24"/>
  <c r="Q45" i="24"/>
  <c r="Q47" i="24"/>
  <c r="Q45" i="3"/>
  <c r="Q46" i="24"/>
  <c r="Q46" i="3"/>
  <c r="Q48" i="3"/>
  <c r="Q52" i="3"/>
  <c r="Q9" i="1"/>
  <c r="S10" i="28"/>
  <c r="S26" i="28"/>
  <c r="S27" i="28"/>
  <c r="T23" i="28"/>
  <c r="T24" i="28"/>
  <c r="R51" i="3"/>
  <c r="S28" i="28"/>
  <c r="S29" i="28"/>
  <c r="S41" i="28"/>
  <c r="S42" i="28"/>
  <c r="S30" i="28"/>
  <c r="S44" i="28"/>
  <c r="S45" i="28"/>
  <c r="S46" i="28"/>
  <c r="S47" i="28"/>
  <c r="S62" i="28"/>
  <c r="S63" i="28"/>
  <c r="S48" i="28"/>
  <c r="S65" i="28"/>
  <c r="S66" i="28"/>
  <c r="S67" i="28"/>
  <c r="S68" i="28"/>
  <c r="S72" i="28"/>
  <c r="S69" i="28"/>
  <c r="S74" i="28"/>
  <c r="S73" i="28"/>
  <c r="S75" i="28"/>
  <c r="S76" i="28"/>
  <c r="S78" i="28"/>
  <c r="S8" i="28"/>
  <c r="R19" i="2"/>
  <c r="R21" i="2"/>
  <c r="N8" i="34"/>
  <c r="N9" i="34"/>
  <c r="M20" i="34"/>
  <c r="M16" i="34"/>
  <c r="M21" i="34"/>
  <c r="M41" i="34"/>
  <c r="M42" i="34"/>
  <c r="M43" i="34"/>
  <c r="M44" i="34"/>
  <c r="M45" i="34"/>
  <c r="M46" i="34"/>
  <c r="M47" i="34"/>
  <c r="M48" i="34"/>
  <c r="M49" i="34"/>
  <c r="M50" i="34"/>
  <c r="M75" i="34"/>
  <c r="M22" i="34"/>
  <c r="M23" i="34"/>
  <c r="N19" i="34"/>
  <c r="N5" i="34"/>
  <c r="N13" i="34"/>
  <c r="N27" i="34"/>
  <c r="N29" i="34"/>
  <c r="N26" i="34"/>
  <c r="N30" i="34"/>
  <c r="N28" i="34"/>
  <c r="N31" i="34"/>
  <c r="M10" i="34"/>
  <c r="N32" i="34"/>
  <c r="N34" i="34"/>
  <c r="N38" i="34"/>
  <c r="N14" i="34"/>
  <c r="R22" i="2"/>
  <c r="R23" i="2"/>
  <c r="R6" i="3"/>
  <c r="S5" i="28"/>
  <c r="R26" i="1"/>
  <c r="R29" i="1"/>
  <c r="S6" i="28"/>
  <c r="R31" i="1"/>
  <c r="R34" i="1"/>
  <c r="S39" i="19"/>
  <c r="S44" i="19"/>
  <c r="S46" i="19"/>
  <c r="S19" i="19"/>
  <c r="R13" i="3"/>
  <c r="R27" i="3"/>
  <c r="R40" i="3"/>
  <c r="R38" i="24"/>
  <c r="R37" i="24"/>
  <c r="R5" i="24"/>
  <c r="R6" i="24"/>
  <c r="R16" i="24"/>
  <c r="R31" i="24"/>
  <c r="R35" i="24"/>
  <c r="R39" i="24"/>
  <c r="R40" i="24"/>
  <c r="R41" i="24"/>
  <c r="R45" i="24"/>
  <c r="R47" i="24"/>
  <c r="R45" i="3"/>
  <c r="R46" i="24"/>
  <c r="R46" i="3"/>
  <c r="R48" i="3"/>
  <c r="R52" i="3"/>
  <c r="R9" i="1"/>
  <c r="T10" i="28"/>
  <c r="T26" i="28"/>
  <c r="T27" i="28"/>
  <c r="U23" i="28"/>
  <c r="U24" i="28"/>
  <c r="S51" i="3"/>
  <c r="T28" i="28"/>
  <c r="T29" i="28"/>
  <c r="T41" i="28"/>
  <c r="T42" i="28"/>
  <c r="T30" i="28"/>
  <c r="T44" i="28"/>
  <c r="T45" i="28"/>
  <c r="T46" i="28"/>
  <c r="T47" i="28"/>
  <c r="T62" i="28"/>
  <c r="T63" i="28"/>
  <c r="T48" i="28"/>
  <c r="T65" i="28"/>
  <c r="T66" i="28"/>
  <c r="T67" i="28"/>
  <c r="T68" i="28"/>
  <c r="T72" i="28"/>
  <c r="T69" i="28"/>
  <c r="T74" i="28"/>
  <c r="T73" i="28"/>
  <c r="T75" i="28"/>
  <c r="T76" i="28"/>
  <c r="T78" i="28"/>
  <c r="T8" i="28"/>
  <c r="S19" i="2"/>
  <c r="S21" i="2"/>
  <c r="O8" i="34"/>
  <c r="O9" i="34"/>
  <c r="N20" i="34"/>
  <c r="N16" i="34"/>
  <c r="N21" i="34"/>
  <c r="N41" i="34"/>
  <c r="N42" i="34"/>
  <c r="N43" i="34"/>
  <c r="N44" i="34"/>
  <c r="N45" i="34"/>
  <c r="N46" i="34"/>
  <c r="N47" i="34"/>
  <c r="N48" i="34"/>
  <c r="N49" i="34"/>
  <c r="N50" i="34"/>
  <c r="N51" i="34"/>
  <c r="N75" i="34"/>
  <c r="N22" i="34"/>
  <c r="N23" i="34"/>
  <c r="O19" i="34"/>
  <c r="O5" i="34"/>
  <c r="O13" i="34"/>
  <c r="O27" i="34"/>
  <c r="O29" i="34"/>
  <c r="O26" i="34"/>
  <c r="O30" i="34"/>
  <c r="O28" i="34"/>
  <c r="O31" i="34"/>
  <c r="N10" i="34"/>
  <c r="O32" i="34"/>
  <c r="O34" i="34"/>
  <c r="O38" i="34"/>
  <c r="O14" i="34"/>
  <c r="S22" i="2"/>
  <c r="S23" i="2"/>
  <c r="S6" i="3"/>
  <c r="T5" i="28"/>
  <c r="S26" i="1"/>
  <c r="S29" i="1"/>
  <c r="T6" i="28"/>
  <c r="S31" i="1"/>
  <c r="S34" i="1"/>
  <c r="T39" i="19"/>
  <c r="T44" i="19"/>
  <c r="T46" i="19"/>
  <c r="T19" i="19"/>
  <c r="S13" i="3"/>
  <c r="S27" i="3"/>
  <c r="S40" i="3"/>
  <c r="S38" i="24"/>
  <c r="S37" i="24"/>
  <c r="S5" i="24"/>
  <c r="S6" i="24"/>
  <c r="S16" i="24"/>
  <c r="S31" i="24"/>
  <c r="S35" i="24"/>
  <c r="S39" i="24"/>
  <c r="S40" i="24"/>
  <c r="S41" i="24"/>
  <c r="S45" i="24"/>
  <c r="S47" i="24"/>
  <c r="S45" i="3"/>
  <c r="S46" i="24"/>
  <c r="S46" i="3"/>
  <c r="S48" i="3"/>
  <c r="S52" i="3"/>
  <c r="S9" i="1"/>
  <c r="U10" i="28"/>
  <c r="U26" i="28"/>
  <c r="U27" i="28"/>
  <c r="V23" i="28"/>
  <c r="V24" i="28"/>
  <c r="T51" i="3"/>
  <c r="U28" i="28"/>
  <c r="U29" i="28"/>
  <c r="U41" i="28"/>
  <c r="U42" i="28"/>
  <c r="U30" i="28"/>
  <c r="U44" i="28"/>
  <c r="U45" i="28"/>
  <c r="U46" i="28"/>
  <c r="U47" i="28"/>
  <c r="U48" i="28"/>
  <c r="U65" i="28"/>
  <c r="U66" i="28"/>
  <c r="U67" i="28"/>
  <c r="U68" i="28"/>
  <c r="U72" i="28"/>
  <c r="U69" i="28"/>
  <c r="U74" i="28"/>
  <c r="U73" i="28"/>
  <c r="U75" i="28"/>
  <c r="U76" i="28"/>
  <c r="U78" i="28"/>
  <c r="U8" i="28"/>
  <c r="T19" i="2"/>
  <c r="T21" i="2"/>
  <c r="P8" i="34"/>
  <c r="P9" i="34"/>
  <c r="O20" i="34"/>
  <c r="O16" i="34"/>
  <c r="O21" i="34"/>
  <c r="O41" i="34"/>
  <c r="O42" i="34"/>
  <c r="O43" i="34"/>
  <c r="O44" i="34"/>
  <c r="O45" i="34"/>
  <c r="O46" i="34"/>
  <c r="O47" i="34"/>
  <c r="O48" i="34"/>
  <c r="O49" i="34"/>
  <c r="O50" i="34"/>
  <c r="O51" i="34"/>
  <c r="O52" i="34"/>
  <c r="O75" i="34"/>
  <c r="O22" i="34"/>
  <c r="O23" i="34"/>
  <c r="P19" i="34"/>
  <c r="P5" i="34"/>
  <c r="P13" i="34"/>
  <c r="P27" i="34"/>
  <c r="P29" i="34"/>
  <c r="P26" i="34"/>
  <c r="P30" i="34"/>
  <c r="P28" i="34"/>
  <c r="P31" i="34"/>
  <c r="O10" i="34"/>
  <c r="P32" i="34"/>
  <c r="P34" i="34"/>
  <c r="P38" i="34"/>
  <c r="P14" i="34"/>
  <c r="T22" i="2"/>
  <c r="T23" i="2"/>
  <c r="T6" i="3"/>
  <c r="U5" i="28"/>
  <c r="T26" i="1"/>
  <c r="T29" i="1"/>
  <c r="U6" i="28"/>
  <c r="T31" i="1"/>
  <c r="T34" i="1"/>
  <c r="U39" i="19"/>
  <c r="U44" i="19"/>
  <c r="U46" i="19"/>
  <c r="U19" i="19"/>
  <c r="T13" i="3"/>
  <c r="T27" i="3"/>
  <c r="T40" i="3"/>
  <c r="T38" i="24"/>
  <c r="T37" i="24"/>
  <c r="T5" i="24"/>
  <c r="T6" i="24"/>
  <c r="T16" i="24"/>
  <c r="T31" i="24"/>
  <c r="T35" i="24"/>
  <c r="T39" i="24"/>
  <c r="T40" i="24"/>
  <c r="T41" i="24"/>
  <c r="T45" i="24"/>
  <c r="T47" i="24"/>
  <c r="T45" i="3"/>
  <c r="T46" i="24"/>
  <c r="T46" i="3"/>
  <c r="T48" i="3"/>
  <c r="T52" i="3"/>
  <c r="T9" i="1"/>
  <c r="V10" i="28"/>
  <c r="V26" i="28"/>
  <c r="V27" i="28"/>
  <c r="W23" i="28"/>
  <c r="W24" i="28"/>
  <c r="U51" i="3"/>
  <c r="V28" i="28"/>
  <c r="V29" i="28"/>
  <c r="V41" i="28"/>
  <c r="V42" i="28"/>
  <c r="V30" i="28"/>
  <c r="V44" i="28"/>
  <c r="V45" i="28"/>
  <c r="V46" i="28"/>
  <c r="V47" i="28"/>
  <c r="V62" i="28"/>
  <c r="V63" i="28"/>
  <c r="V48" i="28"/>
  <c r="V65" i="28"/>
  <c r="V66" i="28"/>
  <c r="V67" i="28"/>
  <c r="V68" i="28"/>
  <c r="V72" i="28"/>
  <c r="V69" i="28"/>
  <c r="V74" i="28"/>
  <c r="V73" i="28"/>
  <c r="V75" i="28"/>
  <c r="V76" i="28"/>
  <c r="V78" i="28"/>
  <c r="V8" i="28"/>
  <c r="U19" i="2"/>
  <c r="U21" i="2"/>
  <c r="Q8" i="34"/>
  <c r="Q9" i="34"/>
  <c r="P20" i="34"/>
  <c r="P16" i="34"/>
  <c r="P21" i="34"/>
  <c r="P41" i="34"/>
  <c r="P42" i="34"/>
  <c r="P43" i="34"/>
  <c r="P44" i="34"/>
  <c r="P45" i="34"/>
  <c r="P46" i="34"/>
  <c r="P47" i="34"/>
  <c r="P48" i="34"/>
  <c r="P49" i="34"/>
  <c r="P50" i="34"/>
  <c r="P51" i="34"/>
  <c r="P52" i="34"/>
  <c r="P53" i="34"/>
  <c r="P75" i="34"/>
  <c r="P22" i="34"/>
  <c r="P23" i="34"/>
  <c r="Q19" i="34"/>
  <c r="Q5" i="34"/>
  <c r="Q13" i="34"/>
  <c r="Q27" i="34"/>
  <c r="Q29" i="34"/>
  <c r="Q26" i="34"/>
  <c r="Q30" i="34"/>
  <c r="Q28" i="34"/>
  <c r="Q31" i="34"/>
  <c r="P10" i="34"/>
  <c r="Q32" i="34"/>
  <c r="Q34" i="34"/>
  <c r="Q38" i="34"/>
  <c r="Q14" i="34"/>
  <c r="U22" i="2"/>
  <c r="U23" i="2"/>
  <c r="U6" i="3"/>
  <c r="V5" i="28"/>
  <c r="U26" i="1"/>
  <c r="U29" i="1"/>
  <c r="V6" i="28"/>
  <c r="U31" i="1"/>
  <c r="U34" i="1"/>
  <c r="V39" i="19"/>
  <c r="V44" i="19"/>
  <c r="V46" i="19"/>
  <c r="V19" i="19"/>
  <c r="U13" i="3"/>
  <c r="U27" i="3"/>
  <c r="U40" i="3"/>
  <c r="U38" i="24"/>
  <c r="U37" i="24"/>
  <c r="U5" i="24"/>
  <c r="U6" i="24"/>
  <c r="U16" i="24"/>
  <c r="U31" i="24"/>
  <c r="U35" i="24"/>
  <c r="U39" i="24"/>
  <c r="U40" i="24"/>
  <c r="U41" i="24"/>
  <c r="U45" i="24"/>
  <c r="U47" i="24"/>
  <c r="U45" i="3"/>
  <c r="U46" i="24"/>
  <c r="U46" i="3"/>
  <c r="U48" i="3"/>
  <c r="U52" i="3"/>
  <c r="U9" i="1"/>
  <c r="W10" i="28"/>
  <c r="W26" i="28"/>
  <c r="W27" i="28"/>
  <c r="X23" i="28"/>
  <c r="X24" i="28"/>
  <c r="V51" i="3"/>
  <c r="W28" i="28"/>
  <c r="W29" i="28"/>
  <c r="W41" i="28"/>
  <c r="W42" i="28"/>
  <c r="W30" i="28"/>
  <c r="W44" i="28"/>
  <c r="W45" i="28"/>
  <c r="W46" i="28"/>
  <c r="W47" i="28"/>
  <c r="W62" i="28"/>
  <c r="W63" i="28"/>
  <c r="W48" i="28"/>
  <c r="W65" i="28"/>
  <c r="W66" i="28"/>
  <c r="W67" i="28"/>
  <c r="W68" i="28"/>
  <c r="W72" i="28"/>
  <c r="W69" i="28"/>
  <c r="W74" i="28"/>
  <c r="W73" i="28"/>
  <c r="W75" i="28"/>
  <c r="W76" i="28"/>
  <c r="W78" i="28"/>
  <c r="W8" i="28"/>
  <c r="V19" i="2"/>
  <c r="V21" i="2"/>
  <c r="R8" i="34"/>
  <c r="R9" i="34"/>
  <c r="Q20" i="34"/>
  <c r="Q16" i="34"/>
  <c r="Q21" i="34"/>
  <c r="Q41" i="34"/>
  <c r="Q42" i="34"/>
  <c r="Q43" i="34"/>
  <c r="Q44" i="34"/>
  <c r="Q45" i="34"/>
  <c r="Q46" i="34"/>
  <c r="Q47" i="34"/>
  <c r="Q48" i="34"/>
  <c r="Q49" i="34"/>
  <c r="Q50" i="34"/>
  <c r="Q51" i="34"/>
  <c r="Q52" i="34"/>
  <c r="Q53" i="34"/>
  <c r="Q54" i="34"/>
  <c r="Q75" i="34"/>
  <c r="Q22" i="34"/>
  <c r="Q23" i="34"/>
  <c r="R19" i="34"/>
  <c r="R5" i="34"/>
  <c r="R13" i="34"/>
  <c r="R27" i="34"/>
  <c r="R29" i="34"/>
  <c r="R26" i="34"/>
  <c r="R30" i="34"/>
  <c r="R28" i="34"/>
  <c r="R31" i="34"/>
  <c r="Q10" i="34"/>
  <c r="R32" i="34"/>
  <c r="R34" i="34"/>
  <c r="R38" i="34"/>
  <c r="R14" i="34"/>
  <c r="V22" i="2"/>
  <c r="V23" i="2"/>
  <c r="V6" i="3"/>
  <c r="W5" i="28"/>
  <c r="V26" i="1"/>
  <c r="V29" i="1"/>
  <c r="W6" i="28"/>
  <c r="V31" i="1"/>
  <c r="V34" i="1"/>
  <c r="W39" i="19"/>
  <c r="W44" i="19"/>
  <c r="W46" i="19"/>
  <c r="W19" i="19"/>
  <c r="V13" i="3"/>
  <c r="V27" i="3"/>
  <c r="V40" i="3"/>
  <c r="V38" i="24"/>
  <c r="V37" i="24"/>
  <c r="V5" i="24"/>
  <c r="V6" i="24"/>
  <c r="V16" i="24"/>
  <c r="V31" i="24"/>
  <c r="V35" i="24"/>
  <c r="V39" i="24"/>
  <c r="V40" i="24"/>
  <c r="V41" i="24"/>
  <c r="V45" i="24"/>
  <c r="V47" i="24"/>
  <c r="V45" i="3"/>
  <c r="V46" i="24"/>
  <c r="V46" i="3"/>
  <c r="V48" i="3"/>
  <c r="V52" i="3"/>
  <c r="V9" i="1"/>
  <c r="X10" i="28"/>
  <c r="X26" i="28"/>
  <c r="X27" i="28"/>
  <c r="Y23" i="28"/>
  <c r="Y24" i="28"/>
  <c r="W51" i="3"/>
  <c r="X28" i="28"/>
  <c r="X29" i="28"/>
  <c r="X41" i="28"/>
  <c r="X42" i="28"/>
  <c r="X30" i="28"/>
  <c r="X44" i="28"/>
  <c r="X45" i="28"/>
  <c r="X46" i="28"/>
  <c r="X47" i="28"/>
  <c r="X62" i="28"/>
  <c r="X63" i="28"/>
  <c r="X48" i="28"/>
  <c r="X65" i="28"/>
  <c r="X66" i="28"/>
  <c r="X67" i="28"/>
  <c r="X68" i="28"/>
  <c r="X72" i="28"/>
  <c r="X69" i="28"/>
  <c r="X74" i="28"/>
  <c r="X73" i="28"/>
  <c r="X75" i="28"/>
  <c r="X76" i="28"/>
  <c r="X78" i="28"/>
  <c r="X8" i="28"/>
  <c r="W19" i="2"/>
  <c r="W21" i="2"/>
  <c r="S8" i="34"/>
  <c r="S9" i="34"/>
  <c r="R20" i="34"/>
  <c r="R16" i="34"/>
  <c r="R21" i="34"/>
  <c r="R41" i="34"/>
  <c r="R42" i="34"/>
  <c r="R43" i="34"/>
  <c r="R44" i="34"/>
  <c r="R45" i="34"/>
  <c r="R46" i="34"/>
  <c r="R47" i="34"/>
  <c r="R48" i="34"/>
  <c r="R49" i="34"/>
  <c r="R50" i="34"/>
  <c r="R51" i="34"/>
  <c r="R52" i="34"/>
  <c r="R53" i="34"/>
  <c r="R54" i="34"/>
  <c r="R55" i="34"/>
  <c r="R75" i="34"/>
  <c r="R22" i="34"/>
  <c r="R23" i="34"/>
  <c r="S19" i="34"/>
  <c r="S5" i="34"/>
  <c r="S13" i="34"/>
  <c r="S27" i="34"/>
  <c r="S29" i="34"/>
  <c r="S26" i="34"/>
  <c r="S30" i="34"/>
  <c r="S28" i="34"/>
  <c r="S31" i="34"/>
  <c r="R10" i="34"/>
  <c r="S32" i="34"/>
  <c r="S34" i="34"/>
  <c r="S38" i="34"/>
  <c r="S14" i="34"/>
  <c r="W22" i="2"/>
  <c r="W23" i="2"/>
  <c r="W6" i="3"/>
  <c r="X5" i="28"/>
  <c r="W26" i="1"/>
  <c r="W29" i="1"/>
  <c r="X6" i="28"/>
  <c r="W31" i="1"/>
  <c r="W34" i="1"/>
  <c r="X39" i="19"/>
  <c r="X44" i="19"/>
  <c r="X46" i="19"/>
  <c r="X19" i="19"/>
  <c r="W13" i="3"/>
  <c r="W27" i="3"/>
  <c r="W40" i="3"/>
  <c r="W38" i="24"/>
  <c r="W37" i="24"/>
  <c r="W5" i="24"/>
  <c r="W6" i="24"/>
  <c r="W16" i="24"/>
  <c r="W31" i="24"/>
  <c r="W35" i="24"/>
  <c r="W39" i="24"/>
  <c r="W40" i="24"/>
  <c r="W41" i="24"/>
  <c r="W45" i="24"/>
  <c r="W47" i="24"/>
  <c r="W45" i="3"/>
  <c r="W46" i="24"/>
  <c r="W46" i="3"/>
  <c r="W48" i="3"/>
  <c r="W52" i="3"/>
  <c r="W9" i="1"/>
  <c r="Y10" i="28"/>
  <c r="Y26" i="28"/>
  <c r="Y27" i="28"/>
  <c r="Z23" i="28"/>
  <c r="Z24" i="28"/>
  <c r="X51" i="3"/>
  <c r="Y28" i="28"/>
  <c r="Y29" i="28"/>
  <c r="Y41" i="28"/>
  <c r="Y42" i="28"/>
  <c r="Y30" i="28"/>
  <c r="Y44" i="28"/>
  <c r="Y45" i="28"/>
  <c r="Y46" i="28"/>
  <c r="Y47" i="28"/>
  <c r="Y62" i="28"/>
  <c r="Y63" i="28"/>
  <c r="Y48" i="28"/>
  <c r="Y65" i="28"/>
  <c r="Y66" i="28"/>
  <c r="Y67" i="28"/>
  <c r="Y68" i="28"/>
  <c r="Y72" i="28"/>
  <c r="Y69" i="28"/>
  <c r="Y74" i="28"/>
  <c r="Y73" i="28"/>
  <c r="Y75" i="28"/>
  <c r="Y76" i="28"/>
  <c r="Y78" i="28"/>
  <c r="Y8" i="28"/>
  <c r="X19" i="2"/>
  <c r="X21" i="2"/>
  <c r="T8" i="34"/>
  <c r="T9" i="34"/>
  <c r="S20" i="34"/>
  <c r="S16" i="34"/>
  <c r="S21" i="34"/>
  <c r="S41" i="34"/>
  <c r="S42" i="34"/>
  <c r="S43" i="34"/>
  <c r="S44" i="34"/>
  <c r="S45" i="34"/>
  <c r="S46" i="34"/>
  <c r="S47" i="34"/>
  <c r="S48" i="34"/>
  <c r="S49" i="34"/>
  <c r="S50" i="34"/>
  <c r="S51" i="34"/>
  <c r="S52" i="34"/>
  <c r="S53" i="34"/>
  <c r="S54" i="34"/>
  <c r="S55" i="34"/>
  <c r="S56" i="34"/>
  <c r="S75" i="34"/>
  <c r="S22" i="34"/>
  <c r="S23" i="34"/>
  <c r="T19" i="34"/>
  <c r="T5" i="34"/>
  <c r="T13" i="34"/>
  <c r="T27" i="34"/>
  <c r="T29" i="34"/>
  <c r="T26" i="34"/>
  <c r="T30" i="34"/>
  <c r="T28" i="34"/>
  <c r="T31" i="34"/>
  <c r="S10" i="34"/>
  <c r="T32" i="34"/>
  <c r="T34" i="34"/>
  <c r="T38" i="34"/>
  <c r="T14" i="34"/>
  <c r="X22" i="2"/>
  <c r="X23" i="2"/>
  <c r="X6" i="3"/>
  <c r="Y5" i="28"/>
  <c r="X26" i="1"/>
  <c r="X29" i="1"/>
  <c r="Y6" i="28"/>
  <c r="X31" i="1"/>
  <c r="X34" i="1"/>
  <c r="Y39" i="19"/>
  <c r="Y44" i="19"/>
  <c r="Y46" i="19"/>
  <c r="Y19" i="19"/>
  <c r="X13" i="3"/>
  <c r="X27" i="3"/>
  <c r="X40" i="3"/>
  <c r="X38" i="24"/>
  <c r="X37" i="24"/>
  <c r="X5" i="24"/>
  <c r="X6" i="24"/>
  <c r="X16" i="24"/>
  <c r="X31" i="24"/>
  <c r="X35" i="24"/>
  <c r="X39" i="24"/>
  <c r="X40" i="24"/>
  <c r="X41" i="24"/>
  <c r="X45" i="24"/>
  <c r="X47" i="24"/>
  <c r="X45" i="3"/>
  <c r="X46" i="24"/>
  <c r="X46" i="3"/>
  <c r="X48" i="3"/>
  <c r="X52" i="3"/>
  <c r="X9" i="1"/>
  <c r="Z10" i="28"/>
  <c r="Z26" i="28"/>
  <c r="Z27" i="28"/>
  <c r="AA23" i="28"/>
  <c r="AA24" i="28"/>
  <c r="Y51" i="3"/>
  <c r="Z28" i="28"/>
  <c r="Z29" i="28"/>
  <c r="Z41" i="28"/>
  <c r="Z42" i="28"/>
  <c r="Z30" i="28"/>
  <c r="Z44" i="28"/>
  <c r="Z45" i="28"/>
  <c r="Z46" i="28"/>
  <c r="Z47" i="28"/>
  <c r="Z62" i="28"/>
  <c r="Z63" i="28"/>
  <c r="Z48" i="28"/>
  <c r="Z65" i="28"/>
  <c r="Z66" i="28"/>
  <c r="Z67" i="28"/>
  <c r="Z68" i="28"/>
  <c r="Z72" i="28"/>
  <c r="Z69" i="28"/>
  <c r="Z74" i="28"/>
  <c r="Z73" i="28"/>
  <c r="Z75" i="28"/>
  <c r="Z76" i="28"/>
  <c r="Z78" i="28"/>
  <c r="Z8" i="28"/>
  <c r="Y19" i="2"/>
  <c r="Y21" i="2"/>
  <c r="U8" i="34"/>
  <c r="U9" i="34"/>
  <c r="T20" i="34"/>
  <c r="T16" i="34"/>
  <c r="T21" i="34"/>
  <c r="T41" i="34"/>
  <c r="T42" i="34"/>
  <c r="T43" i="34"/>
  <c r="T44" i="34"/>
  <c r="T45" i="34"/>
  <c r="T46" i="34"/>
  <c r="T47" i="34"/>
  <c r="T48" i="34"/>
  <c r="T49" i="34"/>
  <c r="T50" i="34"/>
  <c r="T51" i="34"/>
  <c r="T52" i="34"/>
  <c r="T53" i="34"/>
  <c r="T54" i="34"/>
  <c r="T55" i="34"/>
  <c r="T56" i="34"/>
  <c r="T57" i="34"/>
  <c r="T75" i="34"/>
  <c r="T22" i="34"/>
  <c r="T23" i="34"/>
  <c r="U19" i="34"/>
  <c r="U5" i="34"/>
  <c r="U13" i="34"/>
  <c r="U27" i="34"/>
  <c r="U29" i="34"/>
  <c r="U26" i="34"/>
  <c r="U30" i="34"/>
  <c r="U28" i="34"/>
  <c r="U31" i="34"/>
  <c r="T10" i="34"/>
  <c r="U32" i="34"/>
  <c r="U34" i="34"/>
  <c r="U38" i="34"/>
  <c r="U14" i="34"/>
  <c r="Y22" i="2"/>
  <c r="Y23" i="2"/>
  <c r="Y6" i="3"/>
  <c r="Z5" i="28"/>
  <c r="Y26" i="1"/>
  <c r="Y29" i="1"/>
  <c r="Z6" i="28"/>
  <c r="Y31" i="1"/>
  <c r="Y34" i="1"/>
  <c r="Z39" i="19"/>
  <c r="Z44" i="19"/>
  <c r="Z46" i="19"/>
  <c r="Z19" i="19"/>
  <c r="Y13" i="3"/>
  <c r="Y27" i="3"/>
  <c r="Y40" i="3"/>
  <c r="Y38" i="24"/>
  <c r="Y37" i="24"/>
  <c r="Y5" i="24"/>
  <c r="Y6" i="24"/>
  <c r="Y16" i="24"/>
  <c r="Y31" i="24"/>
  <c r="Y35" i="24"/>
  <c r="Y39" i="24"/>
  <c r="Y40" i="24"/>
  <c r="Y41" i="24"/>
  <c r="Y45" i="24"/>
  <c r="Y47" i="24"/>
  <c r="Y45" i="3"/>
  <c r="Y46" i="24"/>
  <c r="Y46" i="3"/>
  <c r="Y48" i="3"/>
  <c r="Y52" i="3"/>
  <c r="Y9" i="1"/>
  <c r="AA10" i="28"/>
  <c r="AA26" i="28"/>
  <c r="AA27" i="28"/>
  <c r="AB23" i="28"/>
  <c r="AB24" i="28"/>
  <c r="Z51" i="3"/>
  <c r="AA28" i="28"/>
  <c r="AA29" i="28"/>
  <c r="AA41" i="28"/>
  <c r="AA42" i="28"/>
  <c r="AA30" i="28"/>
  <c r="AA44" i="28"/>
  <c r="AA45" i="28"/>
  <c r="AA46" i="28"/>
  <c r="AA47" i="28"/>
  <c r="AA62" i="28"/>
  <c r="AA63" i="28"/>
  <c r="AA48" i="28"/>
  <c r="AA65" i="28"/>
  <c r="AA66" i="28"/>
  <c r="AA67" i="28"/>
  <c r="AA68" i="28"/>
  <c r="AA72" i="28"/>
  <c r="AA69" i="28"/>
  <c r="AA74" i="28"/>
  <c r="AA73" i="28"/>
  <c r="AA75" i="28"/>
  <c r="AA76" i="28"/>
  <c r="AA78" i="28"/>
  <c r="AA8" i="28"/>
  <c r="Z19" i="2"/>
  <c r="Z21" i="2"/>
  <c r="V8" i="34"/>
  <c r="V9" i="34"/>
  <c r="U20" i="34"/>
  <c r="U16" i="34"/>
  <c r="U21" i="34"/>
  <c r="U41" i="34"/>
  <c r="U42" i="34"/>
  <c r="U43" i="34"/>
  <c r="U44" i="34"/>
  <c r="U45" i="34"/>
  <c r="U46" i="34"/>
  <c r="U47" i="34"/>
  <c r="U48" i="34"/>
  <c r="U49" i="34"/>
  <c r="U50" i="34"/>
  <c r="U51" i="34"/>
  <c r="U52" i="34"/>
  <c r="U53" i="34"/>
  <c r="U54" i="34"/>
  <c r="U55" i="34"/>
  <c r="U56" i="34"/>
  <c r="U57" i="34"/>
  <c r="U58" i="34"/>
  <c r="U75" i="34"/>
  <c r="U22" i="34"/>
  <c r="U23" i="34"/>
  <c r="V19" i="34"/>
  <c r="V5" i="34"/>
  <c r="V13" i="34"/>
  <c r="V27" i="34"/>
  <c r="V29" i="34"/>
  <c r="V26" i="34"/>
  <c r="V30" i="34"/>
  <c r="V28" i="34"/>
  <c r="V31" i="34"/>
  <c r="U10" i="34"/>
  <c r="V32" i="34"/>
  <c r="V34" i="34"/>
  <c r="V38" i="34"/>
  <c r="V14" i="34"/>
  <c r="Z22" i="2"/>
  <c r="Z23" i="2"/>
  <c r="Z6" i="3"/>
  <c r="AA5" i="28"/>
  <c r="Z26" i="1"/>
  <c r="Z29" i="1"/>
  <c r="AA6" i="28"/>
  <c r="Z31" i="1"/>
  <c r="Z34" i="1"/>
  <c r="AA39" i="19"/>
  <c r="AA44" i="19"/>
  <c r="AA46" i="19"/>
  <c r="AA19" i="19"/>
  <c r="Z13" i="3"/>
  <c r="Z27" i="3"/>
  <c r="Z40" i="3"/>
  <c r="Z38" i="24"/>
  <c r="Z37" i="24"/>
  <c r="Z5" i="24"/>
  <c r="Z6" i="24"/>
  <c r="Z16" i="24"/>
  <c r="Z31" i="24"/>
  <c r="Z35" i="24"/>
  <c r="Z39" i="24"/>
  <c r="Z40" i="24"/>
  <c r="Z41" i="24"/>
  <c r="Z45" i="24"/>
  <c r="Z47" i="24"/>
  <c r="Z45" i="3"/>
  <c r="Z46" i="24"/>
  <c r="Z46" i="3"/>
  <c r="Z48" i="3"/>
  <c r="Z52" i="3"/>
  <c r="Z9" i="1"/>
  <c r="AB10" i="28"/>
  <c r="AB26" i="28"/>
  <c r="AB27" i="28"/>
  <c r="AC23" i="28"/>
  <c r="AC24" i="28"/>
  <c r="AA51" i="3"/>
  <c r="AB28" i="28"/>
  <c r="AB29" i="28"/>
  <c r="AB41" i="28"/>
  <c r="AB42" i="28"/>
  <c r="AB30" i="28"/>
  <c r="AB44" i="28"/>
  <c r="AB45" i="28"/>
  <c r="AB46" i="28"/>
  <c r="AB47" i="28"/>
  <c r="AB62" i="28"/>
  <c r="AB63" i="28"/>
  <c r="AB48" i="28"/>
  <c r="AB65" i="28"/>
  <c r="AB66" i="28"/>
  <c r="AB67" i="28"/>
  <c r="AB68" i="28"/>
  <c r="AB72" i="28"/>
  <c r="AB69" i="28"/>
  <c r="AB74" i="28"/>
  <c r="AB73" i="28"/>
  <c r="AB75" i="28"/>
  <c r="AB76" i="28"/>
  <c r="AB78" i="28"/>
  <c r="AB8" i="28"/>
  <c r="AA19" i="2"/>
  <c r="AA21" i="2"/>
  <c r="W8" i="34"/>
  <c r="W9" i="34"/>
  <c r="V20" i="34"/>
  <c r="V16" i="34"/>
  <c r="V21" i="34"/>
  <c r="V41" i="34"/>
  <c r="V42" i="34"/>
  <c r="V43" i="34"/>
  <c r="V44" i="34"/>
  <c r="V45" i="34"/>
  <c r="V46" i="34"/>
  <c r="V47" i="34"/>
  <c r="V48" i="34"/>
  <c r="V49" i="34"/>
  <c r="V50" i="34"/>
  <c r="V51" i="34"/>
  <c r="V52" i="34"/>
  <c r="V53" i="34"/>
  <c r="V54" i="34"/>
  <c r="V55" i="34"/>
  <c r="V56" i="34"/>
  <c r="V57" i="34"/>
  <c r="V58" i="34"/>
  <c r="V59" i="34"/>
  <c r="V75" i="34"/>
  <c r="V22" i="34"/>
  <c r="V23" i="34"/>
  <c r="W19" i="34"/>
  <c r="W5" i="34"/>
  <c r="W13" i="34"/>
  <c r="W27" i="34"/>
  <c r="W29" i="34"/>
  <c r="W26" i="34"/>
  <c r="W30" i="34"/>
  <c r="W28" i="34"/>
  <c r="W31" i="34"/>
  <c r="V10" i="34"/>
  <c r="W32" i="34"/>
  <c r="W34" i="34"/>
  <c r="W38" i="34"/>
  <c r="W14" i="34"/>
  <c r="AA22" i="2"/>
  <c r="AA23" i="2"/>
  <c r="AA6" i="3"/>
  <c r="AB5" i="28"/>
  <c r="AA26" i="1"/>
  <c r="AA29" i="1"/>
  <c r="AB6" i="28"/>
  <c r="AA31" i="1"/>
  <c r="AA34" i="1"/>
  <c r="AB39" i="19"/>
  <c r="AB44" i="19"/>
  <c r="AB46" i="19"/>
  <c r="AB19" i="19"/>
  <c r="AA13" i="3"/>
  <c r="AA27" i="3"/>
  <c r="AA40" i="3"/>
  <c r="AA38" i="24"/>
  <c r="AA37" i="24"/>
  <c r="AA5" i="24"/>
  <c r="AA6" i="24"/>
  <c r="AA16" i="24"/>
  <c r="AA31" i="24"/>
  <c r="AA35" i="24"/>
  <c r="AA39" i="24"/>
  <c r="AA40" i="24"/>
  <c r="AA41" i="24"/>
  <c r="AA45" i="24"/>
  <c r="AA47" i="24"/>
  <c r="AA45" i="3"/>
  <c r="AA46" i="24"/>
  <c r="AA46" i="3"/>
  <c r="AA48" i="3"/>
  <c r="AA52" i="3"/>
  <c r="AA9" i="1"/>
  <c r="AC10" i="28"/>
  <c r="AC26" i="28"/>
  <c r="AC27" i="28"/>
  <c r="AD23" i="28"/>
  <c r="AD24" i="28"/>
  <c r="AB51" i="3"/>
  <c r="AC28" i="28"/>
  <c r="AC29" i="28"/>
  <c r="AC41" i="28"/>
  <c r="AC42" i="28"/>
  <c r="AC30" i="28"/>
  <c r="AC44" i="28"/>
  <c r="AC45" i="28"/>
  <c r="AC46" i="28"/>
  <c r="AC47" i="28"/>
  <c r="AC62" i="28"/>
  <c r="AC63" i="28"/>
  <c r="AC48" i="28"/>
  <c r="AC65" i="28"/>
  <c r="AC66" i="28"/>
  <c r="AC67" i="28"/>
  <c r="AC68" i="28"/>
  <c r="AC72" i="28"/>
  <c r="AC69" i="28"/>
  <c r="AC74" i="28"/>
  <c r="AC73" i="28"/>
  <c r="AC75" i="28"/>
  <c r="AC76" i="28"/>
  <c r="AC78" i="28"/>
  <c r="AC8" i="28"/>
  <c r="AB19" i="2"/>
  <c r="AB21" i="2"/>
  <c r="X8" i="34"/>
  <c r="X9" i="34"/>
  <c r="W20" i="34"/>
  <c r="W16" i="34"/>
  <c r="W21" i="34"/>
  <c r="W41" i="34"/>
  <c r="W42" i="34"/>
  <c r="W43" i="34"/>
  <c r="W44" i="34"/>
  <c r="W45" i="34"/>
  <c r="W46" i="34"/>
  <c r="W47" i="34"/>
  <c r="W48" i="34"/>
  <c r="W49" i="34"/>
  <c r="W50" i="34"/>
  <c r="W51" i="34"/>
  <c r="W52" i="34"/>
  <c r="W53" i="34"/>
  <c r="W54" i="34"/>
  <c r="W55" i="34"/>
  <c r="W56" i="34"/>
  <c r="W57" i="34"/>
  <c r="W58" i="34"/>
  <c r="W59" i="34"/>
  <c r="W60" i="34"/>
  <c r="W75" i="34"/>
  <c r="W22" i="34"/>
  <c r="W23" i="34"/>
  <c r="X19" i="34"/>
  <c r="X5" i="34"/>
  <c r="X13" i="34"/>
  <c r="X27" i="34"/>
  <c r="X29" i="34"/>
  <c r="X26" i="34"/>
  <c r="X30" i="34"/>
  <c r="X28" i="34"/>
  <c r="X31" i="34"/>
  <c r="W10" i="34"/>
  <c r="X32" i="34"/>
  <c r="X34" i="34"/>
  <c r="X38" i="34"/>
  <c r="X14" i="34"/>
  <c r="AB22" i="2"/>
  <c r="AB23" i="2"/>
  <c r="AB6" i="3"/>
  <c r="AC5" i="28"/>
  <c r="AB26" i="1"/>
  <c r="AB29" i="1"/>
  <c r="AC6" i="28"/>
  <c r="AB31" i="1"/>
  <c r="AB34" i="1"/>
  <c r="AC39" i="19"/>
  <c r="AC44" i="19"/>
  <c r="AC46" i="19"/>
  <c r="AC19" i="19"/>
  <c r="AB13" i="3"/>
  <c r="AB27" i="3"/>
  <c r="AB40" i="3"/>
  <c r="AB38" i="24"/>
  <c r="AB37" i="24"/>
  <c r="AB5" i="24"/>
  <c r="AB6" i="24"/>
  <c r="AB16" i="24"/>
  <c r="AB31" i="24"/>
  <c r="AB35" i="24"/>
  <c r="AB39" i="24"/>
  <c r="AB40" i="24"/>
  <c r="AB41" i="24"/>
  <c r="AB45" i="24"/>
  <c r="AB47" i="24"/>
  <c r="AB45" i="3"/>
  <c r="AB46" i="24"/>
  <c r="AB46" i="3"/>
  <c r="AB48" i="3"/>
  <c r="AB52" i="3"/>
  <c r="AB9" i="1"/>
  <c r="AD10" i="28"/>
  <c r="AD26" i="28"/>
  <c r="AD27" i="28"/>
  <c r="AE23" i="28"/>
  <c r="AE24" i="28"/>
  <c r="AC51" i="3"/>
  <c r="AD28" i="28"/>
  <c r="AD29" i="28"/>
  <c r="AD41" i="28"/>
  <c r="AD42" i="28"/>
  <c r="AD30" i="28"/>
  <c r="AD44" i="28"/>
  <c r="AD45" i="28"/>
  <c r="AD46" i="28"/>
  <c r="AD47" i="28"/>
  <c r="AD62" i="28"/>
  <c r="AD63" i="28"/>
  <c r="AD48" i="28"/>
  <c r="AD65" i="28"/>
  <c r="AD66" i="28"/>
  <c r="AD67" i="28"/>
  <c r="AD68" i="28"/>
  <c r="AD72" i="28"/>
  <c r="AD69" i="28"/>
  <c r="AD74" i="28"/>
  <c r="AD73" i="28"/>
  <c r="AD75" i="28"/>
  <c r="AD76" i="28"/>
  <c r="AD78" i="28"/>
  <c r="AD8" i="28"/>
  <c r="AC19" i="2"/>
  <c r="AC21" i="2"/>
  <c r="Y8" i="34"/>
  <c r="Y9" i="34"/>
  <c r="X20" i="34"/>
  <c r="X16" i="34"/>
  <c r="X21" i="34"/>
  <c r="X41" i="34"/>
  <c r="X42" i="34"/>
  <c r="X43" i="34"/>
  <c r="X44" i="34"/>
  <c r="X45" i="34"/>
  <c r="X46" i="34"/>
  <c r="X47" i="34"/>
  <c r="X48" i="34"/>
  <c r="X49" i="34"/>
  <c r="X50" i="34"/>
  <c r="X51" i="34"/>
  <c r="X52" i="34"/>
  <c r="X53" i="34"/>
  <c r="X54" i="34"/>
  <c r="X55" i="34"/>
  <c r="X56" i="34"/>
  <c r="X57" i="34"/>
  <c r="X58" i="34"/>
  <c r="X59" i="34"/>
  <c r="X60" i="34"/>
  <c r="X61" i="34"/>
  <c r="X75" i="34"/>
  <c r="X22" i="34"/>
  <c r="X23" i="34"/>
  <c r="Y19" i="34"/>
  <c r="Y5" i="34"/>
  <c r="Y13" i="34"/>
  <c r="Y27" i="34"/>
  <c r="Y29" i="34"/>
  <c r="Y26" i="34"/>
  <c r="Y30" i="34"/>
  <c r="Y28" i="34"/>
  <c r="Y31" i="34"/>
  <c r="X10" i="34"/>
  <c r="Y32" i="34"/>
  <c r="Y34" i="34"/>
  <c r="Y38" i="34"/>
  <c r="Y14" i="34"/>
  <c r="AC22" i="2"/>
  <c r="AC23" i="2"/>
  <c r="AC6" i="3"/>
  <c r="AD5" i="28"/>
  <c r="AC26" i="1"/>
  <c r="AC29" i="1"/>
  <c r="AD6" i="28"/>
  <c r="AC31" i="1"/>
  <c r="AC34" i="1"/>
  <c r="AD39" i="19"/>
  <c r="AD44" i="19"/>
  <c r="AD46" i="19"/>
  <c r="AD19" i="19"/>
  <c r="AC13" i="3"/>
  <c r="AC27" i="3"/>
  <c r="AC40" i="3"/>
  <c r="AC38" i="24"/>
  <c r="AC37" i="24"/>
  <c r="AC5" i="24"/>
  <c r="AC6" i="24"/>
  <c r="AC16" i="24"/>
  <c r="AC31" i="24"/>
  <c r="AC35" i="24"/>
  <c r="AC39" i="24"/>
  <c r="AC40" i="24"/>
  <c r="AC41" i="24"/>
  <c r="AC45" i="24"/>
  <c r="AC47" i="24"/>
  <c r="AC45" i="3"/>
  <c r="AC46" i="24"/>
  <c r="AC46" i="3"/>
  <c r="AC48" i="3"/>
  <c r="AC52" i="3"/>
  <c r="AC9" i="1"/>
  <c r="AE10" i="28"/>
  <c r="AE26" i="28"/>
  <c r="AE27" i="28"/>
  <c r="AF23" i="28"/>
  <c r="AF24" i="28"/>
  <c r="AD51" i="3"/>
  <c r="AE28" i="28"/>
  <c r="AE29" i="28"/>
  <c r="AE41" i="28"/>
  <c r="AE42" i="28"/>
  <c r="AE30" i="28"/>
  <c r="AE44" i="28"/>
  <c r="AE45" i="28"/>
  <c r="AE46" i="28"/>
  <c r="AE47" i="28"/>
  <c r="AE62" i="28"/>
  <c r="AE63" i="28"/>
  <c r="AE48" i="28"/>
  <c r="AE65" i="28"/>
  <c r="AE66" i="28"/>
  <c r="AE67" i="28"/>
  <c r="AE68" i="28"/>
  <c r="AE72" i="28"/>
  <c r="AE69" i="28"/>
  <c r="AE74" i="28"/>
  <c r="AE73" i="28"/>
  <c r="AE75" i="28"/>
  <c r="AE76" i="28"/>
  <c r="AE78" i="28"/>
  <c r="AE8" i="28"/>
  <c r="AD19" i="2"/>
  <c r="AD21" i="2"/>
  <c r="Z8" i="34"/>
  <c r="Z9" i="34"/>
  <c r="Y20" i="34"/>
  <c r="Y16" i="34"/>
  <c r="Y21" i="34"/>
  <c r="Y41" i="34"/>
  <c r="Y42" i="34"/>
  <c r="Y43" i="34"/>
  <c r="Y44" i="34"/>
  <c r="Y45" i="34"/>
  <c r="Y46" i="34"/>
  <c r="Y47" i="34"/>
  <c r="Y48" i="34"/>
  <c r="Y49" i="34"/>
  <c r="Y50" i="34"/>
  <c r="Y51" i="34"/>
  <c r="Y52" i="34"/>
  <c r="Y53" i="34"/>
  <c r="Y54" i="34"/>
  <c r="Y55" i="34"/>
  <c r="Y56" i="34"/>
  <c r="Y57" i="34"/>
  <c r="Y58" i="34"/>
  <c r="Y59" i="34"/>
  <c r="Y60" i="34"/>
  <c r="Y61" i="34"/>
  <c r="Y62" i="34"/>
  <c r="Y75" i="34"/>
  <c r="Y22" i="34"/>
  <c r="Y23" i="34"/>
  <c r="Z19" i="34"/>
  <c r="Z5" i="34"/>
  <c r="Z13" i="34"/>
  <c r="Z27" i="34"/>
  <c r="Z29" i="34"/>
  <c r="Z26" i="34"/>
  <c r="Z30" i="34"/>
  <c r="Z28" i="34"/>
  <c r="Z31" i="34"/>
  <c r="Y10" i="34"/>
  <c r="Z32" i="34"/>
  <c r="Z34" i="34"/>
  <c r="Z38" i="34"/>
  <c r="Z14" i="34"/>
  <c r="AD22" i="2"/>
  <c r="AD23" i="2"/>
  <c r="AD6" i="3"/>
  <c r="AE5" i="28"/>
  <c r="AD26" i="1"/>
  <c r="AD29" i="1"/>
  <c r="AE6" i="28"/>
  <c r="AD31" i="1"/>
  <c r="AD34" i="1"/>
  <c r="AE39" i="19"/>
  <c r="AE44" i="19"/>
  <c r="AE46" i="19"/>
  <c r="AE19" i="19"/>
  <c r="AD13" i="3"/>
  <c r="AD27" i="3"/>
  <c r="AD40" i="3"/>
  <c r="AD38" i="24"/>
  <c r="AD37" i="24"/>
  <c r="AD5" i="24"/>
  <c r="AD6" i="24"/>
  <c r="AD16" i="24"/>
  <c r="AD31" i="24"/>
  <c r="AD35" i="24"/>
  <c r="AD39" i="24"/>
  <c r="AD40" i="24"/>
  <c r="AD41" i="24"/>
  <c r="AD45" i="24"/>
  <c r="AD47" i="24"/>
  <c r="AD45" i="3"/>
  <c r="AD46" i="24"/>
  <c r="AD46" i="3"/>
  <c r="AD48" i="3"/>
  <c r="AD52" i="3"/>
  <c r="AD9" i="1"/>
  <c r="AF10" i="28"/>
  <c r="AF26" i="28"/>
  <c r="AF27" i="28"/>
  <c r="AG23" i="28"/>
  <c r="AG24" i="28"/>
  <c r="AE51" i="3"/>
  <c r="AF28" i="28"/>
  <c r="AF29" i="28"/>
  <c r="AF41" i="28"/>
  <c r="AF42" i="28"/>
  <c r="AF30" i="28"/>
  <c r="AF44" i="28"/>
  <c r="AF45" i="28"/>
  <c r="AF46" i="28"/>
  <c r="AF47" i="28"/>
  <c r="AF62" i="28"/>
  <c r="AF63" i="28"/>
  <c r="AF48" i="28"/>
  <c r="AF65" i="28"/>
  <c r="AF66" i="28"/>
  <c r="AF67" i="28"/>
  <c r="AF68" i="28"/>
  <c r="AF72" i="28"/>
  <c r="AF69" i="28"/>
  <c r="AF74" i="28"/>
  <c r="AF73" i="28"/>
  <c r="AF75" i="28"/>
  <c r="AF76" i="28"/>
  <c r="AF78" i="28"/>
  <c r="AF8" i="28"/>
  <c r="AE19" i="2"/>
  <c r="AE21" i="2"/>
  <c r="AA8" i="34"/>
  <c r="AA9" i="34"/>
  <c r="Z20" i="34"/>
  <c r="Z16" i="34"/>
  <c r="Z21" i="34"/>
  <c r="Z41" i="34"/>
  <c r="Z42" i="34"/>
  <c r="Z43" i="34"/>
  <c r="Z44" i="34"/>
  <c r="Z45" i="34"/>
  <c r="Z46" i="34"/>
  <c r="Z47" i="34"/>
  <c r="Z48" i="34"/>
  <c r="Z49" i="34"/>
  <c r="Z50" i="34"/>
  <c r="Z51" i="34"/>
  <c r="Z52" i="34"/>
  <c r="Z53" i="34"/>
  <c r="Z54" i="34"/>
  <c r="Z55" i="34"/>
  <c r="Z56" i="34"/>
  <c r="Z57" i="34"/>
  <c r="Z58" i="34"/>
  <c r="Z59" i="34"/>
  <c r="Z60" i="34"/>
  <c r="Z61" i="34"/>
  <c r="Z62" i="34"/>
  <c r="Z63" i="34"/>
  <c r="Z75" i="34"/>
  <c r="Z22" i="34"/>
  <c r="Z23" i="34"/>
  <c r="AA19" i="34"/>
  <c r="AA5" i="34"/>
  <c r="AA13" i="34"/>
  <c r="AA27" i="34"/>
  <c r="AA29" i="34"/>
  <c r="AA26" i="34"/>
  <c r="AA30" i="34"/>
  <c r="AA28" i="34"/>
  <c r="AA31" i="34"/>
  <c r="Z10" i="34"/>
  <c r="AA32" i="34"/>
  <c r="AA34" i="34"/>
  <c r="AA38" i="34"/>
  <c r="AA14" i="34"/>
  <c r="AE22" i="2"/>
  <c r="AE23" i="2"/>
  <c r="AE6" i="3"/>
  <c r="AF5" i="28"/>
  <c r="AE26" i="1"/>
  <c r="AE29" i="1"/>
  <c r="AF6" i="28"/>
  <c r="AE31" i="1"/>
  <c r="AE34" i="1"/>
  <c r="AF39" i="19"/>
  <c r="AF44" i="19"/>
  <c r="AF46" i="19"/>
  <c r="AF19" i="19"/>
  <c r="AE13" i="3"/>
  <c r="AE27" i="3"/>
  <c r="AE40" i="3"/>
  <c r="AE38" i="24"/>
  <c r="AE37" i="24"/>
  <c r="AE5" i="24"/>
  <c r="AE6" i="24"/>
  <c r="AE16" i="24"/>
  <c r="AE31" i="24"/>
  <c r="AE35" i="24"/>
  <c r="AE39" i="24"/>
  <c r="AE40" i="24"/>
  <c r="AE41" i="24"/>
  <c r="AE45" i="24"/>
  <c r="AE47" i="24"/>
  <c r="AE45" i="3"/>
  <c r="AE46" i="24"/>
  <c r="AE46" i="3"/>
  <c r="AE48" i="3"/>
  <c r="AE52" i="3"/>
  <c r="AE9" i="1"/>
  <c r="AG10" i="28"/>
  <c r="AG26" i="28"/>
  <c r="AG27" i="28"/>
  <c r="AH23" i="28"/>
  <c r="AH24" i="28"/>
  <c r="AF51" i="3"/>
  <c r="AG28" i="28"/>
  <c r="AG29" i="28"/>
  <c r="AG41" i="28"/>
  <c r="AG42" i="28"/>
  <c r="AG30" i="28"/>
  <c r="AG44" i="28"/>
  <c r="AG45" i="28"/>
  <c r="AG46" i="28"/>
  <c r="AG47" i="28"/>
  <c r="AG62" i="28"/>
  <c r="AG63" i="28"/>
  <c r="AG48" i="28"/>
  <c r="AG65" i="28"/>
  <c r="AG66" i="28"/>
  <c r="AG67" i="28"/>
  <c r="AG68" i="28"/>
  <c r="AG72" i="28"/>
  <c r="AG69" i="28"/>
  <c r="AG74" i="28"/>
  <c r="AG73" i="28"/>
  <c r="AG75" i="28"/>
  <c r="AG76" i="28"/>
  <c r="AG78" i="28"/>
  <c r="AG8" i="28"/>
  <c r="AF19" i="2"/>
  <c r="AF21" i="2"/>
  <c r="AB8" i="34"/>
  <c r="AB9" i="34"/>
  <c r="AA20" i="34"/>
  <c r="AA16" i="34"/>
  <c r="AA21" i="34"/>
  <c r="AA41" i="34"/>
  <c r="AA42" i="34"/>
  <c r="AA43" i="34"/>
  <c r="AA44" i="34"/>
  <c r="AA45" i="34"/>
  <c r="AA46" i="34"/>
  <c r="AA47" i="34"/>
  <c r="AA48" i="34"/>
  <c r="AA49" i="34"/>
  <c r="AA50" i="34"/>
  <c r="AA51" i="34"/>
  <c r="AA52" i="34"/>
  <c r="AA53" i="34"/>
  <c r="AA54" i="34"/>
  <c r="AA55" i="34"/>
  <c r="AA56" i="34"/>
  <c r="AA57" i="34"/>
  <c r="AA58" i="34"/>
  <c r="AA59" i="34"/>
  <c r="AA60" i="34"/>
  <c r="AA61" i="34"/>
  <c r="AA62" i="34"/>
  <c r="AA63" i="34"/>
  <c r="AA64" i="34"/>
  <c r="AA75" i="34"/>
  <c r="AA22" i="34"/>
  <c r="AA23" i="34"/>
  <c r="AB19" i="34"/>
  <c r="AB5" i="34"/>
  <c r="AB13" i="34"/>
  <c r="AB27" i="34"/>
  <c r="AB29" i="34"/>
  <c r="AB26" i="34"/>
  <c r="AB30" i="34"/>
  <c r="AB28" i="34"/>
  <c r="AB31" i="34"/>
  <c r="AA10" i="34"/>
  <c r="AB32" i="34"/>
  <c r="AB34" i="34"/>
  <c r="AB38" i="34"/>
  <c r="AB14" i="34"/>
  <c r="AF22" i="2"/>
  <c r="AF23" i="2"/>
  <c r="AF6" i="3"/>
  <c r="AG5" i="28"/>
  <c r="AF26" i="1"/>
  <c r="AF29" i="1"/>
  <c r="AG6" i="28"/>
  <c r="AF31" i="1"/>
  <c r="AF34" i="1"/>
  <c r="AG39" i="19"/>
  <c r="AG44" i="19"/>
  <c r="AG46" i="19"/>
  <c r="AG19" i="19"/>
  <c r="AF13" i="3"/>
  <c r="AF27" i="3"/>
  <c r="AF40" i="3"/>
  <c r="AF38" i="24"/>
  <c r="AF37" i="24"/>
  <c r="AF5" i="24"/>
  <c r="AF6" i="24"/>
  <c r="AF16" i="24"/>
  <c r="AF31" i="24"/>
  <c r="AF35" i="24"/>
  <c r="AF39" i="24"/>
  <c r="AF40" i="24"/>
  <c r="AF41" i="24"/>
  <c r="AF45" i="24"/>
  <c r="AF47" i="24"/>
  <c r="AF45" i="3"/>
  <c r="AF46" i="24"/>
  <c r="AF46" i="3"/>
  <c r="AF48" i="3"/>
  <c r="AF52" i="3"/>
  <c r="AF9" i="1"/>
  <c r="AH10" i="28"/>
  <c r="AH26" i="28"/>
  <c r="AH27" i="28"/>
  <c r="AI23" i="28"/>
  <c r="AI24" i="28"/>
  <c r="AG51" i="3"/>
  <c r="AH28" i="28"/>
  <c r="AH29" i="28"/>
  <c r="AH41" i="28"/>
  <c r="AH42" i="28"/>
  <c r="AH30" i="28"/>
  <c r="AH44" i="28"/>
  <c r="AH45" i="28"/>
  <c r="AH46" i="28"/>
  <c r="AH47" i="28"/>
  <c r="AH62" i="28"/>
  <c r="AH63" i="28"/>
  <c r="AH48" i="28"/>
  <c r="AH65" i="28"/>
  <c r="AH66" i="28"/>
  <c r="AH67" i="28"/>
  <c r="AH68" i="28"/>
  <c r="AH72" i="28"/>
  <c r="AH69" i="28"/>
  <c r="AH74" i="28"/>
  <c r="AH73" i="28"/>
  <c r="AH75" i="28"/>
  <c r="AH76" i="28"/>
  <c r="AH78" i="28"/>
  <c r="AH8" i="28"/>
  <c r="AG19" i="2"/>
  <c r="AG21" i="2"/>
  <c r="AC8" i="34"/>
  <c r="AC9" i="34"/>
  <c r="AB20" i="34"/>
  <c r="AB16" i="34"/>
  <c r="AB21" i="34"/>
  <c r="AB41" i="34"/>
  <c r="AB42" i="34"/>
  <c r="AB43" i="34"/>
  <c r="AB44" i="34"/>
  <c r="AB45" i="34"/>
  <c r="AB46" i="34"/>
  <c r="AB47" i="34"/>
  <c r="AB48" i="34"/>
  <c r="AB49" i="34"/>
  <c r="AB50" i="34"/>
  <c r="AB51" i="34"/>
  <c r="AB52" i="34"/>
  <c r="AB53" i="34"/>
  <c r="AB54" i="34"/>
  <c r="AB55" i="34"/>
  <c r="AB56" i="34"/>
  <c r="AB57" i="34"/>
  <c r="AB58" i="34"/>
  <c r="AB59" i="34"/>
  <c r="AB60" i="34"/>
  <c r="AB61" i="34"/>
  <c r="AB62" i="34"/>
  <c r="AB63" i="34"/>
  <c r="AB64" i="34"/>
  <c r="AB65" i="34"/>
  <c r="AB75" i="34"/>
  <c r="AB22" i="34"/>
  <c r="AB23" i="34"/>
  <c r="AC19" i="34"/>
  <c r="AC5" i="34"/>
  <c r="AC13" i="34"/>
  <c r="AC27" i="34"/>
  <c r="AC29" i="34"/>
  <c r="AC26" i="34"/>
  <c r="AC30" i="34"/>
  <c r="AC28" i="34"/>
  <c r="AC31" i="34"/>
  <c r="AB10" i="34"/>
  <c r="AC32" i="34"/>
  <c r="AC34" i="34"/>
  <c r="AC38" i="34"/>
  <c r="AC14" i="34"/>
  <c r="AG22" i="2"/>
  <c r="AG23" i="2"/>
  <c r="AG6" i="3"/>
  <c r="AH5" i="28"/>
  <c r="AG26" i="1"/>
  <c r="AG29" i="1"/>
  <c r="AH6" i="28"/>
  <c r="AG31" i="1"/>
  <c r="AG34" i="1"/>
  <c r="AH39" i="19"/>
  <c r="AH44" i="19"/>
  <c r="AH46" i="19"/>
  <c r="AH19" i="19"/>
  <c r="AG13" i="3"/>
  <c r="AG27" i="3"/>
  <c r="AG40" i="3"/>
  <c r="AG38" i="24"/>
  <c r="AG37" i="24"/>
  <c r="AG5" i="24"/>
  <c r="AG6" i="24"/>
  <c r="AG16" i="24"/>
  <c r="AG31" i="24"/>
  <c r="AG35" i="24"/>
  <c r="AG39" i="24"/>
  <c r="AG40" i="24"/>
  <c r="AG41" i="24"/>
  <c r="AG45" i="24"/>
  <c r="AG47" i="24"/>
  <c r="AG45" i="3"/>
  <c r="AG46" i="24"/>
  <c r="AG46" i="3"/>
  <c r="AG48" i="3"/>
  <c r="AG52" i="3"/>
  <c r="AG9" i="1"/>
  <c r="AI10" i="28"/>
  <c r="AI26" i="28"/>
  <c r="AI27" i="28"/>
  <c r="AJ23" i="28"/>
  <c r="AJ24" i="28"/>
  <c r="AH51" i="3"/>
  <c r="AI28" i="28"/>
  <c r="AI29" i="28"/>
  <c r="AI41" i="28"/>
  <c r="AI42" i="28"/>
  <c r="AI30" i="28"/>
  <c r="AI44" i="28"/>
  <c r="AI45" i="28"/>
  <c r="AI46" i="28"/>
  <c r="AI47" i="28"/>
  <c r="AI62" i="28"/>
  <c r="AI63" i="28"/>
  <c r="AI48" i="28"/>
  <c r="AI65" i="28"/>
  <c r="AI66" i="28"/>
  <c r="AI67" i="28"/>
  <c r="AI68" i="28"/>
  <c r="AI72" i="28"/>
  <c r="AI69" i="28"/>
  <c r="AI74" i="28"/>
  <c r="AI73" i="28"/>
  <c r="AI75" i="28"/>
  <c r="AI76" i="28"/>
  <c r="AI78" i="28"/>
  <c r="AI8" i="28"/>
  <c r="AH19" i="2"/>
  <c r="AH21" i="2"/>
  <c r="AD8" i="34"/>
  <c r="AD9" i="34"/>
  <c r="AC20" i="34"/>
  <c r="AC16" i="34"/>
  <c r="AC21" i="34"/>
  <c r="AC41" i="34"/>
  <c r="AC42" i="34"/>
  <c r="AC43" i="34"/>
  <c r="AC44" i="34"/>
  <c r="AC45" i="34"/>
  <c r="AC46" i="34"/>
  <c r="AC47" i="34"/>
  <c r="AC48" i="34"/>
  <c r="AC49" i="34"/>
  <c r="AC50" i="34"/>
  <c r="AC51" i="34"/>
  <c r="AC52" i="34"/>
  <c r="AC53" i="34"/>
  <c r="AC54" i="34"/>
  <c r="AC55" i="34"/>
  <c r="AC56" i="34"/>
  <c r="AC57" i="34"/>
  <c r="AC58" i="34"/>
  <c r="AC59" i="34"/>
  <c r="AC60" i="34"/>
  <c r="AC61" i="34"/>
  <c r="AC62" i="34"/>
  <c r="AC63" i="34"/>
  <c r="AC64" i="34"/>
  <c r="AC65" i="34"/>
  <c r="AC66" i="34"/>
  <c r="AC75" i="34"/>
  <c r="AC22" i="34"/>
  <c r="AC23" i="34"/>
  <c r="AD19" i="34"/>
  <c r="AD5" i="34"/>
  <c r="AD13" i="34"/>
  <c r="AD27" i="34"/>
  <c r="AD29" i="34"/>
  <c r="AD26" i="34"/>
  <c r="AD30" i="34"/>
  <c r="AD28" i="34"/>
  <c r="AD31" i="34"/>
  <c r="AC10" i="34"/>
  <c r="AD32" i="34"/>
  <c r="AD34" i="34"/>
  <c r="AD38" i="34"/>
  <c r="AD14" i="34"/>
  <c r="AH22" i="2"/>
  <c r="AH23" i="2"/>
  <c r="AH6" i="3"/>
  <c r="AI5" i="28"/>
  <c r="AH26" i="1"/>
  <c r="AH29" i="1"/>
  <c r="AI6" i="28"/>
  <c r="AH31" i="1"/>
  <c r="AH34" i="1"/>
  <c r="AI39" i="19"/>
  <c r="AI44" i="19"/>
  <c r="AI46" i="19"/>
  <c r="AI19" i="19"/>
  <c r="AH13" i="3"/>
  <c r="AH27" i="3"/>
  <c r="AH40" i="3"/>
  <c r="AH38" i="24"/>
  <c r="AH37" i="24"/>
  <c r="AH5" i="24"/>
  <c r="AH6" i="24"/>
  <c r="AH16" i="24"/>
  <c r="AH31" i="24"/>
  <c r="AH35" i="24"/>
  <c r="AH39" i="24"/>
  <c r="AH40" i="24"/>
  <c r="AH41" i="24"/>
  <c r="AH45" i="24"/>
  <c r="AH47" i="24"/>
  <c r="AH45" i="3"/>
  <c r="AH46" i="24"/>
  <c r="AH46" i="3"/>
  <c r="AH48" i="3"/>
  <c r="AH52" i="3"/>
  <c r="AH9" i="1"/>
  <c r="AJ10" i="28"/>
  <c r="AJ26" i="28"/>
  <c r="AJ27" i="28"/>
  <c r="AK23" i="28"/>
  <c r="AK24" i="28"/>
  <c r="AI51" i="3"/>
  <c r="AJ28" i="28"/>
  <c r="AJ29" i="28"/>
  <c r="AJ41" i="28"/>
  <c r="AJ42" i="28"/>
  <c r="AJ30" i="28"/>
  <c r="AJ44" i="28"/>
  <c r="AJ45" i="28"/>
  <c r="AJ46" i="28"/>
  <c r="AJ47" i="28"/>
  <c r="AJ62" i="28"/>
  <c r="AJ63" i="28"/>
  <c r="AJ48" i="28"/>
  <c r="AJ65" i="28"/>
  <c r="AJ66" i="28"/>
  <c r="AJ67" i="28"/>
  <c r="AJ68" i="28"/>
  <c r="AJ72" i="28"/>
  <c r="AJ69" i="28"/>
  <c r="AJ74" i="28"/>
  <c r="AJ73" i="28"/>
  <c r="AJ75" i="28"/>
  <c r="AJ76" i="28"/>
  <c r="AJ78" i="28"/>
  <c r="AJ8" i="28"/>
  <c r="AI19" i="2"/>
  <c r="AI21" i="2"/>
  <c r="AE8" i="34"/>
  <c r="AE9" i="34"/>
  <c r="AD20" i="34"/>
  <c r="AD16" i="34"/>
  <c r="AD21" i="34"/>
  <c r="AD41" i="34"/>
  <c r="AD42" i="34"/>
  <c r="AD43" i="34"/>
  <c r="AD44" i="34"/>
  <c r="AD45" i="34"/>
  <c r="AD46" i="34"/>
  <c r="AD47" i="34"/>
  <c r="AD48" i="34"/>
  <c r="AD49" i="34"/>
  <c r="AD50" i="34"/>
  <c r="AD51" i="34"/>
  <c r="AD52" i="34"/>
  <c r="AD53" i="34"/>
  <c r="AD54" i="34"/>
  <c r="AD55" i="34"/>
  <c r="AD56" i="34"/>
  <c r="AD57" i="34"/>
  <c r="AD58" i="34"/>
  <c r="AD59" i="34"/>
  <c r="AD60" i="34"/>
  <c r="AD61" i="34"/>
  <c r="AD62" i="34"/>
  <c r="AD63" i="34"/>
  <c r="AD64" i="34"/>
  <c r="AD65" i="34"/>
  <c r="AD66" i="34"/>
  <c r="AD67" i="34"/>
  <c r="AD75" i="34"/>
  <c r="AD22" i="34"/>
  <c r="AD23" i="34"/>
  <c r="AE19" i="34"/>
  <c r="AE5" i="34"/>
  <c r="AE13" i="34"/>
  <c r="AE27" i="34"/>
  <c r="AE29" i="34"/>
  <c r="AE26" i="34"/>
  <c r="AE30" i="34"/>
  <c r="AE28" i="34"/>
  <c r="AE31" i="34"/>
  <c r="AD10" i="34"/>
  <c r="AE32" i="34"/>
  <c r="AE34" i="34"/>
  <c r="AE38" i="34"/>
  <c r="AE14" i="34"/>
  <c r="AI22" i="2"/>
  <c r="AI23" i="2"/>
  <c r="AI6" i="3"/>
  <c r="AJ5" i="28"/>
  <c r="AI26" i="1"/>
  <c r="AI29" i="1"/>
  <c r="AJ6" i="28"/>
  <c r="AI31" i="1"/>
  <c r="AI34" i="1"/>
  <c r="AJ39" i="19"/>
  <c r="AJ44" i="19"/>
  <c r="AJ46" i="19"/>
  <c r="AJ19" i="19"/>
  <c r="AI13" i="3"/>
  <c r="AI27" i="3"/>
  <c r="AI40" i="3"/>
  <c r="AI38" i="24"/>
  <c r="AI37" i="24"/>
  <c r="AI5" i="24"/>
  <c r="AI6" i="24"/>
  <c r="AI16" i="24"/>
  <c r="AI31" i="24"/>
  <c r="AI35" i="24"/>
  <c r="AI39" i="24"/>
  <c r="AI40" i="24"/>
  <c r="AI41" i="24"/>
  <c r="AI45" i="24"/>
  <c r="AI47" i="24"/>
  <c r="AI45" i="3"/>
  <c r="AI46" i="24"/>
  <c r="AI46" i="3"/>
  <c r="AI48" i="3"/>
  <c r="AI52" i="3"/>
  <c r="AI9" i="1"/>
  <c r="AK10" i="28"/>
  <c r="AK26" i="28"/>
  <c r="AK27" i="28"/>
  <c r="AL23" i="28"/>
  <c r="AL24" i="28"/>
  <c r="AJ51" i="3"/>
  <c r="AK28" i="28"/>
  <c r="AK29" i="28"/>
  <c r="AK41" i="28"/>
  <c r="AK42" i="28"/>
  <c r="AK30" i="28"/>
  <c r="AK44" i="28"/>
  <c r="AK45" i="28"/>
  <c r="AK46" i="28"/>
  <c r="AK47" i="28"/>
  <c r="AK62" i="28"/>
  <c r="AK63" i="28"/>
  <c r="AK48" i="28"/>
  <c r="AK65" i="28"/>
  <c r="AK66" i="28"/>
  <c r="AK67" i="28"/>
  <c r="AK68" i="28"/>
  <c r="AK72" i="28"/>
  <c r="AK69" i="28"/>
  <c r="AK74" i="28"/>
  <c r="AK73" i="28"/>
  <c r="AK75" i="28"/>
  <c r="AK76" i="28"/>
  <c r="AK78" i="28"/>
  <c r="AK8" i="28"/>
  <c r="AJ19" i="2"/>
  <c r="AJ21" i="2"/>
  <c r="AF8" i="34"/>
  <c r="AF9" i="34"/>
  <c r="AE20" i="34"/>
  <c r="AE16" i="34"/>
  <c r="AE21" i="34"/>
  <c r="AE41" i="34"/>
  <c r="AE42" i="34"/>
  <c r="AE43" i="34"/>
  <c r="AE44" i="34"/>
  <c r="AE45" i="34"/>
  <c r="AE46" i="34"/>
  <c r="AE47" i="34"/>
  <c r="AE48" i="34"/>
  <c r="AE49" i="34"/>
  <c r="AE50" i="34"/>
  <c r="AE51" i="34"/>
  <c r="AE52" i="34"/>
  <c r="AE53" i="34"/>
  <c r="AE54" i="34"/>
  <c r="AE55" i="34"/>
  <c r="AE56" i="34"/>
  <c r="AE57" i="34"/>
  <c r="AE58" i="34"/>
  <c r="AE59" i="34"/>
  <c r="AE60" i="34"/>
  <c r="AE61" i="34"/>
  <c r="AE62" i="34"/>
  <c r="AE63" i="34"/>
  <c r="AE64" i="34"/>
  <c r="AE65" i="34"/>
  <c r="AE66" i="34"/>
  <c r="AE67" i="34"/>
  <c r="AE68" i="34"/>
  <c r="AE75" i="34"/>
  <c r="AE22" i="34"/>
  <c r="AE23" i="34"/>
  <c r="AF19" i="34"/>
  <c r="AF5" i="34"/>
  <c r="AF13" i="34"/>
  <c r="AF27" i="34"/>
  <c r="AF29" i="34"/>
  <c r="AF26" i="34"/>
  <c r="AF30" i="34"/>
  <c r="AF28" i="34"/>
  <c r="AF31" i="34"/>
  <c r="AE10" i="34"/>
  <c r="AF32" i="34"/>
  <c r="AF34" i="34"/>
  <c r="AF38" i="34"/>
  <c r="AF14" i="34"/>
  <c r="AJ22" i="2"/>
  <c r="AJ23" i="2"/>
  <c r="AJ6" i="3"/>
  <c r="AK5" i="28"/>
  <c r="AJ26" i="1"/>
  <c r="AJ29" i="1"/>
  <c r="AK6" i="28"/>
  <c r="AJ31" i="1"/>
  <c r="AJ34" i="1"/>
  <c r="AK39" i="19"/>
  <c r="AK44" i="19"/>
  <c r="AK46" i="19"/>
  <c r="AK19" i="19"/>
  <c r="AJ13" i="3"/>
  <c r="AJ27" i="3"/>
  <c r="AJ40" i="3"/>
  <c r="AJ38" i="24"/>
  <c r="AJ37" i="24"/>
  <c r="AJ5" i="24"/>
  <c r="AJ6" i="24"/>
  <c r="AJ16" i="24"/>
  <c r="AJ31" i="24"/>
  <c r="AJ35" i="24"/>
  <c r="AJ39" i="24"/>
  <c r="AJ40" i="24"/>
  <c r="AJ41" i="24"/>
  <c r="AJ45" i="24"/>
  <c r="AJ47" i="24"/>
  <c r="AJ45" i="3"/>
  <c r="AJ46" i="24"/>
  <c r="AJ46" i="3"/>
  <c r="AJ48" i="3"/>
  <c r="AJ52" i="3"/>
  <c r="AJ9" i="1"/>
  <c r="AL10" i="28"/>
  <c r="AL26" i="28"/>
  <c r="AL27" i="28"/>
  <c r="AM23" i="28"/>
  <c r="AM24" i="28"/>
  <c r="AK51" i="3"/>
  <c r="AL28" i="28"/>
  <c r="AL29" i="28"/>
  <c r="AL41" i="28"/>
  <c r="AL42" i="28"/>
  <c r="AL30" i="28"/>
  <c r="AL44" i="28"/>
  <c r="AL45" i="28"/>
  <c r="AL46" i="28"/>
  <c r="AL47" i="28"/>
  <c r="AL62" i="28"/>
  <c r="AL63" i="28"/>
  <c r="AL48" i="28"/>
  <c r="AL65" i="28"/>
  <c r="AL66" i="28"/>
  <c r="AL67" i="28"/>
  <c r="AL68" i="28"/>
  <c r="AL72" i="28"/>
  <c r="AL69" i="28"/>
  <c r="AL74" i="28"/>
  <c r="AL73" i="28"/>
  <c r="AL75" i="28"/>
  <c r="AL76" i="28"/>
  <c r="AL78" i="28"/>
  <c r="AL8" i="28"/>
  <c r="AK19" i="2"/>
  <c r="AK21" i="2"/>
  <c r="AG8" i="34"/>
  <c r="AG9" i="34"/>
  <c r="AF20" i="34"/>
  <c r="AF16" i="34"/>
  <c r="AF21" i="34"/>
  <c r="AF41" i="34"/>
  <c r="AF42" i="34"/>
  <c r="AF43" i="34"/>
  <c r="AF44" i="34"/>
  <c r="AF45" i="34"/>
  <c r="AF46" i="34"/>
  <c r="AF47" i="34"/>
  <c r="AF48" i="34"/>
  <c r="AF49" i="34"/>
  <c r="AF50" i="34"/>
  <c r="AF51" i="34"/>
  <c r="AF52" i="34"/>
  <c r="AF53" i="34"/>
  <c r="AF54" i="34"/>
  <c r="AF55" i="34"/>
  <c r="AF56" i="34"/>
  <c r="AF57" i="34"/>
  <c r="AF58" i="34"/>
  <c r="AF59" i="34"/>
  <c r="AF60" i="34"/>
  <c r="AF61" i="34"/>
  <c r="AF62" i="34"/>
  <c r="AF63" i="34"/>
  <c r="AF64" i="34"/>
  <c r="AF65" i="34"/>
  <c r="AF66" i="34"/>
  <c r="AF67" i="34"/>
  <c r="AF68" i="34"/>
  <c r="AF69" i="34"/>
  <c r="AF75" i="34"/>
  <c r="AF22" i="34"/>
  <c r="AF23" i="34"/>
  <c r="AG19" i="34"/>
  <c r="AG5" i="34"/>
  <c r="AG13" i="34"/>
  <c r="AG27" i="34"/>
  <c r="AG29" i="34"/>
  <c r="AG26" i="34"/>
  <c r="AG30" i="34"/>
  <c r="AG28" i="34"/>
  <c r="AG31" i="34"/>
  <c r="AF10" i="34"/>
  <c r="AG32" i="34"/>
  <c r="AG34" i="34"/>
  <c r="AG38" i="34"/>
  <c r="AG14" i="34"/>
  <c r="AK22" i="2"/>
  <c r="AK23" i="2"/>
  <c r="AK6" i="3"/>
  <c r="AL5" i="28"/>
  <c r="AK26" i="1"/>
  <c r="AK29" i="1"/>
  <c r="AL6" i="28"/>
  <c r="AK31" i="1"/>
  <c r="AK34" i="1"/>
  <c r="AL39" i="19"/>
  <c r="AL44" i="19"/>
  <c r="AL46" i="19"/>
  <c r="AL19" i="19"/>
  <c r="AK13" i="3"/>
  <c r="AK27" i="3"/>
  <c r="AK40" i="3"/>
  <c r="AK38" i="24"/>
  <c r="AK37" i="24"/>
  <c r="AK5" i="24"/>
  <c r="AK6" i="24"/>
  <c r="AK16" i="24"/>
  <c r="AK31" i="24"/>
  <c r="AK35" i="24"/>
  <c r="AK39" i="24"/>
  <c r="AK40" i="24"/>
  <c r="AK41" i="24"/>
  <c r="AK45" i="24"/>
  <c r="AK47" i="24"/>
  <c r="AK45" i="3"/>
  <c r="AK46" i="24"/>
  <c r="AK46" i="3"/>
  <c r="AK48" i="3"/>
  <c r="AK52" i="3"/>
  <c r="AK9" i="1"/>
  <c r="AM10" i="28"/>
  <c r="AM26" i="28"/>
  <c r="AM27" i="28"/>
  <c r="AN23" i="28"/>
  <c r="AN24" i="28"/>
  <c r="AL51" i="3"/>
  <c r="AM28" i="28"/>
  <c r="AM29" i="28"/>
  <c r="AM41" i="28"/>
  <c r="AM42" i="28"/>
  <c r="AM30" i="28"/>
  <c r="AM44" i="28"/>
  <c r="AM45" i="28"/>
  <c r="AM46" i="28"/>
  <c r="AM47" i="28"/>
  <c r="AM62" i="28"/>
  <c r="AM63" i="28"/>
  <c r="AM48" i="28"/>
  <c r="AM65" i="28"/>
  <c r="AM66" i="28"/>
  <c r="AM67" i="28"/>
  <c r="AM68" i="28"/>
  <c r="AM72" i="28"/>
  <c r="AM69" i="28"/>
  <c r="AM74" i="28"/>
  <c r="AM73" i="28"/>
  <c r="AM75" i="28"/>
  <c r="AM76" i="28"/>
  <c r="AM78" i="28"/>
  <c r="AM8" i="28"/>
  <c r="AL19" i="2"/>
  <c r="AL21" i="2"/>
  <c r="AH8" i="34"/>
  <c r="AH9" i="34"/>
  <c r="AG20" i="34"/>
  <c r="AG16" i="34"/>
  <c r="AG21" i="34"/>
  <c r="AG41" i="34"/>
  <c r="AG42" i="34"/>
  <c r="AG43" i="34"/>
  <c r="AG44" i="34"/>
  <c r="AG45" i="34"/>
  <c r="AG46" i="34"/>
  <c r="AG47" i="34"/>
  <c r="AG48" i="34"/>
  <c r="AG49" i="34"/>
  <c r="AG50" i="34"/>
  <c r="AG51" i="34"/>
  <c r="AG52" i="34"/>
  <c r="AG53" i="34"/>
  <c r="AG54" i="34"/>
  <c r="AG55" i="34"/>
  <c r="AG56" i="34"/>
  <c r="AG57" i="34"/>
  <c r="AG58" i="34"/>
  <c r="AG59" i="34"/>
  <c r="AG60" i="34"/>
  <c r="AG61" i="34"/>
  <c r="AG62" i="34"/>
  <c r="AG63" i="34"/>
  <c r="AG64" i="34"/>
  <c r="AG65" i="34"/>
  <c r="AG66" i="34"/>
  <c r="AG67" i="34"/>
  <c r="AG68" i="34"/>
  <c r="AG69" i="34"/>
  <c r="AG70" i="34"/>
  <c r="AG75" i="34"/>
  <c r="AG22" i="34"/>
  <c r="AG23" i="34"/>
  <c r="AH19" i="34"/>
  <c r="AH5" i="34"/>
  <c r="AH13" i="34"/>
  <c r="AH27" i="34"/>
  <c r="AH29" i="34"/>
  <c r="AH26" i="34"/>
  <c r="AH30" i="34"/>
  <c r="AH28" i="34"/>
  <c r="AH31" i="34"/>
  <c r="AG10" i="34"/>
  <c r="AH32" i="34"/>
  <c r="AH34" i="34"/>
  <c r="AH38" i="34"/>
  <c r="AH14" i="34"/>
  <c r="AL22" i="2"/>
  <c r="AL23" i="2"/>
  <c r="AL6" i="3"/>
  <c r="AM5" i="28"/>
  <c r="AL26" i="1"/>
  <c r="AL29" i="1"/>
  <c r="AM6" i="28"/>
  <c r="AL31" i="1"/>
  <c r="AL34" i="1"/>
  <c r="AM39" i="19"/>
  <c r="AM44" i="19"/>
  <c r="AM46" i="19"/>
  <c r="AM19" i="19"/>
  <c r="AL13" i="3"/>
  <c r="AL27" i="3"/>
  <c r="AL40" i="3"/>
  <c r="AL38" i="24"/>
  <c r="AL37" i="24"/>
  <c r="AL5" i="24"/>
  <c r="AL6" i="24"/>
  <c r="AL16" i="24"/>
  <c r="AL31" i="24"/>
  <c r="AL35" i="24"/>
  <c r="AL39" i="24"/>
  <c r="AL40" i="24"/>
  <c r="AL41" i="24"/>
  <c r="AL45" i="24"/>
  <c r="AL47" i="24"/>
  <c r="AL45" i="3"/>
  <c r="AL46" i="24"/>
  <c r="AL46" i="3"/>
  <c r="AL48" i="3"/>
  <c r="AL52" i="3"/>
  <c r="AL9" i="1"/>
  <c r="AN10" i="28"/>
  <c r="AN26" i="28"/>
  <c r="AN27" i="28"/>
  <c r="AO23" i="28"/>
  <c r="AO24" i="28"/>
  <c r="AM51" i="3"/>
  <c r="AN28" i="28"/>
  <c r="AN29" i="28"/>
  <c r="AN41" i="28"/>
  <c r="AN42" i="28"/>
  <c r="AN30" i="28"/>
  <c r="AN44" i="28"/>
  <c r="AN45" i="28"/>
  <c r="AN46" i="28"/>
  <c r="AN47" i="28"/>
  <c r="AN62" i="28"/>
  <c r="AN63" i="28"/>
  <c r="AN48" i="28"/>
  <c r="AN65" i="28"/>
  <c r="AN66" i="28"/>
  <c r="AN67" i="28"/>
  <c r="AN68" i="28"/>
  <c r="AN72" i="28"/>
  <c r="AN69" i="28"/>
  <c r="AN74" i="28"/>
  <c r="AN73" i="28"/>
  <c r="AN75" i="28"/>
  <c r="AN76" i="28"/>
  <c r="AN78" i="28"/>
  <c r="AN8" i="28"/>
  <c r="AM19" i="2"/>
  <c r="AM21" i="2"/>
  <c r="AI8" i="34"/>
  <c r="AI9" i="34"/>
  <c r="AH20" i="34"/>
  <c r="AH16" i="34"/>
  <c r="AH21" i="34"/>
  <c r="AH41" i="34"/>
  <c r="AH42" i="34"/>
  <c r="AH43" i="34"/>
  <c r="AH44" i="34"/>
  <c r="AH45" i="34"/>
  <c r="AH46" i="34"/>
  <c r="AH47" i="34"/>
  <c r="AH48" i="34"/>
  <c r="AH49" i="34"/>
  <c r="AH50" i="34"/>
  <c r="AH51" i="34"/>
  <c r="AH52" i="34"/>
  <c r="AH53" i="34"/>
  <c r="AH54" i="34"/>
  <c r="AH55" i="34"/>
  <c r="AH56" i="34"/>
  <c r="AH57" i="34"/>
  <c r="AH58" i="34"/>
  <c r="AH59" i="34"/>
  <c r="AH60" i="34"/>
  <c r="AH61" i="34"/>
  <c r="AH62" i="34"/>
  <c r="AH63" i="34"/>
  <c r="AH64" i="34"/>
  <c r="AH65" i="34"/>
  <c r="AH66" i="34"/>
  <c r="AH67" i="34"/>
  <c r="AH68" i="34"/>
  <c r="AH69" i="34"/>
  <c r="AH70" i="34"/>
  <c r="AH71" i="34"/>
  <c r="AH75" i="34"/>
  <c r="AH22" i="34"/>
  <c r="AH23" i="34"/>
  <c r="AI19" i="34"/>
  <c r="AI5" i="34"/>
  <c r="AI13" i="34"/>
  <c r="AI27" i="34"/>
  <c r="AI29" i="34"/>
  <c r="AI26" i="34"/>
  <c r="AI30" i="34"/>
  <c r="AI28" i="34"/>
  <c r="AI31" i="34"/>
  <c r="AH10" i="34"/>
  <c r="AI32" i="34"/>
  <c r="AI34" i="34"/>
  <c r="AI38" i="34"/>
  <c r="AI14" i="34"/>
  <c r="AM22" i="2"/>
  <c r="AM23" i="2"/>
  <c r="AM6" i="3"/>
  <c r="AN5" i="28"/>
  <c r="AM26" i="1"/>
  <c r="AM29" i="1"/>
  <c r="AN6" i="28"/>
  <c r="AM31" i="1"/>
  <c r="AM34" i="1"/>
  <c r="AN39" i="19"/>
  <c r="AN44" i="19"/>
  <c r="AN46" i="19"/>
  <c r="AN19" i="19"/>
  <c r="AM13" i="3"/>
  <c r="AM27" i="3"/>
  <c r="AM40" i="3"/>
  <c r="AM38" i="24"/>
  <c r="AM37" i="24"/>
  <c r="AM5" i="24"/>
  <c r="AM6" i="24"/>
  <c r="AM16" i="24"/>
  <c r="AM31" i="24"/>
  <c r="AM35" i="24"/>
  <c r="AM39" i="24"/>
  <c r="AM40" i="24"/>
  <c r="AM41" i="24"/>
  <c r="AM45" i="24"/>
  <c r="AM47" i="24"/>
  <c r="AM45" i="3"/>
  <c r="AM46" i="24"/>
  <c r="AM46" i="3"/>
  <c r="AM48" i="3"/>
  <c r="AM52" i="3"/>
  <c r="AM9" i="1"/>
  <c r="AO10" i="28"/>
  <c r="AO26" i="28"/>
  <c r="AO27" i="28"/>
  <c r="AP23" i="28"/>
  <c r="AP24" i="28"/>
  <c r="AN51" i="3"/>
  <c r="AO28" i="28"/>
  <c r="AO29" i="28"/>
  <c r="AO41" i="28"/>
  <c r="AO42" i="28"/>
  <c r="AO30" i="28"/>
  <c r="AO44" i="28"/>
  <c r="AO45" i="28"/>
  <c r="AO46" i="28"/>
  <c r="AO47" i="28"/>
  <c r="AO62" i="28"/>
  <c r="AO63" i="28"/>
  <c r="AO48" i="28"/>
  <c r="AO65" i="28"/>
  <c r="AO66" i="28"/>
  <c r="AO67" i="28"/>
  <c r="AO68" i="28"/>
  <c r="AO72" i="28"/>
  <c r="AO69" i="28"/>
  <c r="AO74" i="28"/>
  <c r="AO73" i="28"/>
  <c r="AO75" i="28"/>
  <c r="AO76" i="28"/>
  <c r="AO78" i="28"/>
  <c r="AO8" i="28"/>
  <c r="AN19" i="2"/>
  <c r="AN21" i="2"/>
  <c r="AJ8" i="34"/>
  <c r="AJ9" i="34"/>
  <c r="AI20" i="34"/>
  <c r="AI16" i="34"/>
  <c r="AI21"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5" i="34"/>
  <c r="AI22" i="34"/>
  <c r="AI23" i="34"/>
  <c r="AJ19" i="34"/>
  <c r="AJ5" i="34"/>
  <c r="AJ13" i="34"/>
  <c r="AJ27" i="34"/>
  <c r="AJ29" i="34"/>
  <c r="AJ26" i="34"/>
  <c r="AJ30" i="34"/>
  <c r="AJ28" i="34"/>
  <c r="AJ31" i="34"/>
  <c r="AI10" i="34"/>
  <c r="AJ32" i="34"/>
  <c r="AJ34" i="34"/>
  <c r="AJ38" i="34"/>
  <c r="AJ14" i="34"/>
  <c r="AN22" i="2"/>
  <c r="AN23" i="2"/>
  <c r="AN6" i="3"/>
  <c r="AO5" i="28"/>
  <c r="AN26" i="1"/>
  <c r="AN29" i="1"/>
  <c r="AO6" i="28"/>
  <c r="AN31" i="1"/>
  <c r="AN34" i="1"/>
  <c r="AO39" i="19"/>
  <c r="AO44" i="19"/>
  <c r="AO46" i="19"/>
  <c r="AO19" i="19"/>
  <c r="AN13" i="3"/>
  <c r="AN27" i="3"/>
  <c r="AN40" i="3"/>
  <c r="AN38" i="24"/>
  <c r="AN37" i="24"/>
  <c r="AN5" i="24"/>
  <c r="AN6" i="24"/>
  <c r="AN16" i="24"/>
  <c r="AN31" i="24"/>
  <c r="AN35" i="24"/>
  <c r="AN39" i="24"/>
  <c r="AN40" i="24"/>
  <c r="AN41" i="24"/>
  <c r="AN45" i="24"/>
  <c r="AN47" i="24"/>
  <c r="AN45" i="3"/>
  <c r="AN46" i="24"/>
  <c r="AN46" i="3"/>
  <c r="AN48" i="3"/>
  <c r="AN52" i="3"/>
  <c r="AN9" i="1"/>
  <c r="AP10" i="28"/>
  <c r="AP26" i="28"/>
  <c r="AP27" i="28"/>
  <c r="AP28" i="28"/>
  <c r="AP29" i="28"/>
  <c r="AP41" i="28"/>
  <c r="AP42" i="28"/>
  <c r="AP30" i="28"/>
  <c r="AP44" i="28"/>
  <c r="AP45" i="28"/>
  <c r="AP46" i="28"/>
  <c r="AP47" i="28"/>
  <c r="AP62" i="28"/>
  <c r="AP63" i="28"/>
  <c r="AP48" i="28"/>
  <c r="AP65" i="28"/>
  <c r="AP66" i="28"/>
  <c r="AP67" i="28"/>
  <c r="AP68" i="28"/>
  <c r="AP72" i="28"/>
  <c r="AP69" i="28"/>
  <c r="AP74" i="28"/>
  <c r="AP73" i="28"/>
  <c r="AP75" i="28"/>
  <c r="AP76" i="28"/>
  <c r="AP78" i="28"/>
  <c r="AP8" i="28"/>
  <c r="AO19" i="2"/>
  <c r="AK8" i="34"/>
  <c r="AK9" i="34"/>
  <c r="AJ20" i="34"/>
  <c r="AJ16" i="34"/>
  <c r="AJ21" i="34"/>
  <c r="AJ41" i="34"/>
  <c r="AJ42" i="34"/>
  <c r="AJ43" i="34"/>
  <c r="AJ44" i="34"/>
  <c r="AJ45" i="34"/>
  <c r="AJ46" i="34"/>
  <c r="AJ47" i="34"/>
  <c r="AJ48" i="34"/>
  <c r="AJ49" i="34"/>
  <c r="AJ50" i="34"/>
  <c r="AJ51" i="34"/>
  <c r="AJ52" i="34"/>
  <c r="AJ53" i="34"/>
  <c r="AJ54" i="34"/>
  <c r="AJ55" i="34"/>
  <c r="AJ56" i="34"/>
  <c r="AJ57" i="34"/>
  <c r="AJ58" i="34"/>
  <c r="AJ59" i="34"/>
  <c r="AJ60" i="34"/>
  <c r="AJ61" i="34"/>
  <c r="AJ62" i="34"/>
  <c r="AJ63" i="34"/>
  <c r="AJ64" i="34"/>
  <c r="AJ65" i="34"/>
  <c r="AJ66" i="34"/>
  <c r="AJ67" i="34"/>
  <c r="AJ68" i="34"/>
  <c r="AJ69" i="34"/>
  <c r="AJ70" i="34"/>
  <c r="AJ71" i="34"/>
  <c r="AJ72" i="34"/>
  <c r="AJ73" i="34"/>
  <c r="AJ75" i="34"/>
  <c r="AJ22" i="34"/>
  <c r="AJ23" i="34"/>
  <c r="AK19" i="34"/>
  <c r="AK5" i="34"/>
  <c r="AK13" i="34"/>
  <c r="AK27" i="34"/>
  <c r="AK29" i="34"/>
  <c r="AK26" i="34"/>
  <c r="AK30" i="34"/>
  <c r="AK28" i="34"/>
  <c r="AK31" i="34"/>
  <c r="AJ10" i="34"/>
  <c r="AK32" i="34"/>
  <c r="AK34" i="34"/>
  <c r="AK38" i="34"/>
  <c r="AK14" i="34"/>
  <c r="AO38" i="24"/>
  <c r="AP18" i="52"/>
  <c r="AO18" i="52"/>
  <c r="B19" i="52"/>
  <c r="B24" i="52"/>
  <c r="B26" i="52"/>
  <c r="I7" i="52"/>
  <c r="J7" i="52"/>
  <c r="K7" i="52"/>
  <c r="L7" i="52"/>
  <c r="M7" i="52"/>
  <c r="N7" i="52"/>
  <c r="O7" i="52"/>
  <c r="P7" i="52"/>
  <c r="Q7" i="52"/>
  <c r="R7" i="52"/>
  <c r="S7" i="52"/>
  <c r="T7" i="52"/>
  <c r="U7" i="52"/>
  <c r="V7" i="52"/>
  <c r="W7" i="52"/>
  <c r="X7" i="52"/>
  <c r="Y7" i="52"/>
  <c r="Z7" i="52"/>
  <c r="AA7" i="52"/>
  <c r="AB7" i="52"/>
  <c r="AC7" i="52"/>
  <c r="AD7" i="52"/>
  <c r="AE7" i="52"/>
  <c r="AF7" i="52"/>
  <c r="AG7" i="52"/>
  <c r="AH7" i="52"/>
  <c r="AI7" i="52"/>
  <c r="AJ7" i="52"/>
  <c r="AK7" i="52"/>
  <c r="AL7" i="52"/>
  <c r="AM7" i="52"/>
  <c r="AN7" i="52"/>
  <c r="AO7" i="52"/>
  <c r="AO5" i="24"/>
  <c r="AO6" i="24"/>
  <c r="AP5" i="28"/>
  <c r="AO26" i="1"/>
  <c r="AO29" i="1"/>
  <c r="AP6" i="28"/>
  <c r="AO31" i="1"/>
  <c r="AO34" i="1"/>
  <c r="AP39" i="19"/>
  <c r="AP44" i="19"/>
  <c r="AP46" i="19"/>
  <c r="AP19" i="19"/>
  <c r="AO16" i="24"/>
  <c r="AO31" i="24"/>
  <c r="AO35" i="24"/>
  <c r="AP7" i="52"/>
  <c r="B12" i="52"/>
  <c r="AO21" i="2"/>
  <c r="AO22" i="2"/>
  <c r="AO23" i="2"/>
  <c r="AO51" i="3"/>
  <c r="AO6" i="3"/>
  <c r="AO13" i="3"/>
  <c r="AO27" i="3"/>
  <c r="AO40" i="3"/>
  <c r="AO37" i="24"/>
  <c r="AO39" i="24"/>
  <c r="AO40" i="24"/>
  <c r="AO41" i="24"/>
  <c r="AO45" i="24"/>
  <c r="AO47" i="24"/>
  <c r="AO45" i="3"/>
  <c r="AO46" i="24"/>
  <c r="AO46" i="3"/>
  <c r="AO48" i="3"/>
  <c r="AO52" i="3"/>
  <c r="AO9" i="1"/>
  <c r="AO15" i="1"/>
  <c r="AO19" i="1"/>
  <c r="AO21" i="1"/>
  <c r="AN15" i="1"/>
  <c r="AN19" i="1"/>
  <c r="AN21" i="1"/>
  <c r="AO10" i="30"/>
  <c r="AO11" i="30"/>
  <c r="AO12" i="30"/>
  <c r="AP12" i="28"/>
  <c r="AO12" i="28"/>
  <c r="AP13" i="28"/>
  <c r="AO21" i="30"/>
  <c r="AO22" i="30"/>
  <c r="H5" i="14"/>
  <c r="H6" i="14"/>
  <c r="H7" i="14"/>
  <c r="H9" i="14"/>
  <c r="I4" i="14"/>
  <c r="I5" i="14"/>
  <c r="I6" i="14"/>
  <c r="I7" i="14"/>
  <c r="I9" i="14"/>
  <c r="J4" i="14"/>
  <c r="J5" i="14"/>
  <c r="J6" i="14"/>
  <c r="J7" i="14"/>
  <c r="J9" i="14"/>
  <c r="K4" i="14"/>
  <c r="K5" i="14"/>
  <c r="K6" i="14"/>
  <c r="K7" i="14"/>
  <c r="K9" i="14"/>
  <c r="L4" i="14"/>
  <c r="L5" i="14"/>
  <c r="L6" i="14"/>
  <c r="L7" i="14"/>
  <c r="L9" i="14"/>
  <c r="M4" i="14"/>
  <c r="M5" i="14"/>
  <c r="M6" i="14"/>
  <c r="M7" i="14"/>
  <c r="M9" i="14"/>
  <c r="N4" i="14"/>
  <c r="N5" i="14"/>
  <c r="N6" i="14"/>
  <c r="N7" i="14"/>
  <c r="N9" i="14"/>
  <c r="O4" i="14"/>
  <c r="O5" i="14"/>
  <c r="O6" i="14"/>
  <c r="O7" i="14"/>
  <c r="O9" i="14"/>
  <c r="P4" i="14"/>
  <c r="P5" i="14"/>
  <c r="P6" i="14"/>
  <c r="P7" i="14"/>
  <c r="P9" i="14"/>
  <c r="Q4" i="14"/>
  <c r="Q5" i="14"/>
  <c r="Q6" i="14"/>
  <c r="Q7" i="14"/>
  <c r="Q9" i="14"/>
  <c r="R4" i="14"/>
  <c r="R5" i="14"/>
  <c r="R6" i="14"/>
  <c r="R7" i="14"/>
  <c r="R9" i="14"/>
  <c r="S4" i="14"/>
  <c r="S5" i="14"/>
  <c r="S6" i="14"/>
  <c r="S7" i="14"/>
  <c r="S9" i="14"/>
  <c r="T4" i="14"/>
  <c r="T5" i="14"/>
  <c r="T6" i="14"/>
  <c r="T7" i="14"/>
  <c r="T9" i="14"/>
  <c r="U4" i="14"/>
  <c r="U5" i="14"/>
  <c r="U6" i="14"/>
  <c r="U7" i="14"/>
  <c r="U9" i="14"/>
  <c r="V4" i="14"/>
  <c r="V5" i="14"/>
  <c r="V6" i="14"/>
  <c r="V7" i="14"/>
  <c r="V9" i="14"/>
  <c r="W4" i="14"/>
  <c r="W5" i="14"/>
  <c r="W6" i="14"/>
  <c r="W7" i="14"/>
  <c r="W9" i="14"/>
  <c r="X4" i="14"/>
  <c r="X5" i="14"/>
  <c r="X6" i="14"/>
  <c r="X7" i="14"/>
  <c r="X9" i="14"/>
  <c r="Y4" i="14"/>
  <c r="Y5" i="14"/>
  <c r="Y6" i="14"/>
  <c r="Y7" i="14"/>
  <c r="Y9" i="14"/>
  <c r="Z4" i="14"/>
  <c r="Z5" i="14"/>
  <c r="Z6" i="14"/>
  <c r="Z7" i="14"/>
  <c r="Z9" i="14"/>
  <c r="AA4" i="14"/>
  <c r="AA5" i="14"/>
  <c r="AA6" i="14"/>
  <c r="AA7" i="14"/>
  <c r="AA9" i="14"/>
  <c r="AB4" i="14"/>
  <c r="AB5" i="14"/>
  <c r="AB6" i="14"/>
  <c r="AB7" i="14"/>
  <c r="AB9" i="14"/>
  <c r="AC4" i="14"/>
  <c r="AC5" i="14"/>
  <c r="AC6" i="14"/>
  <c r="AC7" i="14"/>
  <c r="AC9" i="14"/>
  <c r="AD4" i="14"/>
  <c r="AD5" i="14"/>
  <c r="AD6" i="14"/>
  <c r="AD7" i="14"/>
  <c r="AD9" i="14"/>
  <c r="AE4" i="14"/>
  <c r="AE5" i="14"/>
  <c r="AE6" i="14"/>
  <c r="AE7" i="14"/>
  <c r="AE9" i="14"/>
  <c r="AF4" i="14"/>
  <c r="AF5" i="14"/>
  <c r="AF6" i="14"/>
  <c r="AF7" i="14"/>
  <c r="AF9" i="14"/>
  <c r="AG4" i="14"/>
  <c r="AG5" i="14"/>
  <c r="AG6" i="14"/>
  <c r="AG7" i="14"/>
  <c r="AG9" i="14"/>
  <c r="AH4" i="14"/>
  <c r="AH5" i="14"/>
  <c r="AH6" i="14"/>
  <c r="AH7" i="14"/>
  <c r="AH9" i="14"/>
  <c r="AI4" i="14"/>
  <c r="AI5" i="14"/>
  <c r="AI6" i="14"/>
  <c r="AI7" i="14"/>
  <c r="AI9" i="14"/>
  <c r="AJ4" i="14"/>
  <c r="AJ5" i="14"/>
  <c r="AJ6" i="14"/>
  <c r="AJ7" i="14"/>
  <c r="AJ9" i="14"/>
  <c r="AK4" i="14"/>
  <c r="AK5" i="14"/>
  <c r="AK6" i="14"/>
  <c r="AK7" i="14"/>
  <c r="AK9" i="14"/>
  <c r="AL4" i="14"/>
  <c r="AL5" i="14"/>
  <c r="AL6" i="14"/>
  <c r="AL7" i="14"/>
  <c r="AL9" i="14"/>
  <c r="AM4" i="14"/>
  <c r="AM5" i="14"/>
  <c r="AM6" i="14"/>
  <c r="AM7" i="14"/>
  <c r="AM9" i="14"/>
  <c r="AN4" i="14"/>
  <c r="AN5" i="14"/>
  <c r="AN6" i="14"/>
  <c r="AN7" i="14"/>
  <c r="AN9" i="14"/>
  <c r="AO4" i="14"/>
  <c r="AO5" i="14"/>
  <c r="AO6" i="14"/>
  <c r="AO7" i="14"/>
  <c r="AO9" i="14"/>
  <c r="AO43" i="1"/>
  <c r="AO45" i="1"/>
  <c r="AO46" i="1"/>
  <c r="AO48" i="1"/>
  <c r="AO8" i="1"/>
  <c r="AO48" i="24"/>
  <c r="AO50" i="24"/>
  <c r="AO50" i="3"/>
  <c r="AO51" i="24"/>
  <c r="I18" i="52"/>
  <c r="I22" i="52"/>
  <c r="J18" i="52"/>
  <c r="J22" i="52"/>
  <c r="K18" i="52"/>
  <c r="K22" i="52"/>
  <c r="L18" i="52"/>
  <c r="L22" i="52"/>
  <c r="M18" i="52"/>
  <c r="M22" i="52"/>
  <c r="N18" i="52"/>
  <c r="N22" i="52"/>
  <c r="O18" i="52"/>
  <c r="O22" i="52"/>
  <c r="P18" i="52"/>
  <c r="P22" i="52"/>
  <c r="Q18" i="52"/>
  <c r="Q22" i="52"/>
  <c r="R18" i="52"/>
  <c r="R22" i="52"/>
  <c r="S18" i="52"/>
  <c r="S22" i="52"/>
  <c r="T18" i="52"/>
  <c r="T22" i="52"/>
  <c r="U18" i="52"/>
  <c r="U22" i="52"/>
  <c r="V18" i="52"/>
  <c r="V22" i="52"/>
  <c r="W18" i="52"/>
  <c r="W22" i="52"/>
  <c r="X18" i="52"/>
  <c r="X22" i="52"/>
  <c r="Y18" i="52"/>
  <c r="Y22" i="52"/>
  <c r="Z18" i="52"/>
  <c r="Z22" i="52"/>
  <c r="AA18" i="52"/>
  <c r="AA22" i="52"/>
  <c r="AB18" i="52"/>
  <c r="AB22" i="52"/>
  <c r="AC18" i="52"/>
  <c r="AC22" i="52"/>
  <c r="AD18" i="52"/>
  <c r="AD22" i="52"/>
  <c r="AE18" i="52"/>
  <c r="AE22" i="52"/>
  <c r="AF18" i="52"/>
  <c r="AF22" i="52"/>
  <c r="AG18" i="52"/>
  <c r="AG22" i="52"/>
  <c r="AH18" i="52"/>
  <c r="AH22" i="52"/>
  <c r="AI18" i="52"/>
  <c r="AI22" i="52"/>
  <c r="AJ18" i="52"/>
  <c r="AJ22" i="52"/>
  <c r="AK18" i="52"/>
  <c r="AK22" i="52"/>
  <c r="AL18" i="52"/>
  <c r="AL22" i="52"/>
  <c r="AM18" i="52"/>
  <c r="AM22" i="52"/>
  <c r="AN18" i="52"/>
  <c r="AN22" i="52"/>
  <c r="AO22" i="52"/>
  <c r="AP22" i="52"/>
  <c r="B23" i="52"/>
  <c r="AP19" i="52"/>
  <c r="AO8" i="30"/>
  <c r="AN8" i="30"/>
  <c r="AO9" i="30"/>
  <c r="AK20" i="34"/>
  <c r="AK16" i="34"/>
  <c r="AK21" i="34"/>
  <c r="AK41" i="34"/>
  <c r="AK42" i="34"/>
  <c r="AK43" i="34"/>
  <c r="AK44" i="34"/>
  <c r="AK45" i="34"/>
  <c r="AK46" i="34"/>
  <c r="AK47" i="34"/>
  <c r="AK48" i="34"/>
  <c r="AK49" i="34"/>
  <c r="AK50" i="34"/>
  <c r="AK51" i="34"/>
  <c r="AK52" i="34"/>
  <c r="AK53" i="34"/>
  <c r="AK54" i="34"/>
  <c r="AK55" i="34"/>
  <c r="AK56" i="34"/>
  <c r="AK57" i="34"/>
  <c r="AK58" i="34"/>
  <c r="AK59" i="34"/>
  <c r="AK60" i="34"/>
  <c r="AK61" i="34"/>
  <c r="AK62" i="34"/>
  <c r="AK63" i="34"/>
  <c r="AK64" i="34"/>
  <c r="AK65" i="34"/>
  <c r="AK66" i="34"/>
  <c r="AK67" i="34"/>
  <c r="AK68" i="34"/>
  <c r="AK69" i="34"/>
  <c r="AK70" i="34"/>
  <c r="AK71" i="34"/>
  <c r="AK72" i="34"/>
  <c r="AK73" i="34"/>
  <c r="AK74" i="34"/>
  <c r="AK75" i="34"/>
  <c r="AK22" i="34"/>
  <c r="AK23" i="34"/>
  <c r="AK10" i="34"/>
  <c r="AK11" i="34"/>
  <c r="AO24" i="2"/>
  <c r="AK35" i="34"/>
  <c r="AK33" i="34"/>
  <c r="AJ11" i="34"/>
  <c r="AK36" i="34"/>
  <c r="AK37" i="34"/>
  <c r="AO36" i="24"/>
  <c r="AP7" i="19"/>
  <c r="AP20" i="19"/>
  <c r="AP14" i="19"/>
  <c r="AP80" i="28"/>
  <c r="AP7" i="28"/>
  <c r="AM15" i="1"/>
  <c r="AM19" i="1"/>
  <c r="AM21" i="1"/>
  <c r="AN10" i="30"/>
  <c r="AN11" i="30"/>
  <c r="AN12" i="30"/>
  <c r="AN21" i="30"/>
  <c r="AN22" i="30"/>
  <c r="AN12" i="28"/>
  <c r="AO13" i="28"/>
  <c r="AN43" i="1"/>
  <c r="AN45" i="1"/>
  <c r="AN46" i="1"/>
  <c r="AN48" i="1"/>
  <c r="AN8" i="1"/>
  <c r="AN48" i="24"/>
  <c r="AN50" i="24"/>
  <c r="AN50" i="3"/>
  <c r="AN51" i="24"/>
  <c r="AO19" i="52"/>
  <c r="AM8" i="30"/>
  <c r="AN9" i="30"/>
  <c r="AJ35" i="34"/>
  <c r="AJ33" i="34"/>
  <c r="AI11" i="34"/>
  <c r="AJ36" i="34"/>
  <c r="AJ37" i="34"/>
  <c r="AN36" i="24"/>
  <c r="AO7" i="19"/>
  <c r="AO20" i="19"/>
  <c r="AO14" i="19"/>
  <c r="AO80" i="28"/>
  <c r="AO7" i="28"/>
  <c r="AL15" i="1"/>
  <c r="AL19" i="1"/>
  <c r="AL21" i="1"/>
  <c r="AM10" i="30"/>
  <c r="AM11" i="30"/>
  <c r="AM12" i="30"/>
  <c r="AM21" i="30"/>
  <c r="AM22" i="30"/>
  <c r="AM12" i="28"/>
  <c r="AN13" i="28"/>
  <c r="AM43" i="1"/>
  <c r="AM45" i="1"/>
  <c r="AM46" i="1"/>
  <c r="AM48" i="1"/>
  <c r="AM8" i="1"/>
  <c r="AM48" i="24"/>
  <c r="AM50" i="24"/>
  <c r="AM50" i="3"/>
  <c r="AM51" i="24"/>
  <c r="AN19" i="52"/>
  <c r="AL8" i="30"/>
  <c r="AM9" i="30"/>
  <c r="AI35" i="34"/>
  <c r="AI33" i="34"/>
  <c r="AH11" i="34"/>
  <c r="AI36" i="34"/>
  <c r="AI37" i="34"/>
  <c r="AM36" i="24"/>
  <c r="AN7" i="19"/>
  <c r="AN20" i="19"/>
  <c r="AN14" i="19"/>
  <c r="AN80" i="28"/>
  <c r="AN7" i="28"/>
  <c r="AK15" i="1"/>
  <c r="AK19" i="1"/>
  <c r="AK21" i="1"/>
  <c r="AL12" i="28"/>
  <c r="AM13" i="28"/>
  <c r="AL22" i="30"/>
  <c r="AL43" i="1"/>
  <c r="AL45" i="1"/>
  <c r="AL46" i="1"/>
  <c r="AL48" i="1"/>
  <c r="AL10" i="30"/>
  <c r="AL11" i="30"/>
  <c r="AL12" i="30"/>
  <c r="AL21" i="30"/>
  <c r="AL8" i="1"/>
  <c r="AL48" i="24"/>
  <c r="AL50" i="24"/>
  <c r="AL50" i="3"/>
  <c r="AL51" i="24"/>
  <c r="AM19" i="52"/>
  <c r="AK8" i="30"/>
  <c r="AL9" i="30"/>
  <c r="AH35" i="34"/>
  <c r="AH33" i="34"/>
  <c r="AG11" i="34"/>
  <c r="AH36" i="34"/>
  <c r="AH37" i="34"/>
  <c r="AL36" i="24"/>
  <c r="AM7" i="19"/>
  <c r="AM20" i="19"/>
  <c r="AM14" i="19"/>
  <c r="AM80" i="28"/>
  <c r="AM7" i="28"/>
  <c r="AK16" i="36"/>
  <c r="AK21" i="36"/>
  <c r="AK42" i="36"/>
  <c r="AK43" i="36"/>
  <c r="AK44" i="36"/>
  <c r="AK45" i="36"/>
  <c r="AK46" i="36"/>
  <c r="AK47" i="36"/>
  <c r="AK48" i="36"/>
  <c r="AK49" i="36"/>
  <c r="AK50" i="36"/>
  <c r="AK51" i="36"/>
  <c r="AK52" i="36"/>
  <c r="AK53" i="36"/>
  <c r="AK54" i="36"/>
  <c r="AK55" i="36"/>
  <c r="AK56" i="36"/>
  <c r="AK57" i="36"/>
  <c r="AK58" i="36"/>
  <c r="AK59" i="36"/>
  <c r="AK60" i="36"/>
  <c r="AK61" i="36"/>
  <c r="AK62" i="36"/>
  <c r="AK63" i="36"/>
  <c r="AK64" i="36"/>
  <c r="AK65" i="36"/>
  <c r="AK66" i="36"/>
  <c r="AK67" i="36"/>
  <c r="AK68" i="36"/>
  <c r="AK69" i="36"/>
  <c r="AK70" i="36"/>
  <c r="AK71" i="36"/>
  <c r="AK72" i="36"/>
  <c r="AK73" i="36"/>
  <c r="AK76" i="36"/>
  <c r="AK22" i="36"/>
  <c r="AK23" i="36"/>
  <c r="AK10" i="36"/>
  <c r="AK11" i="36"/>
  <c r="AJ15" i="1"/>
  <c r="AJ19" i="1"/>
  <c r="AJ21" i="1"/>
  <c r="AK10" i="30"/>
  <c r="AK11" i="30"/>
  <c r="AK12" i="30"/>
  <c r="AK43" i="1"/>
  <c r="AK45" i="1"/>
  <c r="AK46" i="1"/>
  <c r="AK48" i="1"/>
  <c r="AK22" i="30"/>
  <c r="AK12" i="28"/>
  <c r="AL13" i="28"/>
  <c r="AK21" i="30"/>
  <c r="AK8" i="1"/>
  <c r="AK48" i="24"/>
  <c r="AK50" i="24"/>
  <c r="AK50" i="3"/>
  <c r="AK51" i="24"/>
  <c r="AL19" i="52"/>
  <c r="AJ8" i="30"/>
  <c r="AK9" i="30"/>
  <c r="AG35" i="34"/>
  <c r="AG33" i="34"/>
  <c r="AF11" i="34"/>
  <c r="AG36" i="34"/>
  <c r="AG37" i="34"/>
  <c r="AK36" i="24"/>
  <c r="AL7" i="19"/>
  <c r="AL20" i="19"/>
  <c r="AL14" i="19"/>
  <c r="AL80" i="28"/>
  <c r="AL7" i="28"/>
  <c r="AI15" i="1"/>
  <c r="AI19" i="1"/>
  <c r="AI21" i="1"/>
  <c r="AJ10" i="30"/>
  <c r="AJ11" i="30"/>
  <c r="AJ12" i="30"/>
  <c r="AK36" i="36"/>
  <c r="AK34" i="36"/>
  <c r="AJ11" i="36"/>
  <c r="AJ21" i="30"/>
  <c r="AJ22" i="30"/>
  <c r="AJ12" i="28"/>
  <c r="AK13" i="28"/>
  <c r="AJ43" i="1"/>
  <c r="AJ45" i="1"/>
  <c r="AJ46" i="1"/>
  <c r="AJ48" i="1"/>
  <c r="AK37" i="36"/>
  <c r="AK38" i="36"/>
  <c r="AJ8" i="1"/>
  <c r="AJ48" i="24"/>
  <c r="AJ50" i="24"/>
  <c r="AJ50" i="3"/>
  <c r="AJ51" i="24"/>
  <c r="AJ36" i="36"/>
  <c r="AJ34" i="36"/>
  <c r="AI11" i="36"/>
  <c r="AJ37" i="36"/>
  <c r="AJ38" i="36"/>
  <c r="AI8" i="30"/>
  <c r="AJ9" i="30"/>
  <c r="AK19" i="52"/>
  <c r="AF35" i="34"/>
  <c r="AF33" i="34"/>
  <c r="AE11" i="34"/>
  <c r="AJ36" i="24"/>
  <c r="AF36" i="34"/>
  <c r="AF37" i="34"/>
  <c r="AI36" i="36"/>
  <c r="AI34" i="36"/>
  <c r="AH11" i="36"/>
  <c r="AK7" i="19"/>
  <c r="AK20" i="19"/>
  <c r="AK14" i="19"/>
  <c r="AI37" i="36"/>
  <c r="AI38" i="36"/>
  <c r="AH36" i="36"/>
  <c r="AH34" i="36"/>
  <c r="AG11" i="36"/>
  <c r="AK80" i="28"/>
  <c r="AK7" i="28"/>
  <c r="AH37" i="36"/>
  <c r="AH38" i="36"/>
  <c r="AG36" i="36"/>
  <c r="AG34" i="36"/>
  <c r="AF11" i="36"/>
  <c r="AH15" i="1"/>
  <c r="AH19" i="1"/>
  <c r="AH21" i="1"/>
  <c r="AI10" i="30"/>
  <c r="AI11" i="30"/>
  <c r="AI12" i="30"/>
  <c r="AG37" i="36"/>
  <c r="AG38" i="36"/>
  <c r="AI43" i="1"/>
  <c r="AI45" i="1"/>
  <c r="AI46" i="1"/>
  <c r="AI48" i="1"/>
  <c r="AI22" i="30"/>
  <c r="AI12" i="28"/>
  <c r="AJ13" i="28"/>
  <c r="AI21" i="30"/>
  <c r="AI8" i="1"/>
  <c r="AI48" i="24"/>
  <c r="AI50" i="24"/>
  <c r="AI50" i="3"/>
  <c r="AI51" i="24"/>
  <c r="AF36" i="36"/>
  <c r="AF34" i="36"/>
  <c r="AE11" i="36"/>
  <c r="AF37" i="36"/>
  <c r="AF38" i="36"/>
  <c r="AJ19" i="52"/>
  <c r="AI36" i="24"/>
  <c r="AH8" i="30"/>
  <c r="AI9" i="30"/>
  <c r="AE36" i="36"/>
  <c r="AE34" i="36"/>
  <c r="AD11" i="36"/>
  <c r="AE35" i="34"/>
  <c r="AE33" i="34"/>
  <c r="AD11" i="34"/>
  <c r="AE36" i="34"/>
  <c r="AE37" i="34"/>
  <c r="AE37" i="36"/>
  <c r="AE38" i="36"/>
  <c r="AJ7" i="19"/>
  <c r="AJ20" i="19"/>
  <c r="AJ14" i="19"/>
  <c r="AJ80" i="28"/>
  <c r="AJ7" i="28"/>
  <c r="AG15" i="1"/>
  <c r="AG19" i="1"/>
  <c r="AG21" i="1"/>
  <c r="AH10" i="30"/>
  <c r="AH11" i="30"/>
  <c r="AH12" i="30"/>
  <c r="AH21" i="30"/>
  <c r="AH22" i="30"/>
  <c r="AH12" i="28"/>
  <c r="AI13" i="28"/>
  <c r="AH43" i="1"/>
  <c r="AH45" i="1"/>
  <c r="AH46" i="1"/>
  <c r="AH48" i="1"/>
  <c r="AH8" i="1"/>
  <c r="AH48" i="24"/>
  <c r="AH50" i="24"/>
  <c r="AH50" i="3"/>
  <c r="AH51" i="24"/>
  <c r="AI19" i="52"/>
  <c r="AG8" i="30"/>
  <c r="AH9" i="30"/>
  <c r="AD35" i="34"/>
  <c r="AD33" i="34"/>
  <c r="AC11" i="34"/>
  <c r="AH36" i="24"/>
  <c r="AD36" i="34"/>
  <c r="AD37" i="34"/>
  <c r="AI7" i="19"/>
  <c r="AI20" i="19"/>
  <c r="AI14" i="19"/>
  <c r="AI80" i="28"/>
  <c r="AI7" i="28"/>
  <c r="AF15" i="1"/>
  <c r="AF19" i="1"/>
  <c r="AF21" i="1"/>
  <c r="AG10" i="30"/>
  <c r="AG11" i="30"/>
  <c r="AG12" i="30"/>
  <c r="AG12" i="28"/>
  <c r="AH13" i="28"/>
  <c r="AG21" i="30"/>
  <c r="AG22" i="30"/>
  <c r="AG43" i="1"/>
  <c r="AG45" i="1"/>
  <c r="AG46" i="1"/>
  <c r="AG48" i="1"/>
  <c r="AG48" i="24"/>
  <c r="AG50" i="24"/>
  <c r="AG50" i="3"/>
  <c r="AG51" i="24"/>
  <c r="AG8" i="1"/>
  <c r="AH19" i="52"/>
  <c r="AF8" i="30"/>
  <c r="AG9" i="30"/>
  <c r="AC35" i="34"/>
  <c r="AC33" i="34"/>
  <c r="AB11" i="34"/>
  <c r="AC36" i="34"/>
  <c r="AC37" i="34"/>
  <c r="AG36" i="24"/>
  <c r="AH7" i="19"/>
  <c r="AH20" i="19"/>
  <c r="AH14" i="19"/>
  <c r="AH80" i="28"/>
  <c r="AH7" i="28"/>
  <c r="AE15" i="1"/>
  <c r="AE19" i="1"/>
  <c r="AE21" i="1"/>
  <c r="AF10" i="30"/>
  <c r="AF11" i="30"/>
  <c r="AF12" i="30"/>
  <c r="AF12" i="28"/>
  <c r="AG13" i="28"/>
  <c r="AF22" i="30"/>
  <c r="AF21" i="30"/>
  <c r="AF43" i="1"/>
  <c r="AF45" i="1"/>
  <c r="AF46" i="1"/>
  <c r="AF48" i="1"/>
  <c r="AF48" i="24"/>
  <c r="AF50" i="24"/>
  <c r="AF50" i="3"/>
  <c r="AF51" i="24"/>
  <c r="AF8" i="1"/>
  <c r="AG19" i="52"/>
  <c r="AE8" i="30"/>
  <c r="AF9" i="30"/>
  <c r="AB33" i="34"/>
  <c r="AB35" i="34"/>
  <c r="AB36" i="34"/>
  <c r="AB37" i="34"/>
  <c r="AA11" i="34"/>
  <c r="AF36" i="24"/>
  <c r="AG7" i="19"/>
  <c r="AG20" i="19"/>
  <c r="AG14" i="19"/>
  <c r="AG80" i="28"/>
  <c r="AG7" i="28"/>
  <c r="AD15" i="1"/>
  <c r="AD19" i="1"/>
  <c r="AD21" i="1"/>
  <c r="AE10" i="30"/>
  <c r="AE11" i="30"/>
  <c r="AE12" i="30"/>
  <c r="AE12" i="28"/>
  <c r="AF13" i="28"/>
  <c r="AE43" i="1"/>
  <c r="AE45" i="1"/>
  <c r="AE46" i="1"/>
  <c r="AE48" i="1"/>
  <c r="AE22" i="30"/>
  <c r="AE21" i="30"/>
  <c r="AE8" i="1"/>
  <c r="AE48" i="24"/>
  <c r="AE50" i="24"/>
  <c r="AE50" i="3"/>
  <c r="AE51" i="24"/>
  <c r="AF19" i="52"/>
  <c r="AD8" i="30"/>
  <c r="AE9" i="30"/>
  <c r="AA35" i="34"/>
  <c r="AA33" i="34"/>
  <c r="Z11" i="34"/>
  <c r="AA36" i="34"/>
  <c r="AA37" i="34"/>
  <c r="AE36" i="24"/>
  <c r="AF7" i="19"/>
  <c r="AF20" i="19"/>
  <c r="AF14" i="19"/>
  <c r="AF80" i="28"/>
  <c r="AF7" i="28"/>
  <c r="AC15" i="1"/>
  <c r="AC19" i="1"/>
  <c r="AC21" i="1"/>
  <c r="AD10" i="30"/>
  <c r="AD11" i="30"/>
  <c r="AD12" i="30"/>
  <c r="AD22" i="30"/>
  <c r="AD21" i="30"/>
  <c r="AD12" i="28"/>
  <c r="AE13" i="28"/>
  <c r="AD43" i="1"/>
  <c r="AD45" i="1"/>
  <c r="AD46" i="1"/>
  <c r="AD48" i="1"/>
  <c r="AD8" i="1"/>
  <c r="AD48" i="24"/>
  <c r="AD50" i="24"/>
  <c r="AD50" i="3"/>
  <c r="AD51" i="24"/>
  <c r="AE19" i="52"/>
  <c r="AC8" i="30"/>
  <c r="AD9" i="30"/>
  <c r="Z35" i="34"/>
  <c r="Z33" i="34"/>
  <c r="Y11" i="34"/>
  <c r="AD36" i="24"/>
  <c r="Z36" i="34"/>
  <c r="Z37" i="34"/>
  <c r="AE7" i="19"/>
  <c r="AE20" i="19"/>
  <c r="AE14" i="19"/>
  <c r="AE80" i="28"/>
  <c r="AE7" i="28"/>
  <c r="AB15" i="1"/>
  <c r="AB19" i="1"/>
  <c r="AB21" i="1"/>
  <c r="AC10" i="30"/>
  <c r="AC11" i="30"/>
  <c r="AC12" i="30"/>
  <c r="AC22" i="30"/>
  <c r="AC21" i="30"/>
  <c r="AC12" i="28"/>
  <c r="AD13" i="28"/>
  <c r="AC8" i="1"/>
  <c r="AC43" i="1"/>
  <c r="AC45" i="1"/>
  <c r="AC46" i="1"/>
  <c r="AC48" i="1"/>
  <c r="AC48" i="24"/>
  <c r="AC50" i="24"/>
  <c r="AC50" i="3"/>
  <c r="AC51" i="24"/>
  <c r="AD19" i="52"/>
  <c r="AB8" i="30"/>
  <c r="AC9" i="30"/>
  <c r="Y35" i="34"/>
  <c r="Y33" i="34"/>
  <c r="X11" i="34"/>
  <c r="AC36" i="24"/>
  <c r="Y36" i="34"/>
  <c r="Y37" i="34"/>
  <c r="AD7" i="19"/>
  <c r="AD20" i="19"/>
  <c r="AD14" i="19"/>
  <c r="AD80" i="28"/>
  <c r="AD7" i="28"/>
  <c r="AA15" i="1"/>
  <c r="AA19" i="1"/>
  <c r="AA21" i="1"/>
  <c r="AB10" i="30"/>
  <c r="AB11" i="30"/>
  <c r="AB12" i="30"/>
  <c r="AB21" i="30"/>
  <c r="AB22" i="30"/>
  <c r="AB12" i="28"/>
  <c r="AC13" i="28"/>
  <c r="AB43" i="1"/>
  <c r="AB45" i="1"/>
  <c r="AB46" i="1"/>
  <c r="AB48" i="1"/>
  <c r="AB8" i="1"/>
  <c r="AB48" i="24"/>
  <c r="AB50" i="24"/>
  <c r="AB50" i="3"/>
  <c r="AB51" i="24"/>
  <c r="AC19" i="52"/>
  <c r="AA8" i="30"/>
  <c r="AB9" i="30"/>
  <c r="X35" i="34"/>
  <c r="X33" i="34"/>
  <c r="W11" i="34"/>
  <c r="X36" i="34"/>
  <c r="X37" i="34"/>
  <c r="AB36" i="24"/>
  <c r="AC7" i="19"/>
  <c r="AC20" i="19"/>
  <c r="AC14" i="19"/>
  <c r="AC80" i="28"/>
  <c r="AC7" i="28"/>
  <c r="Z15" i="1"/>
  <c r="Z19" i="1"/>
  <c r="Z21" i="1"/>
  <c r="AA10" i="30"/>
  <c r="AA11" i="30"/>
  <c r="AA12" i="30"/>
  <c r="AA21" i="30"/>
  <c r="AA22" i="30"/>
  <c r="AA12" i="28"/>
  <c r="AB13" i="28"/>
  <c r="AA43" i="1"/>
  <c r="AA45" i="1"/>
  <c r="AA46" i="1"/>
  <c r="AA48" i="1"/>
  <c r="AA8" i="1"/>
  <c r="AA48" i="24"/>
  <c r="AA50" i="24"/>
  <c r="AA50" i="3"/>
  <c r="AA51" i="24"/>
  <c r="AB19" i="52"/>
  <c r="Z8" i="30"/>
  <c r="AA9" i="30"/>
  <c r="W35" i="34"/>
  <c r="W33" i="34"/>
  <c r="V11" i="34"/>
  <c r="W36" i="34"/>
  <c r="W37" i="34"/>
  <c r="AA36" i="24"/>
  <c r="AB7" i="19"/>
  <c r="AB20" i="19"/>
  <c r="AB14" i="19"/>
  <c r="AB80" i="28"/>
  <c r="AB7" i="28"/>
  <c r="Y15" i="1"/>
  <c r="Y19" i="1"/>
  <c r="Y21" i="1"/>
  <c r="Z10" i="30"/>
  <c r="Z11" i="30"/>
  <c r="Z12" i="30"/>
  <c r="Z21" i="30"/>
  <c r="Z22" i="30"/>
  <c r="Z12" i="28"/>
  <c r="AA13" i="28"/>
  <c r="Z43" i="1"/>
  <c r="Z45" i="1"/>
  <c r="Z46" i="1"/>
  <c r="Z48" i="1"/>
  <c r="Z8" i="1"/>
  <c r="Z48" i="24"/>
  <c r="Z50" i="24"/>
  <c r="Z50" i="3"/>
  <c r="Z51" i="24"/>
  <c r="AA19" i="52"/>
  <c r="Y8" i="30"/>
  <c r="Z9" i="30"/>
  <c r="V35" i="34"/>
  <c r="V33" i="34"/>
  <c r="U11" i="34"/>
  <c r="V36" i="34"/>
  <c r="V37" i="34"/>
  <c r="Z36" i="24"/>
  <c r="AA7" i="19"/>
  <c r="AA20" i="19"/>
  <c r="AA14" i="19"/>
  <c r="AA80" i="28"/>
  <c r="AA7" i="28"/>
  <c r="X15" i="1"/>
  <c r="X19" i="1"/>
  <c r="X21" i="1"/>
  <c r="Y10" i="30"/>
  <c r="Y11" i="30"/>
  <c r="Y12" i="30"/>
  <c r="Y21" i="30"/>
  <c r="Y22" i="30"/>
  <c r="Y12" i="28"/>
  <c r="Z13" i="28"/>
  <c r="Y43" i="1"/>
  <c r="Y45" i="1"/>
  <c r="Y46" i="1"/>
  <c r="Y48" i="1"/>
  <c r="Y8" i="1"/>
  <c r="Y48" i="24"/>
  <c r="Y50" i="24"/>
  <c r="Y50" i="3"/>
  <c r="Y51" i="24"/>
  <c r="Z19" i="52"/>
  <c r="X8" i="30"/>
  <c r="Y9" i="30"/>
  <c r="Y36" i="24"/>
  <c r="U35" i="34"/>
  <c r="U33" i="34"/>
  <c r="T11" i="34"/>
  <c r="U36" i="34"/>
  <c r="U37" i="34"/>
  <c r="Z7" i="19"/>
  <c r="Z20" i="19"/>
  <c r="Z14" i="19"/>
  <c r="Z80" i="28"/>
  <c r="Z7" i="28"/>
  <c r="X22" i="30"/>
  <c r="X43" i="1"/>
  <c r="X45" i="1"/>
  <c r="X46" i="1"/>
  <c r="X48" i="1"/>
  <c r="W15" i="1"/>
  <c r="W19" i="1"/>
  <c r="W21" i="1"/>
  <c r="X12" i="28"/>
  <c r="Y13" i="28"/>
  <c r="X10" i="30"/>
  <c r="X11" i="30"/>
  <c r="X12" i="30"/>
  <c r="X21" i="30"/>
  <c r="X8" i="1"/>
  <c r="X48" i="24"/>
  <c r="X50" i="24"/>
  <c r="X50" i="3"/>
  <c r="X51" i="24"/>
  <c r="Y19" i="52"/>
  <c r="W8" i="30"/>
  <c r="X9" i="30"/>
  <c r="T35" i="34"/>
  <c r="T33" i="34"/>
  <c r="S11" i="34"/>
  <c r="T36" i="34"/>
  <c r="T37" i="34"/>
  <c r="X36" i="24"/>
  <c r="Y7" i="19"/>
  <c r="Y20" i="19"/>
  <c r="Y14" i="19"/>
  <c r="Y80" i="28"/>
  <c r="Y7" i="28"/>
  <c r="V15" i="1"/>
  <c r="V19" i="1"/>
  <c r="V21" i="1"/>
  <c r="W10" i="30"/>
  <c r="W11" i="30"/>
  <c r="W12" i="30"/>
  <c r="W12" i="28"/>
  <c r="X13" i="28"/>
  <c r="W22" i="30"/>
  <c r="W21" i="30"/>
  <c r="W43" i="1"/>
  <c r="W45" i="1"/>
  <c r="W46" i="1"/>
  <c r="W48" i="1"/>
  <c r="W48" i="24"/>
  <c r="W50" i="24"/>
  <c r="W50" i="3"/>
  <c r="W51" i="24"/>
  <c r="W8" i="1"/>
  <c r="X19" i="52"/>
  <c r="V8" i="30"/>
  <c r="W9" i="30"/>
  <c r="S35" i="34"/>
  <c r="S33" i="34"/>
  <c r="R11" i="34"/>
  <c r="S36" i="34"/>
  <c r="S37" i="34"/>
  <c r="W36" i="24"/>
  <c r="X7" i="19"/>
  <c r="X20" i="19"/>
  <c r="X14" i="19"/>
  <c r="X80" i="28"/>
  <c r="X7" i="28"/>
  <c r="U15" i="1"/>
  <c r="U19" i="1"/>
  <c r="U21" i="1"/>
  <c r="V10" i="30"/>
  <c r="V11" i="30"/>
  <c r="V12" i="30"/>
  <c r="V21" i="30"/>
  <c r="V22" i="30"/>
  <c r="V12" i="28"/>
  <c r="W13" i="28"/>
  <c r="V43" i="1"/>
  <c r="V45" i="1"/>
  <c r="V46" i="1"/>
  <c r="V48" i="1"/>
  <c r="V8" i="1"/>
  <c r="V48" i="24"/>
  <c r="V50" i="24"/>
  <c r="V50" i="3"/>
  <c r="V51" i="24"/>
  <c r="W19" i="52"/>
  <c r="U8" i="30"/>
  <c r="V9" i="30"/>
  <c r="R35" i="34"/>
  <c r="R33" i="34"/>
  <c r="Q11" i="34"/>
  <c r="R36" i="34"/>
  <c r="R37" i="34"/>
  <c r="V36" i="24"/>
  <c r="W7" i="19"/>
  <c r="W20" i="19"/>
  <c r="W14" i="19"/>
  <c r="W80" i="28"/>
  <c r="W7" i="28"/>
  <c r="T15" i="1"/>
  <c r="T19" i="1"/>
  <c r="T21" i="1"/>
  <c r="U10" i="30"/>
  <c r="U11" i="30"/>
  <c r="U12" i="30"/>
  <c r="U21" i="30"/>
  <c r="U22" i="30"/>
  <c r="U12" i="28"/>
  <c r="V13" i="28"/>
  <c r="U43" i="1"/>
  <c r="U45" i="1"/>
  <c r="U46" i="1"/>
  <c r="U48" i="1"/>
  <c r="U8" i="1"/>
  <c r="U48" i="24"/>
  <c r="U50" i="24"/>
  <c r="U50" i="3"/>
  <c r="U51" i="24"/>
  <c r="V19" i="52"/>
  <c r="T8" i="30"/>
  <c r="U9" i="30"/>
  <c r="Q35" i="34"/>
  <c r="Q33" i="34"/>
  <c r="P11" i="34"/>
  <c r="Q36" i="34"/>
  <c r="Q37" i="34"/>
  <c r="U36" i="24"/>
  <c r="V7" i="19"/>
  <c r="V20" i="19"/>
  <c r="V14" i="19"/>
  <c r="V80" i="28"/>
  <c r="V7" i="28"/>
  <c r="S15" i="1"/>
  <c r="S19" i="1"/>
  <c r="S21" i="1"/>
  <c r="T10" i="30"/>
  <c r="T11" i="30"/>
  <c r="T12" i="30"/>
  <c r="T21" i="30"/>
  <c r="T22" i="30"/>
  <c r="T12" i="28"/>
  <c r="U13" i="28"/>
  <c r="T43" i="1"/>
  <c r="T45" i="1"/>
  <c r="T46" i="1"/>
  <c r="T48" i="1"/>
  <c r="T8" i="1"/>
  <c r="T48" i="24"/>
  <c r="T50" i="24"/>
  <c r="T50" i="3"/>
  <c r="T51" i="24"/>
  <c r="U19" i="52"/>
  <c r="S8" i="30"/>
  <c r="T9" i="30"/>
  <c r="P35" i="34"/>
  <c r="P33" i="34"/>
  <c r="O11" i="34"/>
  <c r="P36" i="34"/>
  <c r="P37" i="34"/>
  <c r="T36" i="24"/>
  <c r="U7" i="19"/>
  <c r="U20" i="19"/>
  <c r="U14" i="19"/>
  <c r="U80" i="28"/>
  <c r="U7" i="28"/>
  <c r="R15" i="1"/>
  <c r="R19" i="1"/>
  <c r="R21" i="1"/>
  <c r="S10" i="30"/>
  <c r="S11" i="30"/>
  <c r="S12" i="30"/>
  <c r="S21" i="30"/>
  <c r="S22" i="30"/>
  <c r="S12" i="28"/>
  <c r="T13" i="28"/>
  <c r="S43" i="1"/>
  <c r="S45" i="1"/>
  <c r="S46" i="1"/>
  <c r="S48" i="1"/>
  <c r="S8" i="1"/>
  <c r="S48" i="24"/>
  <c r="S50" i="24"/>
  <c r="S50" i="3"/>
  <c r="S51" i="24"/>
  <c r="T19" i="52"/>
  <c r="R8" i="30"/>
  <c r="S9" i="30"/>
  <c r="O35" i="34"/>
  <c r="O33" i="34"/>
  <c r="N11" i="34"/>
  <c r="O36" i="34"/>
  <c r="O37" i="34"/>
  <c r="S36" i="24"/>
  <c r="T7" i="19"/>
  <c r="T20" i="19"/>
  <c r="T14" i="19"/>
  <c r="T80" i="28"/>
  <c r="T7" i="28"/>
  <c r="Q15" i="1"/>
  <c r="Q19" i="1"/>
  <c r="Q21" i="1"/>
  <c r="R10" i="30"/>
  <c r="R11" i="30"/>
  <c r="R12" i="30"/>
  <c r="R21" i="30"/>
  <c r="R12" i="28"/>
  <c r="S13" i="28"/>
  <c r="R22" i="30"/>
  <c r="R43" i="1"/>
  <c r="R45" i="1"/>
  <c r="R46" i="1"/>
  <c r="R48" i="1"/>
  <c r="R8" i="1"/>
  <c r="R48" i="24"/>
  <c r="R50" i="24"/>
  <c r="R50" i="3"/>
  <c r="R51" i="24"/>
  <c r="S19" i="52"/>
  <c r="Q8" i="30"/>
  <c r="R9" i="30"/>
  <c r="N35" i="34"/>
  <c r="N33" i="34"/>
  <c r="M11" i="34"/>
  <c r="N36" i="34"/>
  <c r="N37" i="34"/>
  <c r="R36" i="24"/>
  <c r="S7" i="19"/>
  <c r="S20" i="19"/>
  <c r="S14" i="19"/>
  <c r="S80" i="28"/>
  <c r="S7" i="28"/>
  <c r="P15" i="1"/>
  <c r="P19" i="1"/>
  <c r="P21" i="1"/>
  <c r="Q10" i="30"/>
  <c r="Q11" i="30"/>
  <c r="Q12" i="30"/>
  <c r="Q21" i="30"/>
  <c r="Q22" i="30"/>
  <c r="Q12" i="28"/>
  <c r="R13" i="28"/>
  <c r="Q43" i="1"/>
  <c r="Q45" i="1"/>
  <c r="Q46" i="1"/>
  <c r="Q48" i="1"/>
  <c r="Q8" i="1"/>
  <c r="Q48" i="24"/>
  <c r="Q50" i="24"/>
  <c r="Q50" i="3"/>
  <c r="Q51" i="24"/>
  <c r="P8" i="30"/>
  <c r="Q9" i="30"/>
  <c r="R19" i="52"/>
  <c r="M35" i="34"/>
  <c r="M33" i="34"/>
  <c r="L11" i="34"/>
  <c r="M36" i="34"/>
  <c r="M37" i="34"/>
  <c r="Q36" i="24"/>
  <c r="R7" i="19"/>
  <c r="R20" i="19"/>
  <c r="R14" i="19"/>
  <c r="R80" i="28"/>
  <c r="R7" i="28"/>
  <c r="O15" i="1"/>
  <c r="O19" i="1"/>
  <c r="O21" i="1"/>
  <c r="P10" i="30"/>
  <c r="P11" i="30"/>
  <c r="P12" i="30"/>
  <c r="P21" i="30"/>
  <c r="P22" i="30"/>
  <c r="P12" i="28"/>
  <c r="Q13" i="28"/>
  <c r="P43" i="1"/>
  <c r="P45" i="1"/>
  <c r="P46" i="1"/>
  <c r="P48" i="1"/>
  <c r="P8" i="1"/>
  <c r="P48" i="24"/>
  <c r="P50" i="24"/>
  <c r="P50" i="3"/>
  <c r="P51" i="24"/>
  <c r="Q19" i="52"/>
  <c r="O8" i="30"/>
  <c r="P9" i="30"/>
  <c r="L35" i="34"/>
  <c r="L33" i="34"/>
  <c r="K11" i="34"/>
  <c r="L36" i="34"/>
  <c r="L37" i="34"/>
  <c r="P36" i="24"/>
  <c r="Q7" i="19"/>
  <c r="Q20" i="19"/>
  <c r="Q14" i="19"/>
  <c r="Q80" i="28"/>
  <c r="Q7" i="28"/>
  <c r="N15" i="1"/>
  <c r="N19" i="1"/>
  <c r="N21" i="1"/>
  <c r="O10" i="30"/>
  <c r="O11" i="30"/>
  <c r="O12" i="30"/>
  <c r="O12" i="28"/>
  <c r="P13" i="28"/>
  <c r="O22" i="30"/>
  <c r="O21" i="30"/>
  <c r="O43" i="1"/>
  <c r="O45" i="1"/>
  <c r="O46" i="1"/>
  <c r="O48" i="1"/>
  <c r="O8" i="1"/>
  <c r="O48" i="24"/>
  <c r="O50" i="24"/>
  <c r="O50" i="3"/>
  <c r="O51" i="24"/>
  <c r="P19" i="52"/>
  <c r="N8" i="30"/>
  <c r="O9" i="30"/>
  <c r="K35" i="34"/>
  <c r="K33" i="34"/>
  <c r="J11" i="34"/>
  <c r="O36" i="24"/>
  <c r="K36" i="34"/>
  <c r="K37" i="34"/>
  <c r="P7" i="19"/>
  <c r="P20" i="19"/>
  <c r="P14" i="19"/>
  <c r="AD36" i="36"/>
  <c r="AD34" i="36"/>
  <c r="AC11" i="36"/>
  <c r="AD37" i="36"/>
  <c r="AD38" i="36"/>
  <c r="P80" i="28"/>
  <c r="P7" i="28"/>
  <c r="AC36" i="36"/>
  <c r="AC34" i="36"/>
  <c r="AB11" i="36"/>
  <c r="AC37" i="36"/>
  <c r="AC38" i="36"/>
  <c r="M15" i="1"/>
  <c r="M19" i="1"/>
  <c r="M21" i="1"/>
  <c r="N10" i="30"/>
  <c r="N11" i="30"/>
  <c r="N12" i="30"/>
  <c r="N21" i="30"/>
  <c r="N43" i="1"/>
  <c r="N45" i="1"/>
  <c r="N46" i="1"/>
  <c r="N48" i="1"/>
  <c r="N12" i="28"/>
  <c r="O13" i="28"/>
  <c r="N22" i="30"/>
  <c r="N8" i="1"/>
  <c r="N48" i="24"/>
  <c r="N50" i="24"/>
  <c r="N50" i="3"/>
  <c r="N51" i="24"/>
  <c r="AB36" i="36"/>
  <c r="AB34" i="36"/>
  <c r="AA11" i="36"/>
  <c r="AB37" i="36"/>
  <c r="AB38" i="36"/>
  <c r="O19" i="52"/>
  <c r="M8" i="30"/>
  <c r="N9" i="30"/>
  <c r="J35" i="34"/>
  <c r="J33" i="34"/>
  <c r="I11" i="34"/>
  <c r="J36" i="34"/>
  <c r="J37" i="34"/>
  <c r="N36" i="24"/>
  <c r="AA36" i="36"/>
  <c r="AA34" i="36"/>
  <c r="Z11" i="36"/>
  <c r="AA37" i="36"/>
  <c r="AA38" i="36"/>
  <c r="O7" i="19"/>
  <c r="O20" i="19"/>
  <c r="O14" i="19"/>
  <c r="Z36" i="36"/>
  <c r="Z34" i="36"/>
  <c r="Y11" i="36"/>
  <c r="O80" i="28"/>
  <c r="O7" i="28"/>
  <c r="Z37" i="36"/>
  <c r="Z38" i="36"/>
  <c r="L15" i="1"/>
  <c r="L19" i="1"/>
  <c r="L21" i="1"/>
  <c r="M10" i="30"/>
  <c r="M11" i="30"/>
  <c r="M12" i="30"/>
  <c r="Y36" i="36"/>
  <c r="Y34" i="36"/>
  <c r="X11" i="36"/>
  <c r="M12" i="28"/>
  <c r="N13" i="28"/>
  <c r="M22" i="30"/>
  <c r="M21" i="30"/>
  <c r="Y37" i="36"/>
  <c r="Y38" i="36"/>
  <c r="M43" i="1"/>
  <c r="M45" i="1"/>
  <c r="M46" i="1"/>
  <c r="M48" i="1"/>
  <c r="M48" i="24"/>
  <c r="M50" i="24"/>
  <c r="M50" i="3"/>
  <c r="M51" i="24"/>
  <c r="M8" i="1"/>
  <c r="X36" i="36"/>
  <c r="X34" i="36"/>
  <c r="W11" i="36"/>
  <c r="N19" i="52"/>
  <c r="L8" i="30"/>
  <c r="M9" i="30"/>
  <c r="X37" i="36"/>
  <c r="X38" i="36"/>
  <c r="M36" i="24"/>
  <c r="I35" i="34"/>
  <c r="I33" i="34"/>
  <c r="H11" i="34"/>
  <c r="N7" i="19"/>
  <c r="N20" i="19"/>
  <c r="N14" i="19"/>
  <c r="I36" i="34"/>
  <c r="I37" i="34"/>
  <c r="W36" i="36"/>
  <c r="W34" i="36"/>
  <c r="V11" i="36"/>
  <c r="W37" i="36"/>
  <c r="W38" i="36"/>
  <c r="N80" i="28"/>
  <c r="N7" i="28"/>
  <c r="V36" i="36"/>
  <c r="V34" i="36"/>
  <c r="U11" i="36"/>
  <c r="V37" i="36"/>
  <c r="V38" i="36"/>
  <c r="K15" i="1"/>
  <c r="K19" i="1"/>
  <c r="K21" i="1"/>
  <c r="L10" i="30"/>
  <c r="L11" i="30"/>
  <c r="L12" i="30"/>
  <c r="L21" i="30"/>
  <c r="L22" i="30"/>
  <c r="L12" i="28"/>
  <c r="M13" i="28"/>
  <c r="L43" i="1"/>
  <c r="L45" i="1"/>
  <c r="L46" i="1"/>
  <c r="L48" i="1"/>
  <c r="L8" i="1"/>
  <c r="L48" i="24"/>
  <c r="L50" i="24"/>
  <c r="L50" i="3"/>
  <c r="L51" i="24"/>
  <c r="U36" i="36"/>
  <c r="U34" i="36"/>
  <c r="T11" i="36"/>
  <c r="U37" i="36"/>
  <c r="U38" i="36"/>
  <c r="M19" i="52"/>
  <c r="K8" i="30"/>
  <c r="L9" i="30"/>
  <c r="H35" i="34"/>
  <c r="H33" i="34"/>
  <c r="G11" i="34"/>
  <c r="T36" i="36"/>
  <c r="T34" i="36"/>
  <c r="S11" i="36"/>
  <c r="H36" i="34"/>
  <c r="H37" i="34"/>
  <c r="T37" i="36"/>
  <c r="T38" i="36"/>
  <c r="L36" i="24"/>
  <c r="M7" i="19"/>
  <c r="M20" i="19"/>
  <c r="M14" i="19"/>
  <c r="S36" i="36"/>
  <c r="S34" i="36"/>
  <c r="R11" i="36"/>
  <c r="S37" i="36"/>
  <c r="S38" i="36"/>
  <c r="M80" i="28"/>
  <c r="M7" i="28"/>
  <c r="R36" i="36"/>
  <c r="R34" i="36"/>
  <c r="Q11" i="36"/>
  <c r="R37" i="36"/>
  <c r="R38" i="36"/>
  <c r="J15" i="1"/>
  <c r="J19" i="1"/>
  <c r="J21" i="1"/>
  <c r="K10" i="30"/>
  <c r="K11" i="30"/>
  <c r="K12" i="30"/>
  <c r="K21" i="30"/>
  <c r="K22" i="30"/>
  <c r="K12" i="28"/>
  <c r="L13" i="28"/>
  <c r="K43" i="1"/>
  <c r="K45" i="1"/>
  <c r="K46" i="1"/>
  <c r="K48" i="1"/>
  <c r="K8" i="1"/>
  <c r="K48" i="24"/>
  <c r="K50" i="24"/>
  <c r="K50" i="3"/>
  <c r="K51" i="24"/>
  <c r="Q36" i="36"/>
  <c r="Q34" i="36"/>
  <c r="P11" i="36"/>
  <c r="Q37" i="36"/>
  <c r="Q38" i="36"/>
  <c r="L19" i="52"/>
  <c r="J8" i="30"/>
  <c r="K9" i="30"/>
  <c r="G35" i="34"/>
  <c r="G33" i="34"/>
  <c r="F11" i="34"/>
  <c r="P36" i="36"/>
  <c r="P34" i="36"/>
  <c r="O11" i="36"/>
  <c r="G36" i="34"/>
  <c r="G37" i="34"/>
  <c r="K36" i="24"/>
  <c r="P37" i="36"/>
  <c r="P38" i="36"/>
  <c r="L7" i="19"/>
  <c r="L20" i="19"/>
  <c r="L14" i="19"/>
  <c r="O36" i="36"/>
  <c r="O34" i="36"/>
  <c r="N11" i="36"/>
  <c r="L80" i="28"/>
  <c r="L7" i="28"/>
  <c r="O37" i="36"/>
  <c r="O38" i="36"/>
  <c r="N36" i="36"/>
  <c r="N34" i="36"/>
  <c r="M11" i="36"/>
  <c r="I15" i="1"/>
  <c r="I19" i="1"/>
  <c r="I21" i="1"/>
  <c r="J10" i="30"/>
  <c r="J11" i="30"/>
  <c r="J12" i="30"/>
  <c r="J21" i="30"/>
  <c r="J22" i="30"/>
  <c r="J12" i="28"/>
  <c r="K13" i="28"/>
  <c r="J43" i="1"/>
  <c r="J45" i="1"/>
  <c r="J46" i="1"/>
  <c r="J48" i="1"/>
  <c r="N37" i="36"/>
  <c r="N38" i="36"/>
  <c r="J8" i="1"/>
  <c r="J48" i="24"/>
  <c r="J50" i="24"/>
  <c r="J50" i="3"/>
  <c r="J51" i="24"/>
  <c r="M36" i="36"/>
  <c r="M34" i="36"/>
  <c r="L11" i="36"/>
  <c r="K19" i="52"/>
  <c r="I8" i="30"/>
  <c r="J9" i="30"/>
  <c r="M37" i="36"/>
  <c r="M38" i="36"/>
  <c r="J36" i="24"/>
  <c r="F35" i="34"/>
  <c r="F33" i="34"/>
  <c r="E11" i="34"/>
  <c r="F36" i="34"/>
  <c r="F37" i="34"/>
  <c r="K7" i="19"/>
  <c r="K20" i="19"/>
  <c r="K14" i="19"/>
  <c r="L36" i="36"/>
  <c r="L34" i="36"/>
  <c r="K11" i="36"/>
  <c r="L37" i="36"/>
  <c r="L38" i="36"/>
  <c r="K80" i="28"/>
  <c r="K7" i="28"/>
  <c r="K36" i="36"/>
  <c r="K34" i="36"/>
  <c r="J11" i="36"/>
  <c r="K37" i="36"/>
  <c r="K38" i="36"/>
  <c r="H15" i="1"/>
  <c r="H21" i="1"/>
  <c r="I10" i="30"/>
  <c r="I11" i="30"/>
  <c r="I12" i="30"/>
  <c r="I21" i="30"/>
  <c r="I22" i="30"/>
  <c r="I12" i="28"/>
  <c r="J13" i="28"/>
  <c r="I43" i="1"/>
  <c r="I45" i="1"/>
  <c r="I46" i="1"/>
  <c r="I48" i="1"/>
  <c r="I8" i="1"/>
  <c r="I48" i="24"/>
  <c r="I50" i="24"/>
  <c r="I50" i="3"/>
  <c r="I51" i="24"/>
  <c r="J36" i="36"/>
  <c r="J34" i="36"/>
  <c r="I11" i="36"/>
  <c r="J37" i="36"/>
  <c r="J38" i="36"/>
  <c r="J19" i="52"/>
  <c r="H8" i="30"/>
  <c r="I9" i="30"/>
  <c r="E35" i="34"/>
  <c r="E33" i="34"/>
  <c r="D11" i="34"/>
  <c r="I36" i="36"/>
  <c r="I34" i="36"/>
  <c r="H11" i="36"/>
  <c r="I36" i="24"/>
  <c r="E36" i="34"/>
  <c r="E37" i="34"/>
  <c r="I37" i="36"/>
  <c r="I38" i="36"/>
  <c r="J7" i="19"/>
  <c r="J20" i="19"/>
  <c r="J14" i="19"/>
  <c r="H36" i="36"/>
  <c r="H34" i="36"/>
  <c r="G11" i="36"/>
  <c r="H37" i="36"/>
  <c r="H38" i="36"/>
  <c r="J80" i="28"/>
  <c r="J7" i="28"/>
  <c r="G36" i="36"/>
  <c r="G34" i="36"/>
  <c r="F11" i="36"/>
  <c r="G37" i="36"/>
  <c r="G38" i="36"/>
  <c r="F36" i="36"/>
  <c r="F34" i="36"/>
  <c r="E11" i="36"/>
  <c r="F37" i="36"/>
  <c r="F38" i="36"/>
  <c r="H10" i="30"/>
  <c r="H11" i="30"/>
  <c r="H12" i="30"/>
  <c r="H21" i="30"/>
  <c r="H22" i="30"/>
  <c r="H43" i="1"/>
  <c r="H45" i="1"/>
  <c r="H46" i="1"/>
  <c r="H48" i="1"/>
  <c r="H8" i="1"/>
  <c r="E36" i="36"/>
  <c r="E34" i="36"/>
  <c r="D11" i="36"/>
  <c r="E37" i="36"/>
  <c r="E38" i="36"/>
  <c r="H48" i="24"/>
  <c r="H50" i="24"/>
  <c r="H50" i="3"/>
  <c r="H51" i="24"/>
  <c r="H9" i="30"/>
  <c r="I20" i="19"/>
  <c r="I14" i="19"/>
  <c r="AO24" i="30"/>
  <c r="AN24" i="30"/>
  <c r="AM24" i="30"/>
  <c r="AL24" i="30"/>
  <c r="AK24" i="30"/>
  <c r="AJ24" i="30"/>
  <c r="AI24" i="30"/>
  <c r="AH24" i="30"/>
  <c r="AG24" i="30"/>
  <c r="AF24" i="30"/>
  <c r="AE24" i="30"/>
  <c r="AD24" i="30"/>
  <c r="AC24" i="30"/>
  <c r="AB24" i="30"/>
  <c r="AA24" i="30"/>
  <c r="Z24" i="30"/>
  <c r="Y24" i="30"/>
  <c r="X24" i="30"/>
  <c r="W24" i="30"/>
  <c r="V24" i="30"/>
  <c r="U24" i="30"/>
  <c r="T24" i="30"/>
  <c r="S24" i="30"/>
  <c r="R24" i="30"/>
  <c r="Q24" i="30"/>
  <c r="P24" i="30"/>
  <c r="O24" i="30"/>
  <c r="N24" i="30"/>
  <c r="M24" i="30"/>
  <c r="L24" i="30"/>
  <c r="K24" i="30"/>
  <c r="J24" i="30"/>
  <c r="I24" i="30"/>
  <c r="B18" i="50"/>
  <c r="B3" i="48"/>
  <c r="I9" i="52"/>
  <c r="I10" i="52"/>
  <c r="J9" i="52"/>
  <c r="J10" i="52"/>
  <c r="K9" i="52"/>
  <c r="K10" i="52"/>
  <c r="L9" i="52"/>
  <c r="L10" i="52"/>
  <c r="M9" i="52"/>
  <c r="M10" i="52"/>
  <c r="N9" i="52"/>
  <c r="N10" i="52"/>
  <c r="O9" i="52"/>
  <c r="O10" i="52"/>
  <c r="P9" i="52"/>
  <c r="P10" i="52"/>
  <c r="Q9" i="52"/>
  <c r="Q10" i="52"/>
  <c r="R9" i="52"/>
  <c r="R10" i="52"/>
  <c r="S9" i="52"/>
  <c r="S10" i="52"/>
  <c r="T9" i="52"/>
  <c r="T10" i="52"/>
  <c r="U9" i="52"/>
  <c r="U10" i="52"/>
  <c r="V9" i="52"/>
  <c r="V10" i="52"/>
  <c r="W9" i="52"/>
  <c r="W10" i="52"/>
  <c r="X9" i="52"/>
  <c r="X10" i="52"/>
  <c r="Y9" i="52"/>
  <c r="Y10" i="52"/>
  <c r="Z9" i="52"/>
  <c r="Z10" i="52"/>
  <c r="AA9" i="52"/>
  <c r="AA10" i="52"/>
  <c r="AB9" i="52"/>
  <c r="AB10" i="52"/>
  <c r="AC9" i="52"/>
  <c r="AC10" i="52"/>
  <c r="AD9" i="52"/>
  <c r="AD10" i="52"/>
  <c r="AE9" i="52"/>
  <c r="AE10" i="52"/>
  <c r="AF9" i="52"/>
  <c r="AF10" i="52"/>
  <c r="AG9" i="52"/>
  <c r="AG10" i="52"/>
  <c r="AH9" i="52"/>
  <c r="AH10" i="52"/>
  <c r="AI9" i="52"/>
  <c r="AI10" i="52"/>
  <c r="AJ9" i="52"/>
  <c r="AJ10" i="52"/>
  <c r="AK9" i="52"/>
  <c r="AK10" i="52"/>
  <c r="AL9" i="52"/>
  <c r="AL10" i="52"/>
  <c r="AM9" i="52"/>
  <c r="AM10" i="52"/>
  <c r="AN9" i="52"/>
  <c r="AN10" i="52"/>
  <c r="AO9" i="52"/>
  <c r="AO10" i="52"/>
  <c r="AP9" i="52"/>
  <c r="AP10" i="52"/>
  <c r="B11" i="52"/>
  <c r="B14" i="52"/>
  <c r="B13" i="52"/>
  <c r="B15" i="52"/>
  <c r="B16" i="52"/>
  <c r="B29" i="52"/>
  <c r="B33" i="52"/>
  <c r="B36" i="52"/>
  <c r="AR55" i="54"/>
  <c r="AR37" i="54"/>
  <c r="AQ15" i="54"/>
  <c r="AR73" i="54"/>
  <c r="BG55" i="54"/>
  <c r="BG37" i="54"/>
  <c r="BG73" i="54"/>
  <c r="AV40" i="19"/>
  <c r="AV22" i="19"/>
  <c r="AV58" i="19"/>
  <c r="F42" i="52"/>
  <c r="AV40" i="10"/>
  <c r="AZ41" i="10"/>
  <c r="AI5" i="55"/>
  <c r="F17" i="48"/>
  <c r="B11" i="48"/>
  <c r="BW94" i="54"/>
  <c r="BX111" i="54"/>
  <c r="BX129" i="54"/>
  <c r="CL129" i="54"/>
  <c r="CL111" i="54"/>
  <c r="CL147" i="54"/>
  <c r="BX147" i="54"/>
  <c r="C4" i="55"/>
  <c r="R38" i="55"/>
  <c r="AH55" i="55"/>
  <c r="AH38" i="55"/>
  <c r="AH21" i="55"/>
  <c r="AM5" i="55"/>
  <c r="V5" i="55"/>
</calcChain>
</file>

<file path=xl/sharedStrings.xml><?xml version="1.0" encoding="utf-8"?>
<sst xmlns="http://schemas.openxmlformats.org/spreadsheetml/2006/main" count="2220" uniqueCount="763">
  <si>
    <t>Assets</t>
  </si>
  <si>
    <t xml:space="preserve">Current assets: </t>
  </si>
  <si>
    <t xml:space="preserve">Cash and cash equivalents </t>
  </si>
  <si>
    <t xml:space="preserve">Restricted Cash </t>
  </si>
  <si>
    <t>Inventories</t>
  </si>
  <si>
    <t xml:space="preserve">Prepaid expenses and other current assets </t>
  </si>
  <si>
    <t xml:space="preserve">Total current assets </t>
  </si>
  <si>
    <t xml:space="preserve">Property, plant and equipment, net </t>
  </si>
  <si>
    <t>Goodwill</t>
  </si>
  <si>
    <t xml:space="preserve">Deferred income taxes </t>
  </si>
  <si>
    <t xml:space="preserve">Other assets </t>
  </si>
  <si>
    <t xml:space="preserve">Total assets </t>
  </si>
  <si>
    <t>Intangible assets, net</t>
  </si>
  <si>
    <t>Liabilities and stockholders' equity</t>
  </si>
  <si>
    <t xml:space="preserve">Current liabilities: </t>
  </si>
  <si>
    <t>Current potion of loans payable</t>
  </si>
  <si>
    <t xml:space="preserve">Current portion of capitalized lease obligations </t>
  </si>
  <si>
    <t xml:space="preserve">Accounts payable </t>
  </si>
  <si>
    <t xml:space="preserve">Accrued expenses and other current liabilities </t>
  </si>
  <si>
    <t>Total current liabilities</t>
  </si>
  <si>
    <t xml:space="preserve">Long term loans, net of current portion </t>
  </si>
  <si>
    <t xml:space="preserve">Pension liabilities </t>
  </si>
  <si>
    <t xml:space="preserve">Other long term liabilities </t>
  </si>
  <si>
    <t xml:space="preserve">Total liabilities </t>
  </si>
  <si>
    <t xml:space="preserve">Commitments and contingencies </t>
  </si>
  <si>
    <t xml:space="preserve">Stockholders' equity </t>
  </si>
  <si>
    <t xml:space="preserve">Preferred stock, $0.01 par value: </t>
  </si>
  <si>
    <t xml:space="preserve">Authorized: 5,000,000 shares; non issued and outstanding </t>
  </si>
  <si>
    <t xml:space="preserve">Common stock, $0.01 par value: </t>
  </si>
  <si>
    <t xml:space="preserve">Shares outstanding </t>
  </si>
  <si>
    <t xml:space="preserve">Additional paid-in capital </t>
  </si>
  <si>
    <t xml:space="preserve">Treasury stock, at cost </t>
  </si>
  <si>
    <t xml:space="preserve">Retained earnings </t>
  </si>
  <si>
    <t xml:space="preserve">Accumulated other comprehensive loss </t>
  </si>
  <si>
    <t xml:space="preserve">Total stockholders' equity </t>
  </si>
  <si>
    <t xml:space="preserve">Total liabilities and stockholders' equity </t>
  </si>
  <si>
    <t xml:space="preserve">Accounts receivable, net </t>
  </si>
  <si>
    <t>-</t>
  </si>
  <si>
    <t>Capitalized lease obligations, net of current portion</t>
  </si>
  <si>
    <t xml:space="preserve">Net revenues </t>
  </si>
  <si>
    <t xml:space="preserve">Cost of goods sold </t>
  </si>
  <si>
    <t>Gross profit</t>
  </si>
  <si>
    <t xml:space="preserve">Operating expenses </t>
  </si>
  <si>
    <t xml:space="preserve">Research, development and engineering </t>
  </si>
  <si>
    <t xml:space="preserve">Amortization of acquired intangible assets </t>
  </si>
  <si>
    <t xml:space="preserve">Total operating expenses </t>
  </si>
  <si>
    <t xml:space="preserve">Operating income </t>
  </si>
  <si>
    <t xml:space="preserve">Interest income </t>
  </si>
  <si>
    <t xml:space="preserve">Interest expense </t>
  </si>
  <si>
    <t xml:space="preserve">Other income (expense), net </t>
  </si>
  <si>
    <t xml:space="preserve">Income before income tax provision </t>
  </si>
  <si>
    <t>Provision for income tax</t>
  </si>
  <si>
    <t>Net income</t>
  </si>
  <si>
    <t xml:space="preserve">Net income per share </t>
  </si>
  <si>
    <t xml:space="preserve">Basic </t>
  </si>
  <si>
    <t>Diluted</t>
  </si>
  <si>
    <t xml:space="preserve">Cash dividends per common share </t>
  </si>
  <si>
    <t xml:space="preserve">Weighted average shares used in per share calculation </t>
  </si>
  <si>
    <t>Other income (expense)</t>
  </si>
  <si>
    <t xml:space="preserve">Restructuring charges </t>
  </si>
  <si>
    <t xml:space="preserve">Impairment charges </t>
  </si>
  <si>
    <t>Net Income</t>
  </si>
  <si>
    <t xml:space="preserve">Depreciation and amortization </t>
  </si>
  <si>
    <t xml:space="preserve">Provision for receivable allowance </t>
  </si>
  <si>
    <t xml:space="preserve">Write-down of goodwill and other intangibles </t>
  </si>
  <si>
    <t xml:space="preserve">Write-down of marketable equity securities </t>
  </si>
  <si>
    <t>Net change in inventory provision</t>
  </si>
  <si>
    <t>Stock-based compensation</t>
  </si>
  <si>
    <t xml:space="preserve">Tax impacts due to employee equity incentive plans </t>
  </si>
  <si>
    <t xml:space="preserve">Loss on disposal of plant and equipment </t>
  </si>
  <si>
    <t xml:space="preserve">Gain on investments </t>
  </si>
  <si>
    <t xml:space="preserve">Other non-cash items, net </t>
  </si>
  <si>
    <t xml:space="preserve">Changes in operating assets and liabilities, net of business acquired </t>
  </si>
  <si>
    <t xml:space="preserve">Accounts receivable </t>
  </si>
  <si>
    <t xml:space="preserve">Inventories </t>
  </si>
  <si>
    <t xml:space="preserve">Accrued expenses and other liabilities </t>
  </si>
  <si>
    <t xml:space="preserve">Net cash provided by operating activities </t>
  </si>
  <si>
    <t xml:space="preserve">Cash flows from operating activities: </t>
  </si>
  <si>
    <t>Cash flows from investing activities:</t>
  </si>
  <si>
    <t xml:space="preserve">Change in restricted cash </t>
  </si>
  <si>
    <t xml:space="preserve">Purchases of investments </t>
  </si>
  <si>
    <t xml:space="preserve">Purchases of plant and equipment </t>
  </si>
  <si>
    <t xml:space="preserve">Net cash used in investing activities </t>
  </si>
  <si>
    <t xml:space="preserve">Cash flows from financing activities </t>
  </si>
  <si>
    <t xml:space="preserve">Principal payments on capital lease obligations </t>
  </si>
  <si>
    <t xml:space="preserve">Repayments of loans and notes payable </t>
  </si>
  <si>
    <t xml:space="preserve">Proceeds from loans </t>
  </si>
  <si>
    <t xml:space="preserve">Purchases of treasury stock </t>
  </si>
  <si>
    <t xml:space="preserve">Payments of cash dividends to stockholders </t>
  </si>
  <si>
    <t xml:space="preserve">Proceeds from employee equity plans </t>
  </si>
  <si>
    <t xml:space="preserve">Net cash used in financing activities </t>
  </si>
  <si>
    <t xml:space="preserve">Effect of exchange rate fluctuations on cash and cash equivalents </t>
  </si>
  <si>
    <t xml:space="preserve">Net increase in cash and cash equivalents </t>
  </si>
  <si>
    <t xml:space="preserve">Cash and cash equivalents at beginning of year </t>
  </si>
  <si>
    <t xml:space="preserve">Cash and cash equivalents at end of year </t>
  </si>
  <si>
    <t xml:space="preserve">Supplemental disclosure of cash flow information </t>
  </si>
  <si>
    <t xml:space="preserve">Cash paid during the period for interest </t>
  </si>
  <si>
    <t xml:space="preserve">Cash paid during the period for income taxes </t>
  </si>
  <si>
    <t xml:space="preserve">Supplemental disclosure of noncash investing and financing activities </t>
  </si>
  <si>
    <t>Fixed assets acquired under capital leases and loans</t>
  </si>
  <si>
    <t>Foreign currency adjustments on intercompany amounts and other non-cash items</t>
  </si>
  <si>
    <t xml:space="preserve">Purchase of businesses, net of cash and cash equivalents acquired and installment payments </t>
  </si>
  <si>
    <t>Installment payments for business acquisition</t>
  </si>
  <si>
    <t>YoY Change %</t>
  </si>
  <si>
    <t xml:space="preserve">YoY Change % </t>
  </si>
  <si>
    <t>R&amp;D/Revenue</t>
  </si>
  <si>
    <t>Revenue</t>
  </si>
  <si>
    <t>COGS</t>
  </si>
  <si>
    <t xml:space="preserve">Revenues </t>
  </si>
  <si>
    <t xml:space="preserve">% of revenue outsourced (assembly) </t>
  </si>
  <si>
    <t xml:space="preserve">% of revenue outsourced (manufacturing) </t>
  </si>
  <si>
    <t>Average % of revenue YoY change over the past 3 years (assembly)</t>
  </si>
  <si>
    <t>Average % of revenue YoY change over the past 3 years (manufacturing)</t>
  </si>
  <si>
    <t>Average % of revenue YoY change over the past 3 years (total)</t>
  </si>
  <si>
    <t xml:space="preserve">Average YoY change in COGS/Revenue </t>
  </si>
  <si>
    <t>Thyristor</t>
  </si>
  <si>
    <t xml:space="preserve">Systems and RF Semiconductors </t>
  </si>
  <si>
    <t>Power semiconductors</t>
  </si>
  <si>
    <t>Total Miscellaneous Revenue Drivers</t>
  </si>
  <si>
    <t>Total Revenue Growth Rate</t>
  </si>
  <si>
    <t>Total Weighted Revenue</t>
  </si>
  <si>
    <t>Change in Revenue YOY</t>
  </si>
  <si>
    <t>Total Actual Revenue (thousands)</t>
  </si>
  <si>
    <t>Total Projected Revenue (thousands)</t>
  </si>
  <si>
    <t>GaAs FET</t>
  </si>
  <si>
    <t>Solid state relay</t>
  </si>
  <si>
    <t>LCAS</t>
  </si>
  <si>
    <t>IC Driver</t>
  </si>
  <si>
    <t>Embedded flash microcontroller</t>
  </si>
  <si>
    <t>Display Driver</t>
  </si>
  <si>
    <t>DAA</t>
  </si>
  <si>
    <t>8-bit microcontroller</t>
  </si>
  <si>
    <t>IGBT</t>
  </si>
  <si>
    <t>Rectifier</t>
  </si>
  <si>
    <t>MOSFET</t>
  </si>
  <si>
    <t>High power module</t>
  </si>
  <si>
    <t>FRED</t>
  </si>
  <si>
    <t>Quantity Demanded (thousands)</t>
  </si>
  <si>
    <t>Change in Price YOY</t>
  </si>
  <si>
    <t>Prices</t>
  </si>
  <si>
    <t xml:space="preserve">Revenue drivers </t>
  </si>
  <si>
    <t>Power Semiconductors</t>
  </si>
  <si>
    <t xml:space="preserve">Total Revenue Growth YoY % </t>
  </si>
  <si>
    <t>This ensures that all country views are contextualised within our broader regional and global views and vice versa; that all company views cohere with our broader sector and macro views and vice versa; that all commodity views cohere with our broader views; and that all macro views cohere with our broader financial market views and vice versa.</t>
  </si>
  <si>
    <t>Our approach ensures that developments in any single area of risk analysis are explored in the context of their impact on all other relevant areas of risk analysis.</t>
  </si>
  <si>
    <t>BMI adopts a unique and highly-integrated approach to risk research, leveraging off of our combined expertise in macroeconomic, political, business environment, financial markets, company and sector analysis across 24 industry verticals to ensure that our research and forecasts are consistent, forward-looking and most importantly, accurate.</t>
  </si>
  <si>
    <t>The total amount of electric energy produced from power sources connected to the utility grid, expressed in terawatt-hours. Units: TWh, terawatt hour(s). Data given as the year on year change.</t>
  </si>
  <si>
    <t>Generation, Total, % y-o-y</t>
  </si>
  <si>
    <t>Represents the change in nominal GDP accounting for changes in prices or inflation. Data given as the year-on-year change.</t>
  </si>
  <si>
    <t>Real GDP growth, % y-o-y</t>
  </si>
  <si>
    <t>BMI Research </t>
  </si>
  <si>
    <t>United States</t>
  </si>
  <si>
    <t>SeqId</t>
  </si>
  <si>
    <t>Weighted average</t>
  </si>
  <si>
    <t>USA</t>
  </si>
  <si>
    <t>Linear Regression Slope</t>
  </si>
  <si>
    <t>Electricity Generation YOY %</t>
  </si>
  <si>
    <t>Real GDP YOY %</t>
  </si>
  <si>
    <t>% of net revenue</t>
  </si>
  <si>
    <t>% change</t>
  </si>
  <si>
    <t>Total</t>
  </si>
  <si>
    <t>SG&amp;A/Revenue</t>
  </si>
  <si>
    <t>LIBOR Forecasts</t>
  </si>
  <si>
    <t>y</t>
  </si>
  <si>
    <t>sin</t>
  </si>
  <si>
    <t>A</t>
  </si>
  <si>
    <t>T</t>
  </si>
  <si>
    <t>Revolver</t>
  </si>
  <si>
    <t xml:space="preserve">Premium over LIBOR </t>
  </si>
  <si>
    <t xml:space="preserve">LIBOR </t>
  </si>
  <si>
    <t xml:space="preserve">Interest rate on revolver credit </t>
  </si>
  <si>
    <t>Unused fee</t>
  </si>
  <si>
    <t>Research, Development and Engineering as a % of revenue</t>
  </si>
  <si>
    <t>Total A/R as a % of revenue</t>
  </si>
  <si>
    <t>Prepaid Expense/Other CA as a % of SG&amp;A</t>
  </si>
  <si>
    <t xml:space="preserve">Accounts payable (days) </t>
  </si>
  <si>
    <t xml:space="preserve">Pension liabilities as a % of revenues </t>
  </si>
  <si>
    <t xml:space="preserve">Days sales of inventory </t>
  </si>
  <si>
    <t>Beginning Balance</t>
  </si>
  <si>
    <t>(-) Cash Dividends</t>
  </si>
  <si>
    <t>(-) Reissuance of Treasury Stock</t>
  </si>
  <si>
    <t>Retained Earnings - Ending Balance</t>
  </si>
  <si>
    <t>Capital leases as a % of PPE</t>
  </si>
  <si>
    <t>Capital leases, net of current portion as a % of PPE</t>
  </si>
  <si>
    <t>Germany</t>
  </si>
  <si>
    <t>China</t>
  </si>
  <si>
    <t>Korea</t>
  </si>
  <si>
    <t>Rest of World</t>
  </si>
  <si>
    <t>Percent of net revenue</t>
  </si>
  <si>
    <t>total = 100 check</t>
  </si>
  <si>
    <t>rest of world is non negative check</t>
  </si>
  <si>
    <t xml:space="preserve">   Global - electricity</t>
  </si>
  <si>
    <t xml:space="preserve">   Global - GDP</t>
  </si>
  <si>
    <t>China - electricity</t>
  </si>
  <si>
    <t>China - GDP</t>
  </si>
  <si>
    <t>South Korea - electricity</t>
  </si>
  <si>
    <t>South Korea - gdp</t>
  </si>
  <si>
    <t>Germany - electricity</t>
  </si>
  <si>
    <t>Germany - gdp</t>
  </si>
  <si>
    <t>United States - electricity</t>
  </si>
  <si>
    <t>United States - gdp</t>
  </si>
  <si>
    <t>France</t>
  </si>
  <si>
    <t>Hungary</t>
  </si>
  <si>
    <t>Italy</t>
  </si>
  <si>
    <t>Netherlands</t>
  </si>
  <si>
    <t>Russia</t>
  </si>
  <si>
    <t>Sweden</t>
  </si>
  <si>
    <t>Switzerland</t>
  </si>
  <si>
    <t>Turkey</t>
  </si>
  <si>
    <t>United Kingdom</t>
  </si>
  <si>
    <t>Other</t>
  </si>
  <si>
    <t>Indonesia</t>
  </si>
  <si>
    <t>Japan</t>
  </si>
  <si>
    <t>Malaysia</t>
  </si>
  <si>
    <t>Singapore</t>
  </si>
  <si>
    <t>Taiwan</t>
  </si>
  <si>
    <t>Thailand</t>
  </si>
  <si>
    <t>India</t>
  </si>
  <si>
    <t>Income before tax (including interest income/expense)</t>
  </si>
  <si>
    <t>Domestic</t>
  </si>
  <si>
    <t>International</t>
  </si>
  <si>
    <t>Provision for Income taxes</t>
  </si>
  <si>
    <t>Federal</t>
  </si>
  <si>
    <t>State</t>
  </si>
  <si>
    <t>Foreign</t>
  </si>
  <si>
    <t>Deferred:</t>
  </si>
  <si>
    <t>  </t>
  </si>
  <si>
    <t>Statutory federal income tax rate</t>
  </si>
  <si>
    <t>State taxes, net of federal tax benefit</t>
  </si>
  <si>
    <t>Expense (benefit) of lower-tax foreign jurisdictions</t>
  </si>
  <si>
    <t>Research and development tax credits</t>
  </si>
  <si>
    <t>Valuation allowance</t>
  </si>
  <si>
    <t>Permanent items</t>
  </si>
  <si>
    <t>Tax reserves</t>
  </si>
  <si>
    <t>Tax asset write-off</t>
  </si>
  <si>
    <t>Tax assessment</t>
  </si>
  <si>
    <t>Share based compensation</t>
  </si>
  <si>
    <t>Capitalized Expenses</t>
  </si>
  <si>
    <t>Foreign income</t>
  </si>
  <si>
    <t>Effective tax provision rate</t>
  </si>
  <si>
    <t>Deferred tax assets</t>
  </si>
  <si>
    <t>Reserves and allowances</t>
  </si>
  <si>
    <t>Other liabilities and accruals- long and short term grouped</t>
  </si>
  <si>
    <t>Depreciable assets</t>
  </si>
  <si>
    <t>Net operating loss carryforward</t>
  </si>
  <si>
    <t>Share-based compensation</t>
  </si>
  <si>
    <t>Credits carryforward</t>
  </si>
  <si>
    <t>Total deferred tax assets</t>
  </si>
  <si>
    <t>Less: Valuation allowance and other reserves</t>
  </si>
  <si>
    <t>Net deferred tax asset</t>
  </si>
  <si>
    <t>NOL Schedule</t>
  </si>
  <si>
    <t>US NOLs</t>
  </si>
  <si>
    <t>Foreign NOLs</t>
  </si>
  <si>
    <t>Foreign NOL valuation allowance</t>
  </si>
  <si>
    <t>Total NOLs</t>
  </si>
  <si>
    <t>Net operating loss carryforward DTA</t>
  </si>
  <si>
    <t>%</t>
  </si>
  <si>
    <t>Average NOL usage</t>
  </si>
  <si>
    <t>Reserves and allowances % revenue</t>
  </si>
  <si>
    <t>Other liabilities and accruals- long and short term grouped % total liabilities</t>
  </si>
  <si>
    <t>Depreciable assets % depreciation expense</t>
  </si>
  <si>
    <t>Net operating loss carryforward % usage</t>
  </si>
  <si>
    <t>Credits carryforward % revenue</t>
  </si>
  <si>
    <t>Less: Valuation allowance and other reserves &amp; revenue</t>
  </si>
  <si>
    <t>Aggregation and Estimation of Foreign Tax</t>
  </si>
  <si>
    <t>% of business approximation</t>
  </si>
  <si>
    <t>Sum of Key Countries' Share</t>
  </si>
  <si>
    <t>Foreign tax weighted total</t>
  </si>
  <si>
    <t>R&amp;D/Revenue to tax credits</t>
  </si>
  <si>
    <t>Total Cost of Revenue</t>
  </si>
  <si>
    <t>Accrued expenses and other current liabilities as a % of Cost of Revenue</t>
  </si>
  <si>
    <t>PPE Schedule</t>
  </si>
  <si>
    <t>Gross PPE by Category</t>
  </si>
  <si>
    <t>Property and plant</t>
  </si>
  <si>
    <t>Equipment Owned</t>
  </si>
  <si>
    <t>Equipment capital leases</t>
  </si>
  <si>
    <t>Leasehold improvements</t>
  </si>
  <si>
    <t>Total Gross PPE</t>
  </si>
  <si>
    <t>Percentage of Gross PPE by Category</t>
  </si>
  <si>
    <t>Accumulated Depreciation</t>
  </si>
  <si>
    <t>(+) Depreciation Expense</t>
  </si>
  <si>
    <t>(-) Retirement from Sale/Disposal</t>
  </si>
  <si>
    <t>End Balance</t>
  </si>
  <si>
    <t>Net Book Value of Fixed Assets</t>
  </si>
  <si>
    <t>PPE, Gross</t>
  </si>
  <si>
    <t>(-) Accumulated Depreciation</t>
  </si>
  <si>
    <t>PPE, Net</t>
  </si>
  <si>
    <t>% Change</t>
  </si>
  <si>
    <t>CAPEX</t>
  </si>
  <si>
    <t>Total CAPEX</t>
  </si>
  <si>
    <t>Assumption</t>
  </si>
  <si>
    <t>Yrs</t>
  </si>
  <si>
    <t>Net PPE from Existing CAPEX</t>
  </si>
  <si>
    <t>MACRS</t>
  </si>
  <si>
    <t>Class</t>
  </si>
  <si>
    <t>Estimation of remaining useful life of existing PPE</t>
  </si>
  <si>
    <t>Total life of Gross PPE</t>
  </si>
  <si>
    <t>Consumed life of Gross PPE</t>
  </si>
  <si>
    <t>Remaining Life of Gross PPE</t>
  </si>
  <si>
    <t>Depreciation from Existing CAPEX</t>
  </si>
  <si>
    <t>Depreciation Schedule</t>
  </si>
  <si>
    <t>Depreciation from existing CAPEX</t>
  </si>
  <si>
    <t>(+) Depreciation from projected CAPEX</t>
  </si>
  <si>
    <t>Depreciation Expense</t>
  </si>
  <si>
    <t>MACRS Depreciation Expense</t>
  </si>
  <si>
    <t>STRAIGHT LINE DEPRECIATION SCHEDULE</t>
  </si>
  <si>
    <t>Depreciation from CAPEX in Property and plant</t>
  </si>
  <si>
    <t>Depreciation from CAPEX in Property and plant at Year</t>
  </si>
  <si>
    <t>Total Depreciation from CAPEX in Property and plant</t>
  </si>
  <si>
    <t>Depreciation from CAPEX in Equipment Owned</t>
  </si>
  <si>
    <t>Depreciation from CAPEX in Equipment Owned at Year</t>
  </si>
  <si>
    <t>Total Depreciation from CAPEX in Equipment owned</t>
  </si>
  <si>
    <t>Depreciation from CAPEX in Equipment Capital Leases</t>
  </si>
  <si>
    <t>Depreciation from CAPEX in Equipment Capital Leases at Year</t>
  </si>
  <si>
    <t>Total Depreciation from CAPEX in Equipment Capital leases</t>
  </si>
  <si>
    <t>Depreciation from CAPEX in Leasehold Improvements</t>
  </si>
  <si>
    <t>Depreciation from CAPEX in Leasehold Improvements at Year</t>
  </si>
  <si>
    <t>Total Depreciation from CAPEX in Leasehold improvements</t>
  </si>
  <si>
    <t>MODIFIED  ACCELERATED COST RECOVERY SYSTEM</t>
  </si>
  <si>
    <t>Net Intangible Assets</t>
  </si>
  <si>
    <t>Intangible Assets Purchased</t>
  </si>
  <si>
    <t>Ammortization Impairment account</t>
  </si>
  <si>
    <t>Ammortization expense</t>
  </si>
  <si>
    <t>Intangible Assets Retired</t>
  </si>
  <si>
    <t>Depreciation of PPE</t>
  </si>
  <si>
    <t>Selling, General and Administration Expenses,  Net of Depreciation</t>
  </si>
  <si>
    <t>Utilization or sale</t>
  </si>
  <si>
    <t>Scrap</t>
  </si>
  <si>
    <t>Additional provision</t>
  </si>
  <si>
    <t>Foreign Currency</t>
  </si>
  <si>
    <t>Subtotal</t>
  </si>
  <si>
    <t>Gross Inventory</t>
  </si>
  <si>
    <t>Reserve as a % of Gross</t>
  </si>
  <si>
    <t>EBIT</t>
  </si>
  <si>
    <t>Income Taxes on EBIT</t>
  </si>
  <si>
    <t>Unlevered Earnings</t>
  </si>
  <si>
    <t>UFCF Operations</t>
  </si>
  <si>
    <t>CapEx Net</t>
  </si>
  <si>
    <t>UFCF</t>
  </si>
  <si>
    <t>CF before non-equity financing changes</t>
  </si>
  <si>
    <t>EFCF</t>
  </si>
  <si>
    <t>Cash flow before cash flows to/from common equity holders</t>
  </si>
  <si>
    <t>Restructuring charges</t>
  </si>
  <si>
    <t>Asset impairment charges</t>
  </si>
  <si>
    <t>Change in required cash balance</t>
  </si>
  <si>
    <t>Operating Changes</t>
  </si>
  <si>
    <t>Required Cash</t>
  </si>
  <si>
    <t>Excess Cash</t>
  </si>
  <si>
    <t>Non Operating non cash changes</t>
  </si>
  <si>
    <t>Interest expense</t>
  </si>
  <si>
    <t>Amortization of Existing Intangibles</t>
  </si>
  <si>
    <t>(+) Amortization of Acquired Intangibles</t>
  </si>
  <si>
    <t>Total Amortization Expense</t>
  </si>
  <si>
    <t>Other Assets (liquidate)</t>
  </si>
  <si>
    <t xml:space="preserve"> Proceeeds from sale of investments </t>
  </si>
  <si>
    <t xml:space="preserve">Current portion of loans payable </t>
  </si>
  <si>
    <t xml:space="preserve">Loans payable </t>
  </si>
  <si>
    <t xml:space="preserve">Cash available after financing </t>
  </si>
  <si>
    <t>Cash available for paydown</t>
  </si>
  <si>
    <t>Opening balance</t>
  </si>
  <si>
    <t xml:space="preserve">Mandatory repayment </t>
  </si>
  <si>
    <t xml:space="preserve">Amortization each year </t>
  </si>
  <si>
    <t>Due</t>
  </si>
  <si>
    <t xml:space="preserve">New issuance </t>
  </si>
  <si>
    <t xml:space="preserve">Paydown </t>
  </si>
  <si>
    <t xml:space="preserve">Cash sweep </t>
  </si>
  <si>
    <t xml:space="preserve">Closing balance </t>
  </si>
  <si>
    <t xml:space="preserve">Average balance </t>
  </si>
  <si>
    <t xml:space="preserve">Interest rate </t>
  </si>
  <si>
    <t xml:space="preserve">Cash remaining for paydown </t>
  </si>
  <si>
    <t xml:space="preserve">Opening balance </t>
  </si>
  <si>
    <t xml:space="preserve">Borrrowed </t>
  </si>
  <si>
    <t>Paydown</t>
  </si>
  <si>
    <t xml:space="preserve">Interest rate (drawn) </t>
  </si>
  <si>
    <t>Interest rate (undrawn)</t>
  </si>
  <si>
    <t xml:space="preserve">Undrawn amount </t>
  </si>
  <si>
    <t xml:space="preserve">Debt </t>
  </si>
  <si>
    <t xml:space="preserve">Maximum credit line </t>
  </si>
  <si>
    <t xml:space="preserve">Term loan 1 </t>
  </si>
  <si>
    <t xml:space="preserve">Principal </t>
  </si>
  <si>
    <t>Interest rate</t>
  </si>
  <si>
    <t xml:space="preserve">Term loan 2 </t>
  </si>
  <si>
    <t>Term loan 3</t>
  </si>
  <si>
    <t>Term loan 4</t>
  </si>
  <si>
    <t xml:space="preserve"> </t>
  </si>
  <si>
    <t>Acquisition to Revenue</t>
  </si>
  <si>
    <t>Purchase net of cash, equivalents, and installments</t>
  </si>
  <si>
    <t>Intangibles Purchased</t>
  </si>
  <si>
    <t>Goodwill, net</t>
  </si>
  <si>
    <t>Accumulated impairment losses</t>
  </si>
  <si>
    <t>Accumulated currency translation adjustment</t>
  </si>
  <si>
    <t>Net goodwill at beginning of year</t>
  </si>
  <si>
    <t>Goodwill acquired in acquisition</t>
  </si>
  <si>
    <t>Currency translation adjustment</t>
  </si>
  <si>
    <t>Net goodwill at end of year</t>
  </si>
  <si>
    <t>Revolver credit line</t>
  </si>
  <si>
    <t>Committed until 2022</t>
  </si>
  <si>
    <t>Committed until 2030</t>
  </si>
  <si>
    <t>Committed until 2050</t>
  </si>
  <si>
    <t>Impairment Losses</t>
  </si>
  <si>
    <t>Real Acquisition Amount</t>
  </si>
  <si>
    <t>Value of Intangibles in Acquisition</t>
  </si>
  <si>
    <t>Value of Goodwill in Acquisition</t>
  </si>
  <si>
    <t>% Intangibles in Acquisition</t>
  </si>
  <si>
    <t>% Goodwill in Acquisition</t>
  </si>
  <si>
    <t>Share-based compensation % revenue</t>
  </si>
  <si>
    <t>(+)Equity Issuance</t>
  </si>
  <si>
    <t>Equity Issuance</t>
  </si>
  <si>
    <t>Revenue and profitability ratios</t>
  </si>
  <si>
    <t xml:space="preserve">% Growth </t>
  </si>
  <si>
    <t xml:space="preserve">Profit Margin </t>
  </si>
  <si>
    <t>Return on Assets</t>
  </si>
  <si>
    <t>Asset Utilization</t>
  </si>
  <si>
    <t xml:space="preserve">Unlevered Profit Margin </t>
  </si>
  <si>
    <t>Expense ratios</t>
  </si>
  <si>
    <t>SG&amp;A/Sales</t>
  </si>
  <si>
    <t>D&amp;A/Sales</t>
  </si>
  <si>
    <t xml:space="preserve">Leverage Ratios </t>
  </si>
  <si>
    <t>Total Liabilities/Total Assets</t>
  </si>
  <si>
    <t>Total Debt/Total Assets</t>
  </si>
  <si>
    <t>Effective Income Tax Rate</t>
  </si>
  <si>
    <t>Capex/Depreciation</t>
  </si>
  <si>
    <t>Interest tax shield</t>
  </si>
  <si>
    <t>Change in debt, net</t>
  </si>
  <si>
    <t>Interest and other income after tax</t>
  </si>
  <si>
    <t>Sale (purchase) of short-term investments</t>
  </si>
  <si>
    <t>Effect of exchange rate changes</t>
  </si>
  <si>
    <t>Change in common stock, net</t>
  </si>
  <si>
    <t>Common dividends</t>
  </si>
  <si>
    <t>Change in excess cash</t>
  </si>
  <si>
    <t>Change in cash balance</t>
  </si>
  <si>
    <t>Equal to change in cash from SCF?</t>
  </si>
  <si>
    <t>Balance sheet balances?</t>
  </si>
  <si>
    <t>Total income tax provision</t>
  </si>
  <si>
    <t>Current: taxes to government</t>
  </si>
  <si>
    <t>Reconciliation: effective to the U.S. federal income tax rate</t>
  </si>
  <si>
    <t>Number of years left</t>
  </si>
  <si>
    <t xml:space="preserve">Amortization of acuqired intangibles </t>
  </si>
  <si>
    <t>Revenues</t>
  </si>
  <si>
    <t>COGS/Revenues</t>
  </si>
  <si>
    <t>Decrease in YoY change in COGS/Revenue until 2022</t>
  </si>
  <si>
    <t>Decrease in YoY change in COGS/Revenue until 2050</t>
  </si>
  <si>
    <t>SG&amp;A</t>
  </si>
  <si>
    <t>Growth Stage One</t>
  </si>
  <si>
    <t>Growth Stage Two</t>
  </si>
  <si>
    <t>Historical Data</t>
  </si>
  <si>
    <t>Plants, Property and Equipment Gross</t>
  </si>
  <si>
    <t>Integrated Circuits</t>
  </si>
  <si>
    <t>http://www.businesswire.com/news/home/20160905005394/en/Global-IGBT-based-Power-Module-Market-Grow-8.45</t>
  </si>
  <si>
    <t>http://www.prnewswire.com/news-releases/research-and-markets---global-super-junction-mosfet-market-growth-at-cagr-of-1342-2016-2020-key-vendors-are-fairchild-semiconductor-infineon-technologies-stmicroelectronics-toshiba--vishay-intertechnology-300338861.html</t>
  </si>
  <si>
    <t>http://www.businesswire.com/news/home/20160324006237/en/Global-Silicon-Controlled-Rectifiers-Market-Growth-7.8-CAGR</t>
  </si>
  <si>
    <t>http://www.marketwatch.com/story/thyristor-market-to-grow-at-716-cagr-driven-by-demand-from-electric-vehicles-and-apac-to-2020-2016-05-31-8203315</t>
  </si>
  <si>
    <t>https://epsnews.com/2016/10/21/igbt-market-reach-11b-2022/</t>
  </si>
  <si>
    <t>http://www.crossroadstoday.com/story/34321799/microcontroller-market-expected-to-reach-157-billion-globally-by-2022-allied-market-research</t>
  </si>
  <si>
    <t>http://www.articlesfactory.com/articles/business/global-display-driver-ic-market-for-tvs-to-reach-at-cagr-of-1954-between-2016-2020.html</t>
  </si>
  <si>
    <t>http://www.flashmemorysummit.com/English/Collaterals/Proceedings/2015/20150813_S303B_Tiwari.pdf</t>
  </si>
  <si>
    <t>http://www.icinsights.com/data/articles/documents/937.pdf</t>
  </si>
  <si>
    <t>http://www.marketsandmarkets.com/PressReleases/solid-state-relay.asp</t>
  </si>
  <si>
    <t>http://www.technavio.com/blog/top-trends-global-gaas-wafer-market</t>
  </si>
  <si>
    <t>GDP Growth</t>
  </si>
  <si>
    <t>Total Market</t>
  </si>
  <si>
    <t>Market Share (IXYS Revenues / Total Market)</t>
  </si>
  <si>
    <t>Long Run Expected Revenue Growth Rate</t>
  </si>
  <si>
    <t>Decrease Factor (Taper down breakdown forecasts YOY)</t>
  </si>
  <si>
    <t>Expected Product Line Growth</t>
  </si>
  <si>
    <t>Sum of NOL Expiries</t>
  </si>
  <si>
    <t>Waterfall NOLs</t>
  </si>
  <si>
    <t>Total Tax Credit after 2 &amp; 1 Year Carry Back</t>
  </si>
  <si>
    <t>Total Loss Leftover Applied after 2 &amp; 1 Year Carry Back</t>
  </si>
  <si>
    <t>Total Loss Applied after 2 &amp; 1 Year Carry Back</t>
  </si>
  <si>
    <t>Loss Applied</t>
  </si>
  <si>
    <t>1 Years Back Tax Refund, where taxable income is less than loss remaining</t>
  </si>
  <si>
    <t>1 Years Back Tax Refund, where taxable income is greater than or equal to carryback loss remaining</t>
  </si>
  <si>
    <t>Total Loss leftover 2 Year Carry Back</t>
  </si>
  <si>
    <t>2 Years Back Tax Refund, where taxable income is less than loss</t>
  </si>
  <si>
    <t>2 Years Back Tax Refund, where taxable income is greater than or equal to loss</t>
  </si>
  <si>
    <t>Loss Added</t>
  </si>
  <si>
    <t>NOL Carryback</t>
  </si>
  <si>
    <t>Ending NOL Carryforward</t>
  </si>
  <si>
    <t>NOL Expiration</t>
  </si>
  <si>
    <t xml:space="preserve">Decrease in NOL </t>
  </si>
  <si>
    <t xml:space="preserve">Increase in NOL </t>
  </si>
  <si>
    <t xml:space="preserve">Beginning NOL Carryforward </t>
  </si>
  <si>
    <t xml:space="preserve">NOL Carryforward Balance </t>
  </si>
  <si>
    <t xml:space="preserve">Net Income </t>
  </si>
  <si>
    <t>Tax Credit from CarryBack</t>
  </si>
  <si>
    <t>Income taxes</t>
  </si>
  <si>
    <t>Taxable Income after carrybacks</t>
  </si>
  <si>
    <t>Taxable Income after carryforwards</t>
  </si>
  <si>
    <t xml:space="preserve">Taxable income </t>
  </si>
  <si>
    <t xml:space="preserve">EBIT </t>
  </si>
  <si>
    <t>Tax rate</t>
  </si>
  <si>
    <t>Interest expense (0 because unlevered)</t>
  </si>
  <si>
    <t xml:space="preserve">Useful life of R&amp;D </t>
  </si>
  <si>
    <t xml:space="preserve">R&amp;D expense </t>
  </si>
  <si>
    <t xml:space="preserve">Unamortized portion fraction </t>
  </si>
  <si>
    <t>Unamortized portion value</t>
  </si>
  <si>
    <t xml:space="preserve">Amortization of R&amp;D asset </t>
  </si>
  <si>
    <t xml:space="preserve">Value of asset </t>
  </si>
  <si>
    <t xml:space="preserve">Total amortization </t>
  </si>
  <si>
    <t>Value of asset</t>
  </si>
  <si>
    <t>Foreign Income Reconciliation Projection</t>
  </si>
  <si>
    <t>COGS/Sales</t>
  </si>
  <si>
    <t>Property and Plant as a % of Gross PPE</t>
  </si>
  <si>
    <t>Equipment Owned as a % of Gross PPE</t>
  </si>
  <si>
    <t>Equipment Capital Leases as a % of Gross PPE</t>
  </si>
  <si>
    <t>Leasehold Improvements as a % of Gross PPE</t>
  </si>
  <si>
    <t>% Growth Gross PPE</t>
  </si>
  <si>
    <t>Inflation (OECD)</t>
  </si>
  <si>
    <t>Macroeconomic Forecasts</t>
  </si>
  <si>
    <t xml:space="preserve">US GDP (OECD) </t>
  </si>
  <si>
    <t>Population Growth (OECD)</t>
  </si>
  <si>
    <t>Cash Balance to Revenue</t>
  </si>
  <si>
    <t>Required Cash to Revenue</t>
  </si>
  <si>
    <t>Excess Cash to Revenue</t>
  </si>
  <si>
    <t xml:space="preserve">Cash Balance </t>
  </si>
  <si>
    <t>Balance Sheet Items</t>
  </si>
  <si>
    <t>Misc. Balance Sheet Items</t>
  </si>
  <si>
    <t>Selling, General and Administration</t>
  </si>
  <si>
    <t>Income Statement Items</t>
  </si>
  <si>
    <t>Bank Loans</t>
  </si>
  <si>
    <t>Loan #1</t>
  </si>
  <si>
    <t>Loan #2</t>
  </si>
  <si>
    <t>Loan #3</t>
  </si>
  <si>
    <t>Inventory Reserve Beginning Balance</t>
  </si>
  <si>
    <t>Ending Balance</t>
  </si>
  <si>
    <t>Amortization of Intangibles Acquired in Year</t>
  </si>
  <si>
    <t>Straight Line Amortization Waterfall Schedule</t>
  </si>
  <si>
    <t>Gross Intangible Assets Beginning Balance</t>
  </si>
  <si>
    <t>Gross Intangible Assets Ending Balance</t>
  </si>
  <si>
    <t>Accumulated Ammortization Beginning Balance</t>
  </si>
  <si>
    <t>Accumulated Ammortization Ending Balance</t>
  </si>
  <si>
    <r>
      <t>Description: </t>
    </r>
    <r>
      <rPr>
        <sz val="12"/>
        <color rgb="FF000000"/>
        <rFont val="Calibri"/>
        <family val="2"/>
      </rPr>
      <t>Information on global markets, including coverage of political risk, finance, economic indicators, macroeconomic performance, outlook and forecast, and the business operating environment in a wide range of industries.</t>
    </r>
  </si>
  <si>
    <t>Back to cover page</t>
  </si>
  <si>
    <t xml:space="preserve">Back to cover page </t>
  </si>
  <si>
    <r>
      <t>ZigBee</t>
    </r>
    <r>
      <rPr>
        <i/>
        <vertAlign val="superscript"/>
        <sz val="12"/>
        <color theme="0" tint="-0.34998626667073579"/>
        <rFont val="Times New Roman"/>
        <family val="1"/>
      </rPr>
      <t>®</t>
    </r>
    <r>
      <rPr>
        <i/>
        <sz val="12"/>
        <color theme="0" tint="-0.34998626667073579"/>
        <rFont val="Times New Roman"/>
        <family val="1"/>
      </rPr>
      <t> wireless microcontroller</t>
    </r>
  </si>
  <si>
    <t>Debt/Value Ratio</t>
  </si>
  <si>
    <t>SUMMARY OUTPUT (MRP)</t>
  </si>
  <si>
    <t>Regression Statistics</t>
  </si>
  <si>
    <t>Multiple R</t>
  </si>
  <si>
    <t>R Square</t>
  </si>
  <si>
    <t>Adjusted R Square</t>
  </si>
  <si>
    <t>Standard Error</t>
  </si>
  <si>
    <t>Observations</t>
  </si>
  <si>
    <t>ANOVA</t>
  </si>
  <si>
    <t>df</t>
  </si>
  <si>
    <t>SS</t>
  </si>
  <si>
    <t>MS</t>
  </si>
  <si>
    <t>F</t>
  </si>
  <si>
    <t>Significance F</t>
  </si>
  <si>
    <t>Regression</t>
  </si>
  <si>
    <t>Residual</t>
  </si>
  <si>
    <t>Coefficients</t>
  </si>
  <si>
    <t>t Stat</t>
  </si>
  <si>
    <t>P-value</t>
  </si>
  <si>
    <t>Lower 95%</t>
  </si>
  <si>
    <t>Upper 95%</t>
  </si>
  <si>
    <t>Lower 95.0%</t>
  </si>
  <si>
    <t>Upper 95.0%</t>
  </si>
  <si>
    <t>Intercept</t>
  </si>
  <si>
    <t>X Variable 1</t>
  </si>
  <si>
    <t>Bloomberg Adjusted Beta</t>
  </si>
  <si>
    <t>SUMMARY OUTPUT (SMB)</t>
  </si>
  <si>
    <t>SUMMARY OUTPUT (HML)</t>
  </si>
  <si>
    <t>Average</t>
  </si>
  <si>
    <t>Rating</t>
  </si>
  <si>
    <t>Weight</t>
  </si>
  <si>
    <t xml:space="preserve">Operating margin </t>
  </si>
  <si>
    <t>B</t>
  </si>
  <si>
    <t xml:space="preserve">Return on capital </t>
  </si>
  <si>
    <t>EBIT interest coverage</t>
  </si>
  <si>
    <t>AA</t>
  </si>
  <si>
    <t xml:space="preserve">EBITDA interest coverage </t>
  </si>
  <si>
    <t>AAA</t>
  </si>
  <si>
    <t xml:space="preserve">FCF to debt </t>
  </si>
  <si>
    <t>Free operating cash flow to debt</t>
  </si>
  <si>
    <t xml:space="preserve">Debt to EBITDA </t>
  </si>
  <si>
    <t xml:space="preserve">Debt to firm </t>
  </si>
  <si>
    <t>Rating average</t>
  </si>
  <si>
    <t xml:space="preserve">IXYS RATING </t>
  </si>
  <si>
    <t>Weights</t>
  </si>
  <si>
    <t>BB</t>
  </si>
  <si>
    <t>BBB</t>
  </si>
  <si>
    <t xml:space="preserve">Rating Average </t>
  </si>
  <si>
    <t xml:space="preserve">RAMBUS RATING </t>
  </si>
  <si>
    <t xml:space="preserve">(Without 2012 so adjusted in down) </t>
  </si>
  <si>
    <t>Operating Margin before D&amp;A</t>
  </si>
  <si>
    <t>Return on Capital</t>
  </si>
  <si>
    <t>EBIT Interest Coverage Ratio</t>
  </si>
  <si>
    <t>EBITDA Interest Coverage Ratio</t>
  </si>
  <si>
    <t>FCF to Debt</t>
  </si>
  <si>
    <t>Free Operating CF to Debt</t>
  </si>
  <si>
    <t>Debt to EBITDA</t>
  </si>
  <si>
    <t>Debt to (Debt+Equity)</t>
  </si>
  <si>
    <t>Average rating</t>
  </si>
  <si>
    <t xml:space="preserve">Semtech Rating </t>
  </si>
  <si>
    <t>EBIT to interest coverage</t>
  </si>
  <si>
    <t>EBITDA to interest coverage</t>
  </si>
  <si>
    <t>CCC</t>
  </si>
  <si>
    <t>IXYS</t>
  </si>
  <si>
    <t>MRP</t>
  </si>
  <si>
    <t>SMB Beta</t>
  </si>
  <si>
    <t>SMB</t>
  </si>
  <si>
    <t>HML Beta</t>
  </si>
  <si>
    <t>HML</t>
  </si>
  <si>
    <t xml:space="preserve">Risk-free rate </t>
  </si>
  <si>
    <t xml:space="preserve">IXYS </t>
  </si>
  <si>
    <t>Rambus</t>
  </si>
  <si>
    <t>Semtech</t>
  </si>
  <si>
    <t>Vishay</t>
  </si>
  <si>
    <t>Cypress</t>
  </si>
  <si>
    <t xml:space="preserve">Rating </t>
  </si>
  <si>
    <t>Incremental beta</t>
  </si>
  <si>
    <t xml:space="preserve">Market Risk Premium </t>
  </si>
  <si>
    <t xml:space="preserve">Yield on AA Debt </t>
  </si>
  <si>
    <t xml:space="preserve">Cost of debt </t>
  </si>
  <si>
    <t>Beta of debt</t>
  </si>
  <si>
    <t>Capital Structure Ratio Historical Data (VD/VF)</t>
  </si>
  <si>
    <t xml:space="preserve">2010 </t>
  </si>
  <si>
    <t xml:space="preserve">2011 </t>
  </si>
  <si>
    <t xml:space="preserve">2012 </t>
  </si>
  <si>
    <t xml:space="preserve">2013 </t>
  </si>
  <si>
    <t xml:space="preserve">2014 </t>
  </si>
  <si>
    <t xml:space="preserve">2015 </t>
  </si>
  <si>
    <t xml:space="preserve">2016 </t>
  </si>
  <si>
    <t>SD</t>
  </si>
  <si>
    <t>RMBS</t>
  </si>
  <si>
    <t>SMTC</t>
  </si>
  <si>
    <t>VSH</t>
  </si>
  <si>
    <t>CY</t>
  </si>
  <si>
    <t>Calculating Unlevered Betas</t>
  </si>
  <si>
    <t>Equity Beta</t>
  </si>
  <si>
    <t>Debt Beta</t>
  </si>
  <si>
    <t>Preferred Stock Beta</t>
  </si>
  <si>
    <t>N/A</t>
  </si>
  <si>
    <t>Average of Debt to Firm Value Ratio</t>
  </si>
  <si>
    <t>Equity to Firm Value Ratio</t>
  </si>
  <si>
    <t>Value of Preferred Stock</t>
  </si>
  <si>
    <t>Unlevered Beta</t>
  </si>
  <si>
    <t>Forecasting IXYS Unlevered Beta based on Seniority</t>
  </si>
  <si>
    <t>Age of Firm (Years)</t>
  </si>
  <si>
    <t>Weighting (%) based on Seniority</t>
  </si>
  <si>
    <t>IXYS Forecasted Unlevered Beta</t>
  </si>
  <si>
    <t xml:space="preserve">Russel 3000 Weekly </t>
  </si>
  <si>
    <t>Return</t>
  </si>
  <si>
    <t xml:space="preserve">Return </t>
  </si>
  <si>
    <t>Exar Weekly</t>
  </si>
  <si>
    <t>AOSL Weekly</t>
  </si>
  <si>
    <t xml:space="preserve">Emcore Weekly </t>
  </si>
  <si>
    <t>SMB Weekly</t>
  </si>
  <si>
    <t>HML Weekly</t>
  </si>
  <si>
    <t xml:space="preserve">AA Yield Weekly </t>
  </si>
  <si>
    <t xml:space="preserve">Russell 3000 Weekly </t>
  </si>
  <si>
    <t xml:space="preserve">30Y Treasury Bill Weekly </t>
  </si>
  <si>
    <t>Unlevered cost of capital</t>
  </si>
  <si>
    <t>Cost of debt</t>
  </si>
  <si>
    <t>Time</t>
  </si>
  <si>
    <t>Discount Factor</t>
  </si>
  <si>
    <t>Discounted UFCF</t>
  </si>
  <si>
    <t>PV UFCF</t>
  </si>
  <si>
    <t>Growth Rate</t>
  </si>
  <si>
    <t>CV</t>
  </si>
  <si>
    <t>Continuing Value</t>
  </si>
  <si>
    <t>Total Value of Unlevered Firm</t>
  </si>
  <si>
    <t>ITS</t>
  </si>
  <si>
    <t>Discounted ITS</t>
  </si>
  <si>
    <t>PV ITS</t>
  </si>
  <si>
    <t>CV ITS</t>
  </si>
  <si>
    <t xml:space="preserve">Discount Factor </t>
  </si>
  <si>
    <t>Continuing Value ITS</t>
  </si>
  <si>
    <t>Enterprise value</t>
  </si>
  <si>
    <t>Value of debt</t>
  </si>
  <si>
    <t>Value of preferred stock</t>
  </si>
  <si>
    <t>Value of cash</t>
  </si>
  <si>
    <t>Equity Value</t>
  </si>
  <si>
    <t>Share price</t>
  </si>
  <si>
    <t>Current price</t>
  </si>
  <si>
    <t>MRP Beta Unlevered</t>
  </si>
  <si>
    <t>Cost of Capital</t>
  </si>
  <si>
    <t>Total Quantity</t>
  </si>
  <si>
    <t>Gross PPE to Next Year's Production Expectation</t>
  </si>
  <si>
    <t>Unlevered Cost of Cap</t>
  </si>
  <si>
    <t>Cost of Debt</t>
  </si>
  <si>
    <t>Sensitivity Factor</t>
  </si>
  <si>
    <t>Power Semiconductor Price</t>
  </si>
  <si>
    <t>k</t>
  </si>
  <si>
    <t>Power Semiconductor</t>
  </si>
  <si>
    <t xml:space="preserve">Integrated Circuits </t>
  </si>
  <si>
    <t>Quantity</t>
  </si>
  <si>
    <t>Price</t>
  </si>
  <si>
    <t>Addition Factor 2017-2022</t>
  </si>
  <si>
    <t>Addition Factor 2023-2050</t>
  </si>
  <si>
    <t>QTY</t>
  </si>
  <si>
    <t>Stage II</t>
  </si>
  <si>
    <t>Power Semi Prices</t>
  </si>
  <si>
    <t>Stage I</t>
  </si>
  <si>
    <t>IC Prices</t>
  </si>
  <si>
    <t>All years price controller</t>
  </si>
  <si>
    <t>All years quantity controller</t>
  </si>
  <si>
    <t>Systems &amp; RF Prices</t>
  </si>
  <si>
    <t>Sensitivity Analysis on Cost of Capital</t>
  </si>
  <si>
    <t>Power Semi QTY</t>
  </si>
  <si>
    <t>IC QTY</t>
  </si>
  <si>
    <t>Systems &amp; RF QTY</t>
  </si>
  <si>
    <t>Sensitivity Analysis on Quantity and Price Change of All Product Lines</t>
  </si>
  <si>
    <t>Sensitivity Analysis on Price Changes of Power Semiconductors</t>
  </si>
  <si>
    <t>Sensitivity Analysis on Quantity Changes of Power Semiconductors</t>
  </si>
  <si>
    <t>Sensitivity Analysis on Price Changes of Integrated Circuits</t>
  </si>
  <si>
    <t>Sensitivity Analysis on Price Changes of Systems &amp; RF Semiconductors</t>
  </si>
  <si>
    <t>Sensitivity Analysis on Quantity Changes of Systems &amp; RF Semiconductors</t>
  </si>
  <si>
    <t>Sensitivity Analysis on Quantity Changes of Integrated Circuits</t>
  </si>
  <si>
    <t>Current Share Price</t>
  </si>
  <si>
    <t>Unlevered Cost of Capital</t>
  </si>
  <si>
    <t>Statutory federeal income tax rate</t>
  </si>
  <si>
    <t>Stage III</t>
  </si>
  <si>
    <t xml:space="preserve">Sensitivity Analysis on Statutory federal income tax rate and Unlevered Cost of Capital </t>
  </si>
  <si>
    <t xml:space="preserve">SUMMARY OUTPUT (MRP) </t>
  </si>
  <si>
    <t>Operating margin</t>
  </si>
  <si>
    <t>Return on capital</t>
  </si>
  <si>
    <t>Debt to debt+equity</t>
  </si>
  <si>
    <t xml:space="preserve"> Weight</t>
  </si>
  <si>
    <t>Vishay Rating</t>
  </si>
  <si>
    <t>Average Rating</t>
  </si>
  <si>
    <t>Cypress Rating</t>
  </si>
  <si>
    <t>Cost of Capital CAPM</t>
  </si>
  <si>
    <t>Perpetual Stage</t>
  </si>
  <si>
    <t>Sensitivity Analysis of % Growth of Gross PPE</t>
  </si>
  <si>
    <t>% Growth of Gross PPE</t>
  </si>
  <si>
    <t>Taper Stage I</t>
  </si>
  <si>
    <t>Taper Stage II</t>
  </si>
  <si>
    <t>Sensitivity Analysis of Change in % Growth of Gross PPE</t>
  </si>
  <si>
    <t>Change in % Growth of Gross PPE</t>
  </si>
  <si>
    <t>Current Projected Share Price</t>
  </si>
  <si>
    <t>Sensitivity Analysis on Change in % Growth of Gross PPE</t>
  </si>
  <si>
    <t>Sensitivity Analysis on % Growth of Gross PPE</t>
  </si>
  <si>
    <t>Market Risk Premium</t>
  </si>
  <si>
    <t>Risk-free Rate</t>
  </si>
  <si>
    <t>Sensitivty Analysis on Market-Risk Premium and Risk Free Rate</t>
  </si>
  <si>
    <t>R&amp;D/Sales</t>
  </si>
  <si>
    <t>YoY change in COGS/Revenue from 2035 until 2050</t>
  </si>
  <si>
    <t>YoY Change in SG&amp;A from 2017 to 2040</t>
  </si>
  <si>
    <t>Stage I (2018-2020)</t>
  </si>
  <si>
    <t>Stage II (2021-2024)</t>
  </si>
  <si>
    <t>Stage III (2025-2050)</t>
  </si>
  <si>
    <t>Stock Weekly</t>
  </si>
  <si>
    <t>Comp 1 Weekly</t>
  </si>
  <si>
    <t>Comp 2 Weekly</t>
  </si>
  <si>
    <t>Comp 3 Weekly</t>
  </si>
  <si>
    <t>Comp 4 Weekly</t>
  </si>
  <si>
    <t>Welcome to WallStreetOasis' free financial model templates! Download more free templates, master your finance career, and get top interviewing/networking/modeling tips at WallStreetOasis.com. You can find other services and information at WSO below:</t>
  </si>
  <si>
    <t>FREE RESOURCES</t>
  </si>
  <si>
    <t>PREMIUM RESOURCES &amp; SERVICES</t>
  </si>
  <si>
    <t>Join the WSO Community! &gt;&gt;</t>
  </si>
  <si>
    <t>Interview &amp; Prep Courses (IB, PE, HF, Consulting) &gt;&gt;</t>
  </si>
  <si>
    <t>Top FAQs &amp; Resources &gt;&gt;</t>
  </si>
  <si>
    <t>Resume Review Service &gt;&gt;</t>
  </si>
  <si>
    <t>Industry Reports &amp; Company Database &gt;&gt;</t>
  </si>
  <si>
    <t>Find a Mentor &gt;&gt;</t>
  </si>
  <si>
    <t>WSO Templates (Resume, Networking, Models, etc) &gt;&gt;</t>
  </si>
  <si>
    <t>GMAT/Series 7 Exam Prep Courses &gt;&gt;</t>
  </si>
  <si>
    <t>The Talent Oasis - Land a Job! &gt;&gt;</t>
  </si>
  <si>
    <t>Elite Modeling Package &gt;&gt;</t>
  </si>
  <si>
    <t>Financial Modeling Courses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</si>
</sst>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_([$$-409]* #,##0_);_([$$-409]* \(#,##0\);_([$$-409]* &quot;-&quot;??_);_(@_)"/>
    <numFmt numFmtId="167" formatCode="_([$$-409]* #,##0.000_);_([$$-409]* \(#,##0.000\);_([$$-409]* &quot;-&quot;??_);_(@_)"/>
    <numFmt numFmtId="168" formatCode="0.000"/>
    <numFmt numFmtId="169" formatCode="0.0%"/>
    <numFmt numFmtId="170" formatCode="_(&quot;$&quot;* #,##0_);_(&quot;$&quot;* \(#,##0\);_(&quot;$&quot;* &quot;-&quot;??_);_(@_)"/>
    <numFmt numFmtId="171" formatCode="0.0000%"/>
    <numFmt numFmtId="172" formatCode="_(&quot;$&quot;* #,##0.00000000000000000000000_);_(&quot;$&quot;* \(#,##0.00000000000000000000000\);_(&quot;$&quot;* &quot;-&quot;_);_(@_)"/>
    <numFmt numFmtId="173" formatCode="0.0000000000000%"/>
    <numFmt numFmtId="174" formatCode="0.0000000000000000%"/>
    <numFmt numFmtId="175" formatCode="0.00000%"/>
    <numFmt numFmtId="176" formatCode="#,###,###.000"/>
    <numFmt numFmtId="177" formatCode="0.000%"/>
    <numFmt numFmtId="178" formatCode="0.0000000%"/>
    <numFmt numFmtId="179" formatCode="0.00000"/>
    <numFmt numFmtId="180" formatCode="0.00%;\(0.00%\)"/>
    <numFmt numFmtId="181" formatCode="&quot;$&quot;#,##0.00"/>
  </numFmts>
  <fonts count="9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0"/>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rgb="FF000000"/>
      <name val="Calibri"/>
      <family val="2"/>
      <scheme val="minor"/>
    </font>
    <font>
      <sz val="11"/>
      <color theme="1"/>
      <name val="Calibri"/>
      <family val="2"/>
      <scheme val="minor"/>
    </font>
    <font>
      <i/>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2"/>
      <name val="Calibri"/>
      <family val="2"/>
      <scheme val="minor"/>
    </font>
    <font>
      <sz val="11"/>
      <color rgb="FF000000"/>
      <name val="Calibri"/>
      <family val="2"/>
      <scheme val="minor"/>
    </font>
    <font>
      <b/>
      <sz val="11"/>
      <color theme="1"/>
      <name val="Calibri"/>
      <family val="2"/>
    </font>
    <font>
      <sz val="11"/>
      <color theme="1"/>
      <name val="Calibri"/>
      <family val="2"/>
    </font>
    <font>
      <b/>
      <sz val="12"/>
      <color theme="1"/>
      <name val="Calibri"/>
      <family val="2"/>
      <scheme val="minor"/>
    </font>
    <font>
      <sz val="10"/>
      <color theme="1" tint="0.499984740745262"/>
      <name val="Calibri"/>
      <family val="2"/>
      <scheme val="minor"/>
    </font>
    <font>
      <sz val="10"/>
      <color theme="0" tint="-0.34998626667073579"/>
      <name val="Calibri"/>
      <family val="2"/>
      <scheme val="minor"/>
    </font>
    <font>
      <sz val="12"/>
      <color theme="0" tint="-0.249977111117893"/>
      <name val="Calibri"/>
      <family val="2"/>
      <scheme val="minor"/>
    </font>
    <font>
      <b/>
      <sz val="12"/>
      <color theme="1"/>
      <name val="Garamond"/>
      <family val="1"/>
    </font>
    <font>
      <b/>
      <sz val="12"/>
      <name val="Calibri"/>
      <family val="2"/>
      <scheme val="minor"/>
    </font>
    <font>
      <sz val="12"/>
      <color theme="4"/>
      <name val="Calibri"/>
      <family val="2"/>
      <scheme val="minor"/>
    </font>
    <font>
      <sz val="11"/>
      <color theme="4"/>
      <name val="Calibri"/>
      <family val="2"/>
      <scheme val="minor"/>
    </font>
    <font>
      <i/>
      <sz val="11"/>
      <color theme="0" tint="-0.34998626667073579"/>
      <name val="Calibri"/>
      <family val="2"/>
      <scheme val="minor"/>
    </font>
    <font>
      <sz val="12"/>
      <color theme="1"/>
      <name val="Calibri"/>
      <family val="2"/>
    </font>
    <font>
      <b/>
      <sz val="16"/>
      <color theme="1"/>
      <name val="Calibri"/>
      <family val="2"/>
      <scheme val="minor"/>
    </font>
    <font>
      <b/>
      <sz val="14"/>
      <color theme="1"/>
      <name val="Calibri"/>
      <family val="2"/>
      <scheme val="minor"/>
    </font>
    <font>
      <b/>
      <sz val="16"/>
      <name val="Calibri"/>
      <family val="2"/>
      <scheme val="minor"/>
    </font>
    <font>
      <b/>
      <sz val="14"/>
      <name val="Calibri"/>
      <family val="2"/>
      <scheme val="minor"/>
    </font>
    <font>
      <b/>
      <sz val="12"/>
      <color theme="0"/>
      <name val="Calibri"/>
      <family val="2"/>
      <scheme val="minor"/>
    </font>
    <font>
      <b/>
      <sz val="13"/>
      <color theme="1"/>
      <name val="Calibri"/>
      <family val="2"/>
      <scheme val="minor"/>
    </font>
    <font>
      <b/>
      <sz val="12"/>
      <color theme="4"/>
      <name val="Calibri"/>
      <family val="2"/>
      <scheme val="minor"/>
    </font>
    <font>
      <sz val="12"/>
      <color theme="0" tint="-0.34998626667073579"/>
      <name val="Calibri"/>
      <family val="2"/>
      <scheme val="minor"/>
    </font>
    <font>
      <i/>
      <sz val="12"/>
      <color theme="0" tint="-0.34998626667073579"/>
      <name val="Calibri"/>
      <family val="2"/>
      <scheme val="minor"/>
    </font>
    <font>
      <b/>
      <sz val="12"/>
      <color theme="1"/>
      <name val="Calibri"/>
      <family val="2"/>
    </font>
    <font>
      <sz val="12"/>
      <color theme="0" tint="-0.34998626667073579"/>
      <name val="Calibri"/>
      <family val="2"/>
    </font>
    <font>
      <i/>
      <sz val="12"/>
      <color theme="0" tint="-0.34998626667073579"/>
      <name val="Calibri"/>
      <family val="2"/>
    </font>
    <font>
      <i/>
      <sz val="12"/>
      <color theme="1"/>
      <name val="Calibri"/>
      <family val="2"/>
    </font>
    <font>
      <sz val="12"/>
      <color theme="4"/>
      <name val="Calibri"/>
      <family val="2"/>
    </font>
    <font>
      <u/>
      <sz val="12"/>
      <color theme="10"/>
      <name val="Calibri"/>
      <family val="2"/>
    </font>
    <font>
      <sz val="12"/>
      <color rgb="FF333333"/>
      <name val="Calibri"/>
      <family val="2"/>
    </font>
    <font>
      <sz val="12"/>
      <color rgb="FF555555"/>
      <name val="Calibri"/>
      <family val="2"/>
    </font>
    <font>
      <b/>
      <sz val="12"/>
      <color rgb="FF000000"/>
      <name val="Calibri"/>
      <family val="2"/>
    </font>
    <font>
      <sz val="12"/>
      <color rgb="FF000000"/>
      <name val="Calibri"/>
      <family val="2"/>
    </font>
    <font>
      <b/>
      <sz val="12"/>
      <color rgb="FF333333"/>
      <name val="Calibri"/>
      <family val="2"/>
    </font>
    <font>
      <b/>
      <u/>
      <sz val="12"/>
      <color theme="1"/>
      <name val="Calibri"/>
      <family val="2"/>
    </font>
    <font>
      <u/>
      <sz val="14"/>
      <color theme="4"/>
      <name val="Calibri"/>
      <family val="2"/>
      <scheme val="minor"/>
    </font>
    <font>
      <u/>
      <sz val="14"/>
      <color theme="10"/>
      <name val="Calibri"/>
      <family val="2"/>
      <scheme val="minor"/>
    </font>
    <font>
      <i/>
      <sz val="12"/>
      <color theme="1"/>
      <name val="Calibri"/>
      <family val="2"/>
      <scheme val="minor"/>
    </font>
    <font>
      <i/>
      <sz val="12"/>
      <color theme="0" tint="-0.249977111117893"/>
      <name val="Calibri"/>
      <family val="2"/>
      <scheme val="minor"/>
    </font>
    <font>
      <i/>
      <sz val="12"/>
      <color theme="0" tint="-0.34998626667073579"/>
      <name val="Times New Roman"/>
      <family val="1"/>
    </font>
    <font>
      <b/>
      <sz val="12"/>
      <color theme="1"/>
      <name val="Times New Roman"/>
      <family val="1"/>
    </font>
    <font>
      <i/>
      <vertAlign val="superscript"/>
      <sz val="12"/>
      <color theme="0" tint="-0.34998626667073579"/>
      <name val="Times New Roman"/>
      <family val="1"/>
    </font>
    <font>
      <sz val="12"/>
      <color theme="1"/>
      <name val="Times New Roman"/>
      <family val="1"/>
    </font>
    <font>
      <b/>
      <u/>
      <sz val="12"/>
      <color theme="1"/>
      <name val="Calibri"/>
      <family val="2"/>
      <scheme val="minor"/>
    </font>
    <font>
      <b/>
      <i/>
      <sz val="12"/>
      <color theme="1"/>
      <name val="Calibri"/>
      <family val="2"/>
      <scheme val="minor"/>
    </font>
    <font>
      <sz val="12"/>
      <color rgb="FF333333"/>
      <name val="Times New Roman"/>
      <family val="1"/>
    </font>
    <font>
      <sz val="11"/>
      <color rgb="FF9C0006"/>
      <name val="Calibri"/>
      <family val="2"/>
      <scheme val="minor"/>
    </font>
    <font>
      <b/>
      <sz val="8"/>
      <color rgb="FF000000"/>
      <name val="Times New Roman"/>
      <family val="1"/>
    </font>
    <font>
      <b/>
      <sz val="12"/>
      <color theme="4" tint="-0.249977111117893"/>
      <name val="Calibri"/>
      <family val="2"/>
      <scheme val="minor"/>
    </font>
    <font>
      <b/>
      <i/>
      <sz val="12"/>
      <name val="Calibri"/>
      <family val="2"/>
      <scheme val="minor"/>
    </font>
    <font>
      <b/>
      <sz val="12"/>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1"/>
      <color theme="0"/>
      <name val="Calibri"/>
      <family val="2"/>
      <scheme val="minor"/>
    </font>
    <font>
      <sz val="12"/>
      <color theme="0" tint="-0.499984740745262"/>
      <name val="Calibri"/>
      <family val="2"/>
      <scheme val="minor"/>
    </font>
    <font>
      <b/>
      <sz val="12"/>
      <color theme="0" tint="-0.499984740745262"/>
      <name val="Calibri"/>
      <family val="2"/>
      <scheme val="minor"/>
    </font>
    <font>
      <b/>
      <sz val="12"/>
      <color rgb="FFFF0000"/>
      <name val="Calibri"/>
      <family val="2"/>
      <scheme val="minor"/>
    </font>
    <font>
      <sz val="11"/>
      <color theme="0" tint="-0.499984740745262"/>
      <name val="Calibri"/>
      <family val="2"/>
      <scheme val="minor"/>
    </font>
    <font>
      <b/>
      <sz val="11"/>
      <color theme="0" tint="-0.499984740745262"/>
      <name val="Calibri"/>
      <family val="2"/>
      <scheme val="minor"/>
    </font>
    <font>
      <sz val="12"/>
      <color theme="4" tint="-0.249977111117893"/>
      <name val="Calibri"/>
      <family val="2"/>
      <scheme val="minor"/>
    </font>
    <font>
      <sz val="11"/>
      <name val="Calibri"/>
      <family val="2"/>
      <scheme val="minor"/>
    </font>
    <font>
      <b/>
      <sz val="18"/>
      <color theme="1"/>
      <name val="Calibri"/>
      <family val="2"/>
      <scheme val="minor"/>
    </font>
    <font>
      <b/>
      <u/>
      <sz val="12"/>
      <color theme="10"/>
      <name val="Calibri"/>
      <family val="2"/>
      <scheme val="minor"/>
    </font>
    <font>
      <b/>
      <u/>
      <sz val="18"/>
      <color theme="10"/>
      <name val="Calibri"/>
      <family val="2"/>
      <scheme val="minor"/>
    </font>
  </fonts>
  <fills count="2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002E0D"/>
        <bgColor indexed="64"/>
      </patternFill>
    </fill>
    <fill>
      <patternFill patternType="solid">
        <fgColor rgb="FF006447"/>
        <bgColor indexed="64"/>
      </patternFill>
    </fill>
    <fill>
      <patternFill patternType="solid">
        <fgColor rgb="FF00422E"/>
        <bgColor indexed="64"/>
      </patternFill>
    </fill>
    <fill>
      <patternFill patternType="solid">
        <fgColor rgb="FFFFC7CE"/>
      </patternFill>
    </fill>
    <fill>
      <patternFill patternType="solid">
        <fgColor theme="1"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00B0F0"/>
        <bgColor indexed="64"/>
      </patternFill>
    </fill>
    <fill>
      <patternFill patternType="solid">
        <fgColor rgb="FF00B050"/>
        <bgColor indexed="64"/>
      </patternFill>
    </fill>
    <fill>
      <patternFill patternType="solid">
        <fgColor rgb="FFC00000"/>
        <bgColor indexed="64"/>
      </patternFill>
    </fill>
    <fill>
      <patternFill patternType="solid">
        <fgColor rgb="FFFDFDFD"/>
        <bgColor indexed="64"/>
      </patternFill>
    </fill>
    <fill>
      <patternFill patternType="solid">
        <fgColor theme="4" tint="0.79998168889431442"/>
        <bgColor indexed="64"/>
      </patternFill>
    </fill>
    <fill>
      <patternFill patternType="solid">
        <fgColor theme="8"/>
        <bgColor indexed="64"/>
      </patternFill>
    </fill>
    <fill>
      <patternFill patternType="solid">
        <fgColor theme="4" tint="0.59999389629810485"/>
        <bgColor indexed="64"/>
      </patternFill>
    </fill>
  </fills>
  <borders count="75">
    <border>
      <left/>
      <right/>
      <top/>
      <bottom/>
      <diagonal/>
    </border>
    <border>
      <left/>
      <right/>
      <top style="thin">
        <color auto="1"/>
      </top>
      <bottom/>
      <diagonal/>
    </border>
    <border>
      <left/>
      <right/>
      <top style="thin">
        <color auto="1"/>
      </top>
      <bottom style="double">
        <color auto="1"/>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style="thin">
        <color theme="1"/>
      </left>
      <right/>
      <top/>
      <bottom/>
      <diagonal/>
    </border>
    <border>
      <left style="thin">
        <color theme="1"/>
      </left>
      <right/>
      <top style="medium">
        <color auto="1"/>
      </top>
      <bottom/>
      <diagonal/>
    </border>
    <border>
      <left style="thin">
        <color theme="1"/>
      </left>
      <right/>
      <top/>
      <bottom style="medium">
        <color auto="1"/>
      </bottom>
      <diagonal/>
    </border>
    <border>
      <left style="thin">
        <color theme="1"/>
      </left>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theme="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style="medium">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right style="medium">
        <color auto="1"/>
      </right>
      <top/>
      <bottom style="double">
        <color auto="1"/>
      </bottom>
      <diagonal/>
    </border>
    <border>
      <left/>
      <right style="thin">
        <color auto="1"/>
      </right>
      <top style="medium">
        <color auto="1"/>
      </top>
      <bottom/>
      <diagonal/>
    </border>
    <border>
      <left/>
      <right style="thin">
        <color auto="1"/>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4">
    <xf numFmtId="0" fontId="0" fillId="0" borderId="0"/>
    <xf numFmtId="43" fontId="15"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4"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5" fillId="0" borderId="0" applyNumberFormat="0" applyFill="0" applyBorder="0" applyAlignment="0" applyProtection="0"/>
    <xf numFmtId="44" fontId="14" fillId="0" borderId="0" applyFont="0" applyFill="0" applyBorder="0" applyAlignment="0" applyProtection="0"/>
    <xf numFmtId="0" fontId="26" fillId="0" borderId="0"/>
    <xf numFmtId="43" fontId="14"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73" fillId="9" borderId="0" applyNumberFormat="0" applyBorder="0" applyAlignment="0" applyProtection="0"/>
    <xf numFmtId="0" fontId="6" fillId="0" borderId="0"/>
    <xf numFmtId="9" fontId="6" fillId="0" borderId="0" applyFon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cellStyleXfs>
  <cellXfs count="1751">
    <xf numFmtId="0" fontId="0" fillId="0" borderId="0" xfId="0"/>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xf>
    <xf numFmtId="166" fontId="0" fillId="0" borderId="0" xfId="1" applyNumberFormat="1" applyFont="1" applyBorder="1"/>
    <xf numFmtId="166" fontId="0" fillId="0" borderId="0" xfId="0" applyNumberFormat="1"/>
    <xf numFmtId="0" fontId="0" fillId="0" borderId="5" xfId="0" applyBorder="1"/>
    <xf numFmtId="0" fontId="0" fillId="0" borderId="0" xfId="0" applyBorder="1"/>
    <xf numFmtId="165" fontId="0" fillId="0" borderId="7" xfId="0" applyNumberFormat="1" applyBorder="1"/>
    <xf numFmtId="167" fontId="0" fillId="0" borderId="7" xfId="0" applyNumberFormat="1" applyBorder="1"/>
    <xf numFmtId="164" fontId="0" fillId="0" borderId="7" xfId="1" applyNumberFormat="1" applyFont="1" applyBorder="1"/>
    <xf numFmtId="166" fontId="0" fillId="0" borderId="0" xfId="0" applyNumberFormat="1" applyBorder="1"/>
    <xf numFmtId="166" fontId="0" fillId="0" borderId="0" xfId="0" applyNumberFormat="1" applyFill="1" applyBorder="1"/>
    <xf numFmtId="0" fontId="0" fillId="0" borderId="0" xfId="0" applyFont="1"/>
    <xf numFmtId="9" fontId="0" fillId="0" borderId="0" xfId="6" applyFont="1"/>
    <xf numFmtId="10" fontId="0" fillId="0" borderId="0" xfId="6" applyNumberFormat="1" applyFont="1"/>
    <xf numFmtId="10" fontId="0" fillId="0" borderId="0" xfId="0" applyNumberFormat="1"/>
    <xf numFmtId="168" fontId="0" fillId="0" borderId="0" xfId="0" applyNumberFormat="1"/>
    <xf numFmtId="2" fontId="0" fillId="0" borderId="0" xfId="0" applyNumberFormat="1"/>
    <xf numFmtId="0" fontId="20" fillId="0" borderId="0" xfId="0" applyFont="1"/>
    <xf numFmtId="0" fontId="0" fillId="0" borderId="8" xfId="0" applyBorder="1"/>
    <xf numFmtId="0" fontId="0" fillId="0" borderId="9" xfId="0" applyBorder="1"/>
    <xf numFmtId="0" fontId="0" fillId="0" borderId="11" xfId="0" applyBorder="1"/>
    <xf numFmtId="0" fontId="0" fillId="0" borderId="13" xfId="0" applyBorder="1"/>
    <xf numFmtId="0" fontId="0" fillId="0" borderId="14" xfId="0" applyBorder="1"/>
    <xf numFmtId="10" fontId="0" fillId="0" borderId="0" xfId="6" applyNumberFormat="1" applyFont="1" applyBorder="1"/>
    <xf numFmtId="170" fontId="27" fillId="0" borderId="0" xfId="11" applyNumberFormat="1" applyFont="1" applyFill="1"/>
    <xf numFmtId="0" fontId="13" fillId="0" borderId="0" xfId="0" applyFont="1" applyBorder="1" applyAlignment="1">
      <alignment wrapText="1"/>
    </xf>
    <xf numFmtId="0" fontId="28" fillId="0" borderId="0" xfId="0" applyFont="1" applyBorder="1" applyAlignment="1">
      <alignment horizontal="right"/>
    </xf>
    <xf numFmtId="0" fontId="29" fillId="0" borderId="0" xfId="0" applyFont="1"/>
    <xf numFmtId="0" fontId="30" fillId="0" borderId="0" xfId="0" applyFont="1"/>
    <xf numFmtId="0" fontId="23" fillId="0" borderId="0" xfId="0" applyFont="1"/>
    <xf numFmtId="3" fontId="0" fillId="0" borderId="0" xfId="0" applyNumberFormat="1"/>
    <xf numFmtId="0" fontId="0" fillId="0" borderId="0" xfId="0" applyAlignment="1">
      <alignment horizontal="left" wrapText="1" indent="1"/>
    </xf>
    <xf numFmtId="166" fontId="0" fillId="0" borderId="4" xfId="1" applyNumberFormat="1" applyFont="1" applyBorder="1"/>
    <xf numFmtId="0" fontId="0" fillId="0" borderId="16" xfId="0" applyFont="1" applyBorder="1"/>
    <xf numFmtId="0" fontId="31" fillId="0" borderId="8" xfId="0" applyFont="1" applyBorder="1"/>
    <xf numFmtId="0" fontId="0" fillId="0" borderId="9" xfId="0" applyFont="1" applyBorder="1"/>
    <xf numFmtId="0" fontId="0" fillId="0" borderId="17" xfId="0" applyFont="1" applyBorder="1"/>
    <xf numFmtId="0" fontId="0" fillId="0" borderId="10" xfId="0" applyFont="1" applyBorder="1"/>
    <xf numFmtId="0" fontId="0" fillId="0" borderId="0" xfId="0" applyFont="1" applyBorder="1"/>
    <xf numFmtId="3" fontId="0" fillId="0" borderId="0" xfId="0" applyNumberFormat="1" applyFont="1" applyBorder="1"/>
    <xf numFmtId="3" fontId="0" fillId="0" borderId="16" xfId="0" applyNumberFormat="1" applyFont="1" applyBorder="1"/>
    <xf numFmtId="3" fontId="0" fillId="0" borderId="12" xfId="0" applyNumberFormat="1" applyFont="1" applyBorder="1"/>
    <xf numFmtId="0" fontId="31" fillId="0" borderId="18" xfId="0" applyFont="1" applyBorder="1"/>
    <xf numFmtId="3" fontId="31" fillId="0" borderId="1" xfId="0" applyNumberFormat="1" applyFont="1" applyBorder="1"/>
    <xf numFmtId="3" fontId="31" fillId="0" borderId="19" xfId="0" applyNumberFormat="1" applyFont="1" applyBorder="1"/>
    <xf numFmtId="3" fontId="31" fillId="0" borderId="20" xfId="0" applyNumberFormat="1" applyFont="1" applyBorder="1"/>
    <xf numFmtId="0" fontId="32" fillId="0" borderId="11" xfId="0" applyFont="1" applyFill="1" applyBorder="1" applyAlignment="1">
      <alignment horizontal="left" indent="2"/>
    </xf>
    <xf numFmtId="169" fontId="32" fillId="0" borderId="0" xfId="6" applyNumberFormat="1" applyFont="1" applyFill="1" applyBorder="1"/>
    <xf numFmtId="169" fontId="32" fillId="0" borderId="16" xfId="6" applyNumberFormat="1" applyFont="1" applyFill="1" applyBorder="1"/>
    <xf numFmtId="10" fontId="32" fillId="0" borderId="0" xfId="6" applyNumberFormat="1" applyFont="1" applyFill="1" applyBorder="1"/>
    <xf numFmtId="10" fontId="32" fillId="0" borderId="12" xfId="6" applyNumberFormat="1" applyFont="1" applyFill="1" applyBorder="1"/>
    <xf numFmtId="0" fontId="0" fillId="0" borderId="11" xfId="0" applyFont="1" applyBorder="1"/>
    <xf numFmtId="0" fontId="0" fillId="0" borderId="12" xfId="0" applyFont="1" applyBorder="1"/>
    <xf numFmtId="0" fontId="31" fillId="0" borderId="11" xfId="0" applyFont="1" applyBorder="1"/>
    <xf numFmtId="10" fontId="0" fillId="0" borderId="16" xfId="6" applyNumberFormat="1" applyFont="1" applyBorder="1"/>
    <xf numFmtId="10" fontId="0" fillId="0" borderId="12" xfId="6" applyNumberFormat="1" applyFont="1" applyBorder="1"/>
    <xf numFmtId="0" fontId="0" fillId="0" borderId="11" xfId="0" applyFont="1" applyBorder="1" applyAlignment="1">
      <alignment horizontal="left" indent="1"/>
    </xf>
    <xf numFmtId="3" fontId="31" fillId="0" borderId="21" xfId="0" applyNumberFormat="1" applyFont="1" applyBorder="1"/>
    <xf numFmtId="0" fontId="31" fillId="0" borderId="18" xfId="0" applyFont="1" applyBorder="1" applyProtection="1">
      <protection locked="0"/>
    </xf>
    <xf numFmtId="0" fontId="32" fillId="0" borderId="0" xfId="0" applyFont="1" applyFill="1" applyBorder="1"/>
    <xf numFmtId="10" fontId="33" fillId="0" borderId="12" xfId="6" applyNumberFormat="1" applyFont="1" applyBorder="1"/>
    <xf numFmtId="169" fontId="32" fillId="0" borderId="12" xfId="6" applyNumberFormat="1" applyFont="1" applyFill="1" applyBorder="1"/>
    <xf numFmtId="0" fontId="23" fillId="0" borderId="18" xfId="0" applyFont="1" applyBorder="1" applyAlignment="1">
      <alignment horizontal="left"/>
    </xf>
    <xf numFmtId="0" fontId="0" fillId="0" borderId="1" xfId="0" applyFont="1" applyBorder="1"/>
    <xf numFmtId="0" fontId="0" fillId="0" borderId="19" xfId="0" applyFont="1" applyBorder="1"/>
    <xf numFmtId="3" fontId="0" fillId="0" borderId="20" xfId="0" applyNumberFormat="1" applyFont="1" applyBorder="1"/>
    <xf numFmtId="0" fontId="32" fillId="0" borderId="13" xfId="0" applyFont="1" applyFill="1" applyBorder="1" applyAlignment="1">
      <alignment horizontal="left" indent="2"/>
    </xf>
    <xf numFmtId="0" fontId="0" fillId="0" borderId="14" xfId="0" applyFont="1" applyBorder="1"/>
    <xf numFmtId="10" fontId="32" fillId="0" borderId="14" xfId="6" applyNumberFormat="1" applyFont="1" applyFill="1" applyBorder="1"/>
    <xf numFmtId="10" fontId="32" fillId="0" borderId="22" xfId="6" applyNumberFormat="1" applyFont="1" applyFill="1" applyBorder="1"/>
    <xf numFmtId="10" fontId="32" fillId="0" borderId="15" xfId="6" applyNumberFormat="1" applyFont="1" applyFill="1" applyBorder="1"/>
    <xf numFmtId="0" fontId="31" fillId="0" borderId="19" xfId="0" applyFont="1" applyBorder="1"/>
    <xf numFmtId="0" fontId="31" fillId="0" borderId="1" xfId="0" applyFont="1" applyBorder="1" applyAlignment="1">
      <alignment horizontal="center"/>
    </xf>
    <xf numFmtId="0" fontId="0" fillId="0" borderId="21" xfId="0" applyFont="1" applyBorder="1"/>
    <xf numFmtId="0" fontId="0" fillId="0" borderId="23" xfId="0" applyFont="1" applyBorder="1"/>
    <xf numFmtId="0" fontId="31" fillId="0" borderId="0" xfId="0" applyFont="1" applyBorder="1" applyAlignment="1">
      <alignment horizontal="center" vertical="center"/>
    </xf>
    <xf numFmtId="0" fontId="31" fillId="0" borderId="23" xfId="0" applyFont="1" applyBorder="1" applyAlignment="1">
      <alignment horizontal="center" vertical="center"/>
    </xf>
    <xf numFmtId="10" fontId="0" fillId="0" borderId="23" xfId="6" applyNumberFormat="1" applyFont="1" applyBorder="1"/>
    <xf numFmtId="0" fontId="0" fillId="0" borderId="4" xfId="0" applyFont="1" applyBorder="1"/>
    <xf numFmtId="10" fontId="0" fillId="0" borderId="4" xfId="6" applyNumberFormat="1" applyFont="1" applyBorder="1"/>
    <xf numFmtId="10" fontId="0" fillId="0" borderId="24" xfId="6" applyNumberFormat="1" applyFont="1" applyBorder="1"/>
    <xf numFmtId="10" fontId="0" fillId="0" borderId="25" xfId="6" applyNumberFormat="1" applyFont="1" applyBorder="1"/>
    <xf numFmtId="0" fontId="23" fillId="0" borderId="0" xfId="0" applyFont="1" applyAlignment="1">
      <alignment horizontal="left"/>
    </xf>
    <xf numFmtId="0" fontId="23" fillId="0" borderId="5" xfId="0" applyFont="1" applyBorder="1" applyAlignment="1">
      <alignment horizontal="left"/>
    </xf>
    <xf numFmtId="0" fontId="0" fillId="0" borderId="3" xfId="0" applyFont="1" applyBorder="1"/>
    <xf numFmtId="3" fontId="0" fillId="0" borderId="3" xfId="0" applyNumberFormat="1" applyFont="1" applyBorder="1"/>
    <xf numFmtId="3" fontId="0" fillId="0" borderId="6" xfId="0" applyNumberFormat="1" applyFont="1" applyBorder="1"/>
    <xf numFmtId="0" fontId="31" fillId="0" borderId="0" xfId="0" applyFont="1"/>
    <xf numFmtId="2" fontId="0" fillId="0" borderId="16" xfId="0" applyNumberFormat="1" applyFont="1" applyBorder="1"/>
    <xf numFmtId="2" fontId="0" fillId="0" borderId="0" xfId="0" applyNumberFormat="1" applyFont="1" applyBorder="1"/>
    <xf numFmtId="2" fontId="0" fillId="0" borderId="23" xfId="0" applyNumberFormat="1" applyFont="1" applyBorder="1"/>
    <xf numFmtId="0" fontId="23" fillId="0" borderId="19" xfId="0" applyFont="1" applyBorder="1"/>
    <xf numFmtId="3" fontId="0" fillId="0" borderId="19" xfId="0" applyNumberFormat="1" applyFont="1" applyBorder="1"/>
    <xf numFmtId="3" fontId="0" fillId="0" borderId="1" xfId="0" applyNumberFormat="1" applyFont="1" applyBorder="1"/>
    <xf numFmtId="3" fontId="0" fillId="0" borderId="21" xfId="0" applyNumberFormat="1" applyFont="1" applyBorder="1"/>
    <xf numFmtId="0" fontId="32" fillId="0" borderId="16" xfId="0" applyFont="1" applyFill="1" applyBorder="1" applyAlignment="1">
      <alignment horizontal="left" indent="2"/>
    </xf>
    <xf numFmtId="10" fontId="32" fillId="0" borderId="0" xfId="6" applyNumberFormat="1" applyFont="1" applyFill="1" applyBorder="1" applyAlignment="1">
      <alignment horizontal="left"/>
    </xf>
    <xf numFmtId="9" fontId="32" fillId="0" borderId="23" xfId="6" applyFont="1" applyFill="1" applyBorder="1" applyAlignment="1">
      <alignment horizontal="left"/>
    </xf>
    <xf numFmtId="0" fontId="31" fillId="0" borderId="16" xfId="0" applyFont="1" applyBorder="1"/>
    <xf numFmtId="0" fontId="0" fillId="0" borderId="24" xfId="0" applyFont="1" applyBorder="1"/>
    <xf numFmtId="0" fontId="0" fillId="0" borderId="25" xfId="0" applyFont="1" applyBorder="1"/>
    <xf numFmtId="0" fontId="0" fillId="0" borderId="26" xfId="0" applyFont="1" applyBorder="1"/>
    <xf numFmtId="2" fontId="0" fillId="0" borderId="19" xfId="0" applyNumberFormat="1" applyFont="1" applyBorder="1"/>
    <xf numFmtId="2" fontId="0" fillId="0" borderId="1" xfId="0" applyNumberFormat="1" applyFont="1" applyBorder="1"/>
    <xf numFmtId="2" fontId="0" fillId="0" borderId="21" xfId="0" applyNumberFormat="1" applyFont="1" applyBorder="1"/>
    <xf numFmtId="2" fontId="34" fillId="0" borderId="0" xfId="0" applyNumberFormat="1" applyFont="1" applyFill="1" applyBorder="1"/>
    <xf numFmtId="2" fontId="34" fillId="0" borderId="0" xfId="0" applyNumberFormat="1" applyFont="1"/>
    <xf numFmtId="2" fontId="34" fillId="0" borderId="0" xfId="0" applyNumberFormat="1" applyFont="1" applyBorder="1"/>
    <xf numFmtId="2" fontId="0" fillId="0" borderId="0" xfId="0" applyNumberFormat="1" applyFont="1" applyFill="1" applyBorder="1"/>
    <xf numFmtId="0" fontId="31" fillId="0" borderId="5" xfId="0" applyFont="1" applyBorder="1"/>
    <xf numFmtId="2" fontId="31" fillId="0" borderId="5" xfId="0" applyNumberFormat="1" applyFont="1" applyBorder="1"/>
    <xf numFmtId="2" fontId="31" fillId="0" borderId="3" xfId="0" applyNumberFormat="1" applyFont="1" applyBorder="1"/>
    <xf numFmtId="2" fontId="31" fillId="0" borderId="6" xfId="0" applyNumberFormat="1" applyFont="1" applyBorder="1"/>
    <xf numFmtId="2" fontId="0" fillId="0" borderId="0" xfId="0" applyNumberFormat="1" applyFont="1"/>
    <xf numFmtId="2" fontId="0" fillId="0" borderId="23" xfId="0" applyNumberFormat="1" applyFont="1" applyFill="1" applyBorder="1"/>
    <xf numFmtId="2" fontId="0" fillId="0" borderId="24" xfId="0" applyNumberFormat="1" applyFont="1" applyBorder="1"/>
    <xf numFmtId="2" fontId="0" fillId="0" borderId="4" xfId="0" applyNumberFormat="1" applyFont="1" applyBorder="1"/>
    <xf numFmtId="0" fontId="31" fillId="0" borderId="24" xfId="0" applyFont="1" applyBorder="1"/>
    <xf numFmtId="2" fontId="31" fillId="0" borderId="24" xfId="0" applyNumberFormat="1" applyFont="1" applyBorder="1"/>
    <xf numFmtId="2" fontId="31" fillId="0" borderId="4" xfId="0" applyNumberFormat="1" applyFont="1" applyBorder="1"/>
    <xf numFmtId="2" fontId="31" fillId="0" borderId="25" xfId="0" applyNumberFormat="1" applyFont="1" applyBorder="1"/>
    <xf numFmtId="2" fontId="0" fillId="0" borderId="0" xfId="0" quotePrefix="1" applyNumberFormat="1" applyFont="1" applyBorder="1"/>
    <xf numFmtId="2" fontId="34" fillId="0" borderId="16" xfId="0" applyNumberFormat="1" applyFont="1" applyFill="1" applyBorder="1"/>
    <xf numFmtId="0" fontId="31" fillId="0" borderId="3" xfId="0" applyFont="1" applyBorder="1"/>
    <xf numFmtId="0" fontId="0" fillId="0" borderId="6" xfId="0" applyFont="1" applyBorder="1"/>
    <xf numFmtId="0" fontId="35" fillId="0" borderId="26" xfId="0" applyFont="1" applyBorder="1"/>
    <xf numFmtId="0" fontId="36" fillId="0" borderId="0" xfId="0" applyFont="1" applyFill="1"/>
    <xf numFmtId="0" fontId="27" fillId="0" borderId="0" xfId="0" applyFont="1" applyFill="1"/>
    <xf numFmtId="44" fontId="0" fillId="0" borderId="0" xfId="11" applyFont="1"/>
    <xf numFmtId="0" fontId="0" fillId="0" borderId="16" xfId="0" applyBorder="1"/>
    <xf numFmtId="42" fontId="0" fillId="0" borderId="0" xfId="11" applyNumberFormat="1" applyFont="1"/>
    <xf numFmtId="0" fontId="37" fillId="0" borderId="0" xfId="0" applyFont="1"/>
    <xf numFmtId="0" fontId="38" fillId="0" borderId="0" xfId="0" applyFont="1" applyBorder="1" applyAlignment="1">
      <alignment horizontal="right"/>
    </xf>
    <xf numFmtId="0" fontId="0" fillId="0" borderId="0" xfId="11" applyNumberFormat="1" applyFont="1"/>
    <xf numFmtId="172" fontId="0" fillId="0" borderId="0" xfId="11" applyNumberFormat="1" applyFont="1"/>
    <xf numFmtId="0" fontId="27" fillId="0" borderId="19" xfId="0" applyFont="1" applyFill="1" applyBorder="1"/>
    <xf numFmtId="0" fontId="27" fillId="0" borderId="1" xfId="0" applyFont="1" applyFill="1" applyBorder="1"/>
    <xf numFmtId="170" fontId="27" fillId="0" borderId="1" xfId="0" applyNumberFormat="1" applyFont="1" applyFill="1" applyBorder="1"/>
    <xf numFmtId="0" fontId="27" fillId="0" borderId="16" xfId="0" applyFont="1" applyFill="1" applyBorder="1"/>
    <xf numFmtId="0" fontId="27" fillId="0" borderId="0" xfId="0" applyFont="1" applyFill="1" applyBorder="1"/>
    <xf numFmtId="170" fontId="27" fillId="0" borderId="0" xfId="0" applyNumberFormat="1" applyFont="1" applyFill="1" applyBorder="1"/>
    <xf numFmtId="0" fontId="27" fillId="0" borderId="4" xfId="0" applyFont="1" applyFill="1" applyBorder="1"/>
    <xf numFmtId="170" fontId="27" fillId="0" borderId="4" xfId="0" applyNumberFormat="1" applyFont="1" applyFill="1" applyBorder="1"/>
    <xf numFmtId="170" fontId="27" fillId="0" borderId="0" xfId="11" applyNumberFormat="1" applyFont="1" applyFill="1" applyBorder="1"/>
    <xf numFmtId="0" fontId="36" fillId="0" borderId="19" xfId="0" applyFont="1" applyFill="1" applyBorder="1"/>
    <xf numFmtId="170" fontId="27" fillId="0" borderId="1" xfId="11" applyNumberFormat="1" applyFont="1" applyFill="1" applyBorder="1"/>
    <xf numFmtId="170" fontId="27" fillId="0" borderId="21" xfId="11" applyNumberFormat="1" applyFont="1" applyFill="1" applyBorder="1"/>
    <xf numFmtId="170" fontId="27" fillId="0" borderId="23" xfId="11" applyNumberFormat="1" applyFont="1" applyFill="1" applyBorder="1"/>
    <xf numFmtId="170" fontId="27" fillId="0" borderId="23" xfId="0" applyNumberFormat="1" applyFont="1" applyFill="1" applyBorder="1"/>
    <xf numFmtId="10" fontId="27" fillId="0" borderId="0" xfId="6" applyNumberFormat="1" applyFont="1" applyFill="1" applyBorder="1"/>
    <xf numFmtId="44" fontId="36" fillId="0" borderId="0" xfId="0" applyNumberFormat="1" applyFont="1" applyFill="1" applyBorder="1"/>
    <xf numFmtId="44" fontId="36" fillId="0" borderId="0" xfId="0" applyNumberFormat="1" applyFont="1" applyFill="1"/>
    <xf numFmtId="170" fontId="27" fillId="0" borderId="25" xfId="0" applyNumberFormat="1" applyFont="1" applyFill="1" applyBorder="1"/>
    <xf numFmtId="170" fontId="27" fillId="0" borderId="21" xfId="0" applyNumberFormat="1" applyFont="1" applyFill="1" applyBorder="1"/>
    <xf numFmtId="0" fontId="0" fillId="0" borderId="1" xfId="0" applyBorder="1"/>
    <xf numFmtId="170" fontId="0" fillId="0" borderId="0" xfId="11" applyNumberFormat="1" applyFont="1" applyBorder="1"/>
    <xf numFmtId="170" fontId="0" fillId="0" borderId="0" xfId="0" applyNumberFormat="1" applyBorder="1"/>
    <xf numFmtId="171" fontId="0" fillId="0" borderId="0" xfId="6" applyNumberFormat="1" applyFont="1" applyBorder="1"/>
    <xf numFmtId="0" fontId="31" fillId="0" borderId="0" xfId="0" applyFont="1" applyBorder="1"/>
    <xf numFmtId="170" fontId="31" fillId="0" borderId="0" xfId="0" applyNumberFormat="1" applyFont="1" applyBorder="1"/>
    <xf numFmtId="0" fontId="0" fillId="0" borderId="0" xfId="0" applyFill="1"/>
    <xf numFmtId="170" fontId="19" fillId="0" borderId="0" xfId="11" applyNumberFormat="1" applyFont="1" applyBorder="1"/>
    <xf numFmtId="10" fontId="19" fillId="0" borderId="0" xfId="6" applyNumberFormat="1" applyFont="1" applyBorder="1"/>
    <xf numFmtId="166" fontId="0" fillId="0" borderId="0" xfId="1" applyNumberFormat="1" applyFont="1" applyFill="1" applyBorder="1"/>
    <xf numFmtId="0" fontId="0" fillId="0" borderId="0" xfId="0" applyFill="1" applyBorder="1"/>
    <xf numFmtId="170" fontId="0" fillId="0" borderId="0" xfId="11" applyNumberFormat="1" applyFont="1" applyFill="1" applyBorder="1"/>
    <xf numFmtId="44" fontId="0" fillId="0" borderId="0" xfId="0" applyNumberFormat="1" applyFill="1" applyBorder="1"/>
    <xf numFmtId="170" fontId="0" fillId="0" borderId="0" xfId="0" applyNumberFormat="1" applyFill="1" applyBorder="1"/>
    <xf numFmtId="0" fontId="0" fillId="2" borderId="0" xfId="0" applyFill="1"/>
    <xf numFmtId="0" fontId="0" fillId="0" borderId="10" xfId="0" applyBorder="1"/>
    <xf numFmtId="0" fontId="0" fillId="0" borderId="12" xfId="0" applyBorder="1"/>
    <xf numFmtId="0" fontId="0" fillId="0" borderId="3" xfId="0" applyBorder="1" applyAlignment="1">
      <alignment horizontal="center"/>
    </xf>
    <xf numFmtId="42" fontId="0" fillId="2" borderId="1" xfId="11" applyNumberFormat="1" applyFont="1" applyFill="1" applyBorder="1"/>
    <xf numFmtId="42" fontId="0" fillId="3" borderId="2" xfId="11" applyNumberFormat="1" applyFont="1" applyFill="1" applyBorder="1"/>
    <xf numFmtId="0" fontId="31" fillId="2" borderId="2" xfId="0" applyFont="1" applyFill="1" applyBorder="1"/>
    <xf numFmtId="42" fontId="0" fillId="2" borderId="2" xfId="11" applyNumberFormat="1" applyFont="1" applyFill="1" applyBorder="1"/>
    <xf numFmtId="0" fontId="31" fillId="2" borderId="1" xfId="0" applyFont="1" applyFill="1" applyBorder="1"/>
    <xf numFmtId="0" fontId="12" fillId="0" borderId="0" xfId="0" applyFont="1"/>
    <xf numFmtId="3" fontId="12" fillId="0" borderId="0" xfId="0" applyNumberFormat="1" applyFont="1"/>
    <xf numFmtId="0" fontId="12" fillId="0" borderId="0" xfId="0" applyFont="1" applyFill="1"/>
    <xf numFmtId="0" fontId="28" fillId="0" borderId="0" xfId="0" applyFont="1"/>
    <xf numFmtId="0" fontId="12" fillId="2" borderId="1" xfId="0" applyFont="1" applyFill="1" applyBorder="1"/>
    <xf numFmtId="10" fontId="12" fillId="2" borderId="1" xfId="6" applyNumberFormat="1" applyFont="1" applyFill="1" applyBorder="1"/>
    <xf numFmtId="0" fontId="0" fillId="0" borderId="19" xfId="0" applyBorder="1"/>
    <xf numFmtId="42" fontId="0" fillId="0" borderId="0" xfId="11" applyNumberFormat="1" applyFont="1" applyBorder="1"/>
    <xf numFmtId="44" fontId="0" fillId="0" borderId="0" xfId="11" applyNumberFormat="1" applyFont="1" applyBorder="1"/>
    <xf numFmtId="44" fontId="0" fillId="0" borderId="0" xfId="6" applyNumberFormat="1" applyFont="1" applyBorder="1"/>
    <xf numFmtId="9" fontId="0" fillId="0" borderId="0" xfId="6" applyFont="1" applyBorder="1"/>
    <xf numFmtId="9" fontId="37" fillId="0" borderId="0" xfId="6" applyFont="1" applyBorder="1"/>
    <xf numFmtId="10" fontId="37" fillId="0" borderId="0" xfId="0" applyNumberFormat="1" applyFont="1" applyBorder="1"/>
    <xf numFmtId="0" fontId="37" fillId="0" borderId="0" xfId="0" applyFont="1" applyBorder="1"/>
    <xf numFmtId="0" fontId="37" fillId="0" borderId="23" xfId="0" applyFont="1" applyBorder="1"/>
    <xf numFmtId="0" fontId="0" fillId="0" borderId="23" xfId="0" applyBorder="1"/>
    <xf numFmtId="10" fontId="0" fillId="0" borderId="0" xfId="0" applyNumberFormat="1" applyBorder="1"/>
    <xf numFmtId="10" fontId="0" fillId="0" borderId="4" xfId="0" applyNumberFormat="1" applyBorder="1"/>
    <xf numFmtId="10" fontId="22" fillId="0" borderId="0" xfId="6" applyNumberFormat="1" applyFont="1" applyFill="1" applyBorder="1"/>
    <xf numFmtId="10" fontId="0" fillId="0" borderId="1" xfId="6" applyNumberFormat="1" applyFont="1" applyBorder="1"/>
    <xf numFmtId="10" fontId="37" fillId="0" borderId="1" xfId="6" applyNumberFormat="1" applyFont="1" applyBorder="1"/>
    <xf numFmtId="10" fontId="37" fillId="0" borderId="16" xfId="0" applyNumberFormat="1" applyFont="1" applyBorder="1"/>
    <xf numFmtId="0" fontId="37" fillId="0" borderId="16" xfId="0" applyFont="1" applyBorder="1"/>
    <xf numFmtId="10" fontId="37" fillId="0" borderId="19" xfId="6" applyNumberFormat="1" applyFont="1" applyBorder="1"/>
    <xf numFmtId="170" fontId="0" fillId="0" borderId="16" xfId="11" applyNumberFormat="1" applyFont="1" applyBorder="1"/>
    <xf numFmtId="10" fontId="37" fillId="0" borderId="16" xfId="6" applyNumberFormat="1" applyFont="1" applyBorder="1"/>
    <xf numFmtId="10" fontId="37" fillId="0" borderId="0" xfId="6" applyNumberFormat="1" applyFont="1" applyBorder="1"/>
    <xf numFmtId="170" fontId="19" fillId="0" borderId="16" xfId="11" applyNumberFormat="1" applyFont="1" applyBorder="1"/>
    <xf numFmtId="171" fontId="0" fillId="0" borderId="16" xfId="6" applyNumberFormat="1" applyFont="1" applyBorder="1"/>
    <xf numFmtId="2" fontId="37" fillId="0" borderId="16" xfId="0" applyNumberFormat="1" applyFont="1" applyBorder="1"/>
    <xf numFmtId="2" fontId="37" fillId="0" borderId="0" xfId="0" applyNumberFormat="1" applyFont="1" applyBorder="1"/>
    <xf numFmtId="9" fontId="37" fillId="0" borderId="16" xfId="6" applyFont="1" applyBorder="1"/>
    <xf numFmtId="9" fontId="0" fillId="0" borderId="16" xfId="6" applyFont="1" applyBorder="1"/>
    <xf numFmtId="9" fontId="0" fillId="0" borderId="16" xfId="0" applyNumberFormat="1" applyBorder="1"/>
    <xf numFmtId="9" fontId="0" fillId="0" borderId="0" xfId="0" applyNumberFormat="1" applyBorder="1"/>
    <xf numFmtId="10" fontId="19" fillId="0" borderId="16" xfId="6" applyNumberFormat="1" applyFont="1" applyBorder="1"/>
    <xf numFmtId="10" fontId="32" fillId="0" borderId="16" xfId="6" applyNumberFormat="1" applyFont="1" applyFill="1" applyBorder="1"/>
    <xf numFmtId="10" fontId="32" fillId="0" borderId="16" xfId="6" applyNumberFormat="1" applyFont="1" applyFill="1" applyBorder="1" applyAlignment="1">
      <alignment horizontal="left"/>
    </xf>
    <xf numFmtId="2" fontId="0" fillId="0" borderId="16" xfId="0" applyNumberFormat="1" applyFont="1" applyFill="1" applyBorder="1"/>
    <xf numFmtId="10" fontId="0" fillId="0" borderId="9" xfId="6" applyNumberFormat="1" applyFont="1" applyBorder="1"/>
    <xf numFmtId="0" fontId="0" fillId="0" borderId="11" xfId="0" applyBorder="1" applyAlignment="1">
      <alignment horizontal="left" indent="1"/>
    </xf>
    <xf numFmtId="10" fontId="37" fillId="0" borderId="12" xfId="6" applyNumberFormat="1" applyFont="1" applyBorder="1"/>
    <xf numFmtId="0" fontId="31" fillId="0" borderId="13" xfId="0" applyFont="1" applyBorder="1"/>
    <xf numFmtId="10" fontId="31" fillId="0" borderId="14" xfId="6" applyNumberFormat="1" applyFont="1" applyBorder="1"/>
    <xf numFmtId="10" fontId="37" fillId="0" borderId="14" xfId="6" applyNumberFormat="1" applyFont="1" applyBorder="1"/>
    <xf numFmtId="10" fontId="37" fillId="0" borderId="15" xfId="6" applyNumberFormat="1" applyFont="1" applyBorder="1"/>
    <xf numFmtId="3" fontId="0" fillId="0" borderId="24" xfId="0" applyNumberFormat="1" applyFont="1" applyBorder="1"/>
    <xf numFmtId="0" fontId="11" fillId="0" borderId="16" xfId="0" applyFont="1" applyBorder="1" applyAlignment="1">
      <alignment horizontal="left" indent="1"/>
    </xf>
    <xf numFmtId="0" fontId="11" fillId="0" borderId="16" xfId="0" applyFont="1" applyBorder="1" applyAlignment="1">
      <alignment horizontal="left"/>
    </xf>
    <xf numFmtId="0" fontId="11" fillId="0" borderId="0" xfId="0" applyFont="1" applyAlignment="1">
      <alignment horizontal="left"/>
    </xf>
    <xf numFmtId="0" fontId="11" fillId="0" borderId="24" xfId="0" applyFont="1" applyBorder="1" applyAlignment="1">
      <alignment horizontal="left"/>
    </xf>
    <xf numFmtId="0" fontId="11" fillId="0" borderId="11" xfId="0" applyFont="1" applyBorder="1" applyAlignment="1">
      <alignment horizontal="left"/>
    </xf>
    <xf numFmtId="0" fontId="9" fillId="0" borderId="0" xfId="17"/>
    <xf numFmtId="0" fontId="9" fillId="0" borderId="0" xfId="17" applyFill="1"/>
    <xf numFmtId="44" fontId="9" fillId="0" borderId="0" xfId="11" applyFont="1"/>
    <xf numFmtId="44" fontId="9" fillId="0" borderId="1" xfId="11" applyFont="1" applyBorder="1"/>
    <xf numFmtId="44" fontId="9" fillId="0" borderId="0" xfId="11" applyFont="1" applyBorder="1"/>
    <xf numFmtId="0" fontId="9" fillId="5" borderId="1" xfId="17" applyFill="1" applyBorder="1" applyAlignment="1">
      <alignment horizontal="left"/>
    </xf>
    <xf numFmtId="0" fontId="9" fillId="5" borderId="1" xfId="17" applyFont="1" applyFill="1" applyBorder="1" applyAlignment="1">
      <alignment horizontal="left"/>
    </xf>
    <xf numFmtId="0" fontId="9" fillId="5" borderId="0" xfId="17" applyFont="1" applyFill="1" applyBorder="1" applyAlignment="1">
      <alignment horizontal="left"/>
    </xf>
    <xf numFmtId="0" fontId="0" fillId="4" borderId="0" xfId="0" applyFill="1"/>
    <xf numFmtId="10" fontId="12" fillId="0" borderId="0" xfId="6" applyNumberFormat="1" applyFont="1" applyFill="1"/>
    <xf numFmtId="42" fontId="0" fillId="3" borderId="0" xfId="11" applyNumberFormat="1" applyFont="1" applyFill="1" applyBorder="1"/>
    <xf numFmtId="10" fontId="0" fillId="3" borderId="0" xfId="6" applyNumberFormat="1" applyFont="1" applyFill="1" applyBorder="1"/>
    <xf numFmtId="10" fontId="0" fillId="0" borderId="12" xfId="0" applyNumberFormat="1" applyBorder="1"/>
    <xf numFmtId="0" fontId="16" fillId="0" borderId="0" xfId="0" applyFont="1" applyFill="1"/>
    <xf numFmtId="0" fontId="16" fillId="4" borderId="0" xfId="0" applyFont="1" applyFill="1"/>
    <xf numFmtId="173" fontId="0" fillId="0" borderId="0" xfId="0" applyNumberFormat="1"/>
    <xf numFmtId="0" fontId="0" fillId="0" borderId="15" xfId="0" applyBorder="1"/>
    <xf numFmtId="0" fontId="0" fillId="0" borderId="0" xfId="0" applyBorder="1" applyAlignment="1">
      <alignment horizontal="center"/>
    </xf>
    <xf numFmtId="0" fontId="16" fillId="4" borderId="0" xfId="0" applyFont="1" applyFill="1" applyAlignment="1">
      <alignment horizontal="center"/>
    </xf>
    <xf numFmtId="0" fontId="16" fillId="6" borderId="0" xfId="0" applyFont="1" applyFill="1" applyAlignment="1">
      <alignment horizontal="center" vertical="center"/>
    </xf>
    <xf numFmtId="0" fontId="16" fillId="7" borderId="16" xfId="0" applyFont="1" applyFill="1" applyBorder="1" applyAlignment="1">
      <alignment horizontal="center" vertical="center"/>
    </xf>
    <xf numFmtId="0" fontId="16" fillId="8" borderId="16" xfId="0" applyFont="1" applyFill="1" applyBorder="1" applyAlignment="1">
      <alignment horizontal="center" vertical="center"/>
    </xf>
    <xf numFmtId="0" fontId="16" fillId="8" borderId="0" xfId="0" applyFont="1" applyFill="1" applyAlignment="1">
      <alignment horizontal="center" vertical="center"/>
    </xf>
    <xf numFmtId="0" fontId="16" fillId="7" borderId="0" xfId="0" applyFont="1" applyFill="1" applyBorder="1" applyAlignment="1">
      <alignment horizontal="center" vertical="center"/>
    </xf>
    <xf numFmtId="0" fontId="16" fillId="6" borderId="23" xfId="0" applyFont="1" applyFill="1" applyBorder="1" applyAlignment="1">
      <alignment horizontal="center" vertical="center"/>
    </xf>
    <xf numFmtId="0" fontId="16" fillId="8" borderId="0" xfId="0" applyFont="1" applyFill="1" applyBorder="1" applyAlignment="1">
      <alignment horizontal="center" vertical="center"/>
    </xf>
    <xf numFmtId="0" fontId="0" fillId="0" borderId="0" xfId="0" applyAlignment="1"/>
    <xf numFmtId="10" fontId="27" fillId="0" borderId="0" xfId="0" applyNumberFormat="1" applyFont="1" applyBorder="1" applyAlignment="1">
      <alignment horizontal="center" vertical="center"/>
    </xf>
    <xf numFmtId="10" fontId="27" fillId="0" borderId="23" xfId="0" applyNumberFormat="1" applyFont="1" applyBorder="1" applyAlignment="1">
      <alignment horizontal="center" vertical="center"/>
    </xf>
    <xf numFmtId="10" fontId="37" fillId="0" borderId="0" xfId="0" applyNumberFormat="1" applyFont="1" applyBorder="1" applyAlignment="1">
      <alignment horizontal="center" vertical="center"/>
    </xf>
    <xf numFmtId="10" fontId="37" fillId="0" borderId="16" xfId="0" applyNumberFormat="1" applyFont="1" applyBorder="1" applyAlignment="1">
      <alignment horizontal="center" vertical="center"/>
    </xf>
    <xf numFmtId="10" fontId="37" fillId="0" borderId="23" xfId="0" applyNumberFormat="1" applyFont="1" applyBorder="1" applyAlignment="1">
      <alignment horizontal="center" vertical="center"/>
    </xf>
    <xf numFmtId="0" fontId="0" fillId="4" borderId="0" xfId="0" applyFont="1" applyFill="1" applyBorder="1"/>
    <xf numFmtId="0" fontId="31" fillId="0" borderId="8" xfId="0" applyFont="1" applyBorder="1" applyAlignment="1">
      <alignment horizontal="left"/>
    </xf>
    <xf numFmtId="0" fontId="0" fillId="0" borderId="11" xfId="0" applyFill="1" applyBorder="1"/>
    <xf numFmtId="0" fontId="22" fillId="0" borderId="11" xfId="0" applyFont="1" applyFill="1" applyBorder="1" applyAlignment="1">
      <alignment horizontal="left" indent="1"/>
    </xf>
    <xf numFmtId="0" fontId="0" fillId="4" borderId="11" xfId="0" applyFont="1" applyFill="1" applyBorder="1"/>
    <xf numFmtId="10" fontId="0" fillId="0" borderId="14" xfId="0" applyNumberFormat="1" applyBorder="1"/>
    <xf numFmtId="10" fontId="0" fillId="0" borderId="17" xfId="6" applyNumberFormat="1" applyFont="1" applyBorder="1"/>
    <xf numFmtId="10" fontId="31" fillId="0" borderId="22" xfId="6" applyNumberFormat="1" applyFont="1" applyBorder="1"/>
    <xf numFmtId="10" fontId="27" fillId="0" borderId="37" xfId="0" applyNumberFormat="1" applyFont="1" applyBorder="1" applyAlignment="1">
      <alignment horizontal="center" vertical="center"/>
    </xf>
    <xf numFmtId="10" fontId="0" fillId="0" borderId="37" xfId="0" applyNumberFormat="1" applyBorder="1"/>
    <xf numFmtId="0" fontId="0" fillId="0" borderId="37" xfId="0" applyBorder="1"/>
    <xf numFmtId="10" fontId="0" fillId="0" borderId="40" xfId="6" applyNumberFormat="1" applyFont="1" applyBorder="1"/>
    <xf numFmtId="170" fontId="0" fillId="0" borderId="37" xfId="11" applyNumberFormat="1" applyFont="1" applyBorder="1"/>
    <xf numFmtId="10" fontId="0" fillId="0" borderId="37" xfId="6" applyNumberFormat="1" applyFont="1" applyBorder="1"/>
    <xf numFmtId="2" fontId="0" fillId="0" borderId="37" xfId="0" applyNumberFormat="1" applyBorder="1"/>
    <xf numFmtId="0" fontId="28" fillId="0" borderId="37" xfId="0" applyFont="1" applyBorder="1" applyAlignment="1">
      <alignment horizontal="right"/>
    </xf>
    <xf numFmtId="9" fontId="0" fillId="0" borderId="37" xfId="6" applyFont="1" applyBorder="1"/>
    <xf numFmtId="0" fontId="16" fillId="6" borderId="14" xfId="0" applyFont="1" applyFill="1" applyBorder="1" applyAlignment="1">
      <alignment horizontal="center" vertical="center"/>
    </xf>
    <xf numFmtId="0" fontId="16" fillId="8" borderId="22" xfId="0" applyFont="1" applyFill="1" applyBorder="1" applyAlignment="1">
      <alignment horizontal="center" vertical="center"/>
    </xf>
    <xf numFmtId="0" fontId="16" fillId="8" borderId="1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14" xfId="0" applyFont="1" applyFill="1" applyBorder="1" applyAlignment="1">
      <alignment horizontal="center" vertical="center"/>
    </xf>
    <xf numFmtId="10" fontId="37" fillId="0" borderId="12" xfId="0" applyNumberFormat="1" applyFont="1" applyBorder="1" applyAlignment="1">
      <alignment horizontal="center" vertical="center"/>
    </xf>
    <xf numFmtId="0" fontId="16" fillId="6" borderId="0" xfId="0" applyFont="1" applyFill="1" applyBorder="1" applyAlignment="1">
      <alignment horizontal="center" vertical="center"/>
    </xf>
    <xf numFmtId="0" fontId="0" fillId="0" borderId="17" xfId="0" applyBorder="1"/>
    <xf numFmtId="0" fontId="0" fillId="0" borderId="11" xfId="0" applyBorder="1" applyAlignment="1">
      <alignment horizontal="left" indent="2"/>
    </xf>
    <xf numFmtId="166" fontId="19" fillId="0" borderId="0" xfId="0" applyNumberFormat="1" applyFont="1" applyBorder="1"/>
    <xf numFmtId="170" fontId="19" fillId="0" borderId="12" xfId="11" applyNumberFormat="1" applyFont="1" applyBorder="1"/>
    <xf numFmtId="10" fontId="19" fillId="0" borderId="12" xfId="6" applyNumberFormat="1" applyFont="1" applyBorder="1"/>
    <xf numFmtId="171" fontId="0" fillId="0" borderId="12" xfId="6" applyNumberFormat="1" applyFont="1" applyBorder="1"/>
    <xf numFmtId="10" fontId="0" fillId="0" borderId="39" xfId="6" applyNumberFormat="1" applyFont="1" applyBorder="1"/>
    <xf numFmtId="10" fontId="0" fillId="0" borderId="14" xfId="6" applyNumberFormat="1" applyFont="1" applyBorder="1"/>
    <xf numFmtId="0" fontId="46" fillId="0" borderId="0" xfId="0" applyFont="1"/>
    <xf numFmtId="0" fontId="0" fillId="4" borderId="41" xfId="0" applyFill="1" applyBorder="1"/>
    <xf numFmtId="0" fontId="0" fillId="4" borderId="0" xfId="0" applyFill="1" applyBorder="1"/>
    <xf numFmtId="10" fontId="0" fillId="4" borderId="0" xfId="6" applyNumberFormat="1" applyFont="1" applyFill="1" applyBorder="1"/>
    <xf numFmtId="10" fontId="0" fillId="4" borderId="16" xfId="6" applyNumberFormat="1" applyFont="1" applyFill="1" applyBorder="1"/>
    <xf numFmtId="0" fontId="0" fillId="4" borderId="11" xfId="0" applyFill="1" applyBorder="1"/>
    <xf numFmtId="0" fontId="37" fillId="0" borderId="12" xfId="0" applyFont="1" applyBorder="1"/>
    <xf numFmtId="10" fontId="0" fillId="0" borderId="22" xfId="6" applyNumberFormat="1" applyFont="1" applyBorder="1"/>
    <xf numFmtId="10" fontId="0" fillId="0" borderId="15" xfId="0" applyNumberFormat="1" applyBorder="1"/>
    <xf numFmtId="170" fontId="0" fillId="0" borderId="0" xfId="11" applyNumberFormat="1" applyFont="1" applyFill="1" applyBorder="1" applyAlignment="1">
      <alignment horizontal="center"/>
    </xf>
    <xf numFmtId="170" fontId="0" fillId="0" borderId="23" xfId="11" applyNumberFormat="1" applyFont="1" applyFill="1" applyBorder="1" applyAlignment="1">
      <alignment horizontal="center"/>
    </xf>
    <xf numFmtId="170" fontId="0" fillId="0" borderId="12" xfId="11" applyNumberFormat="1" applyFont="1" applyFill="1" applyBorder="1" applyAlignment="1">
      <alignment horizontal="center"/>
    </xf>
    <xf numFmtId="10" fontId="39" fillId="0" borderId="0" xfId="6" applyNumberFormat="1" applyFont="1" applyFill="1" applyBorder="1"/>
    <xf numFmtId="10" fontId="39" fillId="0" borderId="23" xfId="6" applyNumberFormat="1" applyFont="1" applyFill="1" applyBorder="1"/>
    <xf numFmtId="10" fontId="39" fillId="0" borderId="12" xfId="6" applyNumberFormat="1" applyFont="1" applyFill="1" applyBorder="1"/>
    <xf numFmtId="9" fontId="0" fillId="0" borderId="23" xfId="0" applyNumberFormat="1" applyBorder="1"/>
    <xf numFmtId="10" fontId="0" fillId="4" borderId="23" xfId="6" applyNumberFormat="1" applyFont="1" applyFill="1" applyBorder="1"/>
    <xf numFmtId="10" fontId="0" fillId="4" borderId="12" xfId="6" applyNumberFormat="1" applyFont="1" applyFill="1" applyBorder="1"/>
    <xf numFmtId="0" fontId="16" fillId="6" borderId="0" xfId="0" applyFont="1" applyFill="1" applyBorder="1" applyAlignment="1">
      <alignment vertical="center"/>
    </xf>
    <xf numFmtId="10" fontId="37" fillId="4" borderId="0" xfId="6" applyNumberFormat="1" applyFont="1" applyFill="1" applyBorder="1"/>
    <xf numFmtId="170" fontId="0" fillId="0" borderId="12" xfId="11" applyNumberFormat="1" applyFont="1" applyBorder="1"/>
    <xf numFmtId="0" fontId="0" fillId="0" borderId="11" xfId="0" applyBorder="1" applyAlignment="1">
      <alignment horizontal="left"/>
    </xf>
    <xf numFmtId="0" fontId="31" fillId="0" borderId="11" xfId="0" applyFont="1" applyBorder="1" applyAlignment="1">
      <alignment horizontal="left"/>
    </xf>
    <xf numFmtId="0" fontId="0" fillId="0" borderId="40" xfId="0" applyBorder="1"/>
    <xf numFmtId="0" fontId="0" fillId="0" borderId="20" xfId="0" applyBorder="1"/>
    <xf numFmtId="10" fontId="0" fillId="0" borderId="47" xfId="6" applyNumberFormat="1" applyFont="1" applyBorder="1"/>
    <xf numFmtId="171" fontId="0" fillId="0" borderId="4" xfId="6" applyNumberFormat="1" applyFont="1" applyBorder="1"/>
    <xf numFmtId="171" fontId="0" fillId="0" borderId="30" xfId="6" applyNumberFormat="1" applyFont="1" applyBorder="1"/>
    <xf numFmtId="0" fontId="0" fillId="0" borderId="0" xfId="0" applyBorder="1" applyAlignment="1">
      <alignment horizontal="left" indent="1"/>
    </xf>
    <xf numFmtId="171" fontId="0" fillId="0" borderId="19" xfId="6" applyNumberFormat="1" applyFont="1" applyBorder="1"/>
    <xf numFmtId="171" fontId="0" fillId="0" borderId="1" xfId="6" applyNumberFormat="1" applyFont="1" applyBorder="1"/>
    <xf numFmtId="171" fontId="0" fillId="0" borderId="20" xfId="6" applyNumberFormat="1" applyFont="1" applyBorder="1"/>
    <xf numFmtId="0" fontId="0" fillId="0" borderId="29" xfId="0" applyBorder="1" applyAlignment="1">
      <alignment horizontal="left" indent="1"/>
    </xf>
    <xf numFmtId="0" fontId="31" fillId="0" borderId="18" xfId="0" applyFont="1" applyBorder="1" applyAlignment="1">
      <alignment horizontal="left"/>
    </xf>
    <xf numFmtId="170" fontId="0" fillId="0" borderId="9" xfId="11" applyNumberFormat="1" applyFont="1" applyBorder="1"/>
    <xf numFmtId="170" fontId="0" fillId="0" borderId="17" xfId="11" applyNumberFormat="1" applyFont="1" applyBorder="1"/>
    <xf numFmtId="170" fontId="0" fillId="0" borderId="0" xfId="11" applyNumberFormat="1" applyFont="1" applyBorder="1" applyAlignment="1">
      <alignment horizontal="center" vertical="center"/>
    </xf>
    <xf numFmtId="170" fontId="0" fillId="0" borderId="23" xfId="11" applyNumberFormat="1" applyFont="1" applyBorder="1" applyAlignment="1">
      <alignment horizontal="center" vertical="center"/>
    </xf>
    <xf numFmtId="0" fontId="0" fillId="0" borderId="0" xfId="0" applyFill="1" applyBorder="1" applyAlignment="1">
      <alignment horizontal="left" indent="1"/>
    </xf>
    <xf numFmtId="2" fontId="0" fillId="0" borderId="0" xfId="0" applyNumberFormat="1" applyBorder="1"/>
    <xf numFmtId="2" fontId="37" fillId="0" borderId="12" xfId="0" applyNumberFormat="1" applyFont="1" applyBorder="1"/>
    <xf numFmtId="166" fontId="19" fillId="0" borderId="37" xfId="0" applyNumberFormat="1" applyFont="1" applyBorder="1" applyAlignment="1">
      <alignment horizontal="center"/>
    </xf>
    <xf numFmtId="10" fontId="0" fillId="4" borderId="0" xfId="6" applyNumberFormat="1" applyFont="1" applyFill="1" applyBorder="1" applyAlignment="1">
      <alignment horizontal="right"/>
    </xf>
    <xf numFmtId="10" fontId="0" fillId="0" borderId="37" xfId="0" applyNumberFormat="1" applyFont="1" applyBorder="1" applyAlignment="1">
      <alignment horizontal="right"/>
    </xf>
    <xf numFmtId="10" fontId="0" fillId="0" borderId="37" xfId="0" applyNumberFormat="1" applyBorder="1" applyAlignment="1">
      <alignment horizontal="right"/>
    </xf>
    <xf numFmtId="170" fontId="0" fillId="0" borderId="37" xfId="11" applyNumberFormat="1" applyFont="1" applyBorder="1" applyAlignment="1">
      <alignment horizontal="center"/>
    </xf>
    <xf numFmtId="170" fontId="0" fillId="0" borderId="0" xfId="11" applyNumberFormat="1" applyFont="1" applyBorder="1" applyAlignment="1">
      <alignment horizontal="center"/>
    </xf>
    <xf numFmtId="170" fontId="0" fillId="0" borderId="16" xfId="11" applyNumberFormat="1" applyFont="1" applyBorder="1" applyAlignment="1">
      <alignment horizontal="center"/>
    </xf>
    <xf numFmtId="170" fontId="0" fillId="0" borderId="12" xfId="11" applyNumberFormat="1" applyFont="1" applyBorder="1" applyAlignment="1">
      <alignment horizontal="center"/>
    </xf>
    <xf numFmtId="10" fontId="0" fillId="0" borderId="30" xfId="6" applyNumberFormat="1" applyFont="1" applyBorder="1"/>
    <xf numFmtId="0" fontId="25" fillId="0" borderId="8" xfId="10" applyBorder="1" applyAlignment="1">
      <alignment wrapText="1"/>
    </xf>
    <xf numFmtId="0" fontId="25" fillId="0" borderId="11" xfId="10" applyBorder="1" applyAlignment="1">
      <alignment wrapText="1"/>
    </xf>
    <xf numFmtId="0" fontId="25" fillId="0" borderId="13" xfId="10" applyBorder="1" applyAlignment="1">
      <alignment wrapText="1"/>
    </xf>
    <xf numFmtId="9" fontId="0" fillId="0" borderId="12" xfId="6" applyFont="1" applyBorder="1"/>
    <xf numFmtId="10" fontId="14" fillId="0" borderId="38" xfId="6" applyNumberFormat="1" applyFont="1" applyBorder="1" applyAlignment="1">
      <alignment horizontal="right" vertical="center" wrapText="1"/>
    </xf>
    <xf numFmtId="10" fontId="14" fillId="0" borderId="9" xfId="6" applyNumberFormat="1" applyFont="1" applyBorder="1" applyAlignment="1">
      <alignment horizontal="right" vertical="center" wrapText="1"/>
    </xf>
    <xf numFmtId="10" fontId="37" fillId="0" borderId="17" xfId="6" applyNumberFormat="1" applyFont="1" applyBorder="1" applyAlignment="1">
      <alignment horizontal="right" vertical="center" wrapText="1"/>
    </xf>
    <xf numFmtId="10" fontId="37" fillId="0" borderId="9" xfId="6" applyNumberFormat="1" applyFont="1" applyBorder="1" applyAlignment="1">
      <alignment horizontal="right" vertical="center" wrapText="1"/>
    </xf>
    <xf numFmtId="10" fontId="37" fillId="0" borderId="10" xfId="6" applyNumberFormat="1" applyFont="1" applyBorder="1" applyAlignment="1">
      <alignment horizontal="right" vertical="center" wrapText="1"/>
    </xf>
    <xf numFmtId="10" fontId="14" fillId="0" borderId="37" xfId="6" applyNumberFormat="1" applyFont="1" applyBorder="1" applyAlignment="1">
      <alignment horizontal="right" vertical="center" wrapText="1"/>
    </xf>
    <xf numFmtId="10" fontId="14" fillId="0" borderId="0" xfId="6" applyNumberFormat="1" applyFont="1" applyBorder="1" applyAlignment="1">
      <alignment horizontal="right" vertical="center" wrapText="1"/>
    </xf>
    <xf numFmtId="10" fontId="37" fillId="0" borderId="16" xfId="6" applyNumberFormat="1" applyFont="1" applyBorder="1" applyAlignment="1">
      <alignment horizontal="right" vertical="center" wrapText="1"/>
    </xf>
    <xf numFmtId="10" fontId="37" fillId="0" borderId="0" xfId="6" applyNumberFormat="1" applyFont="1" applyBorder="1" applyAlignment="1">
      <alignment horizontal="right" vertical="center" wrapText="1"/>
    </xf>
    <xf numFmtId="10" fontId="37" fillId="0" borderId="12" xfId="6" applyNumberFormat="1" applyFont="1" applyBorder="1" applyAlignment="1">
      <alignment horizontal="right" vertical="center" wrapText="1"/>
    </xf>
    <xf numFmtId="10" fontId="19" fillId="0" borderId="39" xfId="6" applyNumberFormat="1" applyFont="1" applyBorder="1" applyAlignment="1">
      <alignment horizontal="right"/>
    </xf>
    <xf numFmtId="10" fontId="19" fillId="0" borderId="14" xfId="6" applyNumberFormat="1" applyFont="1" applyBorder="1" applyAlignment="1">
      <alignment horizontal="right"/>
    </xf>
    <xf numFmtId="10" fontId="37" fillId="0" borderId="22" xfId="6" applyNumberFormat="1" applyFont="1" applyBorder="1" applyAlignment="1">
      <alignment horizontal="right"/>
    </xf>
    <xf numFmtId="10" fontId="37" fillId="0" borderId="14" xfId="6" applyNumberFormat="1" applyFont="1" applyBorder="1" applyAlignment="1">
      <alignment horizontal="right"/>
    </xf>
    <xf numFmtId="10" fontId="37" fillId="0" borderId="15" xfId="6" applyNumberFormat="1" applyFont="1" applyBorder="1" applyAlignment="1">
      <alignment horizontal="right"/>
    </xf>
    <xf numFmtId="10" fontId="37" fillId="0" borderId="0" xfId="6" applyNumberFormat="1" applyFont="1" applyBorder="1" applyAlignment="1">
      <alignment horizontal="right" vertical="center"/>
    </xf>
    <xf numFmtId="0" fontId="37" fillId="0" borderId="16" xfId="6" applyNumberFormat="1" applyFont="1" applyBorder="1"/>
    <xf numFmtId="0" fontId="0" fillId="0" borderId="18" xfId="0" applyBorder="1"/>
    <xf numFmtId="0" fontId="0" fillId="0" borderId="29" xfId="0" applyBorder="1"/>
    <xf numFmtId="10" fontId="37" fillId="4" borderId="37" xfId="0" applyNumberFormat="1" applyFont="1" applyFill="1" applyBorder="1" applyAlignment="1">
      <alignment horizontal="right"/>
    </xf>
    <xf numFmtId="10" fontId="37" fillId="0" borderId="37" xfId="0" applyNumberFormat="1" applyFont="1" applyBorder="1" applyAlignment="1">
      <alignment horizontal="right"/>
    </xf>
    <xf numFmtId="166" fontId="0" fillId="0" borderId="16" xfId="1" applyNumberFormat="1" applyFont="1" applyBorder="1"/>
    <xf numFmtId="1" fontId="0" fillId="0" borderId="16" xfId="1" applyNumberFormat="1" applyFont="1" applyBorder="1"/>
    <xf numFmtId="166" fontId="0" fillId="0" borderId="16" xfId="1" applyNumberFormat="1" applyFont="1" applyFill="1" applyBorder="1"/>
    <xf numFmtId="166" fontId="0" fillId="4" borderId="16" xfId="1" applyNumberFormat="1" applyFont="1" applyFill="1" applyBorder="1"/>
    <xf numFmtId="166" fontId="0" fillId="0" borderId="16" xfId="13" applyNumberFormat="1" applyFont="1" applyFill="1" applyBorder="1"/>
    <xf numFmtId="166" fontId="0" fillId="0" borderId="24" xfId="1" applyNumberFormat="1" applyFont="1" applyBorder="1"/>
    <xf numFmtId="0" fontId="0" fillId="0" borderId="16" xfId="0" applyBorder="1" applyAlignment="1">
      <alignment horizontal="right" indent="1"/>
    </xf>
    <xf numFmtId="0" fontId="0" fillId="0" borderId="5" xfId="0" applyBorder="1" applyAlignment="1">
      <alignment horizontal="center"/>
    </xf>
    <xf numFmtId="0" fontId="37" fillId="0" borderId="14" xfId="0" applyFont="1" applyBorder="1"/>
    <xf numFmtId="0" fontId="16" fillId="6" borderId="14" xfId="0" applyFont="1" applyFill="1" applyBorder="1" applyAlignment="1">
      <alignment vertical="center"/>
    </xf>
    <xf numFmtId="0" fontId="38" fillId="0" borderId="9" xfId="0" applyFont="1" applyBorder="1" applyAlignment="1">
      <alignment horizontal="right"/>
    </xf>
    <xf numFmtId="0" fontId="28" fillId="0" borderId="9" xfId="0" applyFont="1" applyBorder="1" applyAlignment="1">
      <alignment horizontal="right"/>
    </xf>
    <xf numFmtId="10" fontId="14" fillId="4" borderId="0" xfId="6" applyNumberFormat="1" applyFont="1" applyFill="1" applyBorder="1"/>
    <xf numFmtId="10" fontId="37" fillId="4" borderId="0" xfId="6" applyNumberFormat="1" applyFont="1" applyFill="1" applyBorder="1" applyAlignment="1">
      <alignment horizontal="right"/>
    </xf>
    <xf numFmtId="10" fontId="0" fillId="0" borderId="40" xfId="6" applyNumberFormat="1" applyFont="1" applyBorder="1" applyAlignment="1">
      <alignment horizontal="right"/>
    </xf>
    <xf numFmtId="10" fontId="31" fillId="0" borderId="47" xfId="6" applyNumberFormat="1" applyFont="1" applyBorder="1"/>
    <xf numFmtId="10" fontId="31" fillId="0" borderId="4" xfId="6" applyNumberFormat="1" applyFont="1" applyBorder="1"/>
    <xf numFmtId="170" fontId="0" fillId="0" borderId="1" xfId="11" applyNumberFormat="1" applyFont="1" applyBorder="1" applyAlignment="1">
      <alignment horizontal="center"/>
    </xf>
    <xf numFmtId="170" fontId="0" fillId="0" borderId="21" xfId="11" applyNumberFormat="1" applyFont="1" applyBorder="1" applyAlignment="1">
      <alignment horizontal="center"/>
    </xf>
    <xf numFmtId="170" fontId="0" fillId="0" borderId="23" xfId="11" applyNumberFormat="1" applyFont="1" applyBorder="1" applyAlignment="1">
      <alignment horizontal="center"/>
    </xf>
    <xf numFmtId="10" fontId="14" fillId="4" borderId="4" xfId="6" applyNumberFormat="1" applyFont="1" applyFill="1" applyBorder="1"/>
    <xf numFmtId="10" fontId="37" fillId="4" borderId="4" xfId="6" applyNumberFormat="1" applyFont="1" applyFill="1" applyBorder="1"/>
    <xf numFmtId="2" fontId="0" fillId="0" borderId="40" xfId="0" applyNumberFormat="1" applyBorder="1"/>
    <xf numFmtId="2" fontId="0" fillId="0" borderId="1" xfId="0" applyNumberFormat="1" applyBorder="1" applyAlignment="1">
      <alignment horizontal="right"/>
    </xf>
    <xf numFmtId="2" fontId="37" fillId="0" borderId="19" xfId="0" applyNumberFormat="1" applyFont="1" applyBorder="1" applyAlignment="1">
      <alignment horizontal="right"/>
    </xf>
    <xf numFmtId="2" fontId="37" fillId="0" borderId="1" xfId="0" applyNumberFormat="1" applyFont="1" applyBorder="1" applyAlignment="1">
      <alignment horizontal="right"/>
    </xf>
    <xf numFmtId="0" fontId="0" fillId="0" borderId="24" xfId="0" applyBorder="1"/>
    <xf numFmtId="10" fontId="37" fillId="0" borderId="24" xfId="6" applyNumberFormat="1" applyFont="1" applyBorder="1"/>
    <xf numFmtId="10" fontId="37" fillId="0" borderId="4" xfId="6" applyNumberFormat="1" applyFont="1" applyBorder="1"/>
    <xf numFmtId="9" fontId="0" fillId="0" borderId="40" xfId="6" applyFont="1" applyBorder="1"/>
    <xf numFmtId="9" fontId="0" fillId="0" borderId="1" xfId="6" applyFont="1" applyBorder="1"/>
    <xf numFmtId="9" fontId="0" fillId="0" borderId="47" xfId="0" applyNumberFormat="1" applyBorder="1"/>
    <xf numFmtId="9" fontId="0" fillId="0" borderId="4" xfId="0" applyNumberFormat="1" applyBorder="1"/>
    <xf numFmtId="10" fontId="0" fillId="0" borderId="24" xfId="0" applyNumberFormat="1" applyBorder="1"/>
    <xf numFmtId="10" fontId="0" fillId="0" borderId="0" xfId="0" applyNumberFormat="1" applyFont="1" applyBorder="1" applyAlignment="1">
      <alignment horizontal="right" vertical="center"/>
    </xf>
    <xf numFmtId="10" fontId="0" fillId="0" borderId="23" xfId="0" applyNumberFormat="1" applyFont="1" applyBorder="1" applyAlignment="1">
      <alignment horizontal="right" vertical="center"/>
    </xf>
    <xf numFmtId="10" fontId="37" fillId="0" borderId="0" xfId="0" applyNumberFormat="1" applyFont="1" applyBorder="1" applyAlignment="1">
      <alignment horizontal="right" vertical="center"/>
    </xf>
    <xf numFmtId="10" fontId="37" fillId="0" borderId="23" xfId="0" applyNumberFormat="1" applyFont="1" applyBorder="1" applyAlignment="1">
      <alignment horizontal="right" vertical="center"/>
    </xf>
    <xf numFmtId="0" fontId="31" fillId="0" borderId="8" xfId="0" applyFont="1" applyBorder="1" applyAlignment="1">
      <alignment horizontal="left" wrapText="1"/>
    </xf>
    <xf numFmtId="0" fontId="28" fillId="0" borderId="38" xfId="0" applyFont="1" applyBorder="1" applyAlignment="1">
      <alignment horizontal="right"/>
    </xf>
    <xf numFmtId="0" fontId="38" fillId="0" borderId="10" xfId="0" applyFont="1" applyBorder="1" applyAlignment="1">
      <alignment horizontal="right"/>
    </xf>
    <xf numFmtId="10" fontId="37" fillId="0" borderId="20" xfId="6" applyNumberFormat="1" applyFont="1" applyBorder="1"/>
    <xf numFmtId="10" fontId="0" fillId="0" borderId="30" xfId="0" applyNumberFormat="1" applyBorder="1"/>
    <xf numFmtId="0" fontId="46" fillId="0" borderId="11" xfId="0" applyFont="1" applyBorder="1"/>
    <xf numFmtId="0" fontId="0" fillId="0" borderId="18" xfId="0" applyBorder="1" applyAlignment="1">
      <alignment horizontal="left"/>
    </xf>
    <xf numFmtId="0" fontId="0" fillId="0" borderId="29" xfId="0" applyFont="1" applyBorder="1"/>
    <xf numFmtId="170" fontId="0" fillId="0" borderId="20" xfId="11" applyNumberFormat="1" applyFont="1" applyBorder="1" applyAlignment="1">
      <alignment horizontal="center"/>
    </xf>
    <xf numFmtId="10" fontId="37" fillId="4" borderId="30" xfId="6" applyNumberFormat="1" applyFont="1" applyFill="1" applyBorder="1"/>
    <xf numFmtId="10" fontId="37" fillId="4" borderId="12" xfId="6" applyNumberFormat="1" applyFont="1" applyFill="1" applyBorder="1"/>
    <xf numFmtId="2" fontId="37" fillId="0" borderId="20" xfId="0" applyNumberFormat="1" applyFont="1" applyBorder="1" applyAlignment="1">
      <alignment horizontal="right"/>
    </xf>
    <xf numFmtId="10" fontId="37" fillId="0" borderId="30" xfId="6" applyNumberFormat="1" applyFont="1" applyBorder="1"/>
    <xf numFmtId="10" fontId="27" fillId="0" borderId="40" xfId="0" applyNumberFormat="1" applyFont="1" applyBorder="1" applyAlignment="1">
      <alignment horizontal="center" vertical="center"/>
    </xf>
    <xf numFmtId="10" fontId="27" fillId="0" borderId="1" xfId="0" applyNumberFormat="1" applyFont="1" applyBorder="1" applyAlignment="1">
      <alignment horizontal="center" vertical="center"/>
    </xf>
    <xf numFmtId="10" fontId="27" fillId="0" borderId="21" xfId="0" applyNumberFormat="1" applyFont="1" applyBorder="1" applyAlignment="1">
      <alignment horizontal="center" vertical="center"/>
    </xf>
    <xf numFmtId="10" fontId="37" fillId="0" borderId="19" xfId="0" applyNumberFormat="1" applyFont="1" applyBorder="1" applyAlignment="1">
      <alignment horizontal="center" vertical="center"/>
    </xf>
    <xf numFmtId="10" fontId="37" fillId="0" borderId="1" xfId="0" applyNumberFormat="1" applyFont="1" applyBorder="1" applyAlignment="1">
      <alignment horizontal="center" vertical="center"/>
    </xf>
    <xf numFmtId="10" fontId="27" fillId="0" borderId="47" xfId="0" applyNumberFormat="1" applyFont="1" applyBorder="1" applyAlignment="1">
      <alignment horizontal="center" vertical="center"/>
    </xf>
    <xf numFmtId="10" fontId="27" fillId="0" borderId="4" xfId="0" applyNumberFormat="1" applyFont="1" applyBorder="1" applyAlignment="1">
      <alignment horizontal="center" vertical="center"/>
    </xf>
    <xf numFmtId="10" fontId="27" fillId="0" borderId="25" xfId="0" applyNumberFormat="1" applyFont="1" applyBorder="1" applyAlignment="1">
      <alignment horizontal="center" vertical="center"/>
    </xf>
    <xf numFmtId="10" fontId="37" fillId="0" borderId="24" xfId="0" applyNumberFormat="1" applyFont="1" applyBorder="1" applyAlignment="1">
      <alignment horizontal="center" vertical="center"/>
    </xf>
    <xf numFmtId="10" fontId="37" fillId="0" borderId="4" xfId="0" applyNumberFormat="1" applyFont="1" applyBorder="1" applyAlignment="1">
      <alignment horizontal="center" vertical="center"/>
    </xf>
    <xf numFmtId="10" fontId="37" fillId="0" borderId="25" xfId="0" applyNumberFormat="1" applyFont="1" applyBorder="1" applyAlignment="1">
      <alignment horizontal="center" vertical="center"/>
    </xf>
    <xf numFmtId="170" fontId="0" fillId="0" borderId="1" xfId="11" applyNumberFormat="1" applyFont="1" applyFill="1" applyBorder="1" applyAlignment="1">
      <alignment horizontal="center"/>
    </xf>
    <xf numFmtId="170" fontId="0" fillId="0" borderId="21" xfId="11" applyNumberFormat="1" applyFont="1" applyFill="1" applyBorder="1" applyAlignment="1">
      <alignment horizontal="center"/>
    </xf>
    <xf numFmtId="0" fontId="0" fillId="4" borderId="16" xfId="0" applyFont="1" applyFill="1" applyBorder="1"/>
    <xf numFmtId="10" fontId="37" fillId="4" borderId="47" xfId="0" applyNumberFormat="1" applyFont="1" applyFill="1" applyBorder="1" applyAlignment="1">
      <alignment horizontal="right"/>
    </xf>
    <xf numFmtId="170" fontId="0" fillId="0" borderId="4" xfId="11" applyNumberFormat="1" applyFont="1" applyBorder="1" applyAlignment="1">
      <alignment horizontal="center" vertical="center"/>
    </xf>
    <xf numFmtId="170" fontId="0" fillId="0" borderId="25" xfId="11" applyNumberFormat="1" applyFont="1" applyBorder="1" applyAlignment="1">
      <alignment horizontal="center" vertical="center"/>
    </xf>
    <xf numFmtId="10" fontId="37" fillId="0" borderId="20" xfId="0" applyNumberFormat="1" applyFont="1" applyBorder="1" applyAlignment="1">
      <alignment horizontal="center" vertical="center"/>
    </xf>
    <xf numFmtId="10" fontId="37" fillId="0" borderId="30" xfId="0" applyNumberFormat="1" applyFont="1" applyBorder="1" applyAlignment="1">
      <alignment horizontal="center" vertical="center"/>
    </xf>
    <xf numFmtId="10" fontId="37" fillId="0" borderId="12" xfId="0" applyNumberFormat="1" applyFont="1" applyBorder="1"/>
    <xf numFmtId="0" fontId="0" fillId="0" borderId="18" xfId="0" applyFill="1" applyBorder="1"/>
    <xf numFmtId="170" fontId="0" fillId="0" borderId="20" xfId="11" applyNumberFormat="1" applyFont="1" applyFill="1" applyBorder="1" applyAlignment="1">
      <alignment horizontal="center"/>
    </xf>
    <xf numFmtId="0" fontId="0" fillId="4" borderId="29" xfId="0" applyFont="1" applyFill="1" applyBorder="1"/>
    <xf numFmtId="0" fontId="41" fillId="0" borderId="0" xfId="0" applyFont="1"/>
    <xf numFmtId="0" fontId="41" fillId="0" borderId="0" xfId="0" applyFont="1" applyBorder="1"/>
    <xf numFmtId="0" fontId="49" fillId="0" borderId="0" xfId="0" applyFont="1" applyAlignment="1">
      <alignment horizontal="left" indent="1"/>
    </xf>
    <xf numFmtId="0" fontId="49" fillId="0" borderId="0" xfId="0" applyFont="1"/>
    <xf numFmtId="10" fontId="49" fillId="0" borderId="0" xfId="6" applyNumberFormat="1" applyFont="1"/>
    <xf numFmtId="0" fontId="49" fillId="0" borderId="11" xfId="0" applyFont="1" applyBorder="1" applyAlignment="1">
      <alignment horizontal="left" indent="1"/>
    </xf>
    <xf numFmtId="0" fontId="49" fillId="0" borderId="0" xfId="0" applyFont="1" applyBorder="1"/>
    <xf numFmtId="10" fontId="49" fillId="0" borderId="0" xfId="6" applyNumberFormat="1" applyFont="1" applyBorder="1"/>
    <xf numFmtId="10" fontId="49" fillId="0" borderId="12" xfId="6" applyNumberFormat="1" applyFont="1" applyBorder="1"/>
    <xf numFmtId="9" fontId="0" fillId="0" borderId="12" xfId="0" applyNumberFormat="1" applyBorder="1"/>
    <xf numFmtId="10" fontId="49" fillId="0" borderId="16" xfId="6" applyNumberFormat="1" applyFont="1" applyBorder="1"/>
    <xf numFmtId="10" fontId="31" fillId="0" borderId="15" xfId="6" applyNumberFormat="1" applyFont="1" applyBorder="1"/>
    <xf numFmtId="9" fontId="31" fillId="0" borderId="0" xfId="0" applyNumberFormat="1" applyFont="1" applyBorder="1"/>
    <xf numFmtId="9" fontId="31" fillId="0" borderId="16" xfId="0" applyNumberFormat="1" applyFont="1" applyBorder="1"/>
    <xf numFmtId="9" fontId="31" fillId="0" borderId="12" xfId="0" applyNumberFormat="1" applyFont="1" applyBorder="1"/>
    <xf numFmtId="170" fontId="27" fillId="0" borderId="5" xfId="11" applyNumberFormat="1" applyFont="1" applyFill="1" applyBorder="1"/>
    <xf numFmtId="170" fontId="27" fillId="0" borderId="6" xfId="11" applyNumberFormat="1" applyFont="1" applyFill="1" applyBorder="1"/>
    <xf numFmtId="0" fontId="27" fillId="0" borderId="6" xfId="11" applyNumberFormat="1" applyFont="1" applyFill="1" applyBorder="1"/>
    <xf numFmtId="170" fontId="27" fillId="0" borderId="3" xfId="11" applyNumberFormat="1" applyFont="1" applyFill="1" applyBorder="1"/>
    <xf numFmtId="0" fontId="36" fillId="0" borderId="16" xfId="0" applyFont="1" applyFill="1" applyBorder="1"/>
    <xf numFmtId="0" fontId="36" fillId="0" borderId="24" xfId="0" applyFont="1" applyFill="1" applyBorder="1"/>
    <xf numFmtId="0" fontId="36" fillId="0" borderId="5" xfId="0" applyFont="1" applyFill="1" applyBorder="1"/>
    <xf numFmtId="170" fontId="27" fillId="0" borderId="48" xfId="11" applyNumberFormat="1" applyFont="1" applyFill="1" applyBorder="1"/>
    <xf numFmtId="170" fontId="27" fillId="0" borderId="49" xfId="11" applyNumberFormat="1" applyFont="1" applyFill="1" applyBorder="1"/>
    <xf numFmtId="170" fontId="27" fillId="0" borderId="50" xfId="11" applyNumberFormat="1" applyFont="1" applyFill="1" applyBorder="1"/>
    <xf numFmtId="0" fontId="27" fillId="0" borderId="51" xfId="11" applyNumberFormat="1" applyFont="1" applyFill="1" applyBorder="1"/>
    <xf numFmtId="170" fontId="27" fillId="0" borderId="11" xfId="11" applyNumberFormat="1" applyFont="1" applyFill="1" applyBorder="1"/>
    <xf numFmtId="170" fontId="27" fillId="0" borderId="12" xfId="11" applyNumberFormat="1" applyFont="1" applyFill="1" applyBorder="1"/>
    <xf numFmtId="170" fontId="27" fillId="0" borderId="34" xfId="11" applyNumberFormat="1" applyFont="1" applyFill="1" applyBorder="1"/>
    <xf numFmtId="0" fontId="27" fillId="0" borderId="11" xfId="0" applyFont="1" applyFill="1" applyBorder="1"/>
    <xf numFmtId="0" fontId="27" fillId="0" borderId="12" xfId="0" applyFont="1" applyFill="1" applyBorder="1"/>
    <xf numFmtId="10" fontId="27" fillId="0" borderId="41" xfId="6" applyNumberFormat="1" applyFont="1" applyFill="1" applyBorder="1"/>
    <xf numFmtId="10" fontId="27" fillId="0" borderId="44" xfId="6" applyNumberFormat="1" applyFont="1" applyFill="1" applyBorder="1"/>
    <xf numFmtId="0" fontId="27" fillId="0" borderId="14" xfId="0" applyFont="1" applyFill="1" applyBorder="1"/>
    <xf numFmtId="0" fontId="27" fillId="0" borderId="15" xfId="0" applyFont="1" applyFill="1" applyBorder="1"/>
    <xf numFmtId="170" fontId="27" fillId="0" borderId="9" xfId="11" applyNumberFormat="1" applyFont="1" applyFill="1" applyBorder="1"/>
    <xf numFmtId="0" fontId="36" fillId="0" borderId="0" xfId="0" applyFont="1" applyFill="1" applyBorder="1"/>
    <xf numFmtId="0" fontId="43" fillId="0" borderId="0" xfId="0" applyFont="1" applyFill="1"/>
    <xf numFmtId="0" fontId="36" fillId="0" borderId="1" xfId="0" applyFont="1" applyFill="1" applyBorder="1"/>
    <xf numFmtId="0" fontId="36" fillId="0" borderId="4" xfId="0" applyFont="1" applyFill="1" applyBorder="1"/>
    <xf numFmtId="0" fontId="36" fillId="0" borderId="3" xfId="0" applyFont="1" applyFill="1" applyBorder="1"/>
    <xf numFmtId="0" fontId="27" fillId="0" borderId="0" xfId="0" applyFont="1" applyFill="1" applyBorder="1" applyAlignment="1">
      <alignment horizontal="left" indent="1"/>
    </xf>
    <xf numFmtId="0" fontId="36" fillId="0" borderId="0" xfId="0" applyFont="1" applyFill="1" applyBorder="1" applyAlignment="1">
      <alignment horizontal="left" indent="1"/>
    </xf>
    <xf numFmtId="0" fontId="27" fillId="0" borderId="4" xfId="0" applyFont="1" applyFill="1" applyBorder="1" applyAlignment="1">
      <alignment horizontal="left" indent="1"/>
    </xf>
    <xf numFmtId="0" fontId="0" fillId="0" borderId="0" xfId="0" applyBorder="1" applyAlignment="1">
      <alignment horizontal="left" indent="2"/>
    </xf>
    <xf numFmtId="0" fontId="31" fillId="0" borderId="0" xfId="0" applyFont="1" applyBorder="1" applyAlignment="1">
      <alignment horizontal="left" indent="1"/>
    </xf>
    <xf numFmtId="170" fontId="27" fillId="0" borderId="19" xfId="0" applyNumberFormat="1" applyFont="1" applyFill="1" applyBorder="1"/>
    <xf numFmtId="170" fontId="27" fillId="0" borderId="16" xfId="0" applyNumberFormat="1" applyFont="1" applyFill="1" applyBorder="1"/>
    <xf numFmtId="170" fontId="27" fillId="0" borderId="24" xfId="0" applyNumberFormat="1" applyFont="1" applyFill="1" applyBorder="1"/>
    <xf numFmtId="170" fontId="27" fillId="0" borderId="16" xfId="11" applyNumberFormat="1" applyFont="1" applyFill="1" applyBorder="1"/>
    <xf numFmtId="44" fontId="36" fillId="0" borderId="16" xfId="0" applyNumberFormat="1" applyFont="1" applyFill="1" applyBorder="1"/>
    <xf numFmtId="0" fontId="36" fillId="0" borderId="4" xfId="0" applyFont="1" applyFill="1" applyBorder="1" applyAlignment="1">
      <alignment horizontal="left" indent="1"/>
    </xf>
    <xf numFmtId="170" fontId="36" fillId="0" borderId="24" xfId="0" applyNumberFormat="1" applyFont="1" applyFill="1" applyBorder="1"/>
    <xf numFmtId="170" fontId="36" fillId="0" borderId="4" xfId="0" applyNumberFormat="1" applyFont="1" applyFill="1" applyBorder="1"/>
    <xf numFmtId="0" fontId="43" fillId="0" borderId="1" xfId="0" applyFont="1" applyFill="1" applyBorder="1"/>
    <xf numFmtId="0" fontId="27" fillId="0" borderId="1" xfId="0" applyFont="1" applyFill="1" applyBorder="1" applyAlignment="1">
      <alignment horizontal="left" indent="1"/>
    </xf>
    <xf numFmtId="10" fontId="27" fillId="0" borderId="1" xfId="6" applyNumberFormat="1" applyFont="1" applyFill="1" applyBorder="1"/>
    <xf numFmtId="0" fontId="44" fillId="0" borderId="8" xfId="0" applyFont="1" applyFill="1" applyBorder="1"/>
    <xf numFmtId="0" fontId="43" fillId="0" borderId="9" xfId="0" applyFont="1" applyFill="1" applyBorder="1"/>
    <xf numFmtId="170" fontId="27" fillId="0" borderId="10" xfId="11" applyNumberFormat="1" applyFont="1" applyFill="1" applyBorder="1"/>
    <xf numFmtId="0" fontId="44" fillId="0" borderId="18" xfId="0" applyFont="1" applyFill="1" applyBorder="1"/>
    <xf numFmtId="170" fontId="27" fillId="0" borderId="20" xfId="11" applyNumberFormat="1" applyFont="1" applyFill="1" applyBorder="1"/>
    <xf numFmtId="0" fontId="43" fillId="0" borderId="11" xfId="0" applyFont="1" applyFill="1" applyBorder="1"/>
    <xf numFmtId="0" fontId="36" fillId="0" borderId="11" xfId="0" applyFont="1" applyFill="1" applyBorder="1"/>
    <xf numFmtId="0" fontId="27" fillId="0" borderId="11" xfId="0" applyFont="1" applyFill="1" applyBorder="1" applyAlignment="1">
      <alignment horizontal="left" indent="1"/>
    </xf>
    <xf numFmtId="0" fontId="27" fillId="0" borderId="11" xfId="0" applyFont="1" applyFill="1" applyBorder="1" applyAlignment="1">
      <alignment horizontal="left" indent="2"/>
    </xf>
    <xf numFmtId="170" fontId="27" fillId="0" borderId="12" xfId="0" applyNumberFormat="1" applyFont="1" applyFill="1" applyBorder="1"/>
    <xf numFmtId="0" fontId="36" fillId="0" borderId="11" xfId="0" applyFont="1" applyFill="1" applyBorder="1" applyAlignment="1">
      <alignment horizontal="left" indent="1"/>
    </xf>
    <xf numFmtId="44" fontId="36" fillId="0" borderId="12" xfId="0" applyNumberFormat="1" applyFont="1" applyFill="1" applyBorder="1"/>
    <xf numFmtId="0" fontId="36" fillId="0" borderId="29" xfId="0" applyFont="1" applyFill="1" applyBorder="1" applyAlignment="1">
      <alignment horizontal="left" indent="1"/>
    </xf>
    <xf numFmtId="170" fontId="36" fillId="0" borderId="30" xfId="0" applyNumberFormat="1" applyFont="1" applyFill="1" applyBorder="1"/>
    <xf numFmtId="0" fontId="42" fillId="0" borderId="11" xfId="0" applyFont="1" applyBorder="1"/>
    <xf numFmtId="0" fontId="27" fillId="0" borderId="18" xfId="0" applyFont="1" applyFill="1" applyBorder="1" applyAlignment="1">
      <alignment horizontal="left" indent="1"/>
    </xf>
    <xf numFmtId="170" fontId="27" fillId="0" borderId="20" xfId="0" applyNumberFormat="1" applyFont="1" applyFill="1" applyBorder="1"/>
    <xf numFmtId="0" fontId="27" fillId="0" borderId="29" xfId="0" applyFont="1" applyFill="1" applyBorder="1" applyAlignment="1">
      <alignment horizontal="left" indent="1"/>
    </xf>
    <xf numFmtId="170" fontId="27" fillId="0" borderId="30" xfId="0" applyNumberFormat="1" applyFont="1" applyFill="1" applyBorder="1"/>
    <xf numFmtId="0" fontId="44" fillId="0" borderId="11" xfId="0" applyFont="1" applyFill="1" applyBorder="1"/>
    <xf numFmtId="0" fontId="27" fillId="0" borderId="18" xfId="0" applyFont="1" applyFill="1" applyBorder="1"/>
    <xf numFmtId="0" fontId="27" fillId="0" borderId="20" xfId="0" applyFont="1" applyFill="1" applyBorder="1"/>
    <xf numFmtId="0" fontId="27" fillId="0" borderId="13" xfId="0" applyFont="1" applyFill="1" applyBorder="1" applyAlignment="1">
      <alignment horizontal="left" indent="1"/>
    </xf>
    <xf numFmtId="0" fontId="27" fillId="0" borderId="14" xfId="0" applyFont="1" applyFill="1" applyBorder="1" applyAlignment="1">
      <alignment horizontal="left" indent="1"/>
    </xf>
    <xf numFmtId="170" fontId="27" fillId="0" borderId="22" xfId="0" applyNumberFormat="1" applyFont="1" applyFill="1" applyBorder="1"/>
    <xf numFmtId="170" fontId="27" fillId="0" borderId="14" xfId="0" applyNumberFormat="1" applyFont="1" applyFill="1" applyBorder="1"/>
    <xf numFmtId="170" fontId="27" fillId="0" borderId="15" xfId="0" applyNumberFormat="1" applyFont="1" applyFill="1" applyBorder="1"/>
    <xf numFmtId="170" fontId="0" fillId="0" borderId="16" xfId="0" applyNumberFormat="1" applyBorder="1"/>
    <xf numFmtId="170" fontId="31" fillId="0" borderId="16" xfId="0" applyNumberFormat="1" applyFont="1" applyBorder="1"/>
    <xf numFmtId="170" fontId="0" fillId="0" borderId="16" xfId="0" applyNumberFormat="1" applyFill="1" applyBorder="1"/>
    <xf numFmtId="0" fontId="36" fillId="0" borderId="8" xfId="0" applyFont="1" applyFill="1" applyBorder="1" applyAlignment="1">
      <alignment horizontal="left"/>
    </xf>
    <xf numFmtId="0" fontId="36" fillId="0" borderId="9" xfId="0" applyFont="1" applyFill="1" applyBorder="1" applyAlignment="1">
      <alignment horizontal="left"/>
    </xf>
    <xf numFmtId="170" fontId="0" fillId="0" borderId="12" xfId="0" applyNumberFormat="1" applyBorder="1"/>
    <xf numFmtId="0" fontId="31" fillId="0" borderId="11" xfId="0" applyFont="1" applyBorder="1" applyAlignment="1">
      <alignment horizontal="left" indent="1"/>
    </xf>
    <xf numFmtId="170" fontId="31" fillId="0" borderId="12" xfId="0" applyNumberFormat="1" applyFont="1" applyBorder="1"/>
    <xf numFmtId="0" fontId="0" fillId="0" borderId="11" xfId="0" applyFill="1" applyBorder="1" applyAlignment="1">
      <alignment horizontal="left" indent="1"/>
    </xf>
    <xf numFmtId="170" fontId="0" fillId="0" borderId="12" xfId="0" applyNumberFormat="1" applyFill="1" applyBorder="1"/>
    <xf numFmtId="0" fontId="0" fillId="0" borderId="13" xfId="0" applyFill="1" applyBorder="1"/>
    <xf numFmtId="0" fontId="0" fillId="0" borderId="14" xfId="0" applyFill="1" applyBorder="1"/>
    <xf numFmtId="0" fontId="0" fillId="0" borderId="22" xfId="0" applyFill="1" applyBorder="1"/>
    <xf numFmtId="0" fontId="0" fillId="0" borderId="15" xfId="0" applyFill="1" applyBorder="1"/>
    <xf numFmtId="0" fontId="0" fillId="0" borderId="9" xfId="11" applyNumberFormat="1" applyFont="1" applyBorder="1"/>
    <xf numFmtId="170" fontId="0" fillId="4" borderId="42" xfId="11" applyNumberFormat="1" applyFont="1" applyFill="1" applyBorder="1"/>
    <xf numFmtId="0" fontId="0" fillId="4" borderId="1" xfId="0" applyFill="1" applyBorder="1"/>
    <xf numFmtId="44" fontId="0" fillId="4" borderId="1" xfId="0" applyNumberFormat="1" applyFill="1" applyBorder="1"/>
    <xf numFmtId="0" fontId="0" fillId="4" borderId="42" xfId="0" applyFill="1" applyBorder="1"/>
    <xf numFmtId="170" fontId="0" fillId="4" borderId="42" xfId="0" applyNumberFormat="1" applyFill="1" applyBorder="1"/>
    <xf numFmtId="44" fontId="0" fillId="4" borderId="42" xfId="0" applyNumberFormat="1" applyFill="1" applyBorder="1"/>
    <xf numFmtId="44" fontId="0" fillId="4" borderId="52" xfId="0" applyNumberFormat="1" applyFill="1" applyBorder="1"/>
    <xf numFmtId="44" fontId="0" fillId="0" borderId="0" xfId="0" applyNumberFormat="1" applyBorder="1"/>
    <xf numFmtId="44" fontId="0" fillId="0" borderId="12" xfId="0" applyNumberFormat="1" applyBorder="1"/>
    <xf numFmtId="0" fontId="0" fillId="4" borderId="18" xfId="0" applyFill="1" applyBorder="1"/>
    <xf numFmtId="44" fontId="0" fillId="4" borderId="35" xfId="0" applyNumberFormat="1" applyFill="1" applyBorder="1"/>
    <xf numFmtId="44" fontId="0" fillId="0" borderId="16" xfId="11" applyNumberFormat="1" applyFont="1" applyBorder="1"/>
    <xf numFmtId="44" fontId="0" fillId="0" borderId="16" xfId="0" applyNumberFormat="1" applyBorder="1"/>
    <xf numFmtId="0" fontId="0" fillId="0" borderId="53" xfId="0" applyBorder="1"/>
    <xf numFmtId="0" fontId="0" fillId="4" borderId="54" xfId="0" applyFill="1" applyBorder="1"/>
    <xf numFmtId="170" fontId="0" fillId="0" borderId="16" xfId="11" applyNumberFormat="1" applyFont="1" applyBorder="1" applyAlignment="1">
      <alignment horizontal="center" vertical="center"/>
    </xf>
    <xf numFmtId="166" fontId="19" fillId="0" borderId="9" xfId="0" applyNumberFormat="1" applyFont="1" applyBorder="1" applyAlignment="1">
      <alignment horizontal="center" vertical="center"/>
    </xf>
    <xf numFmtId="166" fontId="0" fillId="0" borderId="9" xfId="0" applyNumberFormat="1" applyFont="1" applyBorder="1" applyAlignment="1">
      <alignment horizontal="center" vertical="center"/>
    </xf>
    <xf numFmtId="166" fontId="0" fillId="0" borderId="9" xfId="0" applyNumberFormat="1" applyFont="1" applyFill="1" applyBorder="1" applyAlignment="1">
      <alignment horizontal="center" vertical="center"/>
    </xf>
    <xf numFmtId="170" fontId="27" fillId="0" borderId="17" xfId="11" applyNumberFormat="1" applyFont="1" applyFill="1" applyBorder="1" applyAlignment="1">
      <alignment horizontal="center" vertical="center"/>
    </xf>
    <xf numFmtId="170" fontId="27" fillId="0" borderId="9" xfId="11" applyNumberFormat="1" applyFont="1" applyFill="1" applyBorder="1" applyAlignment="1">
      <alignment horizontal="center" vertical="center"/>
    </xf>
    <xf numFmtId="170" fontId="27" fillId="0" borderId="10" xfId="11" applyNumberFormat="1" applyFont="1" applyFill="1" applyBorder="1" applyAlignment="1">
      <alignment horizontal="center" vertical="center"/>
    </xf>
    <xf numFmtId="166" fontId="19" fillId="0" borderId="0" xfId="0" applyNumberFormat="1" applyFont="1" applyBorder="1" applyAlignment="1">
      <alignment horizontal="center" vertical="center"/>
    </xf>
    <xf numFmtId="166" fontId="0" fillId="0" borderId="0" xfId="0" applyNumberFormat="1" applyFont="1" applyBorder="1" applyAlignment="1">
      <alignment horizontal="center" vertical="center"/>
    </xf>
    <xf numFmtId="166" fontId="0" fillId="0" borderId="0" xfId="0" applyNumberFormat="1" applyBorder="1" applyAlignment="1">
      <alignment horizontal="center" vertical="center"/>
    </xf>
    <xf numFmtId="170" fontId="0" fillId="0" borderId="12" xfId="11" applyNumberFormat="1" applyFont="1" applyBorder="1" applyAlignment="1">
      <alignment horizontal="center" vertical="center"/>
    </xf>
    <xf numFmtId="9" fontId="30" fillId="0" borderId="0" xfId="6" applyNumberFormat="1" applyFont="1" applyBorder="1"/>
    <xf numFmtId="2" fontId="0" fillId="4" borderId="42" xfId="0" applyNumberFormat="1" applyFill="1" applyBorder="1"/>
    <xf numFmtId="2" fontId="0" fillId="4" borderId="52" xfId="0" applyNumberFormat="1" applyFill="1" applyBorder="1"/>
    <xf numFmtId="0" fontId="31" fillId="4" borderId="34" xfId="0" applyFont="1" applyFill="1" applyBorder="1"/>
    <xf numFmtId="0" fontId="0" fillId="4" borderId="34" xfId="0" applyFont="1" applyFill="1" applyBorder="1"/>
    <xf numFmtId="10" fontId="20" fillId="4" borderId="3" xfId="6" applyNumberFormat="1" applyFont="1" applyFill="1" applyBorder="1"/>
    <xf numFmtId="10" fontId="31" fillId="4" borderId="3" xfId="6" applyNumberFormat="1" applyFont="1" applyFill="1" applyBorder="1"/>
    <xf numFmtId="10" fontId="31" fillId="4" borderId="5" xfId="6" applyNumberFormat="1" applyFont="1" applyFill="1" applyBorder="1"/>
    <xf numFmtId="10" fontId="31" fillId="4" borderId="35" xfId="6" applyNumberFormat="1" applyFont="1" applyFill="1" applyBorder="1"/>
    <xf numFmtId="0" fontId="49" fillId="0" borderId="11" xfId="0" applyFont="1" applyBorder="1"/>
    <xf numFmtId="10" fontId="49" fillId="0" borderId="16" xfId="0" applyNumberFormat="1" applyFont="1" applyBorder="1"/>
    <xf numFmtId="10" fontId="49" fillId="0" borderId="0" xfId="0" applyNumberFormat="1" applyFont="1" applyBorder="1"/>
    <xf numFmtId="0" fontId="31" fillId="4" borderId="41" xfId="0" applyFont="1" applyFill="1" applyBorder="1"/>
    <xf numFmtId="0" fontId="50" fillId="0" borderId="11" xfId="0" applyFont="1" applyBorder="1"/>
    <xf numFmtId="2" fontId="0" fillId="4" borderId="43" xfId="0" applyNumberFormat="1" applyFill="1" applyBorder="1"/>
    <xf numFmtId="170" fontId="27" fillId="0" borderId="9" xfId="0" applyNumberFormat="1" applyFont="1" applyFill="1" applyBorder="1"/>
    <xf numFmtId="170" fontId="27" fillId="0" borderId="17" xfId="0" applyNumberFormat="1" applyFont="1" applyFill="1" applyBorder="1"/>
    <xf numFmtId="0" fontId="48" fillId="0" borderId="13" xfId="0" applyFont="1" applyBorder="1"/>
    <xf numFmtId="2" fontId="48" fillId="0" borderId="14" xfId="0" applyNumberFormat="1" applyFont="1" applyBorder="1"/>
    <xf numFmtId="2" fontId="48" fillId="0" borderId="15" xfId="0" applyNumberFormat="1" applyFont="1" applyBorder="1"/>
    <xf numFmtId="2" fontId="48" fillId="0" borderId="22" xfId="0" applyNumberFormat="1" applyFont="1" applyBorder="1"/>
    <xf numFmtId="0" fontId="0" fillId="0" borderId="0" xfId="0" applyFont="1" applyFill="1" applyBorder="1"/>
    <xf numFmtId="3" fontId="0" fillId="0" borderId="0" xfId="0" applyNumberFormat="1" applyFont="1" applyFill="1" applyBorder="1"/>
    <xf numFmtId="0" fontId="0" fillId="0" borderId="1" xfId="0" applyFont="1" applyFill="1" applyBorder="1"/>
    <xf numFmtId="0" fontId="0" fillId="0" borderId="0" xfId="0" applyFont="1" applyFill="1" applyBorder="1" applyAlignment="1">
      <alignment wrapText="1"/>
    </xf>
    <xf numFmtId="44" fontId="0" fillId="0" borderId="0" xfId="0" applyNumberFormat="1" applyFont="1" applyFill="1" applyBorder="1" applyAlignment="1">
      <alignment wrapText="1"/>
    </xf>
    <xf numFmtId="3" fontId="0" fillId="0" borderId="0" xfId="0" applyNumberFormat="1" applyFont="1" applyFill="1" applyBorder="1" applyAlignment="1">
      <alignment wrapText="1"/>
    </xf>
    <xf numFmtId="1" fontId="0" fillId="0" borderId="0" xfId="0" applyNumberFormat="1" applyFont="1" applyFill="1" applyBorder="1" applyAlignment="1">
      <alignment wrapText="1"/>
    </xf>
    <xf numFmtId="0" fontId="0" fillId="0" borderId="11" xfId="0" applyFont="1" applyFill="1" applyBorder="1"/>
    <xf numFmtId="0" fontId="0" fillId="0" borderId="12" xfId="0" applyFont="1" applyFill="1" applyBorder="1"/>
    <xf numFmtId="0" fontId="0" fillId="4" borderId="48" xfId="0" applyFont="1" applyFill="1" applyBorder="1"/>
    <xf numFmtId="170" fontId="0" fillId="4" borderId="59" xfId="11" applyNumberFormat="1" applyFont="1" applyFill="1" applyBorder="1"/>
    <xf numFmtId="170" fontId="0" fillId="4" borderId="50" xfId="11" applyNumberFormat="1" applyFont="1" applyFill="1" applyBorder="1"/>
    <xf numFmtId="170" fontId="0" fillId="4" borderId="51" xfId="11" applyNumberFormat="1" applyFont="1" applyFill="1" applyBorder="1"/>
    <xf numFmtId="170" fontId="0" fillId="4" borderId="0" xfId="11" applyNumberFormat="1" applyFont="1" applyFill="1" applyBorder="1"/>
    <xf numFmtId="170" fontId="0" fillId="4" borderId="16" xfId="11" applyNumberFormat="1" applyFont="1" applyFill="1" applyBorder="1"/>
    <xf numFmtId="170" fontId="0" fillId="4" borderId="12" xfId="11" applyNumberFormat="1" applyFont="1" applyFill="1" applyBorder="1"/>
    <xf numFmtId="0" fontId="0" fillId="4" borderId="36" xfId="0" applyFont="1" applyFill="1" applyBorder="1"/>
    <xf numFmtId="170" fontId="0" fillId="4" borderId="3" xfId="11" applyNumberFormat="1" applyFont="1" applyFill="1" applyBorder="1"/>
    <xf numFmtId="170" fontId="0" fillId="4" borderId="5" xfId="11" applyNumberFormat="1" applyFont="1" applyFill="1" applyBorder="1"/>
    <xf numFmtId="170" fontId="0" fillId="4" borderId="35" xfId="11" applyNumberFormat="1" applyFont="1" applyFill="1" applyBorder="1"/>
    <xf numFmtId="0" fontId="0" fillId="4" borderId="12" xfId="0" applyFont="1" applyFill="1" applyBorder="1"/>
    <xf numFmtId="170" fontId="0" fillId="4" borderId="16" xfId="0" applyNumberFormat="1" applyFont="1" applyFill="1" applyBorder="1"/>
    <xf numFmtId="170" fontId="0" fillId="4" borderId="0" xfId="0" applyNumberFormat="1" applyFont="1" applyFill="1" applyBorder="1"/>
    <xf numFmtId="0" fontId="0" fillId="4" borderId="11" xfId="0" applyFont="1" applyFill="1" applyBorder="1" applyAlignment="1">
      <alignment horizontal="left" indent="1"/>
    </xf>
    <xf numFmtId="0" fontId="0" fillId="4" borderId="59" xfId="0" applyFont="1" applyFill="1" applyBorder="1"/>
    <xf numFmtId="0" fontId="0" fillId="4" borderId="2" xfId="0" applyFont="1" applyFill="1" applyBorder="1"/>
    <xf numFmtId="0" fontId="0" fillId="4" borderId="3" xfId="0" applyFont="1" applyFill="1" applyBorder="1"/>
    <xf numFmtId="0" fontId="0" fillId="4" borderId="0" xfId="0" applyFont="1" applyFill="1" applyBorder="1" applyAlignment="1">
      <alignment horizontal="left" indent="1"/>
    </xf>
    <xf numFmtId="44" fontId="27" fillId="0" borderId="0" xfId="0" applyNumberFormat="1" applyFont="1" applyFill="1" applyBorder="1"/>
    <xf numFmtId="44" fontId="48" fillId="0" borderId="0" xfId="0" applyNumberFormat="1" applyFont="1" applyFill="1" applyBorder="1"/>
    <xf numFmtId="0" fontId="0" fillId="0" borderId="1" xfId="0" applyFont="1" applyFill="1" applyBorder="1" applyAlignment="1">
      <alignment wrapText="1"/>
    </xf>
    <xf numFmtId="44" fontId="0" fillId="0" borderId="1" xfId="0" applyNumberFormat="1" applyFont="1" applyFill="1" applyBorder="1" applyAlignment="1">
      <alignment wrapText="1"/>
    </xf>
    <xf numFmtId="3" fontId="0" fillId="0" borderId="1" xfId="0" applyNumberFormat="1" applyFont="1" applyFill="1" applyBorder="1" applyAlignment="1">
      <alignment horizontal="right" wrapText="1"/>
    </xf>
    <xf numFmtId="44" fontId="27" fillId="0" borderId="1" xfId="0" applyNumberFormat="1" applyFont="1" applyFill="1" applyBorder="1"/>
    <xf numFmtId="44" fontId="27" fillId="0" borderId="21" xfId="0" applyNumberFormat="1" applyFont="1" applyFill="1" applyBorder="1"/>
    <xf numFmtId="44" fontId="27" fillId="0" borderId="23" xfId="0" applyNumberFormat="1" applyFont="1" applyFill="1" applyBorder="1"/>
    <xf numFmtId="0" fontId="0" fillId="0" borderId="4" xfId="0" applyFont="1" applyFill="1" applyBorder="1"/>
    <xf numFmtId="44" fontId="0" fillId="0" borderId="25" xfId="0" applyNumberFormat="1" applyFont="1" applyFill="1" applyBorder="1" applyAlignment="1">
      <alignment wrapText="1"/>
    </xf>
    <xf numFmtId="0" fontId="0" fillId="0" borderId="9" xfId="0" applyFont="1" applyFill="1" applyBorder="1"/>
    <xf numFmtId="0" fontId="0" fillId="0" borderId="10" xfId="0" applyFont="1" applyFill="1" applyBorder="1"/>
    <xf numFmtId="0" fontId="0" fillId="0" borderId="18" xfId="0" applyFont="1" applyBorder="1"/>
    <xf numFmtId="44" fontId="48" fillId="0" borderId="12" xfId="0" applyNumberFormat="1" applyFont="1" applyFill="1" applyBorder="1"/>
    <xf numFmtId="0" fontId="0" fillId="0" borderId="13" xfId="0" applyFont="1" applyFill="1" applyBorder="1"/>
    <xf numFmtId="0" fontId="0" fillId="0" borderId="14" xfId="0" applyFont="1" applyFill="1" applyBorder="1"/>
    <xf numFmtId="0" fontId="0" fillId="0" borderId="15" xfId="0" applyFont="1" applyFill="1" applyBorder="1"/>
    <xf numFmtId="44" fontId="0" fillId="4" borderId="0" xfId="11" applyNumberFormat="1" applyFont="1" applyFill="1" applyBorder="1"/>
    <xf numFmtId="170" fontId="0" fillId="4" borderId="61" xfId="11" applyNumberFormat="1" applyFont="1" applyFill="1" applyBorder="1"/>
    <xf numFmtId="170" fontId="0" fillId="4" borderId="4" xfId="11" applyNumberFormat="1" applyFont="1" applyFill="1" applyBorder="1"/>
    <xf numFmtId="44" fontId="0" fillId="4" borderId="2" xfId="0" applyNumberFormat="1" applyFont="1" applyFill="1" applyBorder="1"/>
    <xf numFmtId="44" fontId="0" fillId="4" borderId="28" xfId="0" applyNumberFormat="1" applyFont="1" applyFill="1" applyBorder="1"/>
    <xf numFmtId="0" fontId="31" fillId="4" borderId="42" xfId="0" applyFont="1" applyFill="1" applyBorder="1"/>
    <xf numFmtId="44" fontId="0" fillId="4" borderId="16" xfId="0" applyNumberFormat="1" applyFont="1" applyFill="1" applyBorder="1"/>
    <xf numFmtId="44" fontId="0" fillId="4" borderId="0" xfId="0" applyNumberFormat="1" applyFont="1" applyFill="1" applyBorder="1"/>
    <xf numFmtId="44" fontId="0" fillId="4" borderId="12" xfId="0" applyNumberFormat="1" applyFont="1" applyFill="1" applyBorder="1"/>
    <xf numFmtId="44" fontId="31" fillId="4" borderId="43" xfId="0" applyNumberFormat="1" applyFont="1" applyFill="1" applyBorder="1"/>
    <xf numFmtId="44" fontId="31" fillId="4" borderId="42" xfId="0" applyNumberFormat="1" applyFont="1" applyFill="1" applyBorder="1"/>
    <xf numFmtId="44" fontId="31" fillId="4" borderId="52" xfId="0" applyNumberFormat="1" applyFont="1" applyFill="1" applyBorder="1"/>
    <xf numFmtId="0" fontId="31" fillId="4" borderId="36" xfId="0" applyFont="1" applyFill="1" applyBorder="1"/>
    <xf numFmtId="0" fontId="31" fillId="4" borderId="2" xfId="0" applyFont="1" applyFill="1" applyBorder="1"/>
    <xf numFmtId="170" fontId="31" fillId="4" borderId="2" xfId="11" applyNumberFormat="1" applyFont="1" applyFill="1" applyBorder="1"/>
    <xf numFmtId="170" fontId="31" fillId="4" borderId="27" xfId="11" applyNumberFormat="1" applyFont="1" applyFill="1" applyBorder="1"/>
    <xf numFmtId="170" fontId="31" fillId="4" borderId="60" xfId="11" applyNumberFormat="1" applyFont="1" applyFill="1" applyBorder="1"/>
    <xf numFmtId="44" fontId="27" fillId="0" borderId="19" xfId="0" applyNumberFormat="1" applyFont="1" applyFill="1" applyBorder="1"/>
    <xf numFmtId="44" fontId="27" fillId="0" borderId="16" xfId="0" applyNumberFormat="1" applyFont="1" applyFill="1" applyBorder="1"/>
    <xf numFmtId="0" fontId="0" fillId="0" borderId="24" xfId="0" applyFont="1" applyFill="1" applyBorder="1"/>
    <xf numFmtId="42" fontId="0" fillId="0" borderId="16" xfId="11" applyNumberFormat="1" applyFont="1" applyBorder="1"/>
    <xf numFmtId="42" fontId="0" fillId="0" borderId="0" xfId="11" applyNumberFormat="1" applyFont="1" applyFill="1" applyBorder="1"/>
    <xf numFmtId="42" fontId="0" fillId="0" borderId="16" xfId="11" applyNumberFormat="1" applyFont="1" applyFill="1" applyBorder="1"/>
    <xf numFmtId="42" fontId="31" fillId="0" borderId="0" xfId="11" applyNumberFormat="1" applyFont="1" applyFill="1" applyBorder="1"/>
    <xf numFmtId="42" fontId="31" fillId="0" borderId="16" xfId="11" applyNumberFormat="1" applyFont="1" applyFill="1" applyBorder="1"/>
    <xf numFmtId="42" fontId="37" fillId="0" borderId="16" xfId="11" applyNumberFormat="1" applyFont="1" applyFill="1" applyBorder="1"/>
    <xf numFmtId="42" fontId="37" fillId="0" borderId="0" xfId="11" applyNumberFormat="1" applyFont="1" applyFill="1" applyBorder="1"/>
    <xf numFmtId="42" fontId="31" fillId="0" borderId="2" xfId="11" applyNumberFormat="1" applyFont="1" applyFill="1" applyBorder="1"/>
    <xf numFmtId="42" fontId="31" fillId="0" borderId="27" xfId="11" applyNumberFormat="1" applyFont="1" applyFill="1" applyBorder="1"/>
    <xf numFmtId="42" fontId="0" fillId="0" borderId="9" xfId="11" applyNumberFormat="1" applyFont="1" applyBorder="1"/>
    <xf numFmtId="42" fontId="0" fillId="0" borderId="17" xfId="11" applyNumberFormat="1" applyFont="1" applyBorder="1"/>
    <xf numFmtId="42" fontId="0" fillId="0" borderId="10" xfId="11" applyNumberFormat="1" applyFont="1" applyBorder="1"/>
    <xf numFmtId="44" fontId="0" fillId="0" borderId="12" xfId="11" applyNumberFormat="1" applyFont="1" applyBorder="1"/>
    <xf numFmtId="42" fontId="0" fillId="0" borderId="12" xfId="11" applyNumberFormat="1" applyFont="1" applyBorder="1"/>
    <xf numFmtId="9" fontId="37" fillId="0" borderId="12" xfId="6" applyFont="1" applyBorder="1"/>
    <xf numFmtId="0" fontId="0" fillId="0" borderId="13" xfId="0" applyBorder="1" applyAlignment="1">
      <alignment horizontal="left"/>
    </xf>
    <xf numFmtId="42" fontId="0" fillId="0" borderId="14" xfId="11" applyNumberFormat="1" applyFont="1" applyBorder="1"/>
    <xf numFmtId="42" fontId="0" fillId="0" borderId="22" xfId="11" applyNumberFormat="1" applyFont="1" applyBorder="1"/>
    <xf numFmtId="42" fontId="0" fillId="0" borderId="15" xfId="11" applyNumberFormat="1" applyFont="1" applyBorder="1"/>
    <xf numFmtId="0" fontId="31" fillId="0" borderId="31" xfId="0" applyFont="1" applyBorder="1"/>
    <xf numFmtId="42" fontId="31" fillId="0" borderId="45" xfId="11" applyNumberFormat="1" applyFont="1" applyBorder="1"/>
    <xf numFmtId="42" fontId="31" fillId="0" borderId="46" xfId="11" applyNumberFormat="1" applyFont="1" applyBorder="1"/>
    <xf numFmtId="42" fontId="31" fillId="0" borderId="32" xfId="11" applyNumberFormat="1" applyFont="1" applyBorder="1"/>
    <xf numFmtId="0" fontId="31" fillId="0" borderId="48" xfId="11" applyNumberFormat="1" applyFont="1" applyFill="1" applyBorder="1"/>
    <xf numFmtId="42" fontId="31" fillId="0" borderId="59" xfId="11" applyNumberFormat="1" applyFont="1" applyFill="1" applyBorder="1"/>
    <xf numFmtId="42" fontId="31" fillId="0" borderId="50" xfId="11" applyNumberFormat="1" applyFont="1" applyFill="1" applyBorder="1"/>
    <xf numFmtId="42" fontId="31" fillId="0" borderId="51" xfId="11" applyNumberFormat="1" applyFont="1" applyFill="1" applyBorder="1"/>
    <xf numFmtId="0" fontId="0" fillId="0" borderId="11" xfId="11" applyNumberFormat="1" applyFont="1" applyFill="1" applyBorder="1" applyAlignment="1">
      <alignment horizontal="left" indent="1"/>
    </xf>
    <xf numFmtId="42" fontId="0" fillId="0" borderId="12" xfId="11" applyNumberFormat="1" applyFont="1" applyFill="1" applyBorder="1"/>
    <xf numFmtId="0" fontId="31" fillId="0" borderId="11" xfId="11" applyNumberFormat="1" applyFont="1" applyFill="1" applyBorder="1" applyAlignment="1">
      <alignment horizontal="left" indent="1"/>
    </xf>
    <xf numFmtId="42" fontId="31" fillId="0" borderId="12" xfId="11" applyNumberFormat="1" applyFont="1" applyFill="1" applyBorder="1"/>
    <xf numFmtId="42" fontId="37" fillId="0" borderId="12" xfId="11" applyNumberFormat="1" applyFont="1" applyFill="1" applyBorder="1"/>
    <xf numFmtId="0" fontId="31" fillId="0" borderId="36" xfId="11" applyNumberFormat="1" applyFont="1" applyFill="1" applyBorder="1"/>
    <xf numFmtId="42" fontId="31" fillId="0" borderId="60" xfId="11" applyNumberFormat="1" applyFont="1" applyFill="1" applyBorder="1"/>
    <xf numFmtId="0" fontId="24" fillId="0" borderId="0" xfId="0" applyFont="1" applyFill="1"/>
    <xf numFmtId="0" fontId="23" fillId="0" borderId="31" xfId="17" applyFont="1" applyBorder="1"/>
    <xf numFmtId="9" fontId="23" fillId="0" borderId="45" xfId="17" applyNumberFormat="1" applyFont="1" applyFill="1" applyBorder="1"/>
    <xf numFmtId="9" fontId="23" fillId="0" borderId="32" xfId="17" applyNumberFormat="1" applyFont="1" applyFill="1" applyBorder="1"/>
    <xf numFmtId="0" fontId="8" fillId="0" borderId="11" xfId="17" applyFont="1" applyBorder="1"/>
    <xf numFmtId="170" fontId="9" fillId="0" borderId="0" xfId="11" applyNumberFormat="1" applyFont="1" applyBorder="1"/>
    <xf numFmtId="170" fontId="9" fillId="0" borderId="12" xfId="11" applyNumberFormat="1" applyFont="1" applyBorder="1"/>
    <xf numFmtId="0" fontId="9" fillId="0" borderId="11" xfId="17" applyFont="1" applyBorder="1"/>
    <xf numFmtId="0" fontId="9" fillId="0" borderId="11" xfId="17" applyBorder="1" applyAlignment="1">
      <alignment horizontal="left" indent="3"/>
    </xf>
    <xf numFmtId="0" fontId="9" fillId="5" borderId="0" xfId="17" applyFill="1" applyBorder="1" applyAlignment="1">
      <alignment horizontal="left" indent="3"/>
    </xf>
    <xf numFmtId="0" fontId="9" fillId="0" borderId="0" xfId="17" applyBorder="1" applyAlignment="1">
      <alignment horizontal="left" indent="3"/>
    </xf>
    <xf numFmtId="0" fontId="9" fillId="0" borderId="11" xfId="17" applyBorder="1"/>
    <xf numFmtId="0" fontId="9" fillId="0" borderId="0" xfId="17" applyBorder="1"/>
    <xf numFmtId="0" fontId="23" fillId="0" borderId="11" xfId="17" applyFont="1" applyBorder="1"/>
    <xf numFmtId="0" fontId="9" fillId="0" borderId="11" xfId="17" applyFill="1" applyBorder="1"/>
    <xf numFmtId="170" fontId="9" fillId="0" borderId="0" xfId="11" applyNumberFormat="1" applyFont="1" applyFill="1" applyBorder="1"/>
    <xf numFmtId="170" fontId="9" fillId="0" borderId="12" xfId="11" applyNumberFormat="1" applyFont="1" applyFill="1" applyBorder="1"/>
    <xf numFmtId="0" fontId="9" fillId="0" borderId="12" xfId="17" applyBorder="1"/>
    <xf numFmtId="0" fontId="23" fillId="0" borderId="0" xfId="17" applyFont="1" applyBorder="1"/>
    <xf numFmtId="0" fontId="9" fillId="5" borderId="0" xfId="17" applyFill="1" applyBorder="1"/>
    <xf numFmtId="44" fontId="9" fillId="0" borderId="12" xfId="11" applyFont="1" applyBorder="1"/>
    <xf numFmtId="44" fontId="9" fillId="5" borderId="0" xfId="11" applyFont="1" applyFill="1" applyBorder="1"/>
    <xf numFmtId="0" fontId="23" fillId="0" borderId="11" xfId="17" applyFont="1" applyBorder="1" applyAlignment="1">
      <alignment horizontal="left" indent="4"/>
    </xf>
    <xf numFmtId="0" fontId="23" fillId="5" borderId="0" xfId="17" applyFont="1" applyFill="1" applyBorder="1" applyAlignment="1">
      <alignment horizontal="left" indent="4"/>
    </xf>
    <xf numFmtId="44" fontId="23" fillId="5" borderId="0" xfId="11" applyFont="1" applyFill="1" applyBorder="1"/>
    <xf numFmtId="44" fontId="23" fillId="0" borderId="0" xfId="11" applyFont="1" applyBorder="1"/>
    <xf numFmtId="44" fontId="23" fillId="0" borderId="12" xfId="11" applyFont="1" applyBorder="1"/>
    <xf numFmtId="0" fontId="9" fillId="0" borderId="18" xfId="17" applyBorder="1" applyAlignment="1">
      <alignment horizontal="left"/>
    </xf>
    <xf numFmtId="44" fontId="9" fillId="0" borderId="20" xfId="11" applyFont="1" applyBorder="1"/>
    <xf numFmtId="0" fontId="9" fillId="0" borderId="18" xfId="17" applyFont="1" applyBorder="1" applyAlignment="1">
      <alignment horizontal="left"/>
    </xf>
    <xf numFmtId="0" fontId="9" fillId="0" borderId="11" xfId="17" applyFont="1" applyBorder="1" applyAlignment="1">
      <alignment horizontal="left"/>
    </xf>
    <xf numFmtId="0" fontId="9" fillId="0" borderId="13" xfId="17" applyFont="1" applyBorder="1"/>
    <xf numFmtId="0" fontId="9" fillId="5" borderId="14" xfId="17" applyFont="1" applyFill="1" applyBorder="1"/>
    <xf numFmtId="44" fontId="9" fillId="0" borderId="14" xfId="11" applyFont="1" applyBorder="1"/>
    <xf numFmtId="44" fontId="9" fillId="0" borderId="15" xfId="11" applyFont="1" applyBorder="1"/>
    <xf numFmtId="0" fontId="23" fillId="0" borderId="8" xfId="17" applyFont="1" applyBorder="1"/>
    <xf numFmtId="170" fontId="23" fillId="0" borderId="9" xfId="11" applyNumberFormat="1" applyFont="1" applyFill="1" applyBorder="1"/>
    <xf numFmtId="170" fontId="23" fillId="0" borderId="10" xfId="11" applyNumberFormat="1" applyFont="1" applyFill="1" applyBorder="1"/>
    <xf numFmtId="0" fontId="9" fillId="0" borderId="16" xfId="17" applyBorder="1" applyAlignment="1">
      <alignment horizontal="left" indent="3"/>
    </xf>
    <xf numFmtId="170" fontId="9" fillId="0" borderId="4" xfId="11" applyNumberFormat="1" applyFont="1" applyBorder="1"/>
    <xf numFmtId="170" fontId="9" fillId="0" borderId="1" xfId="11" applyNumberFormat="1" applyFont="1" applyBorder="1"/>
    <xf numFmtId="0" fontId="9" fillId="0" borderId="16" xfId="17" applyBorder="1"/>
    <xf numFmtId="0" fontId="9" fillId="5" borderId="1" xfId="17" applyFill="1" applyBorder="1"/>
    <xf numFmtId="44" fontId="9" fillId="0" borderId="4" xfId="11" applyFont="1" applyBorder="1"/>
    <xf numFmtId="0" fontId="9" fillId="0" borderId="29" xfId="17" applyBorder="1" applyAlignment="1">
      <alignment horizontal="left" indent="3"/>
    </xf>
    <xf numFmtId="170" fontId="9" fillId="0" borderId="30" xfId="11" applyNumberFormat="1" applyFont="1" applyBorder="1"/>
    <xf numFmtId="0" fontId="9" fillId="0" borderId="18" xfId="17" applyBorder="1"/>
    <xf numFmtId="170" fontId="9" fillId="0" borderId="20" xfId="11" applyNumberFormat="1" applyFont="1" applyBorder="1"/>
    <xf numFmtId="0" fontId="9" fillId="0" borderId="29" xfId="17" applyBorder="1"/>
    <xf numFmtId="0" fontId="23" fillId="0" borderId="26" xfId="17" applyFont="1" applyBorder="1" applyAlignment="1">
      <alignment horizontal="center"/>
    </xf>
    <xf numFmtId="0" fontId="9" fillId="0" borderId="9" xfId="17" applyBorder="1"/>
    <xf numFmtId="44" fontId="9" fillId="0" borderId="9" xfId="11" applyFont="1" applyBorder="1"/>
    <xf numFmtId="44" fontId="9" fillId="0" borderId="10" xfId="11" applyFont="1" applyBorder="1"/>
    <xf numFmtId="0" fontId="9" fillId="0" borderId="11" xfId="17" applyBorder="1" applyAlignment="1">
      <alignment horizontal="center"/>
    </xf>
    <xf numFmtId="0" fontId="9" fillId="0" borderId="0" xfId="17" applyBorder="1" applyAlignment="1">
      <alignment horizontal="center"/>
    </xf>
    <xf numFmtId="0" fontId="9" fillId="0" borderId="13" xfId="17" applyBorder="1"/>
    <xf numFmtId="0" fontId="9" fillId="0" borderId="14" xfId="17" applyBorder="1"/>
    <xf numFmtId="0" fontId="9" fillId="0" borderId="15" xfId="17" applyBorder="1"/>
    <xf numFmtId="0" fontId="9" fillId="0" borderId="1" xfId="17" applyBorder="1" applyAlignment="1">
      <alignment horizontal="center"/>
    </xf>
    <xf numFmtId="0" fontId="9" fillId="0" borderId="16" xfId="17" applyBorder="1" applyAlignment="1">
      <alignment horizontal="center"/>
    </xf>
    <xf numFmtId="0" fontId="9" fillId="0" borderId="24" xfId="17" applyBorder="1" applyAlignment="1">
      <alignment horizontal="center"/>
    </xf>
    <xf numFmtId="0" fontId="9" fillId="0" borderId="4" xfId="17" applyBorder="1" applyAlignment="1">
      <alignment horizontal="center"/>
    </xf>
    <xf numFmtId="0" fontId="9" fillId="0" borderId="36" xfId="17" applyBorder="1"/>
    <xf numFmtId="0" fontId="9" fillId="0" borderId="2" xfId="17" applyBorder="1"/>
    <xf numFmtId="44" fontId="9" fillId="0" borderId="2" xfId="11" applyFont="1" applyBorder="1"/>
    <xf numFmtId="44" fontId="9" fillId="0" borderId="60" xfId="11" applyFont="1" applyBorder="1"/>
    <xf numFmtId="0" fontId="9" fillId="0" borderId="18" xfId="17" applyBorder="1" applyAlignment="1">
      <alignment horizontal="center"/>
    </xf>
    <xf numFmtId="0" fontId="9" fillId="0" borderId="29" xfId="17" applyBorder="1" applyAlignment="1">
      <alignment horizontal="center"/>
    </xf>
    <xf numFmtId="44" fontId="9" fillId="0" borderId="30" xfId="11" applyFont="1" applyBorder="1"/>
    <xf numFmtId="170" fontId="23" fillId="0" borderId="45" xfId="11" applyNumberFormat="1" applyFont="1" applyBorder="1"/>
    <xf numFmtId="170" fontId="23" fillId="0" borderId="32" xfId="11" applyNumberFormat="1" applyFont="1" applyBorder="1"/>
    <xf numFmtId="170" fontId="23" fillId="0" borderId="1" xfId="11" applyNumberFormat="1" applyFont="1" applyBorder="1"/>
    <xf numFmtId="170" fontId="23" fillId="0" borderId="4" xfId="11" applyNumberFormat="1" applyFont="1" applyBorder="1"/>
    <xf numFmtId="0" fontId="23" fillId="0" borderId="18" xfId="17" applyFont="1" applyBorder="1"/>
    <xf numFmtId="170" fontId="23" fillId="0" borderId="20" xfId="11" applyNumberFormat="1" applyFont="1" applyBorder="1"/>
    <xf numFmtId="0" fontId="23" fillId="0" borderId="29" xfId="17" applyFont="1" applyBorder="1" applyAlignment="1">
      <alignment horizontal="left" indent="3"/>
    </xf>
    <xf numFmtId="170" fontId="23" fillId="0" borderId="30" xfId="11" applyNumberFormat="1" applyFont="1" applyBorder="1"/>
    <xf numFmtId="0" fontId="9" fillId="0" borderId="8" xfId="17" applyBorder="1" applyAlignment="1">
      <alignment horizontal="center"/>
    </xf>
    <xf numFmtId="0" fontId="9" fillId="0" borderId="9" xfId="17" applyBorder="1" applyAlignment="1">
      <alignment horizontal="center"/>
    </xf>
    <xf numFmtId="0" fontId="23" fillId="0" borderId="8" xfId="17" applyFont="1" applyBorder="1" applyAlignment="1">
      <alignment horizontal="center"/>
    </xf>
    <xf numFmtId="0" fontId="16" fillId="6" borderId="16" xfId="0" applyFont="1" applyFill="1" applyBorder="1" applyAlignment="1">
      <alignment horizontal="center" vertical="center"/>
    </xf>
    <xf numFmtId="9" fontId="23" fillId="0" borderId="46" xfId="17" applyNumberFormat="1" applyFont="1" applyFill="1" applyBorder="1"/>
    <xf numFmtId="170" fontId="23" fillId="0" borderId="17" xfId="11" applyNumberFormat="1" applyFont="1" applyFill="1" applyBorder="1"/>
    <xf numFmtId="170" fontId="9" fillId="0" borderId="16" xfId="11" applyNumberFormat="1" applyFont="1" applyBorder="1"/>
    <xf numFmtId="0" fontId="9" fillId="5" borderId="16" xfId="17" applyFill="1" applyBorder="1" applyAlignment="1">
      <alignment horizontal="left" indent="3"/>
    </xf>
    <xf numFmtId="170" fontId="9" fillId="0" borderId="24" xfId="11" applyNumberFormat="1" applyFont="1" applyBorder="1"/>
    <xf numFmtId="170" fontId="23" fillId="0" borderId="19" xfId="11" applyNumberFormat="1" applyFont="1" applyBorder="1"/>
    <xf numFmtId="170" fontId="23" fillId="0" borderId="24" xfId="11" applyNumberFormat="1" applyFont="1" applyBorder="1"/>
    <xf numFmtId="170" fontId="23" fillId="0" borderId="46" xfId="11" applyNumberFormat="1" applyFont="1" applyBorder="1"/>
    <xf numFmtId="170" fontId="9" fillId="0" borderId="19" xfId="11" applyNumberFormat="1" applyFont="1" applyBorder="1"/>
    <xf numFmtId="170" fontId="9" fillId="0" borderId="16" xfId="11" applyNumberFormat="1" applyFont="1" applyFill="1" applyBorder="1"/>
    <xf numFmtId="0" fontId="23" fillId="0" borderId="16" xfId="17" applyFont="1" applyBorder="1"/>
    <xf numFmtId="0" fontId="9" fillId="5" borderId="19" xfId="17" applyFill="1" applyBorder="1"/>
    <xf numFmtId="0" fontId="9" fillId="5" borderId="16" xfId="17" applyFill="1" applyBorder="1"/>
    <xf numFmtId="0" fontId="23" fillId="5" borderId="16" xfId="17" applyFont="1" applyFill="1" applyBorder="1" applyAlignment="1">
      <alignment horizontal="left" indent="4"/>
    </xf>
    <xf numFmtId="0" fontId="9" fillId="5" borderId="19" xfId="17" applyFill="1" applyBorder="1" applyAlignment="1">
      <alignment horizontal="left"/>
    </xf>
    <xf numFmtId="0" fontId="9" fillId="5" borderId="19" xfId="17" applyFont="1" applyFill="1" applyBorder="1" applyAlignment="1">
      <alignment horizontal="left"/>
    </xf>
    <xf numFmtId="0" fontId="9" fillId="5" borderId="16" xfId="17" applyFont="1" applyFill="1" applyBorder="1" applyAlignment="1">
      <alignment horizontal="left"/>
    </xf>
    <xf numFmtId="0" fontId="9" fillId="5" borderId="22" xfId="17" applyFont="1" applyFill="1" applyBorder="1"/>
    <xf numFmtId="0" fontId="9" fillId="0" borderId="17" xfId="17" applyBorder="1" applyAlignment="1">
      <alignment horizontal="center"/>
    </xf>
    <xf numFmtId="0" fontId="9" fillId="0" borderId="22" xfId="17" applyBorder="1"/>
    <xf numFmtId="44" fontId="9" fillId="0" borderId="19" xfId="11" applyFont="1" applyBorder="1"/>
    <xf numFmtId="44" fontId="9" fillId="0" borderId="16" xfId="11" applyFont="1" applyBorder="1"/>
    <xf numFmtId="44" fontId="23" fillId="0" borderId="16" xfId="11" applyFont="1" applyBorder="1"/>
    <xf numFmtId="44" fontId="9" fillId="0" borderId="22" xfId="11" applyFont="1" applyBorder="1"/>
    <xf numFmtId="44" fontId="9" fillId="0" borderId="17" xfId="11" applyFont="1" applyBorder="1"/>
    <xf numFmtId="44" fontId="9" fillId="0" borderId="24" xfId="11" applyFont="1" applyBorder="1"/>
    <xf numFmtId="0" fontId="23" fillId="0" borderId="36" xfId="17" applyFont="1" applyBorder="1"/>
    <xf numFmtId="0" fontId="23" fillId="0" borderId="27" xfId="17" applyFont="1" applyBorder="1"/>
    <xf numFmtId="0" fontId="23" fillId="0" borderId="2" xfId="17" applyFont="1" applyBorder="1"/>
    <xf numFmtId="44" fontId="23" fillId="0" borderId="2" xfId="11" applyFont="1" applyBorder="1"/>
    <xf numFmtId="44" fontId="23" fillId="0" borderId="60" xfId="11" applyFont="1" applyBorder="1"/>
    <xf numFmtId="0" fontId="30" fillId="0" borderId="0" xfId="0" applyFont="1" applyBorder="1"/>
    <xf numFmtId="0" fontId="30" fillId="0" borderId="16" xfId="0" applyFont="1" applyBorder="1"/>
    <xf numFmtId="0" fontId="16" fillId="6" borderId="0" xfId="0" applyFont="1" applyFill="1" applyBorder="1" applyAlignment="1">
      <alignment horizontal="center" vertical="center"/>
    </xf>
    <xf numFmtId="0" fontId="16" fillId="6" borderId="22" xfId="0" applyFont="1" applyFill="1" applyBorder="1" applyAlignment="1">
      <alignment vertical="center"/>
    </xf>
    <xf numFmtId="0" fontId="50" fillId="0" borderId="8" xfId="0" applyFont="1" applyBorder="1"/>
    <xf numFmtId="170" fontId="40" fillId="0" borderId="17" xfId="0" applyNumberFormat="1" applyFont="1" applyBorder="1"/>
    <xf numFmtId="170" fontId="40" fillId="0" borderId="9" xfId="0" applyNumberFormat="1" applyFont="1" applyBorder="1"/>
    <xf numFmtId="170" fontId="40" fillId="0" borderId="10" xfId="0" applyNumberFormat="1" applyFont="1" applyBorder="1"/>
    <xf numFmtId="0" fontId="40" fillId="0" borderId="0" xfId="0" applyFont="1"/>
    <xf numFmtId="0" fontId="51" fillId="0" borderId="11" xfId="0" applyFont="1" applyBorder="1" applyAlignment="1">
      <alignment horizontal="right"/>
    </xf>
    <xf numFmtId="10" fontId="52" fillId="0" borderId="16" xfId="6" applyNumberFormat="1" applyFont="1" applyBorder="1"/>
    <xf numFmtId="10" fontId="52" fillId="0" borderId="0" xfId="6" applyNumberFormat="1" applyFont="1" applyBorder="1"/>
    <xf numFmtId="10" fontId="52" fillId="0" borderId="12" xfId="6" applyNumberFormat="1" applyFont="1" applyBorder="1"/>
    <xf numFmtId="10" fontId="52" fillId="0" borderId="16" xfId="0" applyNumberFormat="1" applyFont="1" applyBorder="1"/>
    <xf numFmtId="10" fontId="52" fillId="0" borderId="0" xfId="0" applyNumberFormat="1" applyFont="1" applyBorder="1"/>
    <xf numFmtId="10" fontId="52" fillId="0" borderId="12" xfId="0" applyNumberFormat="1" applyFont="1" applyBorder="1"/>
    <xf numFmtId="0" fontId="53" fillId="0" borderId="11" xfId="0" applyFont="1" applyBorder="1" applyAlignment="1">
      <alignment horizontal="right"/>
    </xf>
    <xf numFmtId="0" fontId="40" fillId="0" borderId="11" xfId="0" applyFont="1" applyBorder="1"/>
    <xf numFmtId="0" fontId="40" fillId="0" borderId="16" xfId="0" applyFont="1" applyBorder="1"/>
    <xf numFmtId="0" fontId="40" fillId="0" borderId="0" xfId="0" applyFont="1" applyBorder="1"/>
    <xf numFmtId="0" fontId="40" fillId="0" borderId="12" xfId="0" applyFont="1" applyBorder="1"/>
    <xf numFmtId="0" fontId="40" fillId="0" borderId="13" xfId="0" applyFont="1" applyBorder="1"/>
    <xf numFmtId="0" fontId="40" fillId="0" borderId="22" xfId="0" applyFont="1" applyBorder="1"/>
    <xf numFmtId="0" fontId="40" fillId="0" borderId="14" xfId="0" applyFont="1" applyBorder="1"/>
    <xf numFmtId="0" fontId="40" fillId="0" borderId="15" xfId="0" applyFont="1" applyBorder="1"/>
    <xf numFmtId="0" fontId="50" fillId="0" borderId="0" xfId="0" applyFont="1" applyAlignment="1">
      <alignment horizontal="left"/>
    </xf>
    <xf numFmtId="0" fontId="40" fillId="0" borderId="8" xfId="0" applyFont="1" applyBorder="1"/>
    <xf numFmtId="169" fontId="40" fillId="0" borderId="17" xfId="0" applyNumberFormat="1" applyFont="1" applyBorder="1"/>
    <xf numFmtId="169" fontId="40" fillId="0" borderId="9" xfId="0" applyNumberFormat="1" applyFont="1" applyBorder="1"/>
    <xf numFmtId="169" fontId="40" fillId="0" borderId="10" xfId="0" applyNumberFormat="1" applyFont="1" applyBorder="1"/>
    <xf numFmtId="169" fontId="40" fillId="0" borderId="16" xfId="0" applyNumberFormat="1" applyFont="1" applyBorder="1"/>
    <xf numFmtId="169" fontId="40" fillId="0" borderId="0" xfId="0" applyNumberFormat="1" applyFont="1" applyBorder="1"/>
    <xf numFmtId="169" fontId="40" fillId="0" borderId="12" xfId="0" applyNumberFormat="1" applyFont="1" applyBorder="1"/>
    <xf numFmtId="169" fontId="40" fillId="0" borderId="22" xfId="0" applyNumberFormat="1" applyFont="1" applyBorder="1"/>
    <xf numFmtId="169" fontId="40" fillId="0" borderId="14" xfId="0" applyNumberFormat="1" applyFont="1" applyBorder="1"/>
    <xf numFmtId="169" fontId="40" fillId="0" borderId="15" xfId="0" applyNumberFormat="1" applyFont="1" applyBorder="1"/>
    <xf numFmtId="10" fontId="40" fillId="0" borderId="17" xfId="6" applyNumberFormat="1" applyFont="1" applyBorder="1"/>
    <xf numFmtId="10" fontId="40" fillId="0" borderId="9" xfId="6" applyNumberFormat="1" applyFont="1" applyBorder="1"/>
    <xf numFmtId="10" fontId="40" fillId="0" borderId="10" xfId="6" applyNumberFormat="1" applyFont="1" applyBorder="1"/>
    <xf numFmtId="10" fontId="40" fillId="0" borderId="0" xfId="6" applyNumberFormat="1" applyFont="1"/>
    <xf numFmtId="10" fontId="40" fillId="0" borderId="16" xfId="6" applyNumberFormat="1" applyFont="1" applyBorder="1"/>
    <xf numFmtId="10" fontId="40" fillId="0" borderId="0" xfId="6" applyNumberFormat="1" applyFont="1" applyBorder="1"/>
    <xf numFmtId="10" fontId="40" fillId="0" borderId="12" xfId="6" applyNumberFormat="1" applyFont="1" applyBorder="1"/>
    <xf numFmtId="0" fontId="50" fillId="0" borderId="13" xfId="0" applyFont="1" applyBorder="1"/>
    <xf numFmtId="169" fontId="50" fillId="0" borderId="22" xfId="0" applyNumberFormat="1" applyFont="1" applyBorder="1"/>
    <xf numFmtId="169" fontId="50" fillId="0" borderId="14" xfId="0" applyNumberFormat="1" applyFont="1" applyBorder="1"/>
    <xf numFmtId="10" fontId="50" fillId="0" borderId="14" xfId="6" applyNumberFormat="1" applyFont="1" applyBorder="1"/>
    <xf numFmtId="10" fontId="50" fillId="0" borderId="15" xfId="6" applyNumberFormat="1" applyFont="1" applyBorder="1"/>
    <xf numFmtId="9" fontId="40" fillId="0" borderId="0" xfId="6" applyFont="1"/>
    <xf numFmtId="0" fontId="50" fillId="0" borderId="0" xfId="0" applyFont="1"/>
    <xf numFmtId="9" fontId="40" fillId="0" borderId="17" xfId="0" applyNumberFormat="1" applyFont="1" applyBorder="1"/>
    <xf numFmtId="9" fontId="40" fillId="0" borderId="9" xfId="0" applyNumberFormat="1" applyFont="1" applyBorder="1"/>
    <xf numFmtId="10" fontId="54" fillId="0" borderId="17" xfId="6" applyNumberFormat="1" applyFont="1" applyFill="1" applyBorder="1"/>
    <xf numFmtId="10" fontId="54" fillId="0" borderId="9" xfId="6" applyNumberFormat="1" applyFont="1" applyFill="1" applyBorder="1"/>
    <xf numFmtId="9" fontId="40" fillId="0" borderId="16" xfId="0" applyNumberFormat="1" applyFont="1" applyBorder="1"/>
    <xf numFmtId="9" fontId="40" fillId="0" borderId="0" xfId="0" applyNumberFormat="1" applyFont="1" applyBorder="1"/>
    <xf numFmtId="10" fontId="54" fillId="0" borderId="16" xfId="6" applyNumberFormat="1" applyFont="1" applyFill="1" applyBorder="1"/>
    <xf numFmtId="10" fontId="54" fillId="0" borderId="0" xfId="6" applyNumberFormat="1" applyFont="1" applyFill="1" applyBorder="1"/>
    <xf numFmtId="9" fontId="40" fillId="0" borderId="22" xfId="0" applyNumberFormat="1" applyFont="1" applyBorder="1"/>
    <xf numFmtId="9" fontId="40" fillId="0" borderId="14" xfId="0" applyNumberFormat="1" applyFont="1" applyBorder="1"/>
    <xf numFmtId="10" fontId="54" fillId="0" borderId="22" xfId="6" applyNumberFormat="1" applyFont="1" applyFill="1" applyBorder="1"/>
    <xf numFmtId="10" fontId="54" fillId="0" borderId="14" xfId="6" applyNumberFormat="1" applyFont="1" applyFill="1" applyBorder="1"/>
    <xf numFmtId="0" fontId="40" fillId="0" borderId="0" xfId="0" applyFont="1" applyFill="1"/>
    <xf numFmtId="10" fontId="40" fillId="0" borderId="0" xfId="0" applyNumberFormat="1" applyFont="1"/>
    <xf numFmtId="169" fontId="40" fillId="0" borderId="0" xfId="0" applyNumberFormat="1" applyFont="1"/>
    <xf numFmtId="0" fontId="0" fillId="0" borderId="8" xfId="0" applyFont="1" applyBorder="1" applyAlignment="1">
      <alignment horizontal="left"/>
    </xf>
    <xf numFmtId="0" fontId="0" fillId="0" borderId="11" xfId="0" applyFont="1" applyBorder="1" applyAlignment="1">
      <alignment horizontal="left"/>
    </xf>
    <xf numFmtId="0" fontId="0" fillId="0" borderId="13" xfId="0" applyFont="1" applyBorder="1" applyAlignment="1">
      <alignment horizontal="left"/>
    </xf>
    <xf numFmtId="0" fontId="55" fillId="0" borderId="16" xfId="10" applyFont="1" applyBorder="1"/>
    <xf numFmtId="0" fontId="56" fillId="0" borderId="16" xfId="0" applyFont="1" applyBorder="1"/>
    <xf numFmtId="0" fontId="57" fillId="0" borderId="16" xfId="0" applyFont="1" applyBorder="1"/>
    <xf numFmtId="0" fontId="58" fillId="0" borderId="16" xfId="0" applyFont="1" applyBorder="1"/>
    <xf numFmtId="0" fontId="60" fillId="0" borderId="16" xfId="0" applyFont="1" applyBorder="1"/>
    <xf numFmtId="0" fontId="40" fillId="0" borderId="8" xfId="0" applyFont="1" applyFill="1" applyBorder="1"/>
    <xf numFmtId="0" fontId="40" fillId="0" borderId="9" xfId="0" applyFont="1" applyFill="1" applyBorder="1"/>
    <xf numFmtId="3" fontId="40" fillId="0" borderId="9" xfId="0" applyNumberFormat="1" applyFont="1" applyFill="1" applyBorder="1"/>
    <xf numFmtId="3" fontId="40" fillId="0" borderId="10" xfId="0" applyNumberFormat="1" applyFont="1" applyFill="1" applyBorder="1"/>
    <xf numFmtId="9" fontId="52" fillId="0" borderId="11" xfId="6" applyFont="1" applyFill="1" applyBorder="1"/>
    <xf numFmtId="9" fontId="52" fillId="0" borderId="0" xfId="6" applyFont="1" applyFill="1" applyBorder="1"/>
    <xf numFmtId="9" fontId="52" fillId="0" borderId="12" xfId="6" applyFont="1" applyFill="1" applyBorder="1"/>
    <xf numFmtId="0" fontId="40" fillId="0" borderId="11" xfId="0" applyFont="1" applyFill="1" applyBorder="1"/>
    <xf numFmtId="0" fontId="40" fillId="0" borderId="0" xfId="0" applyFont="1" applyFill="1" applyBorder="1"/>
    <xf numFmtId="3" fontId="40" fillId="0" borderId="0" xfId="0" applyNumberFormat="1" applyFont="1" applyFill="1" applyBorder="1"/>
    <xf numFmtId="3" fontId="40" fillId="0" borderId="12" xfId="0" applyNumberFormat="1" applyFont="1" applyFill="1" applyBorder="1"/>
    <xf numFmtId="44" fontId="27" fillId="0" borderId="16" xfId="0" applyNumberFormat="1" applyFont="1" applyBorder="1"/>
    <xf numFmtId="44" fontId="27" fillId="0" borderId="0" xfId="0" applyNumberFormat="1" applyFont="1" applyBorder="1"/>
    <xf numFmtId="44" fontId="27" fillId="0" borderId="12" xfId="0" applyNumberFormat="1" applyFont="1" applyBorder="1"/>
    <xf numFmtId="166" fontId="0" fillId="0" borderId="17" xfId="0" applyNumberFormat="1" applyBorder="1"/>
    <xf numFmtId="166" fontId="0" fillId="0" borderId="12" xfId="1" applyNumberFormat="1" applyFont="1" applyBorder="1"/>
    <xf numFmtId="1" fontId="0" fillId="0" borderId="0" xfId="1" applyNumberFormat="1" applyFont="1" applyBorder="1"/>
    <xf numFmtId="1" fontId="0" fillId="0" borderId="12" xfId="1" applyNumberFormat="1" applyFont="1" applyBorder="1"/>
    <xf numFmtId="0" fontId="0" fillId="0" borderId="11" xfId="0" applyFill="1" applyBorder="1" applyAlignment="1">
      <alignment horizontal="left"/>
    </xf>
    <xf numFmtId="166" fontId="0" fillId="0" borderId="12" xfId="1" applyNumberFormat="1" applyFont="1" applyFill="1" applyBorder="1"/>
    <xf numFmtId="0" fontId="0" fillId="4" borderId="11" xfId="0" applyFill="1" applyBorder="1" applyAlignment="1">
      <alignment horizontal="left"/>
    </xf>
    <xf numFmtId="166" fontId="0" fillId="4" borderId="0" xfId="1" applyNumberFormat="1" applyFont="1" applyFill="1" applyBorder="1"/>
    <xf numFmtId="166" fontId="0" fillId="4" borderId="12" xfId="1" applyNumberFormat="1" applyFont="1" applyFill="1" applyBorder="1"/>
    <xf numFmtId="166" fontId="19" fillId="0" borderId="0" xfId="0" applyNumberFormat="1" applyFont="1" applyFill="1" applyBorder="1"/>
    <xf numFmtId="166" fontId="0" fillId="0" borderId="9" xfId="1" applyNumberFormat="1" applyFont="1" applyBorder="1"/>
    <xf numFmtId="166" fontId="0" fillId="0" borderId="0" xfId="13" applyNumberFormat="1" applyFont="1" applyFill="1" applyBorder="1"/>
    <xf numFmtId="166" fontId="0" fillId="0" borderId="12" xfId="13" applyNumberFormat="1" applyFont="1" applyFill="1" applyBorder="1"/>
    <xf numFmtId="0" fontId="0" fillId="0" borderId="29" xfId="0" applyBorder="1" applyAlignment="1">
      <alignment horizontal="left"/>
    </xf>
    <xf numFmtId="166" fontId="0" fillId="0" borderId="30" xfId="1" applyNumberFormat="1" applyFont="1" applyBorder="1"/>
    <xf numFmtId="0" fontId="0" fillId="0" borderId="11" xfId="0" applyBorder="1" applyAlignment="1">
      <alignment horizontal="right" indent="1"/>
    </xf>
    <xf numFmtId="0" fontId="0" fillId="0" borderId="0" xfId="0" applyBorder="1" applyAlignment="1">
      <alignment horizontal="right" indent="1"/>
    </xf>
    <xf numFmtId="0" fontId="0" fillId="0" borderId="12" xfId="0" applyBorder="1" applyAlignment="1">
      <alignment horizontal="right" indent="1"/>
    </xf>
    <xf numFmtId="0" fontId="31" fillId="0" borderId="18" xfId="0" applyFont="1" applyBorder="1" applyAlignment="1">
      <alignment horizontal="left" indent="2"/>
    </xf>
    <xf numFmtId="166" fontId="31" fillId="0" borderId="1" xfId="1" applyNumberFormat="1" applyFont="1" applyBorder="1"/>
    <xf numFmtId="166" fontId="31" fillId="0" borderId="19" xfId="1" applyNumberFormat="1" applyFont="1" applyBorder="1"/>
    <xf numFmtId="166" fontId="31" fillId="0" borderId="20" xfId="1" applyNumberFormat="1" applyFont="1" applyBorder="1"/>
    <xf numFmtId="0" fontId="31" fillId="3" borderId="36" xfId="0" applyFont="1" applyFill="1" applyBorder="1" applyAlignment="1">
      <alignment horizontal="left" indent="2"/>
    </xf>
    <xf numFmtId="166" fontId="31" fillId="3" borderId="2" xfId="1" applyNumberFormat="1" applyFont="1" applyFill="1" applyBorder="1"/>
    <xf numFmtId="166" fontId="31" fillId="3" borderId="27" xfId="1" applyNumberFormat="1" applyFont="1" applyFill="1" applyBorder="1"/>
    <xf numFmtId="166" fontId="31" fillId="3" borderId="60" xfId="1" applyNumberFormat="1" applyFont="1" applyFill="1" applyBorder="1"/>
    <xf numFmtId="0" fontId="31" fillId="2" borderId="34" xfId="0" applyFont="1" applyFill="1" applyBorder="1" applyAlignment="1">
      <alignment horizontal="left" indent="2"/>
    </xf>
    <xf numFmtId="166" fontId="31" fillId="2" borderId="3" xfId="1" applyNumberFormat="1" applyFont="1" applyFill="1" applyBorder="1"/>
    <xf numFmtId="166" fontId="31" fillId="2" borderId="5" xfId="1" applyNumberFormat="1" applyFont="1" applyFill="1" applyBorder="1"/>
    <xf numFmtId="166" fontId="31" fillId="2" borderId="35" xfId="1" applyNumberFormat="1" applyFont="1" applyFill="1" applyBorder="1"/>
    <xf numFmtId="0" fontId="31" fillId="3" borderId="41" xfId="0" applyFont="1" applyFill="1" applyBorder="1" applyAlignment="1">
      <alignment horizontal="left" indent="2"/>
    </xf>
    <xf numFmtId="166" fontId="31" fillId="3" borderId="42" xfId="1" applyNumberFormat="1" applyFont="1" applyFill="1" applyBorder="1"/>
    <xf numFmtId="166" fontId="31" fillId="3" borderId="43" xfId="1" applyNumberFormat="1" applyFont="1" applyFill="1" applyBorder="1"/>
    <xf numFmtId="166" fontId="31" fillId="3" borderId="52" xfId="1" applyNumberFormat="1" applyFont="1" applyFill="1" applyBorder="1"/>
    <xf numFmtId="166" fontId="31" fillId="0" borderId="0" xfId="1" applyNumberFormat="1" applyFont="1" applyBorder="1"/>
    <xf numFmtId="166" fontId="31" fillId="0" borderId="16" xfId="1" applyNumberFormat="1" applyFont="1" applyBorder="1"/>
    <xf numFmtId="166" fontId="31" fillId="0" borderId="12" xfId="1" applyNumberFormat="1" applyFont="1" applyBorder="1"/>
    <xf numFmtId="0" fontId="0" fillId="0" borderId="59" xfId="0" applyBorder="1"/>
    <xf numFmtId="166" fontId="0" fillId="0" borderId="9" xfId="0" applyNumberFormat="1" applyBorder="1"/>
    <xf numFmtId="166" fontId="0" fillId="0" borderId="10" xfId="0" applyNumberFormat="1" applyBorder="1"/>
    <xf numFmtId="166" fontId="0" fillId="0" borderId="12" xfId="0" applyNumberFormat="1" applyBorder="1"/>
    <xf numFmtId="0" fontId="0" fillId="0" borderId="11" xfId="0" applyBorder="1" applyAlignment="1">
      <alignment horizontal="left" wrapText="1" indent="1"/>
    </xf>
    <xf numFmtId="166" fontId="0" fillId="0" borderId="12" xfId="0" applyNumberFormat="1" applyFill="1" applyBorder="1"/>
    <xf numFmtId="0" fontId="0" fillId="0" borderId="62" xfId="0" applyBorder="1" applyAlignment="1">
      <alignment horizontal="left" indent="1"/>
    </xf>
    <xf numFmtId="165" fontId="0" fillId="0" borderId="63" xfId="0" applyNumberFormat="1" applyBorder="1"/>
    <xf numFmtId="0" fontId="0" fillId="0" borderId="62" xfId="0" applyBorder="1" applyAlignment="1">
      <alignment horizontal="left"/>
    </xf>
    <xf numFmtId="167" fontId="0" fillId="0" borderId="63" xfId="0" applyNumberFormat="1" applyBorder="1"/>
    <xf numFmtId="164" fontId="0" fillId="0" borderId="63" xfId="1" applyNumberFormat="1" applyFont="1" applyBorder="1"/>
    <xf numFmtId="0" fontId="0" fillId="0" borderId="13" xfId="0" applyBorder="1" applyAlignment="1">
      <alignment horizontal="left" indent="1"/>
    </xf>
    <xf numFmtId="164" fontId="0" fillId="0" borderId="14" xfId="1" applyNumberFormat="1" applyFont="1" applyBorder="1"/>
    <xf numFmtId="164" fontId="0" fillId="0" borderId="15" xfId="1" applyNumberFormat="1" applyFont="1" applyBorder="1"/>
    <xf numFmtId="42" fontId="0" fillId="0" borderId="9" xfId="11" applyNumberFormat="1" applyFont="1" applyFill="1" applyBorder="1"/>
    <xf numFmtId="42" fontId="0" fillId="0" borderId="10" xfId="11" applyNumberFormat="1" applyFont="1" applyFill="1" applyBorder="1"/>
    <xf numFmtId="44" fontId="0" fillId="0" borderId="0" xfId="11" applyNumberFormat="1" applyFont="1" applyFill="1" applyBorder="1"/>
    <xf numFmtId="44" fontId="0" fillId="0" borderId="12" xfId="11" applyNumberFormat="1" applyFont="1" applyFill="1" applyBorder="1"/>
    <xf numFmtId="42" fontId="31" fillId="2" borderId="18" xfId="11" applyNumberFormat="1" applyFont="1" applyFill="1" applyBorder="1"/>
    <xf numFmtId="42" fontId="0" fillId="2" borderId="20" xfId="11" applyNumberFormat="1" applyFont="1" applyFill="1" applyBorder="1"/>
    <xf numFmtId="44" fontId="0" fillId="0" borderId="0" xfId="11" applyFont="1" applyFill="1" applyBorder="1"/>
    <xf numFmtId="0" fontId="42" fillId="0" borderId="11" xfId="0" applyFont="1" applyBorder="1" applyAlignment="1">
      <alignment horizontal="left"/>
    </xf>
    <xf numFmtId="166" fontId="0" fillId="0" borderId="14" xfId="1" applyNumberFormat="1" applyFont="1" applyBorder="1"/>
    <xf numFmtId="44" fontId="0" fillId="0" borderId="22" xfId="11" applyFont="1" applyBorder="1"/>
    <xf numFmtId="44" fontId="0" fillId="0" borderId="14" xfId="11" applyFont="1" applyBorder="1"/>
    <xf numFmtId="44" fontId="0" fillId="0" borderId="15" xfId="11" applyFont="1" applyBorder="1"/>
    <xf numFmtId="0" fontId="0" fillId="0" borderId="0" xfId="0" applyFill="1" applyBorder="1" applyAlignment="1">
      <alignment horizontal="left" indent="3"/>
    </xf>
    <xf numFmtId="42" fontId="0" fillId="0" borderId="0" xfId="0" applyNumberFormat="1" applyFill="1" applyBorder="1"/>
    <xf numFmtId="0" fontId="0" fillId="0" borderId="8" xfId="0" applyBorder="1" applyAlignment="1">
      <alignment horizontal="left" indent="1"/>
    </xf>
    <xf numFmtId="170" fontId="0" fillId="0" borderId="9" xfId="11" applyNumberFormat="1" applyFont="1" applyFill="1" applyBorder="1"/>
    <xf numFmtId="170" fontId="0" fillId="0" borderId="10" xfId="11" applyNumberFormat="1" applyFont="1" applyBorder="1"/>
    <xf numFmtId="42" fontId="0" fillId="0" borderId="12" xfId="0" applyNumberFormat="1" applyFill="1" applyBorder="1"/>
    <xf numFmtId="170" fontId="0" fillId="0" borderId="12" xfId="11" applyNumberFormat="1" applyFont="1" applyFill="1" applyBorder="1"/>
    <xf numFmtId="0" fontId="31" fillId="2" borderId="41" xfId="0" applyFont="1" applyFill="1" applyBorder="1" applyAlignment="1">
      <alignment horizontal="left" indent="3"/>
    </xf>
    <xf numFmtId="166" fontId="31" fillId="2" borderId="42" xfId="0" applyNumberFormat="1" applyFont="1" applyFill="1" applyBorder="1"/>
    <xf numFmtId="166" fontId="31" fillId="2" borderId="52" xfId="0" applyNumberFormat="1" applyFont="1" applyFill="1" applyBorder="1"/>
    <xf numFmtId="0" fontId="0" fillId="0" borderId="34" xfId="0" applyBorder="1" applyAlignment="1">
      <alignment horizontal="left" indent="1"/>
    </xf>
    <xf numFmtId="170" fontId="0" fillId="0" borderId="0" xfId="11" applyNumberFormat="1" applyFont="1" applyBorder="1" applyAlignment="1">
      <alignment horizontal="right"/>
    </xf>
    <xf numFmtId="170" fontId="0" fillId="0" borderId="12" xfId="11" applyNumberFormat="1" applyFont="1" applyBorder="1" applyAlignment="1">
      <alignment horizontal="right"/>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0" xfId="0" applyNumberFormat="1" applyBorder="1" applyAlignment="1">
      <alignment horizontal="center"/>
    </xf>
    <xf numFmtId="42" fontId="0" fillId="0" borderId="0" xfId="0" applyNumberFormat="1" applyFill="1" applyBorder="1" applyAlignment="1">
      <alignment horizontal="center"/>
    </xf>
    <xf numFmtId="42" fontId="0" fillId="0" borderId="0" xfId="0" applyNumberFormat="1" applyBorder="1" applyAlignment="1">
      <alignment horizontal="center"/>
    </xf>
    <xf numFmtId="42" fontId="0" fillId="0" borderId="12" xfId="0" applyNumberFormat="1" applyBorder="1" applyAlignment="1">
      <alignment horizontal="center"/>
    </xf>
    <xf numFmtId="0" fontId="0" fillId="0" borderId="0" xfId="0" applyFill="1" applyBorder="1" applyAlignment="1">
      <alignment horizontal="center"/>
    </xf>
    <xf numFmtId="0" fontId="0" fillId="0" borderId="12" xfId="0" applyBorder="1" applyAlignment="1">
      <alignment horizontal="center"/>
    </xf>
    <xf numFmtId="166" fontId="0" fillId="0" borderId="0" xfId="0" applyNumberFormat="1" applyFill="1" applyBorder="1" applyAlignment="1">
      <alignment horizontal="center"/>
    </xf>
    <xf numFmtId="166" fontId="0" fillId="0" borderId="12" xfId="0" applyNumberFormat="1" applyBorder="1" applyAlignment="1">
      <alignment horizontal="center"/>
    </xf>
    <xf numFmtId="44" fontId="0" fillId="0" borderId="0" xfId="11" applyFont="1" applyBorder="1" applyAlignment="1">
      <alignment horizontal="center"/>
    </xf>
    <xf numFmtId="44" fontId="0" fillId="0" borderId="12" xfId="11" applyFont="1" applyBorder="1" applyAlignment="1">
      <alignment horizontal="center"/>
    </xf>
    <xf numFmtId="166" fontId="0" fillId="0" borderId="3" xfId="0" applyNumberFormat="1" applyBorder="1" applyAlignment="1">
      <alignment horizontal="center"/>
    </xf>
    <xf numFmtId="0" fontId="42" fillId="0" borderId="0" xfId="0" applyFont="1" applyBorder="1" applyAlignment="1">
      <alignment horizontal="left"/>
    </xf>
    <xf numFmtId="166" fontId="31" fillId="2" borderId="3" xfId="0" applyNumberFormat="1" applyFont="1" applyFill="1" applyBorder="1" applyAlignment="1">
      <alignment horizontal="center"/>
    </xf>
    <xf numFmtId="166" fontId="31" fillId="2" borderId="35" xfId="0" applyNumberFormat="1" applyFont="1" applyFill="1" applyBorder="1" applyAlignment="1">
      <alignment horizontal="center"/>
    </xf>
    <xf numFmtId="0" fontId="31" fillId="0" borderId="29" xfId="0" applyFont="1" applyBorder="1" applyAlignment="1">
      <alignment horizontal="left" indent="1"/>
    </xf>
    <xf numFmtId="166" fontId="31" fillId="0" borderId="4" xfId="0" applyNumberFormat="1" applyFont="1" applyBorder="1" applyAlignment="1">
      <alignment horizontal="center"/>
    </xf>
    <xf numFmtId="166" fontId="31" fillId="0" borderId="0" xfId="0" applyNumberFormat="1" applyFont="1" applyBorder="1" applyAlignment="1">
      <alignment horizontal="center"/>
    </xf>
    <xf numFmtId="166" fontId="31" fillId="0" borderId="12" xfId="0" applyNumberFormat="1" applyFont="1" applyBorder="1" applyAlignment="1">
      <alignment horizontal="center"/>
    </xf>
    <xf numFmtId="166" fontId="0" fillId="0" borderId="64" xfId="0" applyNumberFormat="1" applyBorder="1"/>
    <xf numFmtId="166" fontId="0" fillId="0" borderId="23" xfId="0" applyNumberFormat="1" applyBorder="1"/>
    <xf numFmtId="166" fontId="0" fillId="0" borderId="23" xfId="0" applyNumberFormat="1" applyFill="1" applyBorder="1"/>
    <xf numFmtId="165" fontId="0" fillId="0" borderId="65" xfId="0" applyNumberFormat="1" applyBorder="1"/>
    <xf numFmtId="167" fontId="0" fillId="0" borderId="65" xfId="0" applyNumberFormat="1" applyBorder="1"/>
    <xf numFmtId="164" fontId="0" fillId="0" borderId="65" xfId="1" applyNumberFormat="1" applyFont="1" applyBorder="1"/>
    <xf numFmtId="164" fontId="0" fillId="0" borderId="33" xfId="1" applyNumberFormat="1" applyFont="1" applyBorder="1"/>
    <xf numFmtId="170" fontId="0" fillId="0" borderId="23" xfId="11" applyNumberFormat="1" applyFont="1" applyBorder="1"/>
    <xf numFmtId="166" fontId="31" fillId="2" borderId="44" xfId="0" applyNumberFormat="1" applyFont="1" applyFill="1" applyBorder="1"/>
    <xf numFmtId="166" fontId="0" fillId="0" borderId="64" xfId="0" applyNumberFormat="1" applyBorder="1" applyAlignment="1">
      <alignment horizontal="center"/>
    </xf>
    <xf numFmtId="166" fontId="0" fillId="0" borderId="23" xfId="0" applyNumberFormat="1" applyBorder="1" applyAlignment="1">
      <alignment horizontal="center"/>
    </xf>
    <xf numFmtId="166" fontId="31" fillId="2" borderId="6" xfId="0" applyNumberFormat="1" applyFont="1" applyFill="1" applyBorder="1" applyAlignment="1">
      <alignment horizontal="center"/>
    </xf>
    <xf numFmtId="166" fontId="31" fillId="0" borderId="23" xfId="0" applyNumberFormat="1" applyFont="1" applyBorder="1" applyAlignment="1">
      <alignment horizontal="center"/>
    </xf>
    <xf numFmtId="42" fontId="0" fillId="0" borderId="23" xfId="0" applyNumberFormat="1" applyFill="1" applyBorder="1"/>
    <xf numFmtId="44" fontId="0" fillId="0" borderId="23" xfId="11" applyFont="1" applyFill="1" applyBorder="1"/>
    <xf numFmtId="42" fontId="0" fillId="0" borderId="23" xfId="0" applyNumberFormat="1" applyBorder="1" applyAlignment="1">
      <alignment horizontal="center"/>
    </xf>
    <xf numFmtId="0" fontId="0" fillId="0" borderId="23" xfId="0" applyBorder="1" applyAlignment="1">
      <alignment horizontal="center"/>
    </xf>
    <xf numFmtId="44" fontId="0" fillId="0" borderId="23" xfId="11" applyFont="1" applyBorder="1" applyAlignment="1">
      <alignment horizontal="center"/>
    </xf>
    <xf numFmtId="170" fontId="0" fillId="0" borderId="64" xfId="11" applyNumberFormat="1" applyFont="1" applyBorder="1"/>
    <xf numFmtId="44" fontId="0" fillId="0" borderId="12" xfId="11" applyFont="1" applyFill="1" applyBorder="1"/>
    <xf numFmtId="166" fontId="31" fillId="0" borderId="0" xfId="0" applyNumberFormat="1" applyFont="1" applyFill="1" applyBorder="1" applyAlignment="1">
      <alignment horizontal="center"/>
    </xf>
    <xf numFmtId="0" fontId="31" fillId="0" borderId="0" xfId="0" applyFont="1" applyFill="1" applyBorder="1" applyAlignment="1">
      <alignment horizontal="left" indent="2"/>
    </xf>
    <xf numFmtId="0" fontId="31" fillId="2" borderId="41" xfId="0" applyFont="1" applyFill="1" applyBorder="1" applyAlignment="1">
      <alignment horizontal="left" indent="2"/>
    </xf>
    <xf numFmtId="166" fontId="31" fillId="2" borderId="42" xfId="0" applyNumberFormat="1" applyFont="1" applyFill="1" applyBorder="1" applyAlignment="1">
      <alignment horizontal="center"/>
    </xf>
    <xf numFmtId="166" fontId="31" fillId="2" borderId="44" xfId="0" applyNumberFormat="1" applyFont="1" applyFill="1" applyBorder="1" applyAlignment="1">
      <alignment horizontal="center"/>
    </xf>
    <xf numFmtId="166" fontId="31" fillId="2" borderId="52" xfId="0" applyNumberFormat="1" applyFont="1" applyFill="1" applyBorder="1" applyAlignment="1">
      <alignment horizontal="center"/>
    </xf>
    <xf numFmtId="0" fontId="31" fillId="3" borderId="13" xfId="0" applyFont="1" applyFill="1" applyBorder="1" applyAlignment="1">
      <alignment horizontal="left" indent="1"/>
    </xf>
    <xf numFmtId="166" fontId="31" fillId="3" borderId="14" xfId="0" applyNumberFormat="1" applyFont="1" applyFill="1" applyBorder="1" applyAlignment="1">
      <alignment horizontal="center"/>
    </xf>
    <xf numFmtId="166" fontId="31" fillId="3" borderId="33" xfId="0" applyNumberFormat="1" applyFont="1" applyFill="1" applyBorder="1" applyAlignment="1">
      <alignment horizontal="center"/>
    </xf>
    <xf numFmtId="166" fontId="31" fillId="3" borderId="15" xfId="0" applyNumberFormat="1" applyFont="1" applyFill="1" applyBorder="1" applyAlignment="1">
      <alignment horizontal="center"/>
    </xf>
    <xf numFmtId="166" fontId="0" fillId="0" borderId="14" xfId="0" applyNumberFormat="1" applyBorder="1" applyAlignment="1">
      <alignment horizontal="center"/>
    </xf>
    <xf numFmtId="166" fontId="0" fillId="0" borderId="33" xfId="0" applyNumberFormat="1" applyBorder="1" applyAlignment="1">
      <alignment horizontal="center"/>
    </xf>
    <xf numFmtId="166" fontId="0" fillId="0" borderId="15" xfId="0" applyNumberFormat="1" applyBorder="1" applyAlignment="1">
      <alignment horizontal="center"/>
    </xf>
    <xf numFmtId="0" fontId="0" fillId="0" borderId="14" xfId="0" applyBorder="1" applyAlignment="1">
      <alignment horizontal="center"/>
    </xf>
    <xf numFmtId="170" fontId="23" fillId="0" borderId="0" xfId="11" applyNumberFormat="1" applyFont="1" applyBorder="1"/>
    <xf numFmtId="170" fontId="23" fillId="0" borderId="12" xfId="11" applyNumberFormat="1" applyFont="1" applyBorder="1"/>
    <xf numFmtId="0" fontId="20" fillId="0" borderId="48" xfId="0" applyFont="1" applyFill="1" applyBorder="1"/>
    <xf numFmtId="0" fontId="19" fillId="0" borderId="11" xfId="0" applyFont="1" applyBorder="1"/>
    <xf numFmtId="0" fontId="20" fillId="2" borderId="41" xfId="0" applyFont="1" applyFill="1" applyBorder="1"/>
    <xf numFmtId="0" fontId="19" fillId="2" borderId="42" xfId="0" applyFont="1" applyFill="1" applyBorder="1" applyAlignment="1">
      <alignment horizontal="right"/>
    </xf>
    <xf numFmtId="42" fontId="19" fillId="2" borderId="42" xfId="0" applyNumberFormat="1" applyFont="1" applyFill="1" applyBorder="1" applyAlignment="1">
      <alignment horizontal="right"/>
    </xf>
    <xf numFmtId="42" fontId="19" fillId="2" borderId="52" xfId="0" applyNumberFormat="1" applyFont="1" applyFill="1" applyBorder="1" applyAlignment="1">
      <alignment horizontal="right"/>
    </xf>
    <xf numFmtId="170" fontId="19" fillId="0" borderId="59" xfId="11" applyNumberFormat="1" applyFont="1" applyFill="1" applyBorder="1" applyAlignment="1">
      <alignment horizontal="right"/>
    </xf>
    <xf numFmtId="170" fontId="19" fillId="0" borderId="51" xfId="11" applyNumberFormat="1" applyFont="1" applyFill="1" applyBorder="1" applyAlignment="1">
      <alignment horizontal="right"/>
    </xf>
    <xf numFmtId="170" fontId="19" fillId="0" borderId="0" xfId="11" applyNumberFormat="1" applyFont="1" applyBorder="1" applyAlignment="1">
      <alignment horizontal="right"/>
    </xf>
    <xf numFmtId="170" fontId="19" fillId="0" borderId="12" xfId="11" applyNumberFormat="1" applyFont="1" applyBorder="1" applyAlignment="1">
      <alignment horizontal="right"/>
    </xf>
    <xf numFmtId="0" fontId="12" fillId="0" borderId="9" xfId="0" applyFont="1" applyBorder="1"/>
    <xf numFmtId="0" fontId="23" fillId="0" borderId="9" xfId="0" applyFont="1" applyBorder="1"/>
    <xf numFmtId="0" fontId="12" fillId="0" borderId="11" xfId="0" applyFont="1" applyBorder="1" applyAlignment="1">
      <alignment horizontal="left" indent="1"/>
    </xf>
    <xf numFmtId="3" fontId="12" fillId="0" borderId="0" xfId="0" applyNumberFormat="1" applyFont="1" applyBorder="1"/>
    <xf numFmtId="0" fontId="12" fillId="0" borderId="0" xfId="0" applyFont="1" applyBorder="1"/>
    <xf numFmtId="0" fontId="23" fillId="2" borderId="41" xfId="0" applyFont="1" applyFill="1" applyBorder="1"/>
    <xf numFmtId="0" fontId="16" fillId="6" borderId="16" xfId="0" applyFont="1" applyFill="1" applyBorder="1" applyAlignment="1">
      <alignment vertical="center"/>
    </xf>
    <xf numFmtId="0" fontId="12" fillId="0" borderId="10" xfId="0" applyFont="1" applyBorder="1"/>
    <xf numFmtId="0" fontId="12" fillId="0" borderId="12" xfId="0" applyFont="1" applyBorder="1"/>
    <xf numFmtId="3" fontId="23" fillId="2" borderId="42" xfId="0" applyNumberFormat="1" applyFont="1" applyFill="1" applyBorder="1"/>
    <xf numFmtId="0" fontId="23" fillId="2" borderId="42" xfId="0" applyFont="1" applyFill="1" applyBorder="1"/>
    <xf numFmtId="1" fontId="23" fillId="2" borderId="42" xfId="0" applyNumberFormat="1" applyFont="1" applyFill="1" applyBorder="1"/>
    <xf numFmtId="0" fontId="23" fillId="2" borderId="52" xfId="0" applyFont="1" applyFill="1" applyBorder="1"/>
    <xf numFmtId="0" fontId="12" fillId="0" borderId="8" xfId="0" applyFont="1" applyBorder="1" applyAlignment="1">
      <alignment horizontal="left" indent="1"/>
    </xf>
    <xf numFmtId="3" fontId="12" fillId="0" borderId="9" xfId="0" applyNumberFormat="1" applyFont="1" applyBorder="1"/>
    <xf numFmtId="0" fontId="29" fillId="0" borderId="23" xfId="0" applyFont="1" applyBorder="1"/>
    <xf numFmtId="0" fontId="22" fillId="0" borderId="8" xfId="0" applyFont="1" applyBorder="1" applyAlignment="1">
      <alignment horizontal="left" indent="1"/>
    </xf>
    <xf numFmtId="0" fontId="23" fillId="2" borderId="18" xfId="0" applyFont="1" applyFill="1" applyBorder="1"/>
    <xf numFmtId="0" fontId="22" fillId="0" borderId="11" xfId="0" applyFont="1" applyBorder="1" applyAlignment="1">
      <alignment horizontal="left" indent="1"/>
    </xf>
    <xf numFmtId="3" fontId="12" fillId="0" borderId="12" xfId="0" applyNumberFormat="1" applyFont="1" applyBorder="1"/>
    <xf numFmtId="0" fontId="23" fillId="3" borderId="41" xfId="0" applyFont="1" applyFill="1" applyBorder="1"/>
    <xf numFmtId="0" fontId="23" fillId="2" borderId="36" xfId="0" applyFont="1" applyFill="1" applyBorder="1"/>
    <xf numFmtId="3" fontId="23" fillId="2" borderId="2" xfId="0" applyNumberFormat="1" applyFont="1" applyFill="1" applyBorder="1"/>
    <xf numFmtId="44" fontId="23" fillId="2" borderId="2" xfId="6" applyNumberFormat="1" applyFont="1" applyFill="1" applyBorder="1"/>
    <xf numFmtId="44" fontId="23" fillId="2" borderId="60" xfId="6" applyNumberFormat="1" applyFont="1" applyFill="1" applyBorder="1"/>
    <xf numFmtId="0" fontId="23" fillId="3" borderId="13" xfId="0" applyFont="1" applyFill="1" applyBorder="1"/>
    <xf numFmtId="3" fontId="23" fillId="2" borderId="2" xfId="0" applyNumberFormat="1" applyFont="1" applyFill="1" applyBorder="1" applyAlignment="1">
      <alignment horizontal="right"/>
    </xf>
    <xf numFmtId="3" fontId="23" fillId="2" borderId="60" xfId="0" applyNumberFormat="1" applyFont="1" applyFill="1" applyBorder="1" applyAlignment="1">
      <alignment horizontal="right"/>
    </xf>
    <xf numFmtId="3" fontId="23" fillId="3" borderId="14" xfId="0" applyNumberFormat="1" applyFont="1" applyFill="1" applyBorder="1"/>
    <xf numFmtId="44" fontId="23" fillId="3" borderId="14" xfId="11" applyFont="1" applyFill="1" applyBorder="1"/>
    <xf numFmtId="44" fontId="23" fillId="3" borderId="15" xfId="11" applyFont="1" applyFill="1" applyBorder="1"/>
    <xf numFmtId="9" fontId="12" fillId="0" borderId="9" xfId="6" applyNumberFormat="1" applyFont="1" applyBorder="1"/>
    <xf numFmtId="9" fontId="12" fillId="4" borderId="9" xfId="0" applyNumberFormat="1" applyFont="1" applyFill="1" applyBorder="1"/>
    <xf numFmtId="9" fontId="12" fillId="4" borderId="10" xfId="0" applyNumberFormat="1" applyFont="1" applyFill="1" applyBorder="1"/>
    <xf numFmtId="9" fontId="12" fillId="0" borderId="0" xfId="6" applyNumberFormat="1" applyFont="1" applyBorder="1"/>
    <xf numFmtId="9" fontId="12" fillId="4" borderId="0" xfId="6" applyNumberFormat="1" applyFont="1" applyFill="1" applyBorder="1"/>
    <xf numFmtId="9" fontId="12" fillId="4" borderId="12" xfId="6" applyNumberFormat="1" applyFont="1" applyFill="1" applyBorder="1"/>
    <xf numFmtId="10" fontId="12" fillId="4" borderId="0" xfId="0" applyNumberFormat="1" applyFont="1" applyFill="1" applyBorder="1"/>
    <xf numFmtId="10" fontId="12" fillId="4" borderId="12" xfId="0" applyNumberFormat="1" applyFont="1" applyFill="1" applyBorder="1"/>
    <xf numFmtId="9" fontId="12" fillId="4" borderId="0" xfId="0" applyNumberFormat="1" applyFont="1" applyFill="1" applyBorder="1"/>
    <xf numFmtId="9" fontId="12" fillId="4" borderId="12" xfId="0" applyNumberFormat="1" applyFont="1" applyFill="1" applyBorder="1"/>
    <xf numFmtId="9" fontId="23" fillId="3" borderId="42" xfId="6" applyNumberFormat="1" applyFont="1" applyFill="1" applyBorder="1"/>
    <xf numFmtId="9" fontId="23" fillId="3" borderId="42" xfId="0" applyNumberFormat="1" applyFont="1" applyFill="1" applyBorder="1"/>
    <xf numFmtId="9" fontId="23" fillId="3" borderId="52" xfId="0" applyNumberFormat="1" applyFont="1" applyFill="1" applyBorder="1"/>
    <xf numFmtId="0" fontId="12" fillId="0" borderId="8" xfId="11" applyNumberFormat="1" applyFont="1" applyBorder="1" applyAlignment="1">
      <alignment horizontal="left" indent="1"/>
    </xf>
    <xf numFmtId="170" fontId="28" fillId="0" borderId="9" xfId="11" applyNumberFormat="1" applyFont="1" applyBorder="1"/>
    <xf numFmtId="170" fontId="12" fillId="0" borderId="9" xfId="11" applyNumberFormat="1" applyFont="1" applyBorder="1"/>
    <xf numFmtId="170" fontId="12" fillId="0" borderId="10" xfId="11" applyNumberFormat="1" applyFont="1" applyBorder="1"/>
    <xf numFmtId="0" fontId="12" fillId="0" borderId="11" xfId="11" applyNumberFormat="1" applyFont="1" applyBorder="1" applyAlignment="1">
      <alignment horizontal="left" indent="1"/>
    </xf>
    <xf numFmtId="170" fontId="12" fillId="0" borderId="0" xfId="11" applyNumberFormat="1" applyFont="1" applyBorder="1"/>
    <xf numFmtId="170" fontId="12" fillId="0" borderId="12" xfId="11" applyNumberFormat="1" applyFont="1" applyBorder="1"/>
    <xf numFmtId="170" fontId="28" fillId="0" borderId="0" xfId="11" applyNumberFormat="1" applyFont="1" applyBorder="1"/>
    <xf numFmtId="0" fontId="23" fillId="0" borderId="11" xfId="11" applyNumberFormat="1" applyFont="1" applyBorder="1" applyAlignment="1">
      <alignment horizontal="left" indent="1"/>
    </xf>
    <xf numFmtId="0" fontId="23" fillId="0" borderId="13" xfId="11" applyNumberFormat="1" applyFont="1" applyBorder="1" applyAlignment="1">
      <alignment horizontal="left" indent="1"/>
    </xf>
    <xf numFmtId="170" fontId="23" fillId="0" borderId="14" xfId="11" applyNumberFormat="1" applyFont="1" applyBorder="1"/>
    <xf numFmtId="170" fontId="23" fillId="0" borderId="15" xfId="11" applyNumberFormat="1" applyFont="1" applyBorder="1"/>
    <xf numFmtId="0" fontId="12" fillId="2" borderId="18" xfId="0" applyFont="1" applyFill="1" applyBorder="1"/>
    <xf numFmtId="9" fontId="12" fillId="0" borderId="11" xfId="6" applyFont="1" applyBorder="1"/>
    <xf numFmtId="9" fontId="12" fillId="0" borderId="0" xfId="6" applyFont="1" applyBorder="1"/>
    <xf numFmtId="170" fontId="12" fillId="0" borderId="9" xfId="11" applyNumberFormat="1" applyFont="1" applyFill="1" applyBorder="1"/>
    <xf numFmtId="170" fontId="12" fillId="2" borderId="1" xfId="11" applyNumberFormat="1" applyFont="1" applyFill="1" applyBorder="1"/>
    <xf numFmtId="170" fontId="12" fillId="2" borderId="20" xfId="11" applyNumberFormat="1" applyFont="1" applyFill="1" applyBorder="1"/>
    <xf numFmtId="170" fontId="12" fillId="3" borderId="3" xfId="11" applyNumberFormat="1" applyFont="1" applyFill="1" applyBorder="1"/>
    <xf numFmtId="170" fontId="12" fillId="3" borderId="35" xfId="11" applyNumberFormat="1" applyFont="1" applyFill="1" applyBorder="1"/>
    <xf numFmtId="170" fontId="23" fillId="2" borderId="1" xfId="11" applyNumberFormat="1" applyFont="1" applyFill="1" applyBorder="1"/>
    <xf numFmtId="3" fontId="23" fillId="3" borderId="34" xfId="0" applyNumberFormat="1" applyFont="1" applyFill="1" applyBorder="1"/>
    <xf numFmtId="170" fontId="23" fillId="3" borderId="3" xfId="11" applyNumberFormat="1" applyFont="1" applyFill="1" applyBorder="1"/>
    <xf numFmtId="0" fontId="23" fillId="3" borderId="42" xfId="0" applyFont="1" applyFill="1" applyBorder="1"/>
    <xf numFmtId="0" fontId="12" fillId="0" borderId="8" xfId="0" applyFont="1" applyFill="1" applyBorder="1" applyAlignment="1">
      <alignment horizontal="left" indent="1"/>
    </xf>
    <xf numFmtId="9" fontId="12" fillId="0" borderId="9" xfId="6" applyNumberFormat="1" applyFont="1" applyFill="1" applyBorder="1"/>
    <xf numFmtId="9" fontId="38" fillId="0" borderId="9" xfId="6" applyFont="1" applyFill="1" applyBorder="1"/>
    <xf numFmtId="9" fontId="38" fillId="0" borderId="10" xfId="6" applyFont="1" applyFill="1" applyBorder="1"/>
    <xf numFmtId="0" fontId="12" fillId="0" borderId="11" xfId="0" applyFont="1" applyFill="1" applyBorder="1" applyAlignment="1">
      <alignment horizontal="left" indent="1"/>
    </xf>
    <xf numFmtId="9" fontId="28" fillId="0" borderId="0" xfId="6" applyNumberFormat="1" applyFont="1" applyFill="1" applyBorder="1"/>
    <xf numFmtId="9" fontId="38" fillId="0" borderId="0" xfId="6" applyFont="1" applyFill="1" applyBorder="1"/>
    <xf numFmtId="9" fontId="38" fillId="0" borderId="12" xfId="6" applyFont="1" applyFill="1" applyBorder="1"/>
    <xf numFmtId="9" fontId="12" fillId="0" borderId="0" xfId="6" applyNumberFormat="1" applyFont="1" applyFill="1" applyBorder="1"/>
    <xf numFmtId="10" fontId="12" fillId="0" borderId="0" xfId="6" applyNumberFormat="1" applyFont="1" applyFill="1" applyBorder="1"/>
    <xf numFmtId="0" fontId="23" fillId="0" borderId="11" xfId="0" applyFont="1" applyFill="1" applyBorder="1"/>
    <xf numFmtId="9" fontId="12" fillId="0" borderId="0" xfId="6" applyFont="1" applyFill="1" applyBorder="1"/>
    <xf numFmtId="9" fontId="12" fillId="0" borderId="12" xfId="6" applyFont="1" applyFill="1" applyBorder="1"/>
    <xf numFmtId="0" fontId="12" fillId="0" borderId="11" xfId="0" applyFont="1" applyFill="1" applyBorder="1"/>
    <xf numFmtId="0" fontId="23" fillId="0" borderId="13" xfId="0" applyFont="1" applyFill="1" applyBorder="1"/>
    <xf numFmtId="0" fontId="12" fillId="0" borderId="14" xfId="0" applyFont="1" applyFill="1" applyBorder="1"/>
    <xf numFmtId="0" fontId="12" fillId="0" borderId="15" xfId="0" applyFont="1" applyFill="1" applyBorder="1"/>
    <xf numFmtId="0" fontId="31" fillId="0" borderId="0" xfId="0" applyFont="1" applyFill="1"/>
    <xf numFmtId="10" fontId="12" fillId="0" borderId="9" xfId="6" applyNumberFormat="1" applyFont="1" applyBorder="1"/>
    <xf numFmtId="10" fontId="12" fillId="0" borderId="10" xfId="6" applyNumberFormat="1" applyFont="1" applyBorder="1"/>
    <xf numFmtId="0" fontId="22" fillId="0" borderId="11" xfId="0" applyFont="1" applyBorder="1" applyAlignment="1">
      <alignment horizontal="left" indent="2"/>
    </xf>
    <xf numFmtId="10" fontId="22" fillId="0" borderId="0" xfId="6" applyNumberFormat="1" applyFont="1" applyBorder="1"/>
    <xf numFmtId="10" fontId="12" fillId="0" borderId="0" xfId="6" applyNumberFormat="1" applyFont="1" applyBorder="1"/>
    <xf numFmtId="10" fontId="12" fillId="0" borderId="12" xfId="6" applyNumberFormat="1" applyFont="1" applyBorder="1"/>
    <xf numFmtId="10" fontId="23" fillId="3" borderId="42" xfId="6" applyNumberFormat="1" applyFont="1" applyFill="1" applyBorder="1"/>
    <xf numFmtId="10" fontId="23" fillId="3" borderId="52" xfId="6" applyNumberFormat="1" applyFont="1" applyFill="1" applyBorder="1"/>
    <xf numFmtId="0" fontId="30" fillId="0" borderId="9" xfId="0" applyFont="1" applyBorder="1"/>
    <xf numFmtId="0" fontId="7" fillId="0" borderId="9" xfId="0" applyFont="1" applyBorder="1"/>
    <xf numFmtId="10" fontId="7" fillId="0" borderId="9" xfId="6" applyNumberFormat="1" applyFont="1" applyBorder="1"/>
    <xf numFmtId="0" fontId="7" fillId="0" borderId="10" xfId="0" applyFont="1" applyBorder="1"/>
    <xf numFmtId="0" fontId="7" fillId="0" borderId="11" xfId="0" applyFont="1" applyBorder="1"/>
    <xf numFmtId="0" fontId="7" fillId="0" borderId="0" xfId="0" applyFont="1" applyBorder="1"/>
    <xf numFmtId="10" fontId="7" fillId="0" borderId="0" xfId="6" applyNumberFormat="1" applyFont="1" applyBorder="1"/>
    <xf numFmtId="0" fontId="7" fillId="0" borderId="12" xfId="0" applyFont="1" applyBorder="1"/>
    <xf numFmtId="0" fontId="7" fillId="0" borderId="13" xfId="0" applyFont="1" applyBorder="1"/>
    <xf numFmtId="0" fontId="30" fillId="0" borderId="14" xfId="0" applyFont="1" applyBorder="1"/>
    <xf numFmtId="0" fontId="7" fillId="0" borderId="14" xfId="0" applyFont="1" applyBorder="1"/>
    <xf numFmtId="0" fontId="7" fillId="0" borderId="15" xfId="0" applyFont="1" applyBorder="1"/>
    <xf numFmtId="42" fontId="0" fillId="0" borderId="23" xfId="11" applyNumberFormat="1" applyFont="1" applyBorder="1"/>
    <xf numFmtId="42" fontId="0" fillId="3" borderId="28" xfId="11" applyNumberFormat="1" applyFont="1" applyFill="1" applyBorder="1"/>
    <xf numFmtId="42" fontId="0" fillId="3" borderId="23" xfId="11" applyNumberFormat="1" applyFont="1" applyFill="1" applyBorder="1"/>
    <xf numFmtId="0" fontId="31" fillId="2" borderId="21" xfId="0" applyFont="1" applyFill="1" applyBorder="1"/>
    <xf numFmtId="42" fontId="0" fillId="2" borderId="28" xfId="11" applyNumberFormat="1" applyFont="1" applyFill="1" applyBorder="1"/>
    <xf numFmtId="42" fontId="0" fillId="0" borderId="23" xfId="11" applyNumberFormat="1" applyFont="1" applyFill="1" applyBorder="1"/>
    <xf numFmtId="42" fontId="0" fillId="0" borderId="64" xfId="11" applyNumberFormat="1" applyFont="1" applyBorder="1"/>
    <xf numFmtId="42" fontId="0" fillId="2" borderId="21" xfId="11" applyNumberFormat="1" applyFont="1" applyFill="1" applyBorder="1"/>
    <xf numFmtId="42" fontId="0" fillId="0" borderId="64" xfId="11" applyNumberFormat="1" applyFont="1" applyFill="1" applyBorder="1"/>
    <xf numFmtId="44" fontId="0" fillId="0" borderId="23" xfId="11" applyNumberFormat="1" applyFont="1" applyFill="1" applyBorder="1"/>
    <xf numFmtId="10" fontId="0" fillId="3" borderId="23" xfId="6" applyNumberFormat="1" applyFont="1" applyFill="1" applyBorder="1"/>
    <xf numFmtId="0" fontId="53" fillId="0" borderId="0" xfId="0" applyFont="1"/>
    <xf numFmtId="10" fontId="53" fillId="0" borderId="0" xfId="6" applyNumberFormat="1" applyFont="1"/>
    <xf numFmtId="0" fontId="0" fillId="0" borderId="8" xfId="0" applyBorder="1" applyAlignment="1">
      <alignment horizontal="left"/>
    </xf>
    <xf numFmtId="171" fontId="0" fillId="0" borderId="10" xfId="6" applyNumberFormat="1" applyFont="1" applyBorder="1"/>
    <xf numFmtId="170" fontId="0" fillId="0" borderId="15" xfId="11" applyNumberFormat="1" applyFont="1" applyFill="1" applyBorder="1"/>
    <xf numFmtId="0" fontId="31" fillId="4" borderId="11" xfId="0" applyFont="1" applyFill="1" applyBorder="1"/>
    <xf numFmtId="10" fontId="31" fillId="4" borderId="0" xfId="6" applyNumberFormat="1" applyFont="1" applyFill="1" applyBorder="1"/>
    <xf numFmtId="10" fontId="31" fillId="4" borderId="16" xfId="6" applyNumberFormat="1" applyFont="1" applyFill="1" applyBorder="1"/>
    <xf numFmtId="10" fontId="31" fillId="4" borderId="12" xfId="6" applyNumberFormat="1" applyFont="1" applyFill="1" applyBorder="1"/>
    <xf numFmtId="170" fontId="14" fillId="0" borderId="0" xfId="11" applyNumberFormat="1" applyFont="1" applyBorder="1"/>
    <xf numFmtId="170" fontId="14" fillId="0" borderId="16" xfId="11" applyNumberFormat="1" applyFont="1" applyBorder="1"/>
    <xf numFmtId="170" fontId="14" fillId="0" borderId="12" xfId="11" applyNumberFormat="1" applyFont="1" applyBorder="1"/>
    <xf numFmtId="170" fontId="31" fillId="0" borderId="0" xfId="11" applyNumberFormat="1" applyFont="1" applyBorder="1"/>
    <xf numFmtId="170" fontId="31" fillId="0" borderId="16" xfId="11" applyNumberFormat="1" applyFont="1" applyBorder="1"/>
    <xf numFmtId="170" fontId="31" fillId="0" borderId="12" xfId="11" applyNumberFormat="1" applyFont="1" applyBorder="1"/>
    <xf numFmtId="0" fontId="20" fillId="0" borderId="8" xfId="0" applyFont="1" applyBorder="1"/>
    <xf numFmtId="0" fontId="20" fillId="0" borderId="9" xfId="0" applyFont="1" applyBorder="1"/>
    <xf numFmtId="10" fontId="37" fillId="0" borderId="9" xfId="6" applyNumberFormat="1" applyFont="1" applyBorder="1"/>
    <xf numFmtId="10" fontId="37" fillId="0" borderId="10" xfId="6" applyNumberFormat="1" applyFont="1" applyBorder="1" applyAlignment="1">
      <alignment horizontal="left"/>
    </xf>
    <xf numFmtId="0" fontId="50" fillId="0" borderId="42" xfId="0" applyNumberFormat="1" applyFont="1" applyFill="1" applyBorder="1"/>
    <xf numFmtId="0" fontId="50" fillId="0" borderId="52" xfId="0" applyNumberFormat="1" applyFont="1" applyFill="1" applyBorder="1"/>
    <xf numFmtId="0" fontId="61" fillId="0" borderId="41" xfId="0" applyFont="1" applyBorder="1"/>
    <xf numFmtId="0" fontId="50" fillId="0" borderId="41" xfId="0" applyNumberFormat="1" applyFont="1" applyFill="1" applyBorder="1"/>
    <xf numFmtId="0" fontId="31" fillId="3" borderId="36" xfId="0" applyFont="1" applyFill="1" applyBorder="1"/>
    <xf numFmtId="42" fontId="0" fillId="3" borderId="60" xfId="11" applyNumberFormat="1" applyFont="1" applyFill="1" applyBorder="1"/>
    <xf numFmtId="0" fontId="31" fillId="3" borderId="11" xfId="0" applyFont="1" applyFill="1" applyBorder="1"/>
    <xf numFmtId="10" fontId="0" fillId="3" borderId="12" xfId="6" applyNumberFormat="1" applyFont="1" applyFill="1" applyBorder="1"/>
    <xf numFmtId="0" fontId="31" fillId="2" borderId="18" xfId="0" applyFont="1" applyFill="1" applyBorder="1"/>
    <xf numFmtId="0" fontId="31" fillId="2" borderId="36" xfId="0" applyFont="1" applyFill="1" applyBorder="1"/>
    <xf numFmtId="42" fontId="0" fillId="2" borderId="60" xfId="11" applyNumberFormat="1" applyFont="1" applyFill="1" applyBorder="1"/>
    <xf numFmtId="0" fontId="0" fillId="0" borderId="14" xfId="11" applyNumberFormat="1" applyFont="1" applyBorder="1" applyAlignment="1">
      <alignment horizontal="center"/>
    </xf>
    <xf numFmtId="0" fontId="0" fillId="0" borderId="33" xfId="11" applyNumberFormat="1" applyFont="1" applyBorder="1" applyAlignment="1">
      <alignment horizontal="center"/>
    </xf>
    <xf numFmtId="0" fontId="0" fillId="0" borderId="15" xfId="11" applyNumberFormat="1" applyFont="1" applyBorder="1" applyAlignment="1">
      <alignment horizontal="center"/>
    </xf>
    <xf numFmtId="0" fontId="0" fillId="0" borderId="11" xfId="0" applyFill="1" applyBorder="1" applyAlignment="1">
      <alignment horizontal="left" indent="2"/>
    </xf>
    <xf numFmtId="42" fontId="0" fillId="2" borderId="27" xfId="11" applyNumberFormat="1" applyFont="1" applyFill="1" applyBorder="1"/>
    <xf numFmtId="0" fontId="31" fillId="3" borderId="36" xfId="0" applyFont="1" applyFill="1" applyBorder="1" applyAlignment="1">
      <alignment horizontal="left"/>
    </xf>
    <xf numFmtId="166" fontId="31" fillId="3" borderId="2" xfId="0" applyNumberFormat="1" applyFont="1" applyFill="1" applyBorder="1"/>
    <xf numFmtId="166" fontId="31" fillId="3" borderId="28" xfId="0" applyNumberFormat="1" applyFont="1" applyFill="1" applyBorder="1"/>
    <xf numFmtId="166" fontId="31" fillId="3" borderId="60" xfId="0" applyNumberFormat="1" applyFont="1" applyFill="1" applyBorder="1"/>
    <xf numFmtId="0" fontId="31" fillId="2" borderId="18" xfId="0" applyFont="1" applyFill="1" applyBorder="1" applyAlignment="1">
      <alignment horizontal="left"/>
    </xf>
    <xf numFmtId="166" fontId="31" fillId="2" borderId="1" xfId="0" applyNumberFormat="1" applyFont="1" applyFill="1" applyBorder="1"/>
    <xf numFmtId="166" fontId="31" fillId="2" borderId="21" xfId="0" applyNumberFormat="1" applyFont="1" applyFill="1" applyBorder="1"/>
    <xf numFmtId="166" fontId="31" fillId="2" borderId="20" xfId="0" applyNumberFormat="1" applyFont="1" applyFill="1" applyBorder="1"/>
    <xf numFmtId="0" fontId="31" fillId="2" borderId="34" xfId="0" applyFont="1" applyFill="1" applyBorder="1" applyAlignment="1">
      <alignment horizontal="left" indent="1"/>
    </xf>
    <xf numFmtId="166" fontId="31" fillId="2" borderId="3" xfId="0" applyNumberFormat="1" applyFont="1" applyFill="1" applyBorder="1"/>
    <xf numFmtId="166" fontId="31" fillId="2" borderId="6" xfId="0" applyNumberFormat="1" applyFont="1" applyFill="1" applyBorder="1"/>
    <xf numFmtId="166" fontId="31" fillId="2" borderId="35" xfId="0" applyNumberFormat="1" applyFont="1" applyFill="1" applyBorder="1"/>
    <xf numFmtId="0" fontId="62" fillId="0" borderId="0" xfId="10" applyFont="1"/>
    <xf numFmtId="0" fontId="63" fillId="0" borderId="0" xfId="10" applyFont="1"/>
    <xf numFmtId="0" fontId="14" fillId="0" borderId="0" xfId="7" applyFont="1"/>
    <xf numFmtId="0" fontId="31" fillId="0" borderId="0" xfId="7" applyFont="1"/>
    <xf numFmtId="0" fontId="14" fillId="0" borderId="16" xfId="7" applyFont="1" applyBorder="1"/>
    <xf numFmtId="0" fontId="31" fillId="0" borderId="8" xfId="7" applyFont="1" applyBorder="1"/>
    <xf numFmtId="2" fontId="31" fillId="0" borderId="9" xfId="7" applyNumberFormat="1" applyFont="1" applyBorder="1"/>
    <xf numFmtId="2" fontId="31" fillId="0" borderId="17" xfId="7" applyNumberFormat="1" applyFont="1" applyBorder="1"/>
    <xf numFmtId="10" fontId="64" fillId="0" borderId="11" xfId="8" applyNumberFormat="1" applyFont="1" applyBorder="1" applyAlignment="1">
      <alignment horizontal="right"/>
    </xf>
    <xf numFmtId="10" fontId="64" fillId="0" borderId="0" xfId="8" applyNumberFormat="1" applyFont="1" applyBorder="1"/>
    <xf numFmtId="10" fontId="49" fillId="0" borderId="0" xfId="8" applyNumberFormat="1" applyFont="1" applyBorder="1"/>
    <xf numFmtId="10" fontId="49" fillId="0" borderId="23" xfId="8" applyNumberFormat="1" applyFont="1" applyBorder="1"/>
    <xf numFmtId="10" fontId="49" fillId="0" borderId="12" xfId="8" applyNumberFormat="1" applyFont="1" applyBorder="1"/>
    <xf numFmtId="10" fontId="64" fillId="0" borderId="0" xfId="8" applyNumberFormat="1" applyFont="1"/>
    <xf numFmtId="0" fontId="31" fillId="0" borderId="11" xfId="7" applyFont="1" applyBorder="1"/>
    <xf numFmtId="2" fontId="31" fillId="0" borderId="0" xfId="7" applyNumberFormat="1" applyFont="1" applyBorder="1" applyAlignment="1">
      <alignment horizontal="right"/>
    </xf>
    <xf numFmtId="2" fontId="31" fillId="0" borderId="0" xfId="7" applyNumberFormat="1" applyFont="1" applyBorder="1"/>
    <xf numFmtId="2" fontId="31" fillId="0" borderId="23" xfId="7" applyNumberFormat="1" applyFont="1" applyBorder="1"/>
    <xf numFmtId="2" fontId="31" fillId="0" borderId="16" xfId="7" applyNumberFormat="1" applyFont="1" applyBorder="1"/>
    <xf numFmtId="10" fontId="64" fillId="0" borderId="13" xfId="8" applyNumberFormat="1" applyFont="1" applyBorder="1" applyAlignment="1">
      <alignment horizontal="right"/>
    </xf>
    <xf numFmtId="10" fontId="64" fillId="0" borderId="14" xfId="8" applyNumberFormat="1" applyFont="1" applyBorder="1"/>
    <xf numFmtId="10" fontId="49" fillId="0" borderId="14" xfId="8" applyNumberFormat="1" applyFont="1" applyBorder="1"/>
    <xf numFmtId="10" fontId="49" fillId="0" borderId="15" xfId="8" applyNumberFormat="1" applyFont="1" applyBorder="1"/>
    <xf numFmtId="10" fontId="64" fillId="0" borderId="0" xfId="8" applyNumberFormat="1" applyFont="1" applyAlignment="1">
      <alignment horizontal="right"/>
    </xf>
    <xf numFmtId="10" fontId="14" fillId="0" borderId="16" xfId="8" applyNumberFormat="1" applyFont="1" applyBorder="1"/>
    <xf numFmtId="10" fontId="64" fillId="0" borderId="16" xfId="8" applyNumberFormat="1" applyFont="1" applyBorder="1"/>
    <xf numFmtId="0" fontId="14" fillId="0" borderId="0" xfId="7" applyFont="1" applyBorder="1"/>
    <xf numFmtId="1" fontId="31" fillId="0" borderId="9" xfId="14" applyNumberFormat="1" applyFont="1" applyBorder="1"/>
    <xf numFmtId="1" fontId="31" fillId="0" borderId="17" xfId="7" applyNumberFormat="1" applyFont="1" applyBorder="1"/>
    <xf numFmtId="9" fontId="64" fillId="0" borderId="1" xfId="8" applyFont="1" applyBorder="1"/>
    <xf numFmtId="10" fontId="49" fillId="0" borderId="1" xfId="8" applyNumberFormat="1" applyFont="1" applyBorder="1"/>
    <xf numFmtId="10" fontId="49" fillId="0" borderId="19" xfId="8" applyNumberFormat="1" applyFont="1" applyBorder="1"/>
    <xf numFmtId="10" fontId="49" fillId="0" borderId="20" xfId="8" applyNumberFormat="1" applyFont="1" applyBorder="1"/>
    <xf numFmtId="10" fontId="49" fillId="0" borderId="11" xfId="15" applyNumberFormat="1" applyFont="1" applyFill="1" applyBorder="1" applyAlignment="1">
      <alignment horizontal="left"/>
    </xf>
    <xf numFmtId="9" fontId="64" fillId="0" borderId="0" xfId="8" applyFont="1" applyBorder="1"/>
    <xf numFmtId="10" fontId="49" fillId="0" borderId="23" xfId="15" applyNumberFormat="1" applyFont="1" applyFill="1" applyBorder="1"/>
    <xf numFmtId="10" fontId="49" fillId="0" borderId="0" xfId="15" applyNumberFormat="1" applyFont="1" applyFill="1" applyBorder="1"/>
    <xf numFmtId="10" fontId="49" fillId="0" borderId="12" xfId="15" applyNumberFormat="1" applyFont="1" applyFill="1" applyBorder="1"/>
    <xf numFmtId="9" fontId="65" fillId="0" borderId="0" xfId="8" applyFont="1" applyFill="1" applyBorder="1"/>
    <xf numFmtId="0" fontId="66" fillId="0" borderId="11" xfId="14" applyFont="1" applyFill="1" applyBorder="1" applyAlignment="1">
      <alignment horizontal="left"/>
    </xf>
    <xf numFmtId="0" fontId="66" fillId="0" borderId="11" xfId="14" applyFont="1" applyFill="1" applyBorder="1"/>
    <xf numFmtId="0" fontId="67" fillId="0" borderId="29" xfId="14" applyFont="1" applyBorder="1"/>
    <xf numFmtId="9" fontId="64" fillId="0" borderId="4" xfId="8" applyFont="1" applyBorder="1"/>
    <xf numFmtId="10" fontId="36" fillId="0" borderId="25" xfId="15" applyNumberFormat="1" applyFont="1" applyFill="1" applyBorder="1"/>
    <xf numFmtId="10" fontId="36" fillId="0" borderId="4" xfId="15" applyNumberFormat="1" applyFont="1" applyFill="1" applyBorder="1"/>
    <xf numFmtId="10" fontId="36" fillId="0" borderId="30" xfId="15" applyNumberFormat="1" applyFont="1" applyFill="1" applyBorder="1"/>
    <xf numFmtId="0" fontId="67" fillId="0" borderId="11" xfId="14" applyFont="1" applyBorder="1"/>
    <xf numFmtId="10" fontId="64" fillId="0" borderId="12" xfId="8" applyNumberFormat="1" applyFont="1" applyBorder="1"/>
    <xf numFmtId="1" fontId="31" fillId="0" borderId="0" xfId="7" applyNumberFormat="1" applyFont="1" applyBorder="1"/>
    <xf numFmtId="1" fontId="31" fillId="0" borderId="16" xfId="7" applyNumberFormat="1" applyFont="1" applyBorder="1"/>
    <xf numFmtId="10" fontId="64" fillId="0" borderId="1" xfId="8" applyNumberFormat="1" applyFont="1" applyBorder="1"/>
    <xf numFmtId="9" fontId="65" fillId="0" borderId="0" xfId="8" applyFont="1" applyBorder="1"/>
    <xf numFmtId="10" fontId="64" fillId="0" borderId="4" xfId="8" applyNumberFormat="1" applyFont="1" applyBorder="1"/>
    <xf numFmtId="10" fontId="31" fillId="0" borderId="24" xfId="15" applyNumberFormat="1" applyFont="1" applyBorder="1"/>
    <xf numFmtId="10" fontId="31" fillId="0" borderId="4" xfId="15" applyNumberFormat="1" applyFont="1" applyBorder="1"/>
    <xf numFmtId="10" fontId="31" fillId="0" borderId="30" xfId="15" applyNumberFormat="1" applyFont="1" applyBorder="1"/>
    <xf numFmtId="10" fontId="14" fillId="0" borderId="16" xfId="7" applyNumberFormat="1" applyFont="1" applyBorder="1"/>
    <xf numFmtId="10" fontId="14" fillId="0" borderId="0" xfId="7" applyNumberFormat="1" applyFont="1" applyBorder="1"/>
    <xf numFmtId="0" fontId="14" fillId="0" borderId="12" xfId="7" applyFont="1" applyBorder="1"/>
    <xf numFmtId="1" fontId="31" fillId="0" borderId="0" xfId="14" applyNumberFormat="1" applyFont="1" applyBorder="1"/>
    <xf numFmtId="1" fontId="31" fillId="0" borderId="16" xfId="14" applyNumberFormat="1" applyFont="1" applyBorder="1"/>
    <xf numFmtId="10" fontId="64" fillId="0" borderId="19" xfId="8" applyNumberFormat="1" applyFont="1" applyBorder="1"/>
    <xf numFmtId="10" fontId="64" fillId="0" borderId="20" xfId="8" applyNumberFormat="1" applyFont="1" applyBorder="1"/>
    <xf numFmtId="0" fontId="69" fillId="0" borderId="11" xfId="7" applyFont="1" applyBorder="1" applyAlignment="1">
      <alignment horizontal="left"/>
    </xf>
    <xf numFmtId="10" fontId="65" fillId="0" borderId="0" xfId="8" applyNumberFormat="1" applyFont="1" applyBorder="1"/>
    <xf numFmtId="10" fontId="64" fillId="0" borderId="25" xfId="8" applyNumberFormat="1" applyFont="1" applyBorder="1"/>
    <xf numFmtId="10" fontId="64" fillId="0" borderId="15" xfId="8" applyNumberFormat="1" applyFont="1" applyBorder="1"/>
    <xf numFmtId="170" fontId="14" fillId="0" borderId="9" xfId="11" applyNumberFormat="1" applyFont="1" applyBorder="1"/>
    <xf numFmtId="170" fontId="14" fillId="0" borderId="17" xfId="11" applyNumberFormat="1" applyFont="1" applyBorder="1"/>
    <xf numFmtId="170" fontId="14" fillId="0" borderId="10" xfId="11" applyNumberFormat="1" applyFont="1" applyBorder="1"/>
    <xf numFmtId="10" fontId="49" fillId="0" borderId="16" xfId="8" applyNumberFormat="1" applyFont="1" applyBorder="1"/>
    <xf numFmtId="170" fontId="14" fillId="0" borderId="0" xfId="11" applyNumberFormat="1" applyFont="1" applyBorder="1" applyAlignment="1">
      <alignment horizontal="right"/>
    </xf>
    <xf numFmtId="170" fontId="14" fillId="0" borderId="16" xfId="11" applyNumberFormat="1" applyFont="1" applyBorder="1" applyAlignment="1">
      <alignment horizontal="right"/>
    </xf>
    <xf numFmtId="170" fontId="14" fillId="0" borderId="12" xfId="11" applyNumberFormat="1" applyFont="1" applyBorder="1" applyAlignment="1">
      <alignment horizontal="right"/>
    </xf>
    <xf numFmtId="10" fontId="49" fillId="0" borderId="22" xfId="8" applyNumberFormat="1" applyFont="1" applyBorder="1"/>
    <xf numFmtId="10" fontId="70" fillId="0" borderId="11" xfId="8" applyNumberFormat="1" applyFont="1" applyBorder="1" applyAlignment="1">
      <alignment horizontal="left"/>
    </xf>
    <xf numFmtId="10" fontId="71" fillId="0" borderId="0" xfId="8" applyNumberFormat="1" applyFont="1" applyBorder="1"/>
    <xf numFmtId="10" fontId="71" fillId="0" borderId="16" xfId="8" applyNumberFormat="1" applyFont="1" applyBorder="1"/>
    <xf numFmtId="10" fontId="71" fillId="0" borderId="12" xfId="8" applyNumberFormat="1" applyFont="1" applyBorder="1"/>
    <xf numFmtId="10" fontId="70" fillId="0" borderId="13" xfId="8" applyNumberFormat="1" applyFont="1" applyBorder="1" applyAlignment="1">
      <alignment horizontal="left"/>
    </xf>
    <xf numFmtId="10" fontId="64" fillId="0" borderId="22" xfId="8" applyNumberFormat="1" applyFont="1" applyBorder="1"/>
    <xf numFmtId="10" fontId="70" fillId="0" borderId="0" xfId="15" applyNumberFormat="1" applyFont="1" applyAlignment="1">
      <alignment horizontal="left"/>
    </xf>
    <xf numFmtId="10" fontId="64" fillId="0" borderId="0" xfId="15" applyNumberFormat="1" applyFont="1"/>
    <xf numFmtId="10" fontId="64" fillId="0" borderId="16" xfId="15" applyNumberFormat="1" applyFont="1" applyBorder="1"/>
    <xf numFmtId="0" fontId="14" fillId="0" borderId="0" xfId="14" applyFont="1"/>
    <xf numFmtId="0" fontId="14" fillId="0" borderId="16" xfId="14" applyFont="1" applyBorder="1"/>
    <xf numFmtId="0" fontId="31" fillId="0" borderId="0" xfId="14" applyFont="1"/>
    <xf numFmtId="0" fontId="31" fillId="0" borderId="8" xfId="14" applyFont="1" applyBorder="1"/>
    <xf numFmtId="0" fontId="31" fillId="0" borderId="11" xfId="14" applyFont="1" applyBorder="1"/>
    <xf numFmtId="0" fontId="31" fillId="0" borderId="13" xfId="14" applyFont="1" applyBorder="1"/>
    <xf numFmtId="170" fontId="14" fillId="0" borderId="14" xfId="11" applyNumberFormat="1" applyFont="1" applyBorder="1"/>
    <xf numFmtId="170" fontId="14" fillId="0" borderId="22" xfId="11" applyNumberFormat="1" applyFont="1" applyBorder="1"/>
    <xf numFmtId="0" fontId="64" fillId="0" borderId="0" xfId="14" applyFont="1" applyAlignment="1">
      <alignment horizontal="right"/>
    </xf>
    <xf numFmtId="0" fontId="31" fillId="0" borderId="16" xfId="14" applyFont="1" applyBorder="1" applyAlignment="1"/>
    <xf numFmtId="0" fontId="31" fillId="0" borderId="0" xfId="14" applyFont="1" applyAlignment="1"/>
    <xf numFmtId="0" fontId="64" fillId="0" borderId="8" xfId="14" applyFont="1" applyBorder="1" applyAlignment="1">
      <alignment horizontal="left"/>
    </xf>
    <xf numFmtId="10" fontId="14" fillId="0" borderId="9" xfId="14" applyNumberFormat="1" applyFont="1" applyBorder="1" applyAlignment="1"/>
    <xf numFmtId="10" fontId="14" fillId="0" borderId="17" xfId="14" applyNumberFormat="1" applyFont="1" applyBorder="1" applyAlignment="1"/>
    <xf numFmtId="10" fontId="14" fillId="0" borderId="10" xfId="14" applyNumberFormat="1" applyFont="1" applyBorder="1" applyAlignment="1"/>
    <xf numFmtId="0" fontId="64" fillId="0" borderId="11" xfId="14" applyFont="1" applyBorder="1" applyAlignment="1">
      <alignment horizontal="left"/>
    </xf>
    <xf numFmtId="0" fontId="14" fillId="0" borderId="0" xfId="14" applyFont="1" applyBorder="1"/>
    <xf numFmtId="1" fontId="14" fillId="0" borderId="16" xfId="14" applyNumberFormat="1" applyFont="1" applyBorder="1"/>
    <xf numFmtId="0" fontId="14" fillId="0" borderId="12" xfId="14" applyFont="1" applyBorder="1"/>
    <xf numFmtId="171" fontId="14" fillId="0" borderId="0" xfId="14" applyNumberFormat="1" applyFont="1" applyBorder="1" applyAlignment="1"/>
    <xf numFmtId="0" fontId="64" fillId="0" borderId="31" xfId="14" applyFont="1" applyBorder="1" applyAlignment="1">
      <alignment horizontal="left" wrapText="1"/>
    </xf>
    <xf numFmtId="0" fontId="14" fillId="0" borderId="32" xfId="14" applyFont="1" applyBorder="1"/>
    <xf numFmtId="0" fontId="14" fillId="0" borderId="14" xfId="14" applyFont="1" applyBorder="1"/>
    <xf numFmtId="0" fontId="14" fillId="0" borderId="22" xfId="14" applyFont="1" applyBorder="1"/>
    <xf numFmtId="0" fontId="14" fillId="0" borderId="15" xfId="14" applyFont="1" applyBorder="1"/>
    <xf numFmtId="0" fontId="14" fillId="0" borderId="9" xfId="7" applyFont="1" applyBorder="1"/>
    <xf numFmtId="0" fontId="14" fillId="0" borderId="0" xfId="0" applyFont="1"/>
    <xf numFmtId="0" fontId="64" fillId="0" borderId="0" xfId="7" applyFont="1" applyAlignment="1">
      <alignment horizontal="right"/>
    </xf>
    <xf numFmtId="0" fontId="31" fillId="0" borderId="0" xfId="7" applyFont="1" applyAlignment="1"/>
    <xf numFmtId="0" fontId="14" fillId="0" borderId="0" xfId="0" applyFont="1" applyBorder="1"/>
    <xf numFmtId="0" fontId="14" fillId="0" borderId="0" xfId="7" applyFont="1" applyFill="1"/>
    <xf numFmtId="0" fontId="72" fillId="0" borderId="0" xfId="7" applyFont="1"/>
    <xf numFmtId="0" fontId="63" fillId="4" borderId="0" xfId="10" applyFont="1" applyFill="1" applyAlignment="1">
      <alignment horizontal="left"/>
    </xf>
    <xf numFmtId="0" fontId="63" fillId="0" borderId="0" xfId="10" applyFont="1" applyFill="1" applyBorder="1"/>
    <xf numFmtId="0" fontId="63" fillId="4" borderId="0" xfId="10" applyFont="1" applyFill="1"/>
    <xf numFmtId="169" fontId="27" fillId="0" borderId="0" xfId="6" applyNumberFormat="1" applyFont="1" applyFill="1" applyBorder="1"/>
    <xf numFmtId="0" fontId="6" fillId="0" borderId="0" xfId="19"/>
    <xf numFmtId="0" fontId="22" fillId="0" borderId="59" xfId="19" applyFont="1" applyFill="1" applyBorder="1" applyAlignment="1">
      <alignment horizontal="centerContinuous"/>
    </xf>
    <xf numFmtId="0" fontId="6" fillId="0" borderId="0" xfId="19" applyFill="1" applyBorder="1" applyAlignment="1"/>
    <xf numFmtId="0" fontId="6" fillId="0" borderId="14" xfId="19" applyFill="1" applyBorder="1" applyAlignment="1"/>
    <xf numFmtId="0" fontId="22" fillId="0" borderId="59" xfId="19" applyFont="1" applyFill="1" applyBorder="1" applyAlignment="1">
      <alignment horizontal="center"/>
    </xf>
    <xf numFmtId="0" fontId="6" fillId="11" borderId="14" xfId="19" applyFill="1" applyBorder="1" applyAlignment="1"/>
    <xf numFmtId="0" fontId="6" fillId="11" borderId="0" xfId="19" applyFill="1"/>
    <xf numFmtId="0" fontId="23" fillId="0" borderId="0" xfId="19" applyFont="1"/>
    <xf numFmtId="0" fontId="6" fillId="0" borderId="0" xfId="19" applyFill="1"/>
    <xf numFmtId="176" fontId="74" fillId="0" borderId="0" xfId="19" applyNumberFormat="1" applyFont="1" applyFill="1" applyBorder="1" applyAlignment="1">
      <alignment horizontal="center" wrapText="1"/>
    </xf>
    <xf numFmtId="10" fontId="30" fillId="0" borderId="0" xfId="20" applyNumberFormat="1" applyFont="1" applyFill="1" applyBorder="1"/>
    <xf numFmtId="0" fontId="6" fillId="0" borderId="0" xfId="19" applyAlignment="1">
      <alignment horizontal="left"/>
    </xf>
    <xf numFmtId="14" fontId="6" fillId="0" borderId="0" xfId="19" applyNumberFormat="1"/>
    <xf numFmtId="2" fontId="6" fillId="0" borderId="0" xfId="19" applyNumberFormat="1" applyFont="1" applyFill="1" applyBorder="1" applyAlignment="1" applyProtection="1"/>
    <xf numFmtId="42" fontId="0" fillId="0" borderId="0" xfId="0" applyNumberFormat="1"/>
    <xf numFmtId="44" fontId="0" fillId="0" borderId="0" xfId="0" applyNumberFormat="1"/>
    <xf numFmtId="0" fontId="26" fillId="0" borderId="0" xfId="12"/>
    <xf numFmtId="44" fontId="9" fillId="0" borderId="0" xfId="17" applyNumberFormat="1"/>
    <xf numFmtId="177" fontId="23" fillId="0" borderId="45" xfId="17" applyNumberFormat="1" applyFont="1" applyFill="1" applyBorder="1"/>
    <xf numFmtId="171" fontId="23" fillId="0" borderId="32" xfId="17" applyNumberFormat="1" applyFont="1" applyFill="1" applyBorder="1"/>
    <xf numFmtId="9" fontId="12" fillId="4" borderId="0" xfId="6" applyFont="1" applyFill="1" applyBorder="1"/>
    <xf numFmtId="171" fontId="12" fillId="4" borderId="0" xfId="6" applyNumberFormat="1" applyFont="1" applyFill="1" applyBorder="1"/>
    <xf numFmtId="178" fontId="12" fillId="2" borderId="1" xfId="0" applyNumberFormat="1" applyFont="1" applyFill="1" applyBorder="1"/>
    <xf numFmtId="178" fontId="12" fillId="2" borderId="20" xfId="0" applyNumberFormat="1" applyFont="1" applyFill="1" applyBorder="1"/>
    <xf numFmtId="178" fontId="12" fillId="0" borderId="0" xfId="6" applyNumberFormat="1" applyFont="1" applyFill="1"/>
    <xf numFmtId="10" fontId="54" fillId="0" borderId="64" xfId="6" applyNumberFormat="1" applyFont="1" applyFill="1" applyBorder="1"/>
    <xf numFmtId="10" fontId="54" fillId="0" borderId="23" xfId="6" applyNumberFormat="1" applyFont="1" applyFill="1" applyBorder="1"/>
    <xf numFmtId="10" fontId="54" fillId="0" borderId="33" xfId="6" applyNumberFormat="1" applyFont="1" applyFill="1" applyBorder="1"/>
    <xf numFmtId="42" fontId="31" fillId="3" borderId="2" xfId="11" applyNumberFormat="1" applyFont="1" applyFill="1" applyBorder="1"/>
    <xf numFmtId="42" fontId="31" fillId="3" borderId="28" xfId="11" applyNumberFormat="1" applyFont="1" applyFill="1" applyBorder="1"/>
    <xf numFmtId="42" fontId="31" fillId="3" borderId="60" xfId="11" applyNumberFormat="1" applyFont="1" applyFill="1" applyBorder="1"/>
    <xf numFmtId="177" fontId="31" fillId="0" borderId="0" xfId="6" applyNumberFormat="1" applyFont="1"/>
    <xf numFmtId="10" fontId="31" fillId="0" borderId="0" xfId="6" applyNumberFormat="1" applyFont="1" applyBorder="1"/>
    <xf numFmtId="10" fontId="75" fillId="0" borderId="0" xfId="6" applyNumberFormat="1" applyFont="1" applyBorder="1"/>
    <xf numFmtId="10" fontId="47" fillId="4" borderId="24" xfId="6" applyNumberFormat="1" applyFont="1" applyFill="1" applyBorder="1"/>
    <xf numFmtId="10" fontId="47" fillId="4" borderId="4" xfId="6" applyNumberFormat="1" applyFont="1" applyFill="1" applyBorder="1"/>
    <xf numFmtId="171" fontId="47" fillId="4" borderId="4" xfId="6" applyNumberFormat="1" applyFont="1" applyFill="1" applyBorder="1"/>
    <xf numFmtId="171" fontId="47" fillId="4" borderId="24" xfId="6" applyNumberFormat="1" applyFont="1" applyFill="1" applyBorder="1"/>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44" fontId="0" fillId="0" borderId="66" xfId="11" applyFont="1" applyBorder="1"/>
    <xf numFmtId="44" fontId="0" fillId="13" borderId="66" xfId="11" applyFont="1" applyFill="1" applyBorder="1"/>
    <xf numFmtId="44" fontId="0" fillId="14" borderId="66" xfId="11" applyFont="1" applyFill="1" applyBorder="1"/>
    <xf numFmtId="177" fontId="0" fillId="0" borderId="0" xfId="6" applyNumberFormat="1" applyFont="1"/>
    <xf numFmtId="0" fontId="64" fillId="0" borderId="0" xfId="7" applyFont="1" applyFill="1" applyBorder="1"/>
    <xf numFmtId="0" fontId="64" fillId="0" borderId="0" xfId="0" applyFont="1"/>
    <xf numFmtId="10" fontId="71" fillId="0" borderId="0" xfId="15" applyNumberFormat="1" applyFont="1" applyFill="1" applyBorder="1"/>
    <xf numFmtId="10" fontId="76" fillId="0" borderId="0" xfId="15" applyNumberFormat="1" applyFont="1" applyFill="1" applyBorder="1"/>
    <xf numFmtId="0" fontId="31" fillId="0" borderId="0" xfId="0" applyFont="1" applyAlignment="1">
      <alignment vertical="center"/>
    </xf>
    <xf numFmtId="0" fontId="31" fillId="0" borderId="0" xfId="0" applyFont="1" applyAlignment="1">
      <alignment horizontal="center" vertical="center"/>
    </xf>
    <xf numFmtId="0" fontId="31" fillId="0" borderId="0" xfId="0" applyFont="1" applyAlignment="1"/>
    <xf numFmtId="44" fontId="0" fillId="0" borderId="68" xfId="11" applyFont="1" applyBorder="1"/>
    <xf numFmtId="44" fontId="0" fillId="13" borderId="68" xfId="11" applyFont="1" applyFill="1" applyBorder="1"/>
    <xf numFmtId="44" fontId="0" fillId="0" borderId="69" xfId="11" applyFont="1" applyBorder="1"/>
    <xf numFmtId="44" fontId="0" fillId="13" borderId="69" xfId="11" applyFont="1" applyFill="1" applyBorder="1"/>
    <xf numFmtId="44" fontId="0" fillId="0" borderId="70" xfId="11" applyFont="1" applyBorder="1"/>
    <xf numFmtId="169" fontId="0" fillId="0" borderId="0" xfId="6" applyNumberFormat="1" applyFont="1" applyBorder="1"/>
    <xf numFmtId="44" fontId="0" fillId="0" borderId="0" xfId="11" applyFont="1" applyBorder="1"/>
    <xf numFmtId="9" fontId="0" fillId="14" borderId="12" xfId="6" applyFont="1" applyFill="1" applyBorder="1"/>
    <xf numFmtId="0" fontId="31" fillId="0" borderId="11" xfId="0" applyFont="1" applyBorder="1" applyAlignment="1">
      <alignment vertical="center"/>
    </xf>
    <xf numFmtId="9" fontId="0" fillId="14" borderId="15" xfId="6" applyFont="1" applyFill="1" applyBorder="1"/>
    <xf numFmtId="44" fontId="16" fillId="16" borderId="66" xfId="11" applyFont="1" applyFill="1" applyBorder="1"/>
    <xf numFmtId="44" fontId="31" fillId="0" borderId="66" xfId="0" applyNumberFormat="1" applyFont="1" applyBorder="1"/>
    <xf numFmtId="169" fontId="48" fillId="0" borderId="66" xfId="6" applyNumberFormat="1" applyFont="1" applyBorder="1"/>
    <xf numFmtId="169" fontId="48" fillId="0" borderId="68" xfId="6" applyNumberFormat="1" applyFont="1" applyBorder="1"/>
    <xf numFmtId="169" fontId="48" fillId="0" borderId="69" xfId="6" applyNumberFormat="1" applyFont="1" applyBorder="1"/>
    <xf numFmtId="0" fontId="31" fillId="0" borderId="9" xfId="0" applyFont="1" applyBorder="1" applyAlignment="1">
      <alignment vertical="center"/>
    </xf>
    <xf numFmtId="9" fontId="0" fillId="0" borderId="9" xfId="6" applyFont="1" applyBorder="1"/>
    <xf numFmtId="44" fontId="16" fillId="16" borderId="68" xfId="11" applyFont="1" applyFill="1" applyBorder="1"/>
    <xf numFmtId="44" fontId="16" fillId="16" borderId="69" xfId="11" applyFont="1" applyFill="1" applyBorder="1"/>
    <xf numFmtId="169" fontId="77" fillId="13" borderId="66" xfId="6" applyNumberFormat="1" applyFont="1" applyFill="1" applyBorder="1"/>
    <xf numFmtId="169" fontId="77" fillId="0" borderId="66" xfId="6" applyNumberFormat="1" applyFont="1" applyBorder="1"/>
    <xf numFmtId="9" fontId="0" fillId="14" borderId="30" xfId="6" applyFont="1" applyFill="1" applyBorder="1"/>
    <xf numFmtId="0" fontId="31" fillId="0" borderId="18" xfId="0" applyFont="1" applyBorder="1" applyAlignment="1">
      <alignment vertical="center"/>
    </xf>
    <xf numFmtId="0" fontId="31" fillId="14" borderId="68" xfId="0" applyFont="1" applyFill="1" applyBorder="1"/>
    <xf numFmtId="44" fontId="0" fillId="0" borderId="12" xfId="11" applyFont="1" applyBorder="1"/>
    <xf numFmtId="10" fontId="37" fillId="0" borderId="12" xfId="0" applyNumberFormat="1" applyFont="1" applyBorder="1" applyAlignment="1">
      <alignment horizontal="right" vertical="center"/>
    </xf>
    <xf numFmtId="0" fontId="31" fillId="14" borderId="72" xfId="0" applyFont="1" applyFill="1" applyBorder="1"/>
    <xf numFmtId="0" fontId="12" fillId="0" borderId="17" xfId="0" applyFont="1" applyBorder="1"/>
    <xf numFmtId="0" fontId="12" fillId="0" borderId="16" xfId="0" applyFont="1" applyBorder="1"/>
    <xf numFmtId="0" fontId="23" fillId="2" borderId="43" xfId="0" applyFont="1" applyFill="1" applyBorder="1"/>
    <xf numFmtId="0" fontId="23" fillId="0" borderId="17" xfId="0" applyFont="1" applyBorder="1"/>
    <xf numFmtId="169" fontId="12" fillId="0" borderId="16" xfId="6" applyNumberFormat="1" applyFont="1" applyBorder="1"/>
    <xf numFmtId="44" fontId="23" fillId="2" borderId="27" xfId="6" applyNumberFormat="1" applyFont="1" applyFill="1" applyBorder="1"/>
    <xf numFmtId="3" fontId="12" fillId="0" borderId="16" xfId="0" applyNumberFormat="1" applyFont="1" applyBorder="1"/>
    <xf numFmtId="3" fontId="23" fillId="2" borderId="27" xfId="0" applyNumberFormat="1" applyFont="1" applyFill="1" applyBorder="1" applyAlignment="1">
      <alignment horizontal="right"/>
    </xf>
    <xf numFmtId="44" fontId="23" fillId="3" borderId="22" xfId="11" applyFont="1" applyFill="1" applyBorder="1"/>
    <xf numFmtId="9" fontId="12" fillId="4" borderId="17" xfId="0" applyNumberFormat="1" applyFont="1" applyFill="1" applyBorder="1"/>
    <xf numFmtId="9" fontId="12" fillId="4" borderId="16" xfId="6" applyNumberFormat="1" applyFont="1" applyFill="1" applyBorder="1"/>
    <xf numFmtId="10" fontId="12" fillId="4" borderId="16" xfId="0" applyNumberFormat="1" applyFont="1" applyFill="1" applyBorder="1"/>
    <xf numFmtId="9" fontId="12" fillId="4" borderId="16" xfId="0" applyNumberFormat="1" applyFont="1" applyFill="1" applyBorder="1"/>
    <xf numFmtId="9" fontId="23" fillId="3" borderId="43" xfId="0" applyNumberFormat="1" applyFont="1" applyFill="1" applyBorder="1"/>
    <xf numFmtId="170" fontId="12" fillId="0" borderId="17" xfId="11" applyNumberFormat="1" applyFont="1" applyBorder="1"/>
    <xf numFmtId="170" fontId="12" fillId="0" borderId="16" xfId="11" applyNumberFormat="1" applyFont="1" applyBorder="1"/>
    <xf numFmtId="170" fontId="23" fillId="0" borderId="16" xfId="11" applyNumberFormat="1" applyFont="1" applyBorder="1"/>
    <xf numFmtId="170" fontId="23" fillId="0" borderId="22" xfId="11" applyNumberFormat="1" applyFont="1" applyBorder="1"/>
    <xf numFmtId="9" fontId="12" fillId="4" borderId="16" xfId="6" applyFont="1" applyFill="1" applyBorder="1"/>
    <xf numFmtId="170" fontId="23" fillId="2" borderId="19" xfId="11" applyNumberFormat="1" applyFont="1" applyFill="1" applyBorder="1"/>
    <xf numFmtId="170" fontId="23" fillId="3" borderId="5" xfId="11" applyNumberFormat="1" applyFont="1" applyFill="1" applyBorder="1"/>
    <xf numFmtId="9" fontId="12" fillId="0" borderId="16" xfId="6" applyFont="1" applyBorder="1"/>
    <xf numFmtId="170" fontId="12" fillId="2" borderId="19" xfId="11" applyNumberFormat="1" applyFont="1" applyFill="1" applyBorder="1"/>
    <xf numFmtId="170" fontId="12" fillId="3" borderId="5" xfId="11" applyNumberFormat="1" applyFont="1" applyFill="1" applyBorder="1"/>
    <xf numFmtId="9" fontId="38" fillId="0" borderId="17" xfId="6" applyFont="1" applyFill="1" applyBorder="1"/>
    <xf numFmtId="9" fontId="38" fillId="0" borderId="16" xfId="6" applyFont="1" applyFill="1" applyBorder="1"/>
    <xf numFmtId="9" fontId="12" fillId="0" borderId="16" xfId="6" applyFont="1" applyFill="1" applyBorder="1"/>
    <xf numFmtId="0" fontId="12" fillId="0" borderId="22" xfId="0" applyFont="1" applyFill="1" applyBorder="1"/>
    <xf numFmtId="10" fontId="12" fillId="0" borderId="17" xfId="6" applyNumberFormat="1" applyFont="1" applyBorder="1"/>
    <xf numFmtId="10" fontId="22" fillId="0" borderId="16" xfId="6" applyNumberFormat="1" applyFont="1" applyBorder="1"/>
    <xf numFmtId="10" fontId="12" fillId="0" borderId="16" xfId="6" applyNumberFormat="1" applyFont="1" applyBorder="1"/>
    <xf numFmtId="10" fontId="12" fillId="2" borderId="19" xfId="6" applyNumberFormat="1" applyFont="1" applyFill="1" applyBorder="1"/>
    <xf numFmtId="10" fontId="23" fillId="3" borderId="43" xfId="6" applyNumberFormat="1" applyFont="1" applyFill="1" applyBorder="1"/>
    <xf numFmtId="0" fontId="12" fillId="0" borderId="1" xfId="0" applyFont="1" applyBorder="1"/>
    <xf numFmtId="44" fontId="12" fillId="0" borderId="66" xfId="11" applyFont="1" applyBorder="1"/>
    <xf numFmtId="0" fontId="12" fillId="0" borderId="0" xfId="0" applyFont="1" applyBorder="1" applyAlignment="1">
      <alignment horizontal="center" vertical="center"/>
    </xf>
    <xf numFmtId="0" fontId="4" fillId="17" borderId="0" xfId="0" applyFont="1" applyFill="1" applyBorder="1" applyAlignment="1">
      <alignment horizontal="center" vertical="center"/>
    </xf>
    <xf numFmtId="0" fontId="12" fillId="0" borderId="18" xfId="0" applyFont="1" applyBorder="1"/>
    <xf numFmtId="0" fontId="12" fillId="0" borderId="11" xfId="0" applyFont="1" applyBorder="1"/>
    <xf numFmtId="44" fontId="12" fillId="0" borderId="68" xfId="11" applyFont="1" applyBorder="1"/>
    <xf numFmtId="0" fontId="12" fillId="0" borderId="14" xfId="0" applyFont="1" applyBorder="1" applyAlignment="1">
      <alignment horizontal="center" vertical="center"/>
    </xf>
    <xf numFmtId="44" fontId="12" fillId="0" borderId="69" xfId="11" applyFont="1" applyBorder="1"/>
    <xf numFmtId="44" fontId="12" fillId="0" borderId="70" xfId="11" applyFont="1" applyBorder="1"/>
    <xf numFmtId="0" fontId="23" fillId="0" borderId="8" xfId="0" applyFont="1" applyBorder="1"/>
    <xf numFmtId="44" fontId="23" fillId="0" borderId="66" xfId="0" applyNumberFormat="1" applyFont="1" applyBorder="1"/>
    <xf numFmtId="10" fontId="78" fillId="0" borderId="66" xfId="6" applyNumberFormat="1" applyFont="1" applyBorder="1"/>
    <xf numFmtId="10" fontId="78" fillId="0" borderId="69" xfId="6" applyNumberFormat="1" applyFont="1" applyBorder="1"/>
    <xf numFmtId="169" fontId="78" fillId="0" borderId="66" xfId="6" applyNumberFormat="1" applyFont="1" applyBorder="1"/>
    <xf numFmtId="169" fontId="78" fillId="0" borderId="68" xfId="6" applyNumberFormat="1" applyFont="1" applyBorder="1"/>
    <xf numFmtId="44" fontId="23" fillId="14" borderId="66" xfId="11" applyFont="1" applyFill="1" applyBorder="1"/>
    <xf numFmtId="44" fontId="31" fillId="0" borderId="12" xfId="0" applyNumberFormat="1" applyFont="1" applyBorder="1"/>
    <xf numFmtId="0" fontId="31" fillId="0" borderId="12" xfId="0" applyFont="1" applyBorder="1"/>
    <xf numFmtId="177" fontId="0" fillId="0" borderId="12" xfId="6" applyNumberFormat="1" applyFont="1" applyBorder="1"/>
    <xf numFmtId="0" fontId="31" fillId="11" borderId="31" xfId="0" applyFont="1" applyFill="1" applyBorder="1"/>
    <xf numFmtId="44" fontId="31" fillId="11" borderId="32" xfId="0" applyNumberFormat="1" applyFont="1" applyFill="1" applyBorder="1"/>
    <xf numFmtId="0" fontId="24" fillId="10" borderId="8" xfId="19" applyFont="1" applyFill="1" applyBorder="1"/>
    <xf numFmtId="0" fontId="24" fillId="10" borderId="10" xfId="19" applyFont="1" applyFill="1" applyBorder="1"/>
    <xf numFmtId="0" fontId="5" fillId="0" borderId="11" xfId="19" applyFont="1" applyBorder="1"/>
    <xf numFmtId="0" fontId="6" fillId="0" borderId="12" xfId="19" applyBorder="1"/>
    <xf numFmtId="0" fontId="6" fillId="0" borderId="11" xfId="19" applyBorder="1"/>
    <xf numFmtId="10" fontId="0" fillId="0" borderId="12" xfId="20" applyNumberFormat="1" applyFont="1" applyBorder="1"/>
    <xf numFmtId="0" fontId="23" fillId="0" borderId="13" xfId="19" applyFont="1" applyBorder="1"/>
    <xf numFmtId="0" fontId="23" fillId="0" borderId="15" xfId="19" applyFont="1" applyBorder="1"/>
    <xf numFmtId="0" fontId="24" fillId="10" borderId="31" xfId="19" applyFont="1" applyFill="1" applyBorder="1"/>
    <xf numFmtId="0" fontId="24" fillId="10" borderId="45" xfId="19" applyFont="1" applyFill="1" applyBorder="1"/>
    <xf numFmtId="0" fontId="24" fillId="10" borderId="32" xfId="19" applyFont="1" applyFill="1" applyBorder="1"/>
    <xf numFmtId="0" fontId="6" fillId="0" borderId="0" xfId="19" applyBorder="1"/>
    <xf numFmtId="0" fontId="6" fillId="0" borderId="0" xfId="19" applyFont="1" applyBorder="1"/>
    <xf numFmtId="10" fontId="0" fillId="0" borderId="0" xfId="20" applyNumberFormat="1" applyFont="1" applyBorder="1"/>
    <xf numFmtId="0" fontId="23" fillId="0" borderId="11" xfId="19" applyFont="1" applyBorder="1"/>
    <xf numFmtId="175" fontId="23" fillId="0" borderId="0" xfId="20" applyNumberFormat="1" applyFont="1" applyBorder="1"/>
    <xf numFmtId="10" fontId="23" fillId="0" borderId="0" xfId="20" applyNumberFormat="1" applyFont="1" applyBorder="1"/>
    <xf numFmtId="10" fontId="23" fillId="0" borderId="12" xfId="20" applyNumberFormat="1" applyFont="1" applyBorder="1"/>
    <xf numFmtId="0" fontId="23" fillId="0" borderId="14" xfId="19" applyFont="1" applyBorder="1"/>
    <xf numFmtId="176" fontId="74" fillId="0" borderId="12" xfId="19" applyNumberFormat="1" applyFont="1" applyFill="1" applyBorder="1" applyAlignment="1">
      <alignment horizontal="center" wrapText="1"/>
    </xf>
    <xf numFmtId="10" fontId="30" fillId="0" borderId="12" xfId="20" applyNumberFormat="1" applyFont="1" applyFill="1" applyBorder="1"/>
    <xf numFmtId="10" fontId="30" fillId="0" borderId="14" xfId="20" applyNumberFormat="1" applyFont="1" applyFill="1" applyBorder="1"/>
    <xf numFmtId="10" fontId="30" fillId="0" borderId="15" xfId="20" applyNumberFormat="1" applyFont="1" applyFill="1" applyBorder="1"/>
    <xf numFmtId="10" fontId="23" fillId="0" borderId="11" xfId="19" applyNumberFormat="1" applyFont="1" applyBorder="1"/>
    <xf numFmtId="10" fontId="23" fillId="0" borderId="13" xfId="19" applyNumberFormat="1" applyFont="1" applyBorder="1"/>
    <xf numFmtId="0" fontId="6" fillId="0" borderId="15" xfId="19" applyBorder="1"/>
    <xf numFmtId="176" fontId="80" fillId="10" borderId="8" xfId="19" applyNumberFormat="1" applyFont="1" applyFill="1" applyBorder="1" applyAlignment="1">
      <alignment horizontal="center" wrapText="1"/>
    </xf>
    <xf numFmtId="176" fontId="80" fillId="10" borderId="10" xfId="19" applyNumberFormat="1" applyFont="1" applyFill="1" applyBorder="1" applyAlignment="1">
      <alignment horizontal="center" wrapText="1"/>
    </xf>
    <xf numFmtId="0" fontId="24" fillId="10" borderId="8" xfId="19" applyFont="1" applyFill="1" applyBorder="1" applyAlignment="1">
      <alignment horizontal="left"/>
    </xf>
    <xf numFmtId="0" fontId="24" fillId="10" borderId="9" xfId="19" applyFont="1" applyFill="1" applyBorder="1"/>
    <xf numFmtId="0" fontId="6" fillId="0" borderId="11" xfId="19" applyBorder="1" applyAlignment="1">
      <alignment horizontal="left"/>
    </xf>
    <xf numFmtId="0" fontId="6" fillId="0" borderId="0" xfId="19" applyBorder="1" applyAlignment="1">
      <alignment horizontal="center"/>
    </xf>
    <xf numFmtId="0" fontId="6" fillId="0" borderId="12" xfId="19" applyBorder="1" applyAlignment="1">
      <alignment horizontal="center"/>
    </xf>
    <xf numFmtId="0" fontId="6" fillId="0" borderId="11" xfId="19" applyBorder="1" applyAlignment="1">
      <alignment horizontal="left" vertical="center"/>
    </xf>
    <xf numFmtId="10" fontId="6" fillId="0" borderId="0" xfId="19" applyNumberFormat="1" applyBorder="1" applyAlignment="1">
      <alignment horizontal="center" vertical="center"/>
    </xf>
    <xf numFmtId="10" fontId="6" fillId="0" borderId="12" xfId="19" applyNumberFormat="1" applyBorder="1" applyAlignment="1">
      <alignment horizontal="center" vertical="center"/>
    </xf>
    <xf numFmtId="0" fontId="6" fillId="0" borderId="0" xfId="19" applyBorder="1" applyAlignment="1">
      <alignment horizontal="center" vertical="center"/>
    </xf>
    <xf numFmtId="0" fontId="6" fillId="0" borderId="12" xfId="19" applyBorder="1" applyAlignment="1">
      <alignment horizontal="center" vertical="center"/>
    </xf>
    <xf numFmtId="0" fontId="23" fillId="0" borderId="11" xfId="19" applyFont="1" applyBorder="1" applyAlignment="1">
      <alignment horizontal="left"/>
    </xf>
    <xf numFmtId="0" fontId="23" fillId="0" borderId="0" xfId="19" applyFont="1" applyBorder="1"/>
    <xf numFmtId="0" fontId="23" fillId="0" borderId="12" xfId="19" applyFont="1" applyBorder="1"/>
    <xf numFmtId="0" fontId="23" fillId="0" borderId="13" xfId="19" applyFont="1" applyBorder="1" applyAlignment="1">
      <alignment horizontal="left"/>
    </xf>
    <xf numFmtId="0" fontId="6" fillId="0" borderId="14" xfId="19" applyBorder="1"/>
    <xf numFmtId="9" fontId="0" fillId="0" borderId="0" xfId="20" applyFont="1" applyBorder="1"/>
    <xf numFmtId="2" fontId="0" fillId="0" borderId="0" xfId="20" applyNumberFormat="1" applyFont="1" applyBorder="1"/>
    <xf numFmtId="0" fontId="3" fillId="0" borderId="0" xfId="19" applyFont="1"/>
    <xf numFmtId="0" fontId="3" fillId="0" borderId="0" xfId="19" applyFont="1" applyFill="1"/>
    <xf numFmtId="0" fontId="6" fillId="0" borderId="13" xfId="19" applyBorder="1"/>
    <xf numFmtId="0" fontId="3" fillId="0" borderId="11" xfId="19" applyFont="1" applyBorder="1"/>
    <xf numFmtId="0" fontId="3" fillId="0" borderId="13" xfId="19" applyFont="1" applyBorder="1"/>
    <xf numFmtId="0" fontId="3" fillId="0" borderId="14" xfId="19" applyFont="1" applyBorder="1"/>
    <xf numFmtId="0" fontId="3" fillId="0" borderId="0" xfId="19" applyFont="1" applyBorder="1"/>
    <xf numFmtId="179" fontId="6" fillId="0" borderId="12" xfId="19" applyNumberFormat="1" applyBorder="1"/>
    <xf numFmtId="179" fontId="0" fillId="0" borderId="12" xfId="20" applyNumberFormat="1" applyFont="1" applyFill="1" applyBorder="1"/>
    <xf numFmtId="179" fontId="0" fillId="0" borderId="12" xfId="20" applyNumberFormat="1" applyFont="1" applyBorder="1"/>
    <xf numFmtId="179" fontId="23" fillId="0" borderId="15" xfId="19" applyNumberFormat="1" applyFont="1" applyBorder="1"/>
    <xf numFmtId="179" fontId="23" fillId="0" borderId="0" xfId="19" applyNumberFormat="1" applyFont="1"/>
    <xf numFmtId="0" fontId="0" fillId="0" borderId="56" xfId="0" applyBorder="1" applyAlignment="1">
      <alignment horizontal="center" vertical="center"/>
    </xf>
    <xf numFmtId="0" fontId="0" fillId="0" borderId="58" xfId="0" applyBorder="1" applyAlignment="1">
      <alignment horizontal="center" vertical="center"/>
    </xf>
    <xf numFmtId="165" fontId="0" fillId="0" borderId="66" xfId="0" applyNumberFormat="1" applyBorder="1"/>
    <xf numFmtId="165" fontId="0" fillId="0" borderId="68" xfId="0" applyNumberFormat="1" applyBorder="1"/>
    <xf numFmtId="165" fontId="0" fillId="0" borderId="69" xfId="0" applyNumberFormat="1" applyBorder="1"/>
    <xf numFmtId="165" fontId="0" fillId="0" borderId="70" xfId="0" applyNumberFormat="1" applyBorder="1"/>
    <xf numFmtId="10" fontId="81" fillId="0" borderId="66" xfId="6" applyNumberFormat="1" applyFont="1" applyBorder="1" applyAlignment="1">
      <alignment horizontal="center"/>
    </xf>
    <xf numFmtId="10" fontId="81" fillId="0" borderId="68" xfId="6" applyNumberFormat="1" applyFont="1" applyBorder="1" applyAlignment="1">
      <alignment horizontal="center"/>
    </xf>
    <xf numFmtId="10" fontId="81" fillId="0" borderId="66" xfId="6" applyNumberFormat="1" applyFont="1" applyBorder="1" applyAlignment="1">
      <alignment horizontal="right"/>
    </xf>
    <xf numFmtId="10" fontId="81" fillId="0" borderId="69" xfId="6" applyNumberFormat="1" applyFont="1" applyBorder="1" applyAlignment="1">
      <alignment horizontal="right"/>
    </xf>
    <xf numFmtId="165" fontId="0" fillId="18" borderId="66" xfId="0" applyNumberFormat="1" applyFill="1" applyBorder="1"/>
    <xf numFmtId="165" fontId="0" fillId="18" borderId="69" xfId="0" applyNumberFormat="1" applyFill="1" applyBorder="1"/>
    <xf numFmtId="165" fontId="0" fillId="18" borderId="68" xfId="0" applyNumberFormat="1" applyFill="1" applyBorder="1"/>
    <xf numFmtId="10" fontId="82" fillId="18" borderId="66" xfId="6" applyNumberFormat="1" applyFont="1" applyFill="1" applyBorder="1" applyAlignment="1">
      <alignment horizontal="center"/>
    </xf>
    <xf numFmtId="165" fontId="31" fillId="14" borderId="66" xfId="0" applyNumberFormat="1" applyFont="1" applyFill="1" applyBorder="1"/>
    <xf numFmtId="10" fontId="82" fillId="18" borderId="66" xfId="6" applyNumberFormat="1" applyFont="1" applyFill="1" applyBorder="1" applyAlignment="1">
      <alignment horizontal="right"/>
    </xf>
    <xf numFmtId="165" fontId="0" fillId="0" borderId="66" xfId="0" applyNumberFormat="1" applyBorder="1" applyAlignment="1">
      <alignment horizontal="center" vertical="center"/>
    </xf>
    <xf numFmtId="165" fontId="0" fillId="18" borderId="66" xfId="0" applyNumberFormat="1" applyFill="1" applyBorder="1" applyAlignment="1">
      <alignment horizontal="center" vertical="center"/>
    </xf>
    <xf numFmtId="165" fontId="0" fillId="0" borderId="68" xfId="0" applyNumberFormat="1" applyBorder="1" applyAlignment="1">
      <alignment horizontal="center" vertical="center"/>
    </xf>
    <xf numFmtId="165" fontId="31" fillId="14" borderId="66" xfId="0" applyNumberFormat="1" applyFont="1" applyFill="1" applyBorder="1" applyAlignment="1">
      <alignment horizontal="center" vertical="center"/>
    </xf>
    <xf numFmtId="165" fontId="0" fillId="18" borderId="68" xfId="0" applyNumberFormat="1" applyFill="1" applyBorder="1" applyAlignment="1">
      <alignment horizontal="center" vertical="center"/>
    </xf>
    <xf numFmtId="165" fontId="0" fillId="0" borderId="69" xfId="0" applyNumberFormat="1" applyBorder="1" applyAlignment="1">
      <alignment horizontal="center" vertical="center"/>
    </xf>
    <xf numFmtId="165" fontId="0" fillId="18" borderId="69" xfId="0" applyNumberFormat="1" applyFill="1" applyBorder="1" applyAlignment="1">
      <alignment horizontal="center" vertical="center"/>
    </xf>
    <xf numFmtId="165" fontId="0" fillId="0" borderId="70" xfId="0" applyNumberFormat="1" applyBorder="1" applyAlignment="1">
      <alignment horizontal="center" vertical="center"/>
    </xf>
    <xf numFmtId="169" fontId="77" fillId="18" borderId="66" xfId="6" applyNumberFormat="1" applyFont="1" applyFill="1" applyBorder="1"/>
    <xf numFmtId="44" fontId="0" fillId="18" borderId="66" xfId="11" applyFont="1" applyFill="1" applyBorder="1"/>
    <xf numFmtId="44" fontId="0" fillId="18" borderId="69" xfId="11" applyFont="1" applyFill="1" applyBorder="1"/>
    <xf numFmtId="44" fontId="0" fillId="18" borderId="68" xfId="11" applyFont="1" applyFill="1" applyBorder="1"/>
    <xf numFmtId="10" fontId="79" fillId="18" borderId="66" xfId="6" applyNumberFormat="1" applyFont="1" applyFill="1" applyBorder="1"/>
    <xf numFmtId="44" fontId="12" fillId="18" borderId="66" xfId="11" applyFont="1" applyFill="1" applyBorder="1"/>
    <xf numFmtId="169" fontId="79" fillId="18" borderId="66" xfId="6" applyNumberFormat="1" applyFont="1" applyFill="1" applyBorder="1"/>
    <xf numFmtId="44" fontId="12" fillId="18" borderId="69" xfId="11" applyFont="1" applyFill="1" applyBorder="1"/>
    <xf numFmtId="44" fontId="12" fillId="18" borderId="68" xfId="11" applyFont="1" applyFill="1" applyBorder="1"/>
    <xf numFmtId="171" fontId="47" fillId="4" borderId="35" xfId="6" applyNumberFormat="1" applyFont="1" applyFill="1" applyBorder="1"/>
    <xf numFmtId="43" fontId="75" fillId="0" borderId="0" xfId="6" applyNumberFormat="1" applyFont="1" applyBorder="1"/>
    <xf numFmtId="10" fontId="75" fillId="0" borderId="24" xfId="6" applyNumberFormat="1" applyFont="1" applyBorder="1" applyAlignment="1">
      <alignment horizontal="center"/>
    </xf>
    <xf numFmtId="10" fontId="75" fillId="0" borderId="4" xfId="6" applyNumberFormat="1" applyFont="1" applyBorder="1" applyAlignment="1">
      <alignment horizontal="center"/>
    </xf>
    <xf numFmtId="10" fontId="75" fillId="0" borderId="30" xfId="6" applyNumberFormat="1" applyFont="1" applyBorder="1" applyAlignment="1">
      <alignment horizontal="center"/>
    </xf>
    <xf numFmtId="10" fontId="75" fillId="0" borderId="24" xfId="6" applyNumberFormat="1" applyFont="1" applyBorder="1"/>
    <xf numFmtId="171" fontId="47" fillId="4" borderId="5" xfId="6" applyNumberFormat="1" applyFont="1" applyFill="1" applyBorder="1"/>
    <xf numFmtId="171" fontId="47" fillId="4" borderId="3" xfId="6" applyNumberFormat="1" applyFont="1" applyFill="1" applyBorder="1"/>
    <xf numFmtId="171" fontId="0" fillId="0" borderId="66" xfId="0" applyNumberFormat="1" applyBorder="1"/>
    <xf numFmtId="44" fontId="31" fillId="14" borderId="12" xfId="0" applyNumberFormat="1" applyFont="1" applyFill="1" applyBorder="1" applyAlignment="1">
      <alignment horizontal="center" vertical="center"/>
    </xf>
    <xf numFmtId="171" fontId="0" fillId="0" borderId="69" xfId="0" applyNumberFormat="1" applyBorder="1"/>
    <xf numFmtId="0" fontId="31" fillId="0" borderId="73" xfId="0" applyFont="1" applyBorder="1" applyAlignment="1">
      <alignment horizontal="center" vertical="center"/>
    </xf>
    <xf numFmtId="0" fontId="31" fillId="0" borderId="74" xfId="0" applyFont="1" applyBorder="1" applyAlignment="1">
      <alignment horizontal="center" vertical="center"/>
    </xf>
    <xf numFmtId="0" fontId="0" fillId="0" borderId="57" xfId="0" applyBorder="1" applyAlignment="1">
      <alignment horizontal="center" vertical="center"/>
    </xf>
    <xf numFmtId="171" fontId="47" fillId="4" borderId="1" xfId="6" applyNumberFormat="1" applyFont="1" applyFill="1" applyBorder="1"/>
    <xf numFmtId="180" fontId="83" fillId="0" borderId="5" xfId="0" applyNumberFormat="1" applyFont="1" applyBorder="1"/>
    <xf numFmtId="10" fontId="75" fillId="0" borderId="1" xfId="6" applyNumberFormat="1" applyFont="1" applyBorder="1"/>
    <xf numFmtId="10" fontId="75" fillId="0" borderId="16" xfId="6" applyNumberFormat="1" applyFont="1" applyBorder="1"/>
    <xf numFmtId="180" fontId="83" fillId="0" borderId="1" xfId="0" applyNumberFormat="1" applyFont="1" applyBorder="1"/>
    <xf numFmtId="0" fontId="37" fillId="0" borderId="1" xfId="0" applyFont="1" applyBorder="1"/>
    <xf numFmtId="180" fontId="83" fillId="0" borderId="6" xfId="0" applyNumberFormat="1" applyFont="1" applyBorder="1"/>
    <xf numFmtId="10" fontId="81" fillId="0" borderId="66" xfId="0" applyNumberFormat="1" applyFont="1" applyBorder="1"/>
    <xf numFmtId="169" fontId="81" fillId="0" borderId="73" xfId="0" applyNumberFormat="1" applyFont="1" applyBorder="1"/>
    <xf numFmtId="44" fontId="31" fillId="0" borderId="19" xfId="0" applyNumberFormat="1" applyFont="1" applyBorder="1"/>
    <xf numFmtId="169" fontId="81" fillId="0" borderId="72" xfId="0" applyNumberFormat="1" applyFont="1" applyBorder="1"/>
    <xf numFmtId="10" fontId="81" fillId="0" borderId="69" xfId="0" applyNumberFormat="1" applyFont="1" applyBorder="1"/>
    <xf numFmtId="0" fontId="0" fillId="0" borderId="21" xfId="0" applyBorder="1"/>
    <xf numFmtId="0" fontId="0" fillId="0" borderId="25" xfId="0" applyBorder="1"/>
    <xf numFmtId="0" fontId="31" fillId="0" borderId="48" xfId="0" applyFont="1" applyBorder="1" applyAlignment="1"/>
    <xf numFmtId="0" fontId="31" fillId="0" borderId="59" xfId="0" applyFont="1" applyBorder="1" applyAlignment="1"/>
    <xf numFmtId="10" fontId="81" fillId="18" borderId="66" xfId="6" applyNumberFormat="1" applyFont="1" applyFill="1" applyBorder="1"/>
    <xf numFmtId="169" fontId="81" fillId="18" borderId="73" xfId="6" applyNumberFormat="1" applyFont="1" applyFill="1" applyBorder="1"/>
    <xf numFmtId="44" fontId="31" fillId="18" borderId="68" xfId="11" applyFont="1" applyFill="1" applyBorder="1"/>
    <xf numFmtId="171" fontId="31" fillId="18" borderId="66" xfId="6" applyNumberFormat="1" applyFont="1" applyFill="1" applyBorder="1"/>
    <xf numFmtId="0" fontId="4" fillId="0" borderId="11" xfId="0" applyFont="1" applyBorder="1" applyAlignment="1">
      <alignment vertical="center"/>
    </xf>
    <xf numFmtId="179" fontId="6" fillId="0" borderId="0" xfId="19" applyNumberFormat="1" applyBorder="1"/>
    <xf numFmtId="179" fontId="0" fillId="0" borderId="0" xfId="20" applyNumberFormat="1" applyFont="1" applyFill="1" applyBorder="1"/>
    <xf numFmtId="179" fontId="0" fillId="0" borderId="0" xfId="20" applyNumberFormat="1" applyFont="1" applyBorder="1"/>
    <xf numFmtId="179" fontId="23" fillId="0" borderId="0" xfId="19" applyNumberFormat="1" applyFont="1" applyBorder="1"/>
    <xf numFmtId="0" fontId="6" fillId="0" borderId="1" xfId="19" applyBorder="1"/>
    <xf numFmtId="0" fontId="6" fillId="0" borderId="9" xfId="19" applyBorder="1"/>
    <xf numFmtId="0" fontId="6" fillId="0" borderId="10" xfId="19" applyBorder="1"/>
    <xf numFmtId="174" fontId="6" fillId="0" borderId="18" xfId="19" applyNumberFormat="1" applyBorder="1"/>
    <xf numFmtId="0" fontId="23" fillId="0" borderId="8" xfId="19" applyFont="1" applyBorder="1"/>
    <xf numFmtId="10" fontId="84" fillId="0" borderId="66" xfId="19" applyNumberFormat="1" applyFont="1" applyBorder="1"/>
    <xf numFmtId="10" fontId="84" fillId="0" borderId="69" xfId="19" applyNumberFormat="1" applyFont="1" applyBorder="1"/>
    <xf numFmtId="10" fontId="84" fillId="0" borderId="68" xfId="19" applyNumberFormat="1" applyFont="1" applyBorder="1"/>
    <xf numFmtId="44" fontId="6" fillId="0" borderId="66" xfId="11" applyFont="1" applyBorder="1"/>
    <xf numFmtId="44" fontId="6" fillId="0" borderId="68" xfId="11" applyFont="1" applyBorder="1"/>
    <xf numFmtId="44" fontId="6" fillId="0" borderId="69" xfId="11" applyFont="1" applyBorder="1"/>
    <xf numFmtId="44" fontId="6" fillId="0" borderId="70" xfId="11" applyFont="1" applyBorder="1"/>
    <xf numFmtId="44" fontId="6" fillId="18" borderId="66" xfId="11" applyFont="1" applyFill="1" applyBorder="1"/>
    <xf numFmtId="44" fontId="6" fillId="18" borderId="68" xfId="11" applyFont="1" applyFill="1" applyBorder="1"/>
    <xf numFmtId="44" fontId="6" fillId="18" borderId="69" xfId="11" applyFont="1" applyFill="1" applyBorder="1"/>
    <xf numFmtId="10" fontId="85" fillId="18" borderId="66" xfId="6" applyNumberFormat="1" applyFont="1" applyFill="1" applyBorder="1"/>
    <xf numFmtId="44" fontId="23" fillId="0" borderId="66" xfId="19" applyNumberFormat="1" applyFont="1" applyBorder="1"/>
    <xf numFmtId="44" fontId="31" fillId="14" borderId="66" xfId="11" applyFont="1" applyFill="1" applyBorder="1"/>
    <xf numFmtId="0" fontId="31" fillId="0" borderId="8" xfId="19" applyFont="1" applyBorder="1"/>
    <xf numFmtId="10" fontId="86" fillId="4" borderId="39" xfId="0" applyNumberFormat="1" applyFont="1" applyFill="1" applyBorder="1"/>
    <xf numFmtId="177" fontId="39" fillId="0" borderId="0" xfId="6" applyNumberFormat="1" applyFont="1" applyFill="1" applyBorder="1"/>
    <xf numFmtId="10" fontId="14" fillId="4" borderId="23" xfId="6" applyNumberFormat="1" applyFont="1" applyFill="1" applyBorder="1"/>
    <xf numFmtId="10" fontId="37" fillId="4" borderId="24" xfId="6" applyNumberFormat="1" applyFont="1" applyFill="1" applyBorder="1"/>
    <xf numFmtId="10" fontId="37" fillId="4" borderId="16" xfId="6" applyNumberFormat="1" applyFont="1" applyFill="1" applyBorder="1"/>
    <xf numFmtId="0" fontId="31" fillId="4" borderId="29" xfId="0" applyFont="1" applyFill="1" applyBorder="1"/>
    <xf numFmtId="0" fontId="87" fillId="0" borderId="0" xfId="18" applyFont="1" applyFill="1"/>
    <xf numFmtId="0" fontId="87" fillId="0" borderId="55" xfId="18" applyFont="1" applyFill="1" applyBorder="1"/>
    <xf numFmtId="170" fontId="87" fillId="0" borderId="17" xfId="18" applyNumberFormat="1" applyFont="1" applyFill="1" applyBorder="1"/>
    <xf numFmtId="170" fontId="87" fillId="0" borderId="9" xfId="18" applyNumberFormat="1" applyFont="1" applyFill="1" applyBorder="1"/>
    <xf numFmtId="170" fontId="87" fillId="0" borderId="10" xfId="18" applyNumberFormat="1" applyFont="1" applyFill="1" applyBorder="1"/>
    <xf numFmtId="0" fontId="87" fillId="0" borderId="56" xfId="18" applyFont="1" applyFill="1" applyBorder="1" applyAlignment="1">
      <alignment horizontal="left" indent="1"/>
    </xf>
    <xf numFmtId="170" fontId="87" fillId="0" borderId="16" xfId="18" applyNumberFormat="1" applyFont="1" applyFill="1" applyBorder="1"/>
    <xf numFmtId="170" fontId="87" fillId="0" borderId="0" xfId="18" applyNumberFormat="1" applyFont="1" applyFill="1" applyBorder="1"/>
    <xf numFmtId="0" fontId="87" fillId="0" borderId="57" xfId="18" applyFont="1" applyFill="1" applyBorder="1"/>
    <xf numFmtId="170" fontId="87" fillId="0" borderId="19" xfId="18" applyNumberFormat="1" applyFont="1" applyFill="1" applyBorder="1"/>
    <xf numFmtId="170" fontId="87" fillId="0" borderId="1" xfId="18" applyNumberFormat="1" applyFont="1" applyFill="1" applyBorder="1"/>
    <xf numFmtId="170" fontId="87" fillId="0" borderId="20" xfId="18" applyNumberFormat="1" applyFont="1" applyFill="1" applyBorder="1"/>
    <xf numFmtId="0" fontId="87" fillId="0" borderId="56" xfId="18" applyFont="1" applyFill="1" applyBorder="1"/>
    <xf numFmtId="170" fontId="87" fillId="0" borderId="12" xfId="18" applyNumberFormat="1" applyFont="1" applyFill="1" applyBorder="1"/>
    <xf numFmtId="0" fontId="87" fillId="0" borderId="58" xfId="18" applyFont="1" applyFill="1" applyBorder="1" applyAlignment="1">
      <alignment horizontal="left" indent="1"/>
    </xf>
    <xf numFmtId="0" fontId="87" fillId="0" borderId="22" xfId="18" applyFont="1" applyFill="1" applyBorder="1"/>
    <xf numFmtId="10" fontId="87" fillId="0" borderId="14" xfId="18" applyNumberFormat="1" applyFont="1" applyFill="1" applyBorder="1"/>
    <xf numFmtId="10" fontId="87" fillId="0" borderId="22" xfId="18" applyNumberFormat="1" applyFont="1" applyFill="1" applyBorder="1"/>
    <xf numFmtId="10" fontId="87" fillId="0" borderId="15" xfId="18" applyNumberFormat="1" applyFont="1" applyFill="1" applyBorder="1"/>
    <xf numFmtId="0" fontId="25" fillId="0" borderId="0" xfId="10"/>
    <xf numFmtId="0" fontId="17" fillId="0" borderId="0" xfId="10" applyFont="1"/>
    <xf numFmtId="0" fontId="25" fillId="0" borderId="0" xfId="10" applyAlignment="1">
      <alignment horizontal="left"/>
    </xf>
    <xf numFmtId="0" fontId="1" fillId="10" borderId="8" xfId="19" applyFont="1" applyFill="1" applyBorder="1"/>
    <xf numFmtId="0" fontId="0" fillId="19" borderId="0" xfId="0" applyFill="1"/>
    <xf numFmtId="0" fontId="0" fillId="0" borderId="8" xfId="0" applyFill="1" applyBorder="1"/>
    <xf numFmtId="0" fontId="0" fillId="0" borderId="9" xfId="0" applyFill="1" applyBorder="1"/>
    <xf numFmtId="0" fontId="0" fillId="0" borderId="10" xfId="0" applyFill="1" applyBorder="1"/>
    <xf numFmtId="0" fontId="0" fillId="0" borderId="12" xfId="0" applyFill="1" applyBorder="1"/>
    <xf numFmtId="0" fontId="88" fillId="0" borderId="0" xfId="0" applyFont="1" applyFill="1" applyBorder="1" applyAlignment="1">
      <alignment horizontal="center" vertical="center" wrapText="1"/>
    </xf>
    <xf numFmtId="0" fontId="88" fillId="20" borderId="0" xfId="0" applyFont="1" applyFill="1" applyBorder="1" applyAlignment="1">
      <alignment horizontal="center"/>
    </xf>
    <xf numFmtId="0" fontId="88" fillId="0" borderId="0" xfId="0" applyFont="1" applyFill="1" applyBorder="1" applyAlignment="1">
      <alignment horizontal="center"/>
    </xf>
    <xf numFmtId="0" fontId="89" fillId="0" borderId="0" xfId="22" applyFont="1" applyFill="1" applyBorder="1" applyAlignment="1"/>
    <xf numFmtId="0" fontId="17" fillId="0" borderId="0" xfId="22" applyFill="1" applyBorder="1"/>
    <xf numFmtId="0" fontId="90" fillId="0" borderId="0" xfId="22" applyFont="1" applyFill="1" applyBorder="1"/>
    <xf numFmtId="0" fontId="90" fillId="0" borderId="0" xfId="22" applyFont="1" applyFill="1" applyBorder="1" applyAlignment="1"/>
    <xf numFmtId="0" fontId="31" fillId="0" borderId="11" xfId="0" applyFont="1" applyFill="1" applyBorder="1" applyAlignment="1">
      <alignment wrapText="1"/>
    </xf>
    <xf numFmtId="0" fontId="31" fillId="0" borderId="0" xfId="0" applyFont="1" applyFill="1" applyBorder="1" applyAlignment="1">
      <alignment wrapText="1"/>
    </xf>
    <xf numFmtId="0" fontId="17" fillId="0" borderId="0" xfId="22" applyFill="1" applyBorder="1" applyAlignment="1">
      <alignment wrapText="1"/>
    </xf>
    <xf numFmtId="0" fontId="88" fillId="0" borderId="0" xfId="0" applyFont="1" applyFill="1" applyBorder="1" applyAlignment="1">
      <alignment horizontal="center" vertical="center" wrapText="1"/>
    </xf>
    <xf numFmtId="0" fontId="31" fillId="0" borderId="57" xfId="0" applyFont="1" applyBorder="1" applyAlignment="1">
      <alignment horizontal="center" vertical="center" textRotation="90"/>
    </xf>
    <xf numFmtId="0" fontId="31" fillId="0" borderId="56" xfId="0" applyFont="1" applyBorder="1" applyAlignment="1">
      <alignment horizontal="center" vertical="center" textRotation="90"/>
    </xf>
    <xf numFmtId="0" fontId="31" fillId="0" borderId="58" xfId="0" applyFont="1" applyBorder="1" applyAlignment="1">
      <alignment horizontal="center" vertical="center" textRotation="90"/>
    </xf>
    <xf numFmtId="0" fontId="31" fillId="0" borderId="5" xfId="0" applyFont="1" applyBorder="1" applyAlignment="1">
      <alignment horizontal="center"/>
    </xf>
    <xf numFmtId="0" fontId="31" fillId="0" borderId="3" xfId="0" applyFont="1" applyBorder="1" applyAlignment="1">
      <alignment horizontal="center"/>
    </xf>
    <xf numFmtId="0" fontId="31" fillId="0" borderId="35" xfId="0" applyFont="1"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0" fillId="0" borderId="35" xfId="0" applyBorder="1" applyAlignment="1">
      <alignment horizontal="center"/>
    </xf>
    <xf numFmtId="0" fontId="0" fillId="0" borderId="73" xfId="0" applyBorder="1" applyAlignment="1">
      <alignment horizontal="center" vertical="center" textRotation="90" wrapText="1"/>
    </xf>
    <xf numFmtId="0" fontId="0" fillId="0" borderId="67" xfId="0" applyBorder="1" applyAlignment="1">
      <alignment horizontal="center" vertical="center" textRotation="90" wrapText="1"/>
    </xf>
    <xf numFmtId="0" fontId="0" fillId="0" borderId="71" xfId="0" applyBorder="1" applyAlignment="1">
      <alignment horizontal="center" vertical="center" textRotation="90" wrapText="1"/>
    </xf>
    <xf numFmtId="0" fontId="16" fillId="6" borderId="0" xfId="0" applyFont="1" applyFill="1" applyAlignment="1">
      <alignment horizontal="center" vertical="center"/>
    </xf>
    <xf numFmtId="0" fontId="16" fillId="6" borderId="23" xfId="0" applyFont="1" applyFill="1" applyBorder="1" applyAlignment="1">
      <alignment horizontal="center" vertical="center"/>
    </xf>
    <xf numFmtId="10" fontId="47" fillId="0" borderId="5" xfId="6" applyNumberFormat="1" applyFont="1" applyBorder="1" applyAlignment="1">
      <alignment horizontal="center"/>
    </xf>
    <xf numFmtId="10" fontId="47" fillId="0" borderId="3" xfId="6" applyNumberFormat="1" applyFont="1" applyBorder="1" applyAlignment="1">
      <alignment horizontal="center"/>
    </xf>
    <xf numFmtId="10" fontId="47" fillId="0" borderId="35" xfId="6" applyNumberFormat="1" applyFont="1" applyBorder="1" applyAlignment="1">
      <alignment horizontal="center"/>
    </xf>
    <xf numFmtId="0" fontId="31" fillId="0" borderId="48" xfId="0" applyFont="1" applyBorder="1" applyAlignment="1">
      <alignment horizontal="center"/>
    </xf>
    <xf numFmtId="0" fontId="31" fillId="0" borderId="59" xfId="0" applyFont="1" applyBorder="1" applyAlignment="1">
      <alignment horizontal="center"/>
    </xf>
    <xf numFmtId="0" fontId="31" fillId="0" borderId="51" xfId="0" applyFont="1" applyBorder="1" applyAlignment="1">
      <alignment horizontal="center"/>
    </xf>
    <xf numFmtId="10" fontId="47" fillId="0" borderId="19" xfId="6" applyNumberFormat="1" applyFont="1" applyBorder="1" applyAlignment="1">
      <alignment horizontal="center"/>
    </xf>
    <xf numFmtId="10" fontId="47" fillId="0" borderId="1" xfId="6" applyNumberFormat="1" applyFont="1" applyBorder="1" applyAlignment="1">
      <alignment horizontal="center"/>
    </xf>
    <xf numFmtId="10" fontId="47" fillId="0" borderId="21" xfId="6" applyNumberFormat="1" applyFont="1" applyBorder="1" applyAlignment="1">
      <alignment horizontal="center"/>
    </xf>
    <xf numFmtId="0" fontId="16" fillId="8" borderId="16" xfId="0" applyFont="1" applyFill="1" applyBorder="1" applyAlignment="1">
      <alignment horizontal="center" vertical="center"/>
    </xf>
    <xf numFmtId="0" fontId="16" fillId="8" borderId="0" xfId="0" applyFont="1" applyFill="1" applyBorder="1" applyAlignment="1">
      <alignment horizontal="center" vertical="center"/>
    </xf>
    <xf numFmtId="0" fontId="16" fillId="8" borderId="23"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0" xfId="0" applyFont="1" applyFill="1" applyBorder="1" applyAlignment="1">
      <alignment horizontal="center" vertical="center"/>
    </xf>
    <xf numFmtId="0" fontId="16" fillId="6" borderId="0" xfId="0" applyFont="1" applyFill="1" applyBorder="1" applyAlignment="1">
      <alignment horizontal="center" vertical="center"/>
    </xf>
    <xf numFmtId="0" fontId="0" fillId="0" borderId="1" xfId="0" applyBorder="1" applyAlignment="1">
      <alignment horizontal="center"/>
    </xf>
    <xf numFmtId="0" fontId="0" fillId="0" borderId="20" xfId="0" applyBorder="1" applyAlignment="1">
      <alignment horizontal="center"/>
    </xf>
    <xf numFmtId="0" fontId="0" fillId="0" borderId="11" xfId="0" applyBorder="1" applyAlignment="1">
      <alignment horizontal="center" vertical="center"/>
    </xf>
    <xf numFmtId="0" fontId="0" fillId="0" borderId="13" xfId="0" applyBorder="1" applyAlignment="1">
      <alignment horizontal="center" vertical="center"/>
    </xf>
    <xf numFmtId="181" fontId="0" fillId="0" borderId="5" xfId="11" applyNumberFormat="1" applyFont="1" applyBorder="1" applyAlignment="1">
      <alignment horizontal="center"/>
    </xf>
    <xf numFmtId="181" fontId="0" fillId="0" borderId="35" xfId="11" applyNumberFormat="1" applyFont="1" applyBorder="1" applyAlignment="1">
      <alignment horizontal="center"/>
    </xf>
    <xf numFmtId="181" fontId="0" fillId="0" borderId="43" xfId="11" applyNumberFormat="1" applyFont="1" applyBorder="1" applyAlignment="1">
      <alignment horizontal="center"/>
    </xf>
    <xf numFmtId="181" fontId="0" fillId="0" borderId="52" xfId="11" applyNumberFormat="1" applyFont="1" applyBorder="1" applyAlignment="1">
      <alignment horizontal="center"/>
    </xf>
    <xf numFmtId="0" fontId="23" fillId="0" borderId="1" xfId="0" applyFont="1" applyBorder="1" applyAlignment="1">
      <alignment horizontal="center"/>
    </xf>
    <xf numFmtId="0" fontId="23" fillId="0" borderId="20" xfId="0" applyFont="1" applyBorder="1" applyAlignment="1">
      <alignment horizontal="center"/>
    </xf>
    <xf numFmtId="0" fontId="23" fillId="0" borderId="11"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3" xfId="0" applyFont="1" applyBorder="1" applyAlignment="1">
      <alignment horizontal="center"/>
    </xf>
    <xf numFmtId="0" fontId="23" fillId="0" borderId="35" xfId="0" applyFont="1" applyBorder="1" applyAlignment="1">
      <alignment horizont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0" fillId="0" borderId="16"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 xfId="0" applyFont="1" applyBorder="1" applyAlignment="1">
      <alignment horizontal="center"/>
    </xf>
    <xf numFmtId="0" fontId="0" fillId="0" borderId="20" xfId="0" applyFont="1" applyBorder="1" applyAlignment="1">
      <alignment horizontal="center"/>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31" fillId="0" borderId="56" xfId="0" applyFont="1" applyBorder="1" applyAlignment="1">
      <alignment horizontal="center" vertical="center"/>
    </xf>
    <xf numFmtId="0" fontId="31" fillId="0" borderId="58" xfId="0" applyFont="1" applyBorder="1" applyAlignment="1">
      <alignment horizontal="center" vertical="center"/>
    </xf>
    <xf numFmtId="0" fontId="0" fillId="0" borderId="3" xfId="0" applyFont="1" applyBorder="1" applyAlignment="1">
      <alignment horizontal="center"/>
    </xf>
    <xf numFmtId="0" fontId="0" fillId="0" borderId="35" xfId="0" applyFont="1" applyBorder="1" applyAlignment="1">
      <alignment horizontal="center"/>
    </xf>
    <xf numFmtId="0" fontId="2" fillId="0" borderId="1" xfId="19" applyFont="1" applyBorder="1" applyAlignment="1">
      <alignment horizontal="center"/>
    </xf>
    <xf numFmtId="0" fontId="6" fillId="0" borderId="1" xfId="19" applyBorder="1" applyAlignment="1">
      <alignment horizontal="center"/>
    </xf>
    <xf numFmtId="0" fontId="6" fillId="0" borderId="20" xfId="19" applyBorder="1" applyAlignment="1">
      <alignment horizontal="center"/>
    </xf>
    <xf numFmtId="0" fontId="2" fillId="0" borderId="56" xfId="19" applyFont="1" applyBorder="1" applyAlignment="1">
      <alignment horizontal="center" vertical="center" wrapText="1"/>
    </xf>
    <xf numFmtId="0" fontId="6" fillId="0" borderId="56" xfId="19" applyBorder="1" applyAlignment="1">
      <alignment horizontal="center" vertical="center" wrapText="1"/>
    </xf>
    <xf numFmtId="0" fontId="6" fillId="0" borderId="58" xfId="19" applyBorder="1" applyAlignment="1">
      <alignment horizontal="center" vertical="center" wrapText="1"/>
    </xf>
    <xf numFmtId="0" fontId="31" fillId="0" borderId="73" xfId="0" applyFont="1" applyBorder="1" applyAlignment="1">
      <alignment horizontal="center" vertical="center" wrapText="1"/>
    </xf>
    <xf numFmtId="0" fontId="31" fillId="0" borderId="67" xfId="0" applyFont="1" applyBorder="1" applyAlignment="1">
      <alignment horizontal="center" vertical="center" wrapText="1"/>
    </xf>
    <xf numFmtId="0" fontId="0" fillId="0" borderId="57" xfId="0" applyBorder="1" applyAlignment="1">
      <alignment horizontal="center" vertical="center" wrapText="1"/>
    </xf>
    <xf numFmtId="0" fontId="0" fillId="0" borderId="56" xfId="0" applyBorder="1" applyAlignment="1">
      <alignment horizontal="center" vertical="center" wrapText="1"/>
    </xf>
    <xf numFmtId="0" fontId="0" fillId="0" borderId="58" xfId="0" applyBorder="1" applyAlignment="1">
      <alignment horizontal="center" vertical="center" wrapText="1"/>
    </xf>
    <xf numFmtId="0" fontId="31" fillId="0" borderId="8"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14" borderId="16" xfId="0" applyFont="1" applyFill="1" applyBorder="1" applyAlignment="1">
      <alignment horizontal="center" wrapText="1"/>
    </xf>
    <xf numFmtId="0" fontId="31" fillId="14" borderId="12" xfId="0" applyFont="1" applyFill="1" applyBorder="1" applyAlignment="1">
      <alignment horizontal="center" wrapText="1"/>
    </xf>
    <xf numFmtId="181" fontId="31" fillId="14" borderId="16" xfId="0" applyNumberFormat="1" applyFont="1" applyFill="1" applyBorder="1" applyAlignment="1">
      <alignment horizontal="center" vertical="center"/>
    </xf>
    <xf numFmtId="181" fontId="31" fillId="14" borderId="12" xfId="0" applyNumberFormat="1" applyFont="1" applyFill="1" applyBorder="1" applyAlignment="1">
      <alignment horizontal="center" vertical="center"/>
    </xf>
    <xf numFmtId="2" fontId="31" fillId="18" borderId="5" xfId="11" applyNumberFormat="1" applyFont="1" applyFill="1" applyBorder="1" applyAlignment="1">
      <alignment horizontal="center"/>
    </xf>
    <xf numFmtId="2" fontId="31" fillId="18" borderId="35" xfId="11" applyNumberFormat="1" applyFont="1" applyFill="1" applyBorder="1" applyAlignment="1">
      <alignment horizontal="center"/>
    </xf>
    <xf numFmtId="0" fontId="31" fillId="0" borderId="1" xfId="0" applyFont="1" applyBorder="1" applyAlignment="1">
      <alignment horizontal="center"/>
    </xf>
    <xf numFmtId="0" fontId="31" fillId="0" borderId="20" xfId="0" applyFont="1" applyBorder="1" applyAlignment="1">
      <alignment horizontal="center"/>
    </xf>
    <xf numFmtId="0" fontId="14" fillId="0" borderId="0" xfId="7" applyFont="1" applyAlignment="1">
      <alignment horizontal="center"/>
    </xf>
    <xf numFmtId="0" fontId="14" fillId="0" borderId="0" xfId="7" applyFont="1" applyBorder="1" applyAlignment="1">
      <alignment horizontal="center"/>
    </xf>
    <xf numFmtId="9" fontId="65" fillId="0" borderId="0" xfId="8" applyFont="1" applyBorder="1" applyAlignment="1">
      <alignment horizontal="left"/>
    </xf>
    <xf numFmtId="0" fontId="0" fillId="0" borderId="16" xfId="0" applyFont="1" applyBorder="1" applyAlignment="1">
      <alignment horizontal="center" vertical="center"/>
    </xf>
    <xf numFmtId="0" fontId="0" fillId="0" borderId="22" xfId="0" applyFont="1" applyBorder="1" applyAlignment="1">
      <alignment horizontal="center" vertical="center"/>
    </xf>
    <xf numFmtId="0" fontId="0" fillId="0" borderId="67" xfId="0" applyFont="1" applyBorder="1" applyAlignment="1">
      <alignment horizontal="center" vertical="center"/>
    </xf>
    <xf numFmtId="0" fontId="0" fillId="0" borderId="71"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xf>
    <xf numFmtId="0" fontId="31" fillId="0" borderId="12" xfId="0" applyFont="1" applyBorder="1" applyAlignment="1">
      <alignment horizontal="center"/>
    </xf>
    <xf numFmtId="9" fontId="0" fillId="15" borderId="11" xfId="0" applyNumberFormat="1" applyFill="1" applyBorder="1" applyAlignment="1">
      <alignment horizontal="center"/>
    </xf>
    <xf numFmtId="9" fontId="0" fillId="15" borderId="12" xfId="0" applyNumberFormat="1" applyFill="1" applyBorder="1" applyAlignment="1">
      <alignment horizontal="center"/>
    </xf>
    <xf numFmtId="0" fontId="4" fillId="0" borderId="1" xfId="0" applyFont="1" applyBorder="1" applyAlignment="1">
      <alignment horizontal="center"/>
    </xf>
    <xf numFmtId="0" fontId="4" fillId="0" borderId="20" xfId="0" applyFont="1" applyBorder="1" applyAlignment="1">
      <alignment horizontal="center"/>
    </xf>
    <xf numFmtId="0" fontId="4" fillId="0" borderId="3" xfId="0" applyFont="1" applyBorder="1" applyAlignment="1">
      <alignment horizontal="center"/>
    </xf>
    <xf numFmtId="0" fontId="4" fillId="0" borderId="35" xfId="0" applyFont="1" applyBorder="1" applyAlignment="1">
      <alignment horizontal="center"/>
    </xf>
    <xf numFmtId="0" fontId="16" fillId="6" borderId="16" xfId="0" applyFont="1" applyFill="1" applyBorder="1" applyAlignment="1">
      <alignment horizontal="center" vertical="center"/>
    </xf>
    <xf numFmtId="0" fontId="4" fillId="0" borderId="11"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4" fillId="0" borderId="19" xfId="0" applyFont="1" applyBorder="1" applyAlignment="1">
      <alignment horizontal="center"/>
    </xf>
    <xf numFmtId="0" fontId="12" fillId="0" borderId="1" xfId="0" applyFont="1" applyBorder="1" applyAlignment="1">
      <alignment horizontal="center"/>
    </xf>
    <xf numFmtId="0" fontId="12" fillId="0" borderId="21" xfId="0" applyFont="1" applyBorder="1" applyAlignment="1">
      <alignment horizontal="center"/>
    </xf>
    <xf numFmtId="0" fontId="31" fillId="0" borderId="31" xfId="0" applyFont="1" applyFill="1" applyBorder="1" applyAlignment="1">
      <alignment horizontal="center"/>
    </xf>
    <xf numFmtId="0" fontId="31" fillId="0" borderId="32" xfId="0" applyFont="1" applyFill="1" applyBorder="1" applyAlignment="1">
      <alignment horizontal="center"/>
    </xf>
    <xf numFmtId="0" fontId="80" fillId="10" borderId="8" xfId="19" applyFont="1" applyFill="1" applyBorder="1" applyAlignment="1">
      <alignment horizontal="center"/>
    </xf>
    <xf numFmtId="0" fontId="80" fillId="10" borderId="9" xfId="19" applyFont="1" applyFill="1" applyBorder="1" applyAlignment="1">
      <alignment horizontal="center"/>
    </xf>
    <xf numFmtId="0" fontId="80" fillId="10" borderId="10" xfId="19" applyFont="1" applyFill="1" applyBorder="1" applyAlignment="1">
      <alignment horizontal="center"/>
    </xf>
    <xf numFmtId="0" fontId="23" fillId="12" borderId="31" xfId="19" applyFont="1" applyFill="1" applyBorder="1" applyAlignment="1">
      <alignment horizontal="center"/>
    </xf>
    <xf numFmtId="0" fontId="23" fillId="12" borderId="45" xfId="19" applyFont="1" applyFill="1" applyBorder="1" applyAlignment="1">
      <alignment horizontal="center"/>
    </xf>
    <xf numFmtId="0" fontId="23" fillId="12" borderId="32" xfId="19" applyFont="1" applyFill="1" applyBorder="1" applyAlignment="1">
      <alignment horizontal="center"/>
    </xf>
    <xf numFmtId="0" fontId="90" fillId="0" borderId="0" xfId="22" applyFont="1" applyFill="1" applyBorder="1" applyAlignment="1">
      <alignment wrapText="1"/>
    </xf>
  </cellXfs>
  <cellStyles count="24">
    <cellStyle name="Bad" xfId="18" builtinId="27"/>
    <cellStyle name="Comma" xfId="1" builtinId="3"/>
    <cellStyle name="Comma 2" xfId="13" xr:uid="{00000000-0005-0000-0000-000002000000}"/>
    <cellStyle name="Currency" xfId="11" builtinId="4"/>
    <cellStyle name="Currency 2" xfId="9" xr:uid="{00000000-0005-0000-0000-000004000000}"/>
    <cellStyle name="Currency 2 2" xfId="16" xr:uid="{00000000-0005-0000-0000-000005000000}"/>
    <cellStyle name="Followed Hyperlink" xfId="3" builtinId="9" hidden="1"/>
    <cellStyle name="Followed Hyperlink" xfId="5" builtinId="9" hidden="1"/>
    <cellStyle name="Followed Hyperlink" xfId="21" builtinId="9" hidden="1"/>
    <cellStyle name="Hyperlink" xfId="2" builtinId="8" hidden="1"/>
    <cellStyle name="Hyperlink" xfId="4" builtinId="8" hidden="1"/>
    <cellStyle name="Hyperlink" xfId="10" builtinId="8"/>
    <cellStyle name="Hyperlink 2" xfId="22" xr:uid="{00000000-0005-0000-0000-00000C000000}"/>
    <cellStyle name="Hyperlink 3" xfId="23" xr:uid="{160A65F7-390E-4516-AA1D-A38BE141491E}"/>
    <cellStyle name="Normal" xfId="0" builtinId="0"/>
    <cellStyle name="Normal 2" xfId="7" xr:uid="{00000000-0005-0000-0000-00000E000000}"/>
    <cellStyle name="Normal 2 2" xfId="14" xr:uid="{00000000-0005-0000-0000-00000F000000}"/>
    <cellStyle name="Normal 3" xfId="12" xr:uid="{00000000-0005-0000-0000-000010000000}"/>
    <cellStyle name="Normal 4" xfId="17" xr:uid="{00000000-0005-0000-0000-000011000000}"/>
    <cellStyle name="Normal 5" xfId="19" xr:uid="{00000000-0005-0000-0000-000012000000}"/>
    <cellStyle name="Percent" xfId="6" builtinId="5"/>
    <cellStyle name="Percent 2" xfId="8" xr:uid="{00000000-0005-0000-0000-000014000000}"/>
    <cellStyle name="Percent 2 2" xfId="15" xr:uid="{00000000-0005-0000-0000-000015000000}"/>
    <cellStyle name="Percent 3" xfId="20" xr:uid="{00000000-0005-0000-0000-00001600000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rgb="FFFF7C80"/>
        </patternFill>
      </fill>
    </dxf>
    <dxf>
      <font>
        <color rgb="FF9C0006"/>
      </font>
      <fill>
        <patternFill>
          <bgColor rgb="FFFFC7CE"/>
        </patternFill>
      </fill>
    </dxf>
    <dxf>
      <fill>
        <patternFill>
          <bgColor rgb="FFFF7C80"/>
        </patternFill>
      </fill>
    </dxf>
    <dxf>
      <fill>
        <patternFill>
          <bgColor theme="9" tint="0.39994506668294322"/>
        </patternFill>
      </fill>
    </dxf>
    <dxf>
      <font>
        <color rgb="FF006100"/>
      </font>
      <fill>
        <patternFill>
          <bgColor rgb="FFC6EFCE"/>
        </patternFill>
      </fill>
    </dxf>
  </dxfs>
  <tableStyles count="0" defaultTableStyle="TableStyleMedium9" defaultPivotStyle="PivotStyleMedium7"/>
  <colors>
    <mruColors>
      <color rgb="FF006447"/>
      <color rgb="FFEAFFF5"/>
      <color rgb="FFF2D1FF"/>
      <color rgb="FFE8D1FF"/>
      <color rgb="FF6600CC"/>
      <color rgb="FFFDFDFD"/>
      <color rgb="FFFFFFFF"/>
      <color rgb="FFFAFAFA"/>
      <color rgb="FFF5F5F5"/>
      <color rgb="FFF0F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3984625</xdr:colOff>
      <xdr:row>1</xdr:row>
      <xdr:rowOff>88900</xdr:rowOff>
    </xdr:from>
    <xdr:to>
      <xdr:col>5</xdr:col>
      <xdr:colOff>1500265</xdr:colOff>
      <xdr:row>11</xdr:row>
      <xdr:rowOff>184588</xdr:rowOff>
    </xdr:to>
    <xdr:pic>
      <xdr:nvPicPr>
        <xdr:cNvPr id="3" name="Picture 2">
          <a:extLst>
            <a:ext uri="{FF2B5EF4-FFF2-40B4-BE49-F238E27FC236}">
              <a16:creationId xmlns:a16="http://schemas.microsoft.com/office/drawing/2014/main" id="{98E1DC61-A23A-45E5-A982-541BDB1833C0}"/>
            </a:ext>
          </a:extLst>
        </xdr:cNvPr>
        <xdr:cNvPicPr>
          <a:picLocks noChangeAspect="1"/>
        </xdr:cNvPicPr>
      </xdr:nvPicPr>
      <xdr:blipFill>
        <a:blip xmlns:r="http://schemas.openxmlformats.org/officeDocument/2006/relationships" r:embed="rId1"/>
        <a:stretch>
          <a:fillRect/>
        </a:stretch>
      </xdr:blipFill>
      <xdr:spPr>
        <a:xfrm>
          <a:off x="4822825" y="301625"/>
          <a:ext cx="3090940" cy="2127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wallstreetoasis.com/courses" TargetMode="External"/><Relationship Id="rId3" Type="http://schemas.openxmlformats.org/officeDocument/2006/relationships/hyperlink" Target="https://www.wallstreetoasis.com/industry-reports-wall-street-oasis" TargetMode="External"/><Relationship Id="rId7" Type="http://schemas.openxmlformats.org/officeDocument/2006/relationships/hyperlink" Target="https://www.wallstreetoasis.com/courses" TargetMode="External"/><Relationship Id="rId12" Type="http://schemas.openxmlformats.org/officeDocument/2006/relationships/drawing" Target="../drawings/drawing1.xml"/><Relationship Id="rId2" Type="http://schemas.openxmlformats.org/officeDocument/2006/relationships/hyperlink" Target="https://www.wallstreetoasis.com/top-frequently-asked-questions" TargetMode="External"/><Relationship Id="rId1" Type="http://schemas.openxmlformats.org/officeDocument/2006/relationships/hyperlink" Target="https://www.wallstreetoasis.com/user/register" TargetMode="External"/><Relationship Id="rId6" Type="http://schemas.openxmlformats.org/officeDocument/2006/relationships/hyperlink" Target="https://www.wallstreetoasis.com/wso-elite-modeling-package-overview" TargetMode="External"/><Relationship Id="rId11" Type="http://schemas.openxmlformats.org/officeDocument/2006/relationships/hyperlink" Target="https://www.wallstreetoasis.com/gmat-pill-promo-code-333-off-gmat-prep-discount" TargetMode="External"/><Relationship Id="rId5" Type="http://schemas.openxmlformats.org/officeDocument/2006/relationships/hyperlink" Target="https://www.wallstreetoasis.com/the-talent-oasis" TargetMode="External"/><Relationship Id="rId10" Type="http://schemas.openxmlformats.org/officeDocument/2006/relationships/hyperlink" Target="https://www.wallstreetoasis.com/wall-street-mentors-finance-mock-interviews" TargetMode="External"/><Relationship Id="rId4" Type="http://schemas.openxmlformats.org/officeDocument/2006/relationships/hyperlink" Target="https://www.wallstreetoasis.com/all-wso-templates" TargetMode="External"/><Relationship Id="rId9" Type="http://schemas.openxmlformats.org/officeDocument/2006/relationships/hyperlink" Target="https://www.wallstreetoasis.com/best-resume-review-service-finance-pros-help-your-cv"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hyperlink" Target="http://hdl.library.upenn.edu/1017/13955"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databank.worldbank.org/data/reports.aspx?source=Health%20Nutrition%20and%20Population%20Statistics:%20Population%20estimates%20and%20projections" TargetMode="External"/><Relationship Id="rId2" Type="http://schemas.openxmlformats.org/officeDocument/2006/relationships/hyperlink" Target="https://knoema.com/qhswwkc/us-gdp-growth-forecast-2015-2019-and-up-to-2060-data-and-charts" TargetMode="External"/><Relationship Id="rId1" Type="http://schemas.openxmlformats.org/officeDocument/2006/relationships/hyperlink" Target="https://knoema.com/kyaewad/us-inflation-forecast-2015-2020-and-up-to-2060-data-and-charts" TargetMode="External"/><Relationship Id="rId4"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27"/>
  <sheetViews>
    <sheetView showGridLines="0" tabSelected="1" topLeftCell="A13" workbookViewId="0">
      <selection activeCell="F24" sqref="F24"/>
    </sheetView>
  </sheetViews>
  <sheetFormatPr defaultColWidth="10.83203125" defaultRowHeight="16" x14ac:dyDescent="0.8"/>
  <cols>
    <col min="1" max="1" width="4.33203125" style="1624" customWidth="1"/>
    <col min="2" max="3" width="3.33203125" style="1624" customWidth="1"/>
    <col min="4" max="4" width="72" style="1624" customWidth="1"/>
    <col min="5" max="5" width="1.1640625" style="1624" customWidth="1"/>
    <col min="6" max="6" width="67.33203125" style="1624" customWidth="1"/>
    <col min="7" max="8" width="3.1640625" style="1624" customWidth="1"/>
    <col min="9" max="16384" width="10.83203125" style="1624"/>
  </cols>
  <sheetData>
    <row r="1" spans="2:8" ht="16.75" thickBot="1" x14ac:dyDescent="0.95"/>
    <row r="2" spans="2:8" x14ac:dyDescent="0.8">
      <c r="B2" s="1625"/>
      <c r="C2" s="1626"/>
      <c r="D2" s="1626"/>
      <c r="E2" s="1626"/>
      <c r="F2" s="1626"/>
      <c r="G2" s="1626"/>
      <c r="H2" s="1627"/>
    </row>
    <row r="3" spans="2:8" x14ac:dyDescent="0.8">
      <c r="B3" s="265"/>
      <c r="C3" s="166"/>
      <c r="D3" s="166"/>
      <c r="E3" s="166"/>
      <c r="F3" s="166"/>
      <c r="G3" s="166"/>
      <c r="H3" s="1628"/>
    </row>
    <row r="4" spans="2:8" x14ac:dyDescent="0.8">
      <c r="B4" s="265"/>
      <c r="C4" s="166"/>
      <c r="D4" s="166"/>
      <c r="E4" s="166"/>
      <c r="F4" s="166"/>
      <c r="G4" s="166"/>
      <c r="H4" s="1628"/>
    </row>
    <row r="5" spans="2:8" x14ac:dyDescent="0.8">
      <c r="B5" s="265"/>
      <c r="C5" s="166"/>
      <c r="D5" s="166"/>
      <c r="E5" s="166"/>
      <c r="F5" s="166"/>
      <c r="G5" s="166"/>
      <c r="H5" s="1628"/>
    </row>
    <row r="6" spans="2:8" x14ac:dyDescent="0.8">
      <c r="B6" s="265"/>
      <c r="C6" s="166"/>
      <c r="D6" s="166"/>
      <c r="E6" s="166"/>
      <c r="F6" s="166"/>
      <c r="G6" s="166"/>
      <c r="H6" s="1628"/>
    </row>
    <row r="7" spans="2:8" x14ac:dyDescent="0.8">
      <c r="B7" s="265"/>
      <c r="C7" s="166"/>
      <c r="D7" s="166"/>
      <c r="E7" s="166"/>
      <c r="F7" s="166"/>
      <c r="G7" s="166"/>
      <c r="H7" s="1628"/>
    </row>
    <row r="8" spans="2:8" x14ac:dyDescent="0.8">
      <c r="B8" s="265"/>
      <c r="C8" s="166"/>
      <c r="D8" s="166"/>
      <c r="E8" s="166"/>
      <c r="F8" s="166"/>
      <c r="G8" s="166"/>
      <c r="H8" s="1628"/>
    </row>
    <row r="9" spans="2:8" x14ac:dyDescent="0.8">
      <c r="B9" s="265"/>
      <c r="C9" s="166"/>
      <c r="D9" s="166"/>
      <c r="E9" s="166"/>
      <c r="F9" s="166"/>
      <c r="G9" s="166"/>
      <c r="H9" s="1628"/>
    </row>
    <row r="10" spans="2:8" x14ac:dyDescent="0.8">
      <c r="B10" s="265"/>
      <c r="C10" s="166"/>
      <c r="D10" s="166"/>
      <c r="E10" s="166"/>
      <c r="F10" s="166"/>
      <c r="G10" s="166"/>
      <c r="H10" s="1628"/>
    </row>
    <row r="11" spans="2:8" x14ac:dyDescent="0.8">
      <c r="B11" s="265"/>
      <c r="C11" s="166"/>
      <c r="D11" s="166"/>
      <c r="E11" s="166"/>
      <c r="F11" s="166"/>
      <c r="G11" s="166"/>
      <c r="H11" s="1628"/>
    </row>
    <row r="12" spans="2:8" x14ac:dyDescent="0.8">
      <c r="B12" s="265"/>
      <c r="C12" s="166"/>
      <c r="D12" s="166"/>
      <c r="E12" s="166"/>
      <c r="F12" s="166"/>
      <c r="G12" s="166"/>
      <c r="H12" s="1628"/>
    </row>
    <row r="13" spans="2:8" ht="71" customHeight="1" x14ac:dyDescent="0.8">
      <c r="B13" s="265"/>
      <c r="C13" s="166"/>
      <c r="D13" s="1639" t="s">
        <v>749</v>
      </c>
      <c r="E13" s="1639"/>
      <c r="F13" s="1639"/>
      <c r="G13" s="166"/>
      <c r="H13" s="1628"/>
    </row>
    <row r="14" spans="2:8" ht="23.5" x14ac:dyDescent="0.8">
      <c r="B14" s="265"/>
      <c r="C14" s="166"/>
      <c r="D14" s="1629"/>
      <c r="E14" s="1629"/>
      <c r="F14" s="1629"/>
      <c r="G14" s="166"/>
      <c r="H14" s="1628"/>
    </row>
    <row r="15" spans="2:8" ht="23.5" x14ac:dyDescent="1.1000000000000001">
      <c r="B15" s="265"/>
      <c r="C15" s="166"/>
      <c r="D15" s="1630" t="s">
        <v>750</v>
      </c>
      <c r="E15" s="1631"/>
      <c r="F15" s="1630" t="s">
        <v>751</v>
      </c>
      <c r="G15" s="166"/>
      <c r="H15" s="1628"/>
    </row>
    <row r="16" spans="2:8" ht="5" customHeight="1" x14ac:dyDescent="0.8">
      <c r="B16" s="265"/>
      <c r="C16" s="166"/>
      <c r="D16" s="1632"/>
      <c r="E16" s="1632"/>
      <c r="F16" s="1633"/>
      <c r="G16" s="166"/>
      <c r="H16" s="1628"/>
    </row>
    <row r="17" spans="2:8" ht="23.5" x14ac:dyDescent="1.1000000000000001">
      <c r="B17" s="265"/>
      <c r="C17" s="166"/>
      <c r="D17" s="1634" t="s">
        <v>752</v>
      </c>
      <c r="E17" s="1634"/>
      <c r="F17" s="1635" t="s">
        <v>761</v>
      </c>
      <c r="G17" s="166"/>
      <c r="H17" s="1628"/>
    </row>
    <row r="18" spans="2:8" ht="23.5" x14ac:dyDescent="1.1000000000000001">
      <c r="B18" s="265"/>
      <c r="C18" s="166"/>
      <c r="D18" s="1635" t="s">
        <v>754</v>
      </c>
      <c r="E18" s="1635"/>
      <c r="F18" s="1635" t="s">
        <v>753</v>
      </c>
      <c r="G18" s="166"/>
      <c r="H18" s="1628"/>
    </row>
    <row r="19" spans="2:8" ht="23.5" x14ac:dyDescent="1.1000000000000001">
      <c r="B19" s="265"/>
      <c r="C19" s="166"/>
      <c r="D19" s="1635" t="s">
        <v>756</v>
      </c>
      <c r="E19" s="1635"/>
      <c r="F19" s="1635" t="s">
        <v>762</v>
      </c>
      <c r="G19" s="166"/>
      <c r="H19" s="1628"/>
    </row>
    <row r="20" spans="2:8" ht="23.5" x14ac:dyDescent="1.1000000000000001">
      <c r="B20" s="265"/>
      <c r="C20" s="166"/>
      <c r="D20" s="1635" t="s">
        <v>758</v>
      </c>
      <c r="E20" s="1635"/>
      <c r="F20" s="1635" t="s">
        <v>755</v>
      </c>
      <c r="G20" s="166"/>
      <c r="H20" s="1628"/>
    </row>
    <row r="21" spans="2:8" ht="23.5" x14ac:dyDescent="1.1000000000000001">
      <c r="B21" s="265"/>
      <c r="C21" s="166"/>
      <c r="D21" s="1635" t="s">
        <v>760</v>
      </c>
      <c r="E21" s="1635"/>
      <c r="F21" s="1750" t="s">
        <v>757</v>
      </c>
      <c r="G21" s="166"/>
      <c r="H21" s="1628"/>
    </row>
    <row r="22" spans="2:8" ht="23.5" x14ac:dyDescent="1.1000000000000001">
      <c r="B22" s="1636"/>
      <c r="C22" s="1637"/>
      <c r="D22" s="1632"/>
      <c r="E22" s="1632"/>
      <c r="F22" s="1750" t="s">
        <v>759</v>
      </c>
      <c r="G22" s="166"/>
      <c r="H22" s="1628"/>
    </row>
    <row r="23" spans="2:8" x14ac:dyDescent="0.8">
      <c r="B23" s="1636"/>
      <c r="C23" s="1637"/>
      <c r="D23" s="1632"/>
      <c r="E23" s="1632"/>
      <c r="F23" s="1638"/>
      <c r="G23" s="166"/>
      <c r="H23" s="1628"/>
    </row>
    <row r="24" spans="2:8" x14ac:dyDescent="0.8">
      <c r="B24" s="265"/>
      <c r="C24" s="166"/>
      <c r="D24" s="1632"/>
      <c r="E24" s="1632"/>
      <c r="F24" s="1633"/>
      <c r="G24" s="166"/>
      <c r="H24" s="1628"/>
    </row>
    <row r="25" spans="2:8" x14ac:dyDescent="0.8">
      <c r="B25" s="265"/>
      <c r="C25" s="166"/>
      <c r="D25" s="1632"/>
      <c r="E25" s="1632"/>
      <c r="F25" s="1633"/>
      <c r="G25" s="166"/>
      <c r="H25" s="1628"/>
    </row>
    <row r="26" spans="2:8" x14ac:dyDescent="0.8">
      <c r="B26" s="265"/>
      <c r="C26" s="166"/>
      <c r="D26" s="166"/>
      <c r="E26" s="166"/>
      <c r="F26" s="166"/>
      <c r="G26" s="166"/>
      <c r="H26" s="1628"/>
    </row>
    <row r="27" spans="2:8" ht="16.75" thickBot="1" x14ac:dyDescent="0.95">
      <c r="B27" s="538"/>
      <c r="C27" s="539"/>
      <c r="D27" s="539"/>
      <c r="E27" s="539"/>
      <c r="F27" s="539"/>
      <c r="G27" s="539"/>
      <c r="H27" s="541"/>
    </row>
  </sheetData>
  <mergeCells count="1">
    <mergeCell ref="D13:F13"/>
  </mergeCells>
  <hyperlinks>
    <hyperlink ref="D17" r:id="rId1" xr:uid="{00000000-0004-0000-0000-000000000000}"/>
    <hyperlink ref="D18" r:id="rId2" xr:uid="{00000000-0004-0000-0000-000001000000}"/>
    <hyperlink ref="D19" r:id="rId3" xr:uid="{00000000-0004-0000-0000-000002000000}"/>
    <hyperlink ref="D20" r:id="rId4" display="WSO Templates (Resume, Networking, Models, etc)" xr:uid="{00000000-0004-0000-0000-000004000000}"/>
    <hyperlink ref="D21" r:id="rId5" display="The Talent Oasis - Land a Job!" xr:uid="{00000000-0004-0000-0000-000007000000}"/>
    <hyperlink ref="F17" r:id="rId6" xr:uid="{2D28759E-83A3-41E5-801D-E9518E89E3F4}"/>
    <hyperlink ref="F19" r:id="rId7" display="Financial Modeling Courses" xr:uid="{194B29A0-7175-40B9-A7E8-8FDEA0F46AEE}"/>
    <hyperlink ref="F18" r:id="rId8" xr:uid="{07FD3E77-960C-4173-8D76-DF7F46C34FBB}"/>
    <hyperlink ref="F20" r:id="rId9" xr:uid="{1B4E6EC5-DA59-41F2-A855-6EF014B1118F}"/>
    <hyperlink ref="F21" r:id="rId10" xr:uid="{439E1AF9-A1F0-446D-B42C-4AD08C6C5A80}"/>
    <hyperlink ref="F22" r:id="rId11" xr:uid="{A836CD80-9B18-4D46-BFC4-B707D9D3EBBD}"/>
  </hyperlinks>
  <pageMargins left="0.7" right="0.7" top="0.75" bottom="0.75" header="0.3" footer="0.3"/>
  <pageSetup orientation="portrait" horizontalDpi="0" verticalDpi="0"/>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sheetPr>
  <dimension ref="A1:AO9"/>
  <sheetViews>
    <sheetView showGridLines="0" workbookViewId="0">
      <pane xSplit="1" ySplit="3" topLeftCell="B4" activePane="bottomRight" state="frozen"/>
      <selection pane="topRight" activeCell="B1" sqref="B1"/>
      <selection pane="bottomLeft" activeCell="A2" sqref="A2"/>
      <selection pane="bottomRight" activeCell="O35" sqref="O35"/>
    </sheetView>
  </sheetViews>
  <sheetFormatPr defaultColWidth="8.83203125" defaultRowHeight="16" x14ac:dyDescent="0.8"/>
  <cols>
    <col min="1" max="1" width="31.5" style="7" bestFit="1" customWidth="1"/>
    <col min="2" max="3" width="8.6640625" style="7" bestFit="1" customWidth="1"/>
    <col min="4" max="8" width="9.6640625" style="7" bestFit="1" customWidth="1"/>
    <col min="9" max="9" width="8.6640625" style="7" bestFit="1" customWidth="1"/>
    <col min="10" max="22" width="9.6640625" style="7" bestFit="1" customWidth="1"/>
    <col min="23" max="41" width="8.6640625" style="7" bestFit="1" customWidth="1"/>
    <col min="42" max="16384" width="8.83203125" style="7"/>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1020" t="s">
        <v>178</v>
      </c>
      <c r="B4" s="1026">
        <v>43307</v>
      </c>
      <c r="C4" s="1026">
        <f>B9</f>
        <v>79954</v>
      </c>
      <c r="D4" s="1026">
        <f>C9</f>
        <v>110194</v>
      </c>
      <c r="E4" s="1026">
        <f t="shared" ref="E4:AO4" si="0">D9</f>
        <v>115718</v>
      </c>
      <c r="F4" s="1026">
        <f t="shared" si="0"/>
        <v>117715</v>
      </c>
      <c r="G4" s="1026">
        <f t="shared" si="0"/>
        <v>137134</v>
      </c>
      <c r="H4" s="1026">
        <f t="shared" si="0"/>
        <v>146979</v>
      </c>
      <c r="I4" s="1026">
        <f t="shared" si="0"/>
        <v>13847.821885509329</v>
      </c>
      <c r="J4" s="1026">
        <f t="shared" si="0"/>
        <v>77630.744713427819</v>
      </c>
      <c r="K4" s="1026">
        <f t="shared" si="0"/>
        <v>102321.79947319535</v>
      </c>
      <c r="L4" s="1026">
        <f t="shared" si="0"/>
        <v>86581.964238655128</v>
      </c>
      <c r="M4" s="1026">
        <f t="shared" si="0"/>
        <v>115878.08692400582</v>
      </c>
      <c r="N4" s="1026">
        <f t="shared" si="0"/>
        <v>103910.17243980481</v>
      </c>
      <c r="O4" s="1026">
        <f t="shared" si="0"/>
        <v>108754.40436890806</v>
      </c>
      <c r="P4" s="1026">
        <f t="shared" si="0"/>
        <v>110529.21378018803</v>
      </c>
      <c r="Q4" s="1026">
        <f t="shared" si="0"/>
        <v>115596.16140699766</v>
      </c>
      <c r="R4" s="1026">
        <f t="shared" si="0"/>
        <v>118173.01742386262</v>
      </c>
      <c r="S4" s="1026">
        <f t="shared" si="0"/>
        <v>114052.79973641799</v>
      </c>
      <c r="T4" s="1026">
        <f t="shared" si="0"/>
        <v>108572.00209403905</v>
      </c>
      <c r="U4" s="1026">
        <f t="shared" si="0"/>
        <v>100376.06094195433</v>
      </c>
      <c r="V4" s="1026">
        <f t="shared" si="0"/>
        <v>94130.777771659297</v>
      </c>
      <c r="W4" s="1026">
        <f t="shared" si="0"/>
        <v>87587.169827735488</v>
      </c>
      <c r="X4" s="1026">
        <f t="shared" si="0"/>
        <v>80233.020107570585</v>
      </c>
      <c r="Y4" s="1026">
        <f t="shared" si="0"/>
        <v>72948.379093895332</v>
      </c>
      <c r="Z4" s="1026">
        <f t="shared" si="0"/>
        <v>65681.780821142995</v>
      </c>
      <c r="AA4" s="1026">
        <f t="shared" si="0"/>
        <v>59215.966747570812</v>
      </c>
      <c r="AB4" s="1026">
        <f t="shared" si="0"/>
        <v>48374.133156411001</v>
      </c>
      <c r="AC4" s="1026">
        <f t="shared" si="0"/>
        <v>40021.718116837641</v>
      </c>
      <c r="AD4" s="1026">
        <f t="shared" si="0"/>
        <v>33478.489795033078</v>
      </c>
      <c r="AE4" s="1026">
        <f t="shared" si="0"/>
        <v>28594.656261345928</v>
      </c>
      <c r="AF4" s="1026">
        <f t="shared" si="0"/>
        <v>25024.439901922298</v>
      </c>
      <c r="AG4" s="1026">
        <f t="shared" si="0"/>
        <v>22424.736213971119</v>
      </c>
      <c r="AH4" s="1026">
        <f t="shared" si="0"/>
        <v>20670.37033822199</v>
      </c>
      <c r="AI4" s="1026">
        <f t="shared" si="0"/>
        <v>19581.930467570295</v>
      </c>
      <c r="AJ4" s="1026">
        <f t="shared" si="0"/>
        <v>18582.876615082267</v>
      </c>
      <c r="AK4" s="1026">
        <f t="shared" si="0"/>
        <v>17573.001264698334</v>
      </c>
      <c r="AL4" s="1026">
        <f t="shared" si="0"/>
        <v>16554.615194095531</v>
      </c>
      <c r="AM4" s="1026">
        <f t="shared" si="0"/>
        <v>15526.653364639193</v>
      </c>
      <c r="AN4" s="1026">
        <f t="shared" si="0"/>
        <v>14490.676639303407</v>
      </c>
      <c r="AO4" s="1027">
        <f t="shared" si="0"/>
        <v>13446.124887237034</v>
      </c>
    </row>
    <row r="5" spans="1:41" x14ac:dyDescent="0.8">
      <c r="A5" s="1021" t="s">
        <v>61</v>
      </c>
      <c r="B5" s="1028">
        <f>'Income Statement '!B23</f>
        <v>36647</v>
      </c>
      <c r="C5" s="1028">
        <f>'Income Statement '!C23</f>
        <v>30306</v>
      </c>
      <c r="D5" s="1028">
        <f>'Income Statement '!D23</f>
        <v>7648</v>
      </c>
      <c r="E5" s="1028">
        <f>'Income Statement '!E23</f>
        <v>6046</v>
      </c>
      <c r="F5" s="1028">
        <f>'Income Statement '!F23</f>
        <v>23740</v>
      </c>
      <c r="G5" s="1028">
        <f>'Income Statement '!G23</f>
        <v>14741</v>
      </c>
      <c r="H5" s="1028">
        <f>'Income Statement '!H23</f>
        <v>11662.79417448499</v>
      </c>
      <c r="I5" s="1028">
        <f>'Income Statement '!I23</f>
        <v>18808.767699464843</v>
      </c>
      <c r="J5" s="1028">
        <f>'Income Statement '!J23</f>
        <v>14739.543619489454</v>
      </c>
      <c r="K5" s="1028">
        <f>'Income Statement '!K23</f>
        <v>14596.310379638679</v>
      </c>
      <c r="L5" s="1028">
        <f>'Income Statement '!L23</f>
        <v>7765.005576600629</v>
      </c>
      <c r="M5" s="1028">
        <f>'Income Statement '!M23</f>
        <v>12533.932440774122</v>
      </c>
      <c r="N5" s="1028">
        <f>'Income Statement '!N23</f>
        <v>13136.402442779741</v>
      </c>
      <c r="O5" s="1028">
        <f>'Income Statement '!O23</f>
        <v>11865.264405189826</v>
      </c>
      <c r="P5" s="1028">
        <f>'Income Statement '!P23</f>
        <v>11234.869796652049</v>
      </c>
      <c r="Q5" s="1028">
        <f>'Income Statement '!Q23</f>
        <v>8721.5892571888471</v>
      </c>
      <c r="R5" s="1028">
        <f>'Income Statement '!R23</f>
        <v>3389.7054506869526</v>
      </c>
      <c r="S5" s="1028">
        <f>'Income Statement '!S23</f>
        <v>2145.8979061547634</v>
      </c>
      <c r="T5" s="1028">
        <f>'Income Statement '!T23</f>
        <v>2236.6026871471545</v>
      </c>
      <c r="U5" s="1028">
        <f>'Income Statement '!U23</f>
        <v>3113.3917653541248</v>
      </c>
      <c r="V5" s="1028">
        <f>'Income Statement '!V23</f>
        <v>4860.9344356124893</v>
      </c>
      <c r="W5" s="1028">
        <f>'Income Statement '!W23</f>
        <v>5647.9603771766651</v>
      </c>
      <c r="X5" s="1028">
        <f>'Income Statement '!X23</f>
        <v>5850.0296845304274</v>
      </c>
      <c r="Y5" s="1028">
        <f>'Income Statement '!Y23</f>
        <v>6274.4618594306048</v>
      </c>
      <c r="Z5" s="1028">
        <f>'Income Statement '!Z23</f>
        <v>7066.2730108404648</v>
      </c>
      <c r="AA5" s="1028">
        <f>'Income Statement '!AA23</f>
        <v>7792.8989169263295</v>
      </c>
      <c r="AB5" s="1028">
        <f>'Income Statement '!AB23</f>
        <v>8990.4760846914069</v>
      </c>
      <c r="AC5" s="1028">
        <f>'Income Statement '!AC23</f>
        <v>9982.8508572928331</v>
      </c>
      <c r="AD5" s="1028">
        <f>'Income Statement '!AD23</f>
        <v>10689.350605473546</v>
      </c>
      <c r="AE5" s="1028">
        <f>'Income Statement '!AE23</f>
        <v>11124.864646678612</v>
      </c>
      <c r="AF5" s="1028">
        <f>'Income Statement '!AF23</f>
        <v>11383.467615093683</v>
      </c>
      <c r="AG5" s="1028">
        <f>'Income Statement '!AG23</f>
        <v>11552.121568191506</v>
      </c>
      <c r="AH5" s="1028">
        <f>'Income Statement '!AH23</f>
        <v>11623.809561321908</v>
      </c>
      <c r="AI5" s="1028">
        <f>'Income Statement '!AI23</f>
        <v>11258.04823354259</v>
      </c>
      <c r="AJ5" s="1028">
        <f>'Income Statement '!AJ23</f>
        <v>10901.042059877593</v>
      </c>
      <c r="AK5" s="1028">
        <f>'Income Statement '!AK23</f>
        <v>10582.619773507751</v>
      </c>
      <c r="AL5" s="1028">
        <f>'Income Statement '!AL23</f>
        <v>10277.721226222264</v>
      </c>
      <c r="AM5" s="1028">
        <f>'Income Statement '!AM23</f>
        <v>9986.8641218863231</v>
      </c>
      <c r="AN5" s="1028">
        <f>'Income Statement '!AN23</f>
        <v>9708.5013526435923</v>
      </c>
      <c r="AO5" s="1029">
        <f>'Income Statement '!AO23</f>
        <v>9442.7755449661454</v>
      </c>
    </row>
    <row r="6" spans="1:41" x14ac:dyDescent="0.8">
      <c r="A6" s="1021" t="s">
        <v>179</v>
      </c>
      <c r="B6" s="1028">
        <v>0</v>
      </c>
      <c r="C6" s="1028">
        <v>0</v>
      </c>
      <c r="D6" s="1028">
        <v>1854</v>
      </c>
      <c r="E6" s="1028">
        <v>3744</v>
      </c>
      <c r="F6" s="1028">
        <v>4263</v>
      </c>
      <c r="G6" s="1028">
        <v>4896</v>
      </c>
      <c r="H6" s="962">
        <f>-'FCF Statement'!H47</f>
        <v>144793.97228897567</v>
      </c>
      <c r="I6" s="962">
        <f>-'FCF Statement'!I47</f>
        <v>0</v>
      </c>
      <c r="J6" s="962">
        <f>-'FCF Statement'!J47</f>
        <v>0</v>
      </c>
      <c r="K6" s="962">
        <f>-'FCF Statement'!K47</f>
        <v>30336.145614178895</v>
      </c>
      <c r="L6" s="962">
        <f>-'FCF Statement'!L47</f>
        <v>0</v>
      </c>
      <c r="M6" s="962">
        <f>-'FCF Statement'!M47</f>
        <v>24501.84692497514</v>
      </c>
      <c r="N6" s="962">
        <f>-'FCF Statement'!N47</f>
        <v>8292.1705136765013</v>
      </c>
      <c r="O6" s="962">
        <f>-'FCF Statement'!O47</f>
        <v>10090.454993909858</v>
      </c>
      <c r="P6" s="962">
        <f>-'FCF Statement'!P47</f>
        <v>6167.9221698424226</v>
      </c>
      <c r="Q6" s="962">
        <f>-'FCF Statement'!Q47</f>
        <v>6144.7332403239016</v>
      </c>
      <c r="R6" s="962">
        <f>-'FCF Statement'!R47</f>
        <v>7509.9231381315803</v>
      </c>
      <c r="S6" s="962">
        <f>-'FCF Statement'!S47</f>
        <v>7626.6955485336875</v>
      </c>
      <c r="T6" s="962">
        <f>-'FCF Statement'!T47</f>
        <v>10432.543839231881</v>
      </c>
      <c r="U6" s="962">
        <f>-'FCF Statement'!U47</f>
        <v>9358.67493564916</v>
      </c>
      <c r="V6" s="962">
        <f>-'FCF Statement'!V47</f>
        <v>11404.542379536299</v>
      </c>
      <c r="W6" s="962">
        <f>-'FCF Statement'!W47</f>
        <v>13002.11009734158</v>
      </c>
      <c r="X6" s="962">
        <f>-'FCF Statement'!X47</f>
        <v>13134.67069820568</v>
      </c>
      <c r="Y6" s="962">
        <f>-'FCF Statement'!Y47</f>
        <v>13541.060132182945</v>
      </c>
      <c r="Z6" s="962">
        <f>-'FCF Statement'!Z47</f>
        <v>13532.087084412649</v>
      </c>
      <c r="AA6" s="962">
        <f>-'FCF Statement'!AA47</f>
        <v>18634.73250808613</v>
      </c>
      <c r="AB6" s="962">
        <f>-'FCF Statement'!AB47</f>
        <v>17342.891124264763</v>
      </c>
      <c r="AC6" s="962">
        <f>-'FCF Statement'!AC47</f>
        <v>16526.079179097396</v>
      </c>
      <c r="AD6" s="962">
        <f>-'FCF Statement'!AD47</f>
        <v>15573.184139160698</v>
      </c>
      <c r="AE6" s="962">
        <f>-'FCF Statement'!AE47</f>
        <v>14695.08100610224</v>
      </c>
      <c r="AF6" s="962">
        <f>-'FCF Statement'!AF47</f>
        <v>13983.171303044861</v>
      </c>
      <c r="AG6" s="962">
        <f>-'FCF Statement'!AG47</f>
        <v>13306.487443940636</v>
      </c>
      <c r="AH6" s="962">
        <f>-'FCF Statement'!AH47</f>
        <v>12712.249431973605</v>
      </c>
      <c r="AI6" s="962">
        <f>-'FCF Statement'!AI47</f>
        <v>12257.10208603062</v>
      </c>
      <c r="AJ6" s="962">
        <f>-'FCF Statement'!AJ47</f>
        <v>11910.917410261525</v>
      </c>
      <c r="AK6" s="962">
        <f>-'FCF Statement'!AK47</f>
        <v>11601.005844110552</v>
      </c>
      <c r="AL6" s="962">
        <f>-'FCF Statement'!AL47</f>
        <v>11305.683055678603</v>
      </c>
      <c r="AM6" s="962">
        <f>-'FCF Statement'!AM47</f>
        <v>11022.840847222111</v>
      </c>
      <c r="AN6" s="962">
        <f>-'FCF Statement'!AN47</f>
        <v>10753.053104709965</v>
      </c>
      <c r="AO6" s="963">
        <f>-'FCF Statement'!AO47</f>
        <v>10494.729723760263</v>
      </c>
    </row>
    <row r="7" spans="1:41" x14ac:dyDescent="0.8">
      <c r="A7" s="1021" t="s">
        <v>406</v>
      </c>
      <c r="B7" s="1028">
        <v>0</v>
      </c>
      <c r="C7" s="1028">
        <v>0</v>
      </c>
      <c r="D7" s="1028">
        <v>0</v>
      </c>
      <c r="E7" s="1028">
        <v>0</v>
      </c>
      <c r="F7" s="1028">
        <v>0</v>
      </c>
      <c r="G7" s="1028">
        <v>0</v>
      </c>
      <c r="H7" s="962">
        <f>'FCF Statement'!H46</f>
        <v>0</v>
      </c>
      <c r="I7" s="962">
        <f>'FCF Statement'!I46</f>
        <v>44974.155128453654</v>
      </c>
      <c r="J7" s="962">
        <f>'FCF Statement'!J46</f>
        <v>9951.5111402780731</v>
      </c>
      <c r="K7" s="962">
        <f>'FCF Statement'!K46</f>
        <v>0</v>
      </c>
      <c r="L7" s="962">
        <f>'FCF Statement'!L46</f>
        <v>21531.117108750066</v>
      </c>
      <c r="M7" s="962">
        <f>'FCF Statement'!M46</f>
        <v>0</v>
      </c>
      <c r="N7" s="962">
        <f>'FCF Statement'!N46</f>
        <v>0</v>
      </c>
      <c r="O7" s="962">
        <f>'FCF Statement'!O46</f>
        <v>0</v>
      </c>
      <c r="P7" s="962">
        <f>'FCF Statement'!P46</f>
        <v>0</v>
      </c>
      <c r="Q7" s="962">
        <f>'FCF Statement'!Q46</f>
        <v>0</v>
      </c>
      <c r="R7" s="962">
        <f>'FCF Statement'!R46</f>
        <v>0</v>
      </c>
      <c r="S7" s="962">
        <f>'FCF Statement'!S46</f>
        <v>0</v>
      </c>
      <c r="T7" s="962">
        <f>'FCF Statement'!T46</f>
        <v>0</v>
      </c>
      <c r="U7" s="962">
        <f>'FCF Statement'!U46</f>
        <v>0</v>
      </c>
      <c r="V7" s="962">
        <f>'FCF Statement'!V46</f>
        <v>0</v>
      </c>
      <c r="W7" s="962">
        <f>'FCF Statement'!W46</f>
        <v>0</v>
      </c>
      <c r="X7" s="962">
        <f>'FCF Statement'!X46</f>
        <v>0</v>
      </c>
      <c r="Y7" s="962">
        <f>'FCF Statement'!Y46</f>
        <v>0</v>
      </c>
      <c r="Z7" s="962">
        <f>'FCF Statement'!Z46</f>
        <v>0</v>
      </c>
      <c r="AA7" s="962">
        <f>'FCF Statement'!AA46</f>
        <v>0</v>
      </c>
      <c r="AB7" s="962">
        <f>'FCF Statement'!AB46</f>
        <v>0</v>
      </c>
      <c r="AC7" s="962">
        <f>'FCF Statement'!AC46</f>
        <v>0</v>
      </c>
      <c r="AD7" s="962">
        <f>'FCF Statement'!AD46</f>
        <v>0</v>
      </c>
      <c r="AE7" s="962">
        <f>'FCF Statement'!AE46</f>
        <v>0</v>
      </c>
      <c r="AF7" s="962">
        <f>'FCF Statement'!AF46</f>
        <v>0</v>
      </c>
      <c r="AG7" s="962">
        <f>'FCF Statement'!AG46</f>
        <v>0</v>
      </c>
      <c r="AH7" s="962">
        <f>'FCF Statement'!AH46</f>
        <v>0</v>
      </c>
      <c r="AI7" s="962">
        <f>'FCF Statement'!AI46</f>
        <v>0</v>
      </c>
      <c r="AJ7" s="962">
        <f>'FCF Statement'!AJ46</f>
        <v>0</v>
      </c>
      <c r="AK7" s="962">
        <f>'FCF Statement'!AK46</f>
        <v>0</v>
      </c>
      <c r="AL7" s="962">
        <f>'FCF Statement'!AL46</f>
        <v>0</v>
      </c>
      <c r="AM7" s="962">
        <f>'FCF Statement'!AM46</f>
        <v>0</v>
      </c>
      <c r="AN7" s="962">
        <f>'FCF Statement'!AN46</f>
        <v>0</v>
      </c>
      <c r="AO7" s="963">
        <f>'FCF Statement'!AO46</f>
        <v>0</v>
      </c>
    </row>
    <row r="8" spans="1:41" x14ac:dyDescent="0.8">
      <c r="A8" s="1021" t="s">
        <v>180</v>
      </c>
      <c r="B8" s="1028">
        <v>0</v>
      </c>
      <c r="C8" s="1028">
        <v>66</v>
      </c>
      <c r="D8" s="1028">
        <v>270</v>
      </c>
      <c r="E8" s="1028">
        <v>305</v>
      </c>
      <c r="F8" s="1028">
        <v>58</v>
      </c>
      <c r="G8" s="1028">
        <v>0</v>
      </c>
      <c r="H8" s="962">
        <f>G8</f>
        <v>0</v>
      </c>
      <c r="I8" s="962">
        <f>H8</f>
        <v>0</v>
      </c>
      <c r="J8" s="962">
        <f t="shared" ref="J8:AO8" si="1">I8</f>
        <v>0</v>
      </c>
      <c r="K8" s="962">
        <f t="shared" si="1"/>
        <v>0</v>
      </c>
      <c r="L8" s="962">
        <f t="shared" si="1"/>
        <v>0</v>
      </c>
      <c r="M8" s="962">
        <f t="shared" si="1"/>
        <v>0</v>
      </c>
      <c r="N8" s="962">
        <f t="shared" si="1"/>
        <v>0</v>
      </c>
      <c r="O8" s="962">
        <f t="shared" si="1"/>
        <v>0</v>
      </c>
      <c r="P8" s="962">
        <f t="shared" si="1"/>
        <v>0</v>
      </c>
      <c r="Q8" s="962">
        <f t="shared" si="1"/>
        <v>0</v>
      </c>
      <c r="R8" s="962">
        <f t="shared" si="1"/>
        <v>0</v>
      </c>
      <c r="S8" s="962">
        <f t="shared" si="1"/>
        <v>0</v>
      </c>
      <c r="T8" s="962">
        <f t="shared" si="1"/>
        <v>0</v>
      </c>
      <c r="U8" s="962">
        <f t="shared" si="1"/>
        <v>0</v>
      </c>
      <c r="V8" s="962">
        <f t="shared" si="1"/>
        <v>0</v>
      </c>
      <c r="W8" s="962">
        <f t="shared" si="1"/>
        <v>0</v>
      </c>
      <c r="X8" s="962">
        <f t="shared" si="1"/>
        <v>0</v>
      </c>
      <c r="Y8" s="962">
        <f t="shared" si="1"/>
        <v>0</v>
      </c>
      <c r="Z8" s="962">
        <f t="shared" si="1"/>
        <v>0</v>
      </c>
      <c r="AA8" s="962">
        <f t="shared" si="1"/>
        <v>0</v>
      </c>
      <c r="AB8" s="962">
        <f t="shared" si="1"/>
        <v>0</v>
      </c>
      <c r="AC8" s="962">
        <f t="shared" si="1"/>
        <v>0</v>
      </c>
      <c r="AD8" s="962">
        <f t="shared" si="1"/>
        <v>0</v>
      </c>
      <c r="AE8" s="962">
        <f t="shared" si="1"/>
        <v>0</v>
      </c>
      <c r="AF8" s="962">
        <f t="shared" si="1"/>
        <v>0</v>
      </c>
      <c r="AG8" s="962">
        <f t="shared" si="1"/>
        <v>0</v>
      </c>
      <c r="AH8" s="962">
        <f t="shared" si="1"/>
        <v>0</v>
      </c>
      <c r="AI8" s="962">
        <f t="shared" si="1"/>
        <v>0</v>
      </c>
      <c r="AJ8" s="962">
        <f t="shared" si="1"/>
        <v>0</v>
      </c>
      <c r="AK8" s="962">
        <f t="shared" si="1"/>
        <v>0</v>
      </c>
      <c r="AL8" s="962">
        <f t="shared" si="1"/>
        <v>0</v>
      </c>
      <c r="AM8" s="962">
        <f t="shared" si="1"/>
        <v>0</v>
      </c>
      <c r="AN8" s="962">
        <f t="shared" si="1"/>
        <v>0</v>
      </c>
      <c r="AO8" s="963">
        <f t="shared" si="1"/>
        <v>0</v>
      </c>
    </row>
    <row r="9" spans="1:41" ht="16.75" thickBot="1" x14ac:dyDescent="0.95">
      <c r="A9" s="1022" t="s">
        <v>181</v>
      </c>
      <c r="B9" s="1023">
        <f t="shared" ref="B9:G9" si="2">B4+B5-B6-B8</f>
        <v>79954</v>
      </c>
      <c r="C9" s="1023">
        <f t="shared" si="2"/>
        <v>110194</v>
      </c>
      <c r="D9" s="1023">
        <f t="shared" si="2"/>
        <v>115718</v>
      </c>
      <c r="E9" s="1023">
        <f t="shared" si="2"/>
        <v>117715</v>
      </c>
      <c r="F9" s="1023">
        <f t="shared" si="2"/>
        <v>137134</v>
      </c>
      <c r="G9" s="1023">
        <f t="shared" si="2"/>
        <v>146979</v>
      </c>
      <c r="H9" s="1024">
        <f t="shared" ref="H9:AO9" si="3">H4+H5-H6-H8+H7</f>
        <v>13847.821885509329</v>
      </c>
      <c r="I9" s="1024">
        <f t="shared" si="3"/>
        <v>77630.744713427819</v>
      </c>
      <c r="J9" s="1024">
        <f t="shared" si="3"/>
        <v>102321.79947319535</v>
      </c>
      <c r="K9" s="1024">
        <f t="shared" si="3"/>
        <v>86581.964238655128</v>
      </c>
      <c r="L9" s="1024">
        <f t="shared" si="3"/>
        <v>115878.08692400582</v>
      </c>
      <c r="M9" s="1024">
        <f t="shared" si="3"/>
        <v>103910.17243980481</v>
      </c>
      <c r="N9" s="1024">
        <f t="shared" si="3"/>
        <v>108754.40436890806</v>
      </c>
      <c r="O9" s="1024">
        <f t="shared" si="3"/>
        <v>110529.21378018803</v>
      </c>
      <c r="P9" s="1024">
        <f t="shared" si="3"/>
        <v>115596.16140699766</v>
      </c>
      <c r="Q9" s="1024">
        <f t="shared" si="3"/>
        <v>118173.01742386262</v>
      </c>
      <c r="R9" s="1024">
        <f t="shared" si="3"/>
        <v>114052.79973641799</v>
      </c>
      <c r="S9" s="1024">
        <f t="shared" si="3"/>
        <v>108572.00209403905</v>
      </c>
      <c r="T9" s="1024">
        <f t="shared" si="3"/>
        <v>100376.06094195433</v>
      </c>
      <c r="U9" s="1024">
        <f t="shared" si="3"/>
        <v>94130.777771659297</v>
      </c>
      <c r="V9" s="1024">
        <f t="shared" si="3"/>
        <v>87587.169827735488</v>
      </c>
      <c r="W9" s="1024">
        <f t="shared" si="3"/>
        <v>80233.020107570585</v>
      </c>
      <c r="X9" s="1024">
        <f t="shared" si="3"/>
        <v>72948.379093895332</v>
      </c>
      <c r="Y9" s="1024">
        <f t="shared" si="3"/>
        <v>65681.780821142995</v>
      </c>
      <c r="Z9" s="1024">
        <f t="shared" si="3"/>
        <v>59215.966747570812</v>
      </c>
      <c r="AA9" s="1024">
        <f t="shared" si="3"/>
        <v>48374.133156411001</v>
      </c>
      <c r="AB9" s="1024">
        <f t="shared" si="3"/>
        <v>40021.718116837641</v>
      </c>
      <c r="AC9" s="1024">
        <f t="shared" si="3"/>
        <v>33478.489795033078</v>
      </c>
      <c r="AD9" s="1024">
        <f t="shared" si="3"/>
        <v>28594.656261345928</v>
      </c>
      <c r="AE9" s="1024">
        <f t="shared" si="3"/>
        <v>25024.439901922298</v>
      </c>
      <c r="AF9" s="1024">
        <f t="shared" si="3"/>
        <v>22424.736213971119</v>
      </c>
      <c r="AG9" s="1024">
        <f t="shared" si="3"/>
        <v>20670.37033822199</v>
      </c>
      <c r="AH9" s="1024">
        <f t="shared" si="3"/>
        <v>19581.930467570295</v>
      </c>
      <c r="AI9" s="1024">
        <f t="shared" si="3"/>
        <v>18582.876615082267</v>
      </c>
      <c r="AJ9" s="1024">
        <f t="shared" si="3"/>
        <v>17573.001264698334</v>
      </c>
      <c r="AK9" s="1024">
        <f t="shared" si="3"/>
        <v>16554.615194095531</v>
      </c>
      <c r="AL9" s="1024">
        <f t="shared" si="3"/>
        <v>15526.653364639193</v>
      </c>
      <c r="AM9" s="1024">
        <f t="shared" si="3"/>
        <v>14490.676639303407</v>
      </c>
      <c r="AN9" s="1024">
        <f t="shared" si="3"/>
        <v>13446.124887237034</v>
      </c>
      <c r="AO9" s="1025">
        <f t="shared" si="3"/>
        <v>12394.170708442916</v>
      </c>
    </row>
  </sheetData>
  <mergeCells count="3">
    <mergeCell ref="B1:G2"/>
    <mergeCell ref="H1:M2"/>
    <mergeCell ref="N1:AO2"/>
  </mergeCells>
  <hyperlinks>
    <hyperlink ref="A1" location="'Cover Page '!A1" display="Back to cover pag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sheetPr>
  <dimension ref="A1:AO93"/>
  <sheetViews>
    <sheetView showGridLines="0" zoomScale="85" zoomScaleNormal="85" zoomScalePageLayoutView="85" workbookViewId="0">
      <pane xSplit="1" ySplit="3" topLeftCell="I4" activePane="bottomRight" state="frozen"/>
      <selection pane="topRight" activeCell="C1" sqref="C1"/>
      <selection pane="bottomLeft" activeCell="A2" sqref="A2"/>
      <selection pane="bottomRight" activeCell="A28" sqref="A28"/>
    </sheetView>
  </sheetViews>
  <sheetFormatPr defaultColWidth="8.83203125" defaultRowHeight="16" x14ac:dyDescent="0.8"/>
  <cols>
    <col min="1" max="1" width="90.6640625" style="1196" customWidth="1"/>
    <col min="2" max="5" width="16.1640625" style="1196" bestFit="1" customWidth="1"/>
    <col min="6" max="6" width="15.83203125" style="1196" bestFit="1" customWidth="1"/>
    <col min="7" max="7" width="16.1640625" style="1196" bestFit="1" customWidth="1"/>
    <col min="8" max="8" width="16.1640625" style="1304" bestFit="1" customWidth="1"/>
    <col min="9" max="9" width="16.1640625" style="1196" bestFit="1" customWidth="1"/>
    <col min="10" max="10" width="15.83203125" style="1196" bestFit="1" customWidth="1"/>
    <col min="11" max="11" width="15.1640625" style="1196" bestFit="1" customWidth="1"/>
    <col min="12" max="13" width="15.6640625" style="1196" bestFit="1" customWidth="1"/>
    <col min="14" max="14" width="15.83203125" style="1304" bestFit="1" customWidth="1"/>
    <col min="15" max="15" width="16.1640625" style="1196" bestFit="1" customWidth="1"/>
    <col min="16" max="16" width="15.83203125" style="1196" bestFit="1" customWidth="1"/>
    <col min="17" max="17" width="16.1640625" style="1196" bestFit="1" customWidth="1"/>
    <col min="18" max="18" width="15.6640625" style="1196" bestFit="1" customWidth="1"/>
    <col min="19" max="19" width="16.1640625" style="1196" bestFit="1" customWidth="1"/>
    <col min="20" max="22" width="15.83203125" style="1196" bestFit="1" customWidth="1"/>
    <col min="23" max="23" width="16.1640625" style="1196" bestFit="1" customWidth="1"/>
    <col min="24" max="24" width="15.83203125" style="1196" bestFit="1" customWidth="1"/>
    <col min="25" max="26" width="16.1640625" style="1196" bestFit="1" customWidth="1"/>
    <col min="27" max="27" width="15.83203125" style="1196" bestFit="1" customWidth="1"/>
    <col min="28" max="28" width="16.1640625" style="1196" bestFit="1" customWidth="1"/>
    <col min="29" max="29" width="15.1640625" style="1196" bestFit="1" customWidth="1"/>
    <col min="30" max="31" width="15.83203125" style="1196" bestFit="1" customWidth="1"/>
    <col min="32" max="32" width="16.1640625" style="1196" bestFit="1" customWidth="1"/>
    <col min="33" max="33" width="15.83203125" style="1196" bestFit="1" customWidth="1"/>
    <col min="34" max="35" width="16.1640625" style="1196" bestFit="1" customWidth="1"/>
    <col min="36" max="37" width="15.83203125" style="1196" bestFit="1" customWidth="1"/>
    <col min="38" max="38" width="15.5" style="1196" bestFit="1" customWidth="1"/>
    <col min="39" max="40" width="16.1640625" style="1196" bestFit="1" customWidth="1"/>
    <col min="41" max="41" width="15.83203125" style="1196" bestFit="1" customWidth="1"/>
    <col min="42" max="16384" width="8.83203125" style="1196"/>
  </cols>
  <sheetData>
    <row r="1" spans="1:41" x14ac:dyDescent="0.8">
      <c r="A1" s="1621"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1197" t="s">
        <v>140</v>
      </c>
      <c r="B3" s="313">
        <v>2011</v>
      </c>
      <c r="C3" s="803">
        <v>2012</v>
      </c>
      <c r="D3" s="803">
        <v>2013</v>
      </c>
      <c r="E3" s="803">
        <v>2014</v>
      </c>
      <c r="F3" s="803">
        <v>2015</v>
      </c>
      <c r="G3" s="803">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c r="A4" s="1197" t="s">
        <v>139</v>
      </c>
      <c r="B4" s="1197"/>
      <c r="H4" s="1198"/>
      <c r="I4" s="1197"/>
      <c r="N4" s="1198"/>
    </row>
    <row r="5" spans="1:41" x14ac:dyDescent="0.8">
      <c r="A5" s="1199" t="s">
        <v>117</v>
      </c>
      <c r="B5" s="1200">
        <v>1.91</v>
      </c>
      <c r="C5" s="1200">
        <v>2.16</v>
      </c>
      <c r="D5" s="1200">
        <v>2.2000000000000002</v>
      </c>
      <c r="E5" s="1200">
        <v>1.93</v>
      </c>
      <c r="F5" s="1200">
        <v>2.1</v>
      </c>
      <c r="G5" s="1200">
        <v>1.85</v>
      </c>
      <c r="H5" s="1201">
        <f>G5*(1+H6+ABS(H6)*H7)</f>
        <v>1.9425000000000001</v>
      </c>
      <c r="I5" s="1201">
        <f t="shared" ref="I5:AO5" si="0">H5*(1+I6+ABS(I6)*I7)</f>
        <v>1.7871000000000001</v>
      </c>
      <c r="J5" s="1201">
        <f t="shared" si="0"/>
        <v>1.9479390000000003</v>
      </c>
      <c r="K5" s="1201">
        <f t="shared" si="0"/>
        <v>1.7921038800000004</v>
      </c>
      <c r="L5" s="1201">
        <f t="shared" si="0"/>
        <v>1.8817090740000004</v>
      </c>
      <c r="M5" s="1201">
        <f t="shared" si="0"/>
        <v>1.7311723480800005</v>
      </c>
      <c r="N5" s="1201">
        <f t="shared" si="0"/>
        <v>1.7831075185224006</v>
      </c>
      <c r="O5" s="1201">
        <f t="shared" si="0"/>
        <v>1.6404589170406085</v>
      </c>
      <c r="P5" s="1201">
        <f t="shared" si="0"/>
        <v>1.6732680953814207</v>
      </c>
      <c r="Q5" s="1201">
        <f t="shared" si="0"/>
        <v>1.5840271302944116</v>
      </c>
      <c r="R5" s="1201">
        <f t="shared" si="0"/>
        <v>1.5444264520370512</v>
      </c>
      <c r="S5" s="1201">
        <f t="shared" si="0"/>
        <v>1.4895135115201783</v>
      </c>
      <c r="T5" s="1201">
        <f t="shared" si="0"/>
        <v>1.4522756737321738</v>
      </c>
      <c r="U5" s="1201">
        <f t="shared" si="0"/>
        <v>1.4178513614659298</v>
      </c>
      <c r="V5" s="1201">
        <f t="shared" si="0"/>
        <v>1.3824050774292815</v>
      </c>
      <c r="W5" s="1201">
        <f t="shared" si="0"/>
        <v>1.3478449504935495</v>
      </c>
      <c r="X5" s="1201">
        <f t="shared" si="0"/>
        <v>1.3141488267312107</v>
      </c>
      <c r="Y5" s="1201">
        <f t="shared" si="0"/>
        <v>1.2812951060629303</v>
      </c>
      <c r="Z5" s="1201">
        <f t="shared" si="0"/>
        <v>1.2492627284113571</v>
      </c>
      <c r="AA5" s="1201">
        <f t="shared" si="0"/>
        <v>1.2180311602010732</v>
      </c>
      <c r="AB5" s="1201">
        <f t="shared" si="0"/>
        <v>1.1875803811960464</v>
      </c>
      <c r="AC5" s="1201">
        <f t="shared" si="0"/>
        <v>1.1578908716661451</v>
      </c>
      <c r="AD5" s="1201">
        <f t="shared" si="0"/>
        <v>1.1289435998744914</v>
      </c>
      <c r="AE5" s="1201">
        <f t="shared" si="0"/>
        <v>1.1007200098776291</v>
      </c>
      <c r="AF5" s="1201">
        <f t="shared" si="0"/>
        <v>1.0732020096306882</v>
      </c>
      <c r="AG5" s="1201">
        <f t="shared" si="0"/>
        <v>1.046371959389921</v>
      </c>
      <c r="AH5" s="1201">
        <f t="shared" si="0"/>
        <v>1.0202126604051729</v>
      </c>
      <c r="AI5" s="1201">
        <f t="shared" si="0"/>
        <v>0.99470734389504356</v>
      </c>
      <c r="AJ5" s="1201">
        <f t="shared" si="0"/>
        <v>0.96983966029766744</v>
      </c>
      <c r="AK5" s="1201">
        <f t="shared" si="0"/>
        <v>0.94559366879022577</v>
      </c>
      <c r="AL5" s="1201">
        <f t="shared" si="0"/>
        <v>0.92195382707047013</v>
      </c>
      <c r="AM5" s="1201">
        <f t="shared" si="0"/>
        <v>0.89890498139370834</v>
      </c>
      <c r="AN5" s="1201">
        <f t="shared" si="0"/>
        <v>0.87643235685886556</v>
      </c>
      <c r="AO5" s="1201">
        <f t="shared" si="0"/>
        <v>0.85452154793739388</v>
      </c>
    </row>
    <row r="6" spans="1:41" s="1207" customFormat="1" x14ac:dyDescent="0.8">
      <c r="A6" s="1202" t="s">
        <v>138</v>
      </c>
      <c r="B6" s="1203"/>
      <c r="C6" s="1204">
        <f>(C5-B5)/B5</f>
        <v>0.13089005235602105</v>
      </c>
      <c r="D6" s="1204">
        <f>(D5-C5)/C5</f>
        <v>1.8518518518518535E-2</v>
      </c>
      <c r="E6" s="1204">
        <f>(E5-D5)/D5</f>
        <v>-0.12272727272727282</v>
      </c>
      <c r="F6" s="1204">
        <f>(F5-E5)/E5</f>
        <v>8.8082901554404222E-2</v>
      </c>
      <c r="G6" s="1205">
        <f>(G5-F5)/F5</f>
        <v>-0.11904761904761904</v>
      </c>
      <c r="H6" s="1204">
        <v>0.05</v>
      </c>
      <c r="I6" s="1204">
        <v>-0.08</v>
      </c>
      <c r="J6" s="1204">
        <v>0.09</v>
      </c>
      <c r="K6" s="1204">
        <f>$I$6</f>
        <v>-0.08</v>
      </c>
      <c r="L6" s="1204">
        <f>$H$6</f>
        <v>0.05</v>
      </c>
      <c r="M6" s="1205">
        <f>$I$6</f>
        <v>-0.08</v>
      </c>
      <c r="N6" s="1204">
        <v>0.03</v>
      </c>
      <c r="O6" s="1204">
        <f>$I$6</f>
        <v>-0.08</v>
      </c>
      <c r="P6" s="1204">
        <f t="shared" ref="P6:AO6" si="1">IF(ABS(N6)&gt;ABS(AVERAGE($N$6:$O$6)),N6/$B$78,AVERAGE($N$6:$O$6))</f>
        <v>0.02</v>
      </c>
      <c r="Q6" s="1204">
        <f t="shared" si="1"/>
        <v>-5.3333333333333337E-2</v>
      </c>
      <c r="R6" s="1204">
        <f t="shared" si="1"/>
        <v>-2.5000000000000001E-2</v>
      </c>
      <c r="S6" s="1204">
        <f t="shared" si="1"/>
        <v>-3.5555555555555556E-2</v>
      </c>
      <c r="T6" s="1204">
        <f t="shared" si="1"/>
        <v>-2.5000000000000001E-2</v>
      </c>
      <c r="U6" s="1204">
        <f t="shared" si="1"/>
        <v>-2.3703703703703703E-2</v>
      </c>
      <c r="V6" s="1204">
        <f t="shared" si="1"/>
        <v>-2.5000000000000001E-2</v>
      </c>
      <c r="W6" s="1204">
        <f t="shared" si="1"/>
        <v>-2.5000000000000001E-2</v>
      </c>
      <c r="X6" s="1204">
        <f t="shared" si="1"/>
        <v>-2.5000000000000001E-2</v>
      </c>
      <c r="Y6" s="1204">
        <f t="shared" si="1"/>
        <v>-2.5000000000000001E-2</v>
      </c>
      <c r="Z6" s="1204">
        <f t="shared" si="1"/>
        <v>-2.5000000000000001E-2</v>
      </c>
      <c r="AA6" s="1204">
        <f t="shared" si="1"/>
        <v>-2.5000000000000001E-2</v>
      </c>
      <c r="AB6" s="1204">
        <f t="shared" si="1"/>
        <v>-2.5000000000000001E-2</v>
      </c>
      <c r="AC6" s="1204">
        <f t="shared" si="1"/>
        <v>-2.5000000000000001E-2</v>
      </c>
      <c r="AD6" s="1204">
        <f t="shared" si="1"/>
        <v>-2.5000000000000001E-2</v>
      </c>
      <c r="AE6" s="1204">
        <f t="shared" si="1"/>
        <v>-2.5000000000000001E-2</v>
      </c>
      <c r="AF6" s="1204">
        <f t="shared" si="1"/>
        <v>-2.5000000000000001E-2</v>
      </c>
      <c r="AG6" s="1204">
        <f t="shared" si="1"/>
        <v>-2.5000000000000001E-2</v>
      </c>
      <c r="AH6" s="1204">
        <f t="shared" si="1"/>
        <v>-2.5000000000000001E-2</v>
      </c>
      <c r="AI6" s="1204">
        <f t="shared" si="1"/>
        <v>-2.5000000000000001E-2</v>
      </c>
      <c r="AJ6" s="1204">
        <f t="shared" si="1"/>
        <v>-2.5000000000000001E-2</v>
      </c>
      <c r="AK6" s="1204">
        <f t="shared" si="1"/>
        <v>-2.5000000000000001E-2</v>
      </c>
      <c r="AL6" s="1204">
        <f t="shared" si="1"/>
        <v>-2.5000000000000001E-2</v>
      </c>
      <c r="AM6" s="1204">
        <f t="shared" si="1"/>
        <v>-2.5000000000000001E-2</v>
      </c>
      <c r="AN6" s="1204">
        <f t="shared" si="1"/>
        <v>-2.5000000000000001E-2</v>
      </c>
      <c r="AO6" s="1206">
        <f t="shared" si="1"/>
        <v>-2.5000000000000001E-2</v>
      </c>
    </row>
    <row r="7" spans="1:41" s="1207" customFormat="1" x14ac:dyDescent="0.8">
      <c r="A7" s="1202" t="s">
        <v>683</v>
      </c>
      <c r="B7" s="1203"/>
      <c r="C7" s="1204"/>
      <c r="D7" s="1204"/>
      <c r="E7" s="1204"/>
      <c r="F7" s="1204"/>
      <c r="G7" s="1205"/>
      <c r="H7" s="1204">
        <f>'Revenue Sensitivity'!C3</f>
        <v>0</v>
      </c>
      <c r="I7" s="1204">
        <f>'Revenue Sensitivity'!D3</f>
        <v>0</v>
      </c>
      <c r="J7" s="1204">
        <f>'Revenue Sensitivity'!E3</f>
        <v>0</v>
      </c>
      <c r="K7" s="1204">
        <f>'Revenue Sensitivity'!F3</f>
        <v>0</v>
      </c>
      <c r="L7" s="1204">
        <f>'Revenue Sensitivity'!G3</f>
        <v>0</v>
      </c>
      <c r="M7" s="1204">
        <f>'Revenue Sensitivity'!H3</f>
        <v>0</v>
      </c>
      <c r="N7" s="1204">
        <f>'Revenue Sensitivity'!I3</f>
        <v>0</v>
      </c>
      <c r="O7" s="1204">
        <f>'Revenue Sensitivity'!J3</f>
        <v>0</v>
      </c>
      <c r="P7" s="1204">
        <f>'Revenue Sensitivity'!K3</f>
        <v>0</v>
      </c>
      <c r="Q7" s="1204">
        <f>'Revenue Sensitivity'!L3</f>
        <v>0</v>
      </c>
      <c r="R7" s="1204">
        <f>'Revenue Sensitivity'!M3</f>
        <v>0</v>
      </c>
      <c r="S7" s="1204">
        <f>'Revenue Sensitivity'!N3</f>
        <v>0</v>
      </c>
      <c r="T7" s="1204">
        <f>'Revenue Sensitivity'!O3</f>
        <v>0</v>
      </c>
      <c r="U7" s="1204">
        <f>'Revenue Sensitivity'!P3</f>
        <v>0</v>
      </c>
      <c r="V7" s="1204">
        <f>'Revenue Sensitivity'!Q3</f>
        <v>0</v>
      </c>
      <c r="W7" s="1204">
        <f>'Revenue Sensitivity'!R3</f>
        <v>0</v>
      </c>
      <c r="X7" s="1204">
        <f>'Revenue Sensitivity'!S3</f>
        <v>0</v>
      </c>
      <c r="Y7" s="1204">
        <f>'Revenue Sensitivity'!T3</f>
        <v>0</v>
      </c>
      <c r="Z7" s="1204">
        <f>'Revenue Sensitivity'!U3</f>
        <v>0</v>
      </c>
      <c r="AA7" s="1204">
        <f>'Revenue Sensitivity'!V3</f>
        <v>0</v>
      </c>
      <c r="AB7" s="1204">
        <f>'Revenue Sensitivity'!W3</f>
        <v>0</v>
      </c>
      <c r="AC7" s="1204">
        <f>'Revenue Sensitivity'!X3</f>
        <v>0</v>
      </c>
      <c r="AD7" s="1204">
        <f>'Revenue Sensitivity'!Y3</f>
        <v>0</v>
      </c>
      <c r="AE7" s="1204">
        <f>'Revenue Sensitivity'!Z3</f>
        <v>0</v>
      </c>
      <c r="AF7" s="1204">
        <f>'Revenue Sensitivity'!AA3</f>
        <v>0</v>
      </c>
      <c r="AG7" s="1204">
        <f>'Revenue Sensitivity'!AB3</f>
        <v>0</v>
      </c>
      <c r="AH7" s="1204">
        <f>'Revenue Sensitivity'!AC3</f>
        <v>0</v>
      </c>
      <c r="AI7" s="1204">
        <f>'Revenue Sensitivity'!AD3</f>
        <v>0</v>
      </c>
      <c r="AJ7" s="1204">
        <f>'Revenue Sensitivity'!AE3</f>
        <v>0</v>
      </c>
      <c r="AK7" s="1204">
        <f>'Revenue Sensitivity'!AF3</f>
        <v>0</v>
      </c>
      <c r="AL7" s="1204">
        <f>'Revenue Sensitivity'!AG3</f>
        <v>0</v>
      </c>
      <c r="AM7" s="1204">
        <f>'Revenue Sensitivity'!AH3</f>
        <v>0</v>
      </c>
      <c r="AN7" s="1204">
        <f>'Revenue Sensitivity'!AI3</f>
        <v>0</v>
      </c>
      <c r="AO7" s="1204">
        <f>'Revenue Sensitivity'!AJ3</f>
        <v>0</v>
      </c>
    </row>
    <row r="8" spans="1:41" x14ac:dyDescent="0.8">
      <c r="A8" s="1208" t="s">
        <v>447</v>
      </c>
      <c r="B8" s="1209">
        <v>0.91</v>
      </c>
      <c r="C8" s="1210">
        <v>0.88</v>
      </c>
      <c r="D8" s="1210">
        <v>0.87</v>
      </c>
      <c r="E8" s="1210">
        <v>0.48</v>
      </c>
      <c r="F8" s="1210">
        <v>0.44</v>
      </c>
      <c r="G8" s="1211">
        <v>0.45</v>
      </c>
      <c r="H8" s="1210">
        <f>G8*(1+H9+ABS(H9)*H10)</f>
        <v>0.45900000000000002</v>
      </c>
      <c r="I8" s="1210">
        <f t="shared" ref="I8:AO8" si="2">H8*(1+I9+ABS(I9)*I10)</f>
        <v>0.43719750000000002</v>
      </c>
      <c r="J8" s="1210">
        <f t="shared" si="2"/>
        <v>0.44594145000000002</v>
      </c>
      <c r="K8" s="1210">
        <f t="shared" si="2"/>
        <v>0.34337491650000002</v>
      </c>
      <c r="L8" s="1210">
        <f t="shared" si="2"/>
        <v>0.35024241483000002</v>
      </c>
      <c r="M8" s="1210">
        <f t="shared" si="2"/>
        <v>0.33360590012557501</v>
      </c>
      <c r="N8" s="1210">
        <f t="shared" si="2"/>
        <v>0.3402780181280865</v>
      </c>
      <c r="O8" s="1210">
        <f t="shared" si="2"/>
        <v>0.32411481226700239</v>
      </c>
      <c r="P8" s="1210">
        <f t="shared" si="2"/>
        <v>0.32843634309722913</v>
      </c>
      <c r="Q8" s="1210">
        <f t="shared" si="2"/>
        <v>0.3180358588991502</v>
      </c>
      <c r="R8" s="1210">
        <f t="shared" si="2"/>
        <v>0.31366286583928688</v>
      </c>
      <c r="S8" s="1210">
        <f t="shared" si="2"/>
        <v>0.30704109422712417</v>
      </c>
      <c r="T8" s="1210">
        <f t="shared" si="2"/>
        <v>0.3028192791815012</v>
      </c>
      <c r="U8" s="1210">
        <f t="shared" si="2"/>
        <v>0.29855737821524303</v>
      </c>
      <c r="V8" s="1210">
        <f t="shared" si="2"/>
        <v>0.29445221426478341</v>
      </c>
      <c r="W8" s="1210">
        <f t="shared" si="2"/>
        <v>0.29168945274822494</v>
      </c>
      <c r="X8" s="1210">
        <f t="shared" si="2"/>
        <v>0.28767872277293682</v>
      </c>
      <c r="Y8" s="1210">
        <f t="shared" si="2"/>
        <v>0.28372314033480894</v>
      </c>
      <c r="Z8" s="1210">
        <f t="shared" si="2"/>
        <v>0.27982194715520531</v>
      </c>
      <c r="AA8" s="1210">
        <f t="shared" si="2"/>
        <v>0.27597439538182122</v>
      </c>
      <c r="AB8" s="1210">
        <f t="shared" si="2"/>
        <v>0.2721797474453212</v>
      </c>
      <c r="AC8" s="1210">
        <f t="shared" si="2"/>
        <v>0.26843727591794803</v>
      </c>
      <c r="AD8" s="1210">
        <f t="shared" si="2"/>
        <v>0.26474626337407625</v>
      </c>
      <c r="AE8" s="1210">
        <f t="shared" si="2"/>
        <v>0.26110600225268271</v>
      </c>
      <c r="AF8" s="1210">
        <f t="shared" si="2"/>
        <v>0.25751579472170832</v>
      </c>
      <c r="AG8" s="1210">
        <f t="shared" si="2"/>
        <v>0.25397495254428482</v>
      </c>
      <c r="AH8" s="1210">
        <f t="shared" si="2"/>
        <v>0.25048279694680087</v>
      </c>
      <c r="AI8" s="1210">
        <f t="shared" si="2"/>
        <v>0.24703865848878234</v>
      </c>
      <c r="AJ8" s="1210">
        <f t="shared" si="2"/>
        <v>0.24364187693456157</v>
      </c>
      <c r="AK8" s="1210">
        <f t="shared" si="2"/>
        <v>0.24029180112671134</v>
      </c>
      <c r="AL8" s="1210">
        <f t="shared" si="2"/>
        <v>0.23698778886121905</v>
      </c>
      <c r="AM8" s="1210">
        <f t="shared" si="2"/>
        <v>0.23372920676437728</v>
      </c>
      <c r="AN8" s="1210">
        <f t="shared" si="2"/>
        <v>0.23051543017136708</v>
      </c>
      <c r="AO8" s="1210">
        <f t="shared" si="2"/>
        <v>0.22734584300651078</v>
      </c>
    </row>
    <row r="9" spans="1:41" s="1207" customFormat="1" x14ac:dyDescent="0.8">
      <c r="A9" s="1202" t="s">
        <v>138</v>
      </c>
      <c r="B9" s="1203"/>
      <c r="C9" s="1204">
        <f>(C8-B8)/B8</f>
        <v>-3.2967032967032996E-2</v>
      </c>
      <c r="D9" s="1204">
        <f>(D8-C8)/C8</f>
        <v>-1.1363636363636374E-2</v>
      </c>
      <c r="E9" s="1204">
        <f>(E8-D8)/D8</f>
        <v>-0.44827586206896552</v>
      </c>
      <c r="F9" s="1204">
        <f>(F8-E8)/E8</f>
        <v>-8.3333333333333301E-2</v>
      </c>
      <c r="G9" s="1205">
        <f>(G8-F8)/F8</f>
        <v>2.2727272727272749E-2</v>
      </c>
      <c r="H9" s="1204">
        <v>0.02</v>
      </c>
      <c r="I9" s="1204">
        <v>-4.7500000000000001E-2</v>
      </c>
      <c r="J9" s="1204">
        <v>0.02</v>
      </c>
      <c r="K9" s="1204">
        <v>-0.23</v>
      </c>
      <c r="L9" s="1204">
        <f>$H$9</f>
        <v>0.02</v>
      </c>
      <c r="M9" s="1205">
        <f>$I$9</f>
        <v>-4.7500000000000001E-2</v>
      </c>
      <c r="N9" s="1204">
        <f>$H$9</f>
        <v>0.02</v>
      </c>
      <c r="O9" s="1204">
        <f>$I$9</f>
        <v>-4.7500000000000001E-2</v>
      </c>
      <c r="P9" s="1204">
        <f t="shared" ref="P9:AO9" si="3">IF(ABS(N9)&gt;ABS(AVERAGE($N$9:$O$9)),N9/$B$78,AVERAGE($N$9:$O$9))</f>
        <v>1.3333333333333334E-2</v>
      </c>
      <c r="Q9" s="1204">
        <f t="shared" si="3"/>
        <v>-3.1666666666666669E-2</v>
      </c>
      <c r="R9" s="1204">
        <f t="shared" si="3"/>
        <v>-1.375E-2</v>
      </c>
      <c r="S9" s="1204">
        <f t="shared" si="3"/>
        <v>-2.1111111111111112E-2</v>
      </c>
      <c r="T9" s="1204">
        <f t="shared" si="3"/>
        <v>-1.375E-2</v>
      </c>
      <c r="U9" s="1204">
        <f t="shared" si="3"/>
        <v>-1.4074074074074074E-2</v>
      </c>
      <c r="V9" s="1204">
        <f t="shared" si="3"/>
        <v>-1.375E-2</v>
      </c>
      <c r="W9" s="1204">
        <f t="shared" si="3"/>
        <v>-9.3827160493827159E-3</v>
      </c>
      <c r="X9" s="1204">
        <f t="shared" si="3"/>
        <v>-1.375E-2</v>
      </c>
      <c r="Y9" s="1204">
        <f t="shared" si="3"/>
        <v>-1.375E-2</v>
      </c>
      <c r="Z9" s="1204">
        <f t="shared" si="3"/>
        <v>-1.375E-2</v>
      </c>
      <c r="AA9" s="1204">
        <f t="shared" si="3"/>
        <v>-1.375E-2</v>
      </c>
      <c r="AB9" s="1204">
        <f t="shared" si="3"/>
        <v>-1.375E-2</v>
      </c>
      <c r="AC9" s="1204">
        <f t="shared" si="3"/>
        <v>-1.375E-2</v>
      </c>
      <c r="AD9" s="1204">
        <f t="shared" si="3"/>
        <v>-1.375E-2</v>
      </c>
      <c r="AE9" s="1204">
        <f t="shared" si="3"/>
        <v>-1.375E-2</v>
      </c>
      <c r="AF9" s="1204">
        <f t="shared" si="3"/>
        <v>-1.375E-2</v>
      </c>
      <c r="AG9" s="1204">
        <f t="shared" si="3"/>
        <v>-1.375E-2</v>
      </c>
      <c r="AH9" s="1204">
        <f t="shared" si="3"/>
        <v>-1.375E-2</v>
      </c>
      <c r="AI9" s="1204">
        <f t="shared" si="3"/>
        <v>-1.375E-2</v>
      </c>
      <c r="AJ9" s="1204">
        <f t="shared" si="3"/>
        <v>-1.375E-2</v>
      </c>
      <c r="AK9" s="1204">
        <f t="shared" si="3"/>
        <v>-1.375E-2</v>
      </c>
      <c r="AL9" s="1204">
        <f t="shared" si="3"/>
        <v>-1.375E-2</v>
      </c>
      <c r="AM9" s="1204">
        <f t="shared" si="3"/>
        <v>-1.375E-2</v>
      </c>
      <c r="AN9" s="1204">
        <f t="shared" si="3"/>
        <v>-1.375E-2</v>
      </c>
      <c r="AO9" s="1206">
        <f t="shared" si="3"/>
        <v>-1.375E-2</v>
      </c>
    </row>
    <row r="10" spans="1:41" s="1207" customFormat="1" x14ac:dyDescent="0.8">
      <c r="A10" s="1202" t="s">
        <v>683</v>
      </c>
      <c r="B10" s="1203"/>
      <c r="C10" s="1204"/>
      <c r="D10" s="1204"/>
      <c r="E10" s="1204"/>
      <c r="F10" s="1204"/>
      <c r="G10" s="1204"/>
      <c r="H10" s="1204">
        <f>'Revenue Sensitivity'!C4</f>
        <v>0</v>
      </c>
      <c r="I10" s="1204">
        <f>'Revenue Sensitivity'!D4</f>
        <v>0</v>
      </c>
      <c r="J10" s="1204">
        <f>'Revenue Sensitivity'!E4</f>
        <v>0</v>
      </c>
      <c r="K10" s="1204">
        <f>'Revenue Sensitivity'!F4</f>
        <v>0</v>
      </c>
      <c r="L10" s="1204">
        <f>'Revenue Sensitivity'!G4</f>
        <v>0</v>
      </c>
      <c r="M10" s="1204">
        <f>'Revenue Sensitivity'!H4</f>
        <v>0</v>
      </c>
      <c r="N10" s="1204">
        <f>'Revenue Sensitivity'!I4</f>
        <v>0</v>
      </c>
      <c r="O10" s="1204">
        <f>'Revenue Sensitivity'!J4</f>
        <v>0</v>
      </c>
      <c r="P10" s="1204">
        <f>'Revenue Sensitivity'!K4</f>
        <v>0</v>
      </c>
      <c r="Q10" s="1204">
        <f>'Revenue Sensitivity'!L4</f>
        <v>0</v>
      </c>
      <c r="R10" s="1204">
        <f>'Revenue Sensitivity'!M4</f>
        <v>0</v>
      </c>
      <c r="S10" s="1204">
        <f>'Revenue Sensitivity'!N4</f>
        <v>0</v>
      </c>
      <c r="T10" s="1204">
        <f>'Revenue Sensitivity'!O4</f>
        <v>0</v>
      </c>
      <c r="U10" s="1204">
        <f>'Revenue Sensitivity'!P4</f>
        <v>0</v>
      </c>
      <c r="V10" s="1204">
        <f>'Revenue Sensitivity'!Q4</f>
        <v>0</v>
      </c>
      <c r="W10" s="1204">
        <f>'Revenue Sensitivity'!R4</f>
        <v>0</v>
      </c>
      <c r="X10" s="1204">
        <f>'Revenue Sensitivity'!S4</f>
        <v>0</v>
      </c>
      <c r="Y10" s="1204">
        <f>'Revenue Sensitivity'!T4</f>
        <v>0</v>
      </c>
      <c r="Z10" s="1204">
        <f>'Revenue Sensitivity'!U4</f>
        <v>0</v>
      </c>
      <c r="AA10" s="1204">
        <f>'Revenue Sensitivity'!V4</f>
        <v>0</v>
      </c>
      <c r="AB10" s="1204">
        <f>'Revenue Sensitivity'!W4</f>
        <v>0</v>
      </c>
      <c r="AC10" s="1204">
        <f>'Revenue Sensitivity'!X4</f>
        <v>0</v>
      </c>
      <c r="AD10" s="1204">
        <f>'Revenue Sensitivity'!Y4</f>
        <v>0</v>
      </c>
      <c r="AE10" s="1204">
        <f>'Revenue Sensitivity'!Z4</f>
        <v>0</v>
      </c>
      <c r="AF10" s="1204">
        <f>'Revenue Sensitivity'!AA4</f>
        <v>0</v>
      </c>
      <c r="AG10" s="1204">
        <f>'Revenue Sensitivity'!AB4</f>
        <v>0</v>
      </c>
      <c r="AH10" s="1204">
        <f>'Revenue Sensitivity'!AC4</f>
        <v>0</v>
      </c>
      <c r="AI10" s="1204">
        <f>'Revenue Sensitivity'!AD4</f>
        <v>0</v>
      </c>
      <c r="AJ10" s="1204">
        <f>'Revenue Sensitivity'!AE4</f>
        <v>0</v>
      </c>
      <c r="AK10" s="1204">
        <f>'Revenue Sensitivity'!AF4</f>
        <v>0</v>
      </c>
      <c r="AL10" s="1204">
        <f>'Revenue Sensitivity'!AG4</f>
        <v>0</v>
      </c>
      <c r="AM10" s="1204">
        <f>'Revenue Sensitivity'!AH4</f>
        <v>0</v>
      </c>
      <c r="AN10" s="1204">
        <f>'Revenue Sensitivity'!AI4</f>
        <v>0</v>
      </c>
      <c r="AO10" s="1204">
        <f>'Revenue Sensitivity'!AJ4</f>
        <v>0</v>
      </c>
    </row>
    <row r="11" spans="1:41" x14ac:dyDescent="0.8">
      <c r="A11" s="1208" t="s">
        <v>116</v>
      </c>
      <c r="B11" s="1210">
        <v>25.79</v>
      </c>
      <c r="C11" s="1210">
        <v>26.9</v>
      </c>
      <c r="D11" s="1210">
        <v>22.2</v>
      </c>
      <c r="E11" s="1210">
        <v>22.49</v>
      </c>
      <c r="F11" s="1210">
        <v>34.159999999999997</v>
      </c>
      <c r="G11" s="1210">
        <v>49.83</v>
      </c>
      <c r="H11" s="1212">
        <f>G11*(1+H12+ABS(H12)*H13)</f>
        <v>44.847000000000001</v>
      </c>
      <c r="I11" s="1212">
        <f t="shared" ref="I11:AO11" si="4">H11*(1+I12+ABS(I12)*I13)</f>
        <v>43.950060000000001</v>
      </c>
      <c r="J11" s="1212">
        <f t="shared" si="4"/>
        <v>46.147563000000005</v>
      </c>
      <c r="K11" s="1212">
        <f t="shared" si="4"/>
        <v>44.763136110000005</v>
      </c>
      <c r="L11" s="1212">
        <f t="shared" si="4"/>
        <v>47.001292915500009</v>
      </c>
      <c r="M11" s="1212">
        <f t="shared" si="4"/>
        <v>45.591254128035011</v>
      </c>
      <c r="N11" s="1212">
        <f t="shared" si="4"/>
        <v>47.870816834436766</v>
      </c>
      <c r="O11" s="1212">
        <f t="shared" si="4"/>
        <v>46.43469232940366</v>
      </c>
      <c r="P11" s="1212">
        <f t="shared" si="4"/>
        <v>47.982515407050457</v>
      </c>
      <c r="Q11" s="1212">
        <f t="shared" si="4"/>
        <v>47.022865098909449</v>
      </c>
      <c r="R11" s="1212">
        <f t="shared" si="4"/>
        <v>48.067817656662989</v>
      </c>
      <c r="S11" s="1212">
        <f t="shared" si="4"/>
        <v>47.426913421240819</v>
      </c>
      <c r="T11" s="1212">
        <f t="shared" si="4"/>
        <v>48.129534360814759</v>
      </c>
      <c r="U11" s="1212">
        <f t="shared" si="4"/>
        <v>47.701716277607517</v>
      </c>
      <c r="V11" s="1212">
        <f t="shared" si="4"/>
        <v>48.172844339608581</v>
      </c>
      <c r="W11" s="1212">
        <f t="shared" si="4"/>
        <v>48.654572783004667</v>
      </c>
      <c r="X11" s="1212">
        <f t="shared" si="4"/>
        <v>49.141118510834715</v>
      </c>
      <c r="Y11" s="1212">
        <f t="shared" si="4"/>
        <v>49.632529695943063</v>
      </c>
      <c r="Z11" s="1212">
        <f t="shared" si="4"/>
        <v>50.128854992902497</v>
      </c>
      <c r="AA11" s="1212">
        <f t="shared" si="4"/>
        <v>50.630143542831519</v>
      </c>
      <c r="AB11" s="1212">
        <f t="shared" si="4"/>
        <v>51.136444978259831</v>
      </c>
      <c r="AC11" s="1212">
        <f t="shared" si="4"/>
        <v>51.647809428042429</v>
      </c>
      <c r="AD11" s="1212">
        <f t="shared" si="4"/>
        <v>52.164287522322851</v>
      </c>
      <c r="AE11" s="1212">
        <f t="shared" si="4"/>
        <v>52.68593039754608</v>
      </c>
      <c r="AF11" s="1212">
        <f t="shared" si="4"/>
        <v>53.212789701521544</v>
      </c>
      <c r="AG11" s="1212">
        <f t="shared" si="4"/>
        <v>53.744917598536759</v>
      </c>
      <c r="AH11" s="1212">
        <f t="shared" si="4"/>
        <v>54.282366774522124</v>
      </c>
      <c r="AI11" s="1212">
        <f t="shared" si="4"/>
        <v>54.825190442267349</v>
      </c>
      <c r="AJ11" s="1212">
        <f t="shared" si="4"/>
        <v>55.37344234669002</v>
      </c>
      <c r="AK11" s="1212">
        <f t="shared" si="4"/>
        <v>55.927176770156919</v>
      </c>
      <c r="AL11" s="1212">
        <f t="shared" si="4"/>
        <v>56.486448537858486</v>
      </c>
      <c r="AM11" s="1212">
        <f t="shared" si="4"/>
        <v>57.051313023237071</v>
      </c>
      <c r="AN11" s="1212">
        <f t="shared" si="4"/>
        <v>57.621826153469442</v>
      </c>
      <c r="AO11" s="1212">
        <f t="shared" si="4"/>
        <v>58.198044415004134</v>
      </c>
    </row>
    <row r="12" spans="1:41" s="1207" customFormat="1" x14ac:dyDescent="0.8">
      <c r="A12" s="1202" t="s">
        <v>138</v>
      </c>
      <c r="B12" s="1204"/>
      <c r="C12" s="1204">
        <f>(C11-B11)/B11</f>
        <v>4.3039937960449769E-2</v>
      </c>
      <c r="D12" s="1204">
        <f>(D11-C11)/C11</f>
        <v>-0.17472118959107805</v>
      </c>
      <c r="E12" s="1204">
        <f>(E11-D11)/D11</f>
        <v>1.3063063063063025E-2</v>
      </c>
      <c r="F12" s="1204">
        <f>(F11-E11)/E11</f>
        <v>0.51889728768341481</v>
      </c>
      <c r="G12" s="1204">
        <f>(G11-F11)/F11</f>
        <v>0.45872365339578464</v>
      </c>
      <c r="H12" s="1204">
        <v>-0.1</v>
      </c>
      <c r="I12" s="1204">
        <v>-0.02</v>
      </c>
      <c r="J12" s="1204">
        <v>0.05</v>
      </c>
      <c r="K12" s="1204">
        <v>-0.03</v>
      </c>
      <c r="L12" s="1204">
        <f>$J$12</f>
        <v>0.05</v>
      </c>
      <c r="M12" s="1204">
        <f>$K$12</f>
        <v>-0.03</v>
      </c>
      <c r="N12" s="1204">
        <f>$J$12</f>
        <v>0.05</v>
      </c>
      <c r="O12" s="1204">
        <f>$K$12</f>
        <v>-0.03</v>
      </c>
      <c r="P12" s="1204">
        <f t="shared" ref="P12:AO12" si="5">IF(ABS(N12)&gt;ABS(AVERAGE($N$12:$O$12)),N12/$B$78,AVERAGE($N$12:$O$12))</f>
        <v>3.3333333333333333E-2</v>
      </c>
      <c r="Q12" s="1204">
        <f t="shared" si="5"/>
        <v>-0.02</v>
      </c>
      <c r="R12" s="1204">
        <f t="shared" si="5"/>
        <v>2.2222222222222223E-2</v>
      </c>
      <c r="S12" s="1204">
        <f t="shared" si="5"/>
        <v>-1.3333333333333334E-2</v>
      </c>
      <c r="T12" s="1204">
        <f t="shared" si="5"/>
        <v>1.4814814814814815E-2</v>
      </c>
      <c r="U12" s="1204">
        <f t="shared" si="5"/>
        <v>-8.8888888888888889E-3</v>
      </c>
      <c r="V12" s="1204">
        <f t="shared" si="5"/>
        <v>9.876543209876543E-3</v>
      </c>
      <c r="W12" s="1204">
        <f t="shared" si="5"/>
        <v>1.0000000000000002E-2</v>
      </c>
      <c r="X12" s="1204">
        <f t="shared" si="5"/>
        <v>1.0000000000000002E-2</v>
      </c>
      <c r="Y12" s="1204">
        <f t="shared" si="5"/>
        <v>1.0000000000000002E-2</v>
      </c>
      <c r="Z12" s="1204">
        <f t="shared" si="5"/>
        <v>1.0000000000000002E-2</v>
      </c>
      <c r="AA12" s="1204">
        <f t="shared" si="5"/>
        <v>1.0000000000000002E-2</v>
      </c>
      <c r="AB12" s="1204">
        <f t="shared" si="5"/>
        <v>1.0000000000000002E-2</v>
      </c>
      <c r="AC12" s="1204">
        <f t="shared" si="5"/>
        <v>1.0000000000000002E-2</v>
      </c>
      <c r="AD12" s="1204">
        <f t="shared" si="5"/>
        <v>1.0000000000000002E-2</v>
      </c>
      <c r="AE12" s="1204">
        <f t="shared" si="5"/>
        <v>1.0000000000000002E-2</v>
      </c>
      <c r="AF12" s="1204">
        <f t="shared" si="5"/>
        <v>1.0000000000000002E-2</v>
      </c>
      <c r="AG12" s="1204">
        <f t="shared" si="5"/>
        <v>1.0000000000000002E-2</v>
      </c>
      <c r="AH12" s="1204">
        <f t="shared" si="5"/>
        <v>1.0000000000000002E-2</v>
      </c>
      <c r="AI12" s="1204">
        <f t="shared" si="5"/>
        <v>1.0000000000000002E-2</v>
      </c>
      <c r="AJ12" s="1204">
        <f t="shared" si="5"/>
        <v>1.0000000000000002E-2</v>
      </c>
      <c r="AK12" s="1204">
        <f t="shared" si="5"/>
        <v>1.0000000000000002E-2</v>
      </c>
      <c r="AL12" s="1204">
        <f t="shared" si="5"/>
        <v>1.0000000000000002E-2</v>
      </c>
      <c r="AM12" s="1204">
        <f t="shared" si="5"/>
        <v>1.0000000000000002E-2</v>
      </c>
      <c r="AN12" s="1204">
        <f t="shared" si="5"/>
        <v>1.0000000000000002E-2</v>
      </c>
      <c r="AO12" s="1204">
        <f t="shared" si="5"/>
        <v>1.0000000000000002E-2</v>
      </c>
    </row>
    <row r="13" spans="1:41" s="1207" customFormat="1" ht="16.75" thickBot="1" x14ac:dyDescent="0.95">
      <c r="A13" s="1213" t="s">
        <v>683</v>
      </c>
      <c r="B13" s="1215"/>
      <c r="C13" s="1215"/>
      <c r="D13" s="1215"/>
      <c r="E13" s="1215"/>
      <c r="F13" s="1215"/>
      <c r="G13" s="1215"/>
      <c r="H13" s="1204">
        <f>'Revenue Sensitivity'!C5</f>
        <v>0</v>
      </c>
      <c r="I13" s="1204">
        <f>'Revenue Sensitivity'!D5</f>
        <v>0</v>
      </c>
      <c r="J13" s="1204">
        <f>'Revenue Sensitivity'!E5</f>
        <v>0</v>
      </c>
      <c r="K13" s="1204">
        <f>'Revenue Sensitivity'!F5</f>
        <v>0</v>
      </c>
      <c r="L13" s="1204">
        <f>'Revenue Sensitivity'!G5</f>
        <v>0</v>
      </c>
      <c r="M13" s="1204">
        <f>'Revenue Sensitivity'!H5</f>
        <v>0</v>
      </c>
      <c r="N13" s="1204">
        <f>'Revenue Sensitivity'!I5</f>
        <v>0</v>
      </c>
      <c r="O13" s="1204">
        <f>'Revenue Sensitivity'!J5</f>
        <v>0</v>
      </c>
      <c r="P13" s="1204">
        <f>'Revenue Sensitivity'!K5</f>
        <v>0</v>
      </c>
      <c r="Q13" s="1204">
        <f>'Revenue Sensitivity'!L5</f>
        <v>0</v>
      </c>
      <c r="R13" s="1204">
        <f>'Revenue Sensitivity'!M5</f>
        <v>0</v>
      </c>
      <c r="S13" s="1204">
        <f>'Revenue Sensitivity'!N5</f>
        <v>0</v>
      </c>
      <c r="T13" s="1204">
        <f>'Revenue Sensitivity'!O5</f>
        <v>0</v>
      </c>
      <c r="U13" s="1204">
        <f>'Revenue Sensitivity'!P5</f>
        <v>0</v>
      </c>
      <c r="V13" s="1204">
        <f>'Revenue Sensitivity'!Q5</f>
        <v>0</v>
      </c>
      <c r="W13" s="1204">
        <f>'Revenue Sensitivity'!R5</f>
        <v>0</v>
      </c>
      <c r="X13" s="1204">
        <f>'Revenue Sensitivity'!S5</f>
        <v>0</v>
      </c>
      <c r="Y13" s="1204">
        <f>'Revenue Sensitivity'!T5</f>
        <v>0</v>
      </c>
      <c r="Z13" s="1204">
        <f>'Revenue Sensitivity'!U5</f>
        <v>0</v>
      </c>
      <c r="AA13" s="1204">
        <f>'Revenue Sensitivity'!V5</f>
        <v>0</v>
      </c>
      <c r="AB13" s="1204">
        <f>'Revenue Sensitivity'!W5</f>
        <v>0</v>
      </c>
      <c r="AC13" s="1204">
        <f>'Revenue Sensitivity'!X5</f>
        <v>0</v>
      </c>
      <c r="AD13" s="1204">
        <f>'Revenue Sensitivity'!Y5</f>
        <v>0</v>
      </c>
      <c r="AE13" s="1204">
        <f>'Revenue Sensitivity'!Z5</f>
        <v>0</v>
      </c>
      <c r="AF13" s="1204">
        <f>'Revenue Sensitivity'!AA5</f>
        <v>0</v>
      </c>
      <c r="AG13" s="1204">
        <f>'Revenue Sensitivity'!AB5</f>
        <v>0</v>
      </c>
      <c r="AH13" s="1204">
        <f>'Revenue Sensitivity'!AC5</f>
        <v>0</v>
      </c>
      <c r="AI13" s="1204">
        <f>'Revenue Sensitivity'!AD5</f>
        <v>0</v>
      </c>
      <c r="AJ13" s="1204">
        <f>'Revenue Sensitivity'!AE5</f>
        <v>0</v>
      </c>
      <c r="AK13" s="1204">
        <f>'Revenue Sensitivity'!AF5</f>
        <v>0</v>
      </c>
      <c r="AL13" s="1204">
        <f>'Revenue Sensitivity'!AG5</f>
        <v>0</v>
      </c>
      <c r="AM13" s="1204">
        <f>'Revenue Sensitivity'!AH5</f>
        <v>0</v>
      </c>
      <c r="AN13" s="1204">
        <f>'Revenue Sensitivity'!AI5</f>
        <v>0</v>
      </c>
      <c r="AO13" s="1204">
        <f>'Revenue Sensitivity'!AJ5</f>
        <v>0</v>
      </c>
    </row>
    <row r="14" spans="1:41" s="1207" customFormat="1" x14ac:dyDescent="0.8">
      <c r="A14" s="1217"/>
      <c r="H14" s="1218"/>
      <c r="N14" s="1219"/>
    </row>
    <row r="15" spans="1:41" x14ac:dyDescent="0.8">
      <c r="H15" s="1198"/>
      <c r="N15" s="1198"/>
    </row>
    <row r="16" spans="1:41" ht="16.75" thickBot="1" x14ac:dyDescent="0.95">
      <c r="A16" s="1197" t="s">
        <v>137</v>
      </c>
      <c r="B16" s="1220"/>
      <c r="H16" s="1198"/>
      <c r="N16" s="1198"/>
    </row>
    <row r="17" spans="1:41" x14ac:dyDescent="0.8">
      <c r="A17" s="1199" t="s">
        <v>117</v>
      </c>
      <c r="B17" s="1221">
        <v>132148</v>
      </c>
      <c r="C17" s="1221">
        <v>127858</v>
      </c>
      <c r="D17" s="1221">
        <v>91276</v>
      </c>
      <c r="E17" s="1221">
        <v>115596</v>
      </c>
      <c r="F17" s="1221">
        <v>104345</v>
      </c>
      <c r="G17" s="1221">
        <v>113120</v>
      </c>
      <c r="H17" s="1222">
        <f>G17*(1+H26+ABS(H26)*H25)</f>
        <v>99545.600000000006</v>
      </c>
      <c r="I17" s="1222">
        <f t="shared" ref="I17:AO17" si="6">H17*(1+I26+ABS(I26)*I25)</f>
        <v>117463.808</v>
      </c>
      <c r="J17" s="1222">
        <f t="shared" si="6"/>
        <v>106892.06528000001</v>
      </c>
      <c r="K17" s="1222">
        <f t="shared" si="6"/>
        <v>123994.7957248</v>
      </c>
      <c r="L17" s="1222">
        <f t="shared" si="6"/>
        <v>114075.21206681601</v>
      </c>
      <c r="M17" s="1222">
        <f t="shared" si="6"/>
        <v>125482.73327349762</v>
      </c>
      <c r="N17" s="1222">
        <f t="shared" si="6"/>
        <v>105405.495949738</v>
      </c>
      <c r="O17" s="1222">
        <f t="shared" si="6"/>
        <v>117000.1005042092</v>
      </c>
      <c r="P17" s="1222">
        <f t="shared" si="6"/>
        <v>104520.08978376021</v>
      </c>
      <c r="Q17" s="1222">
        <f t="shared" si="6"/>
        <v>112184.89636790262</v>
      </c>
      <c r="R17" s="1222">
        <f t="shared" si="6"/>
        <v>104207.30373729621</v>
      </c>
      <c r="S17" s="1222">
        <f t="shared" si="6"/>
        <v>109301.88303111959</v>
      </c>
      <c r="T17" s="1222">
        <f t="shared" si="6"/>
        <v>104120.16413186651</v>
      </c>
      <c r="U17" s="1222">
        <f t="shared" si="6"/>
        <v>107513.71022209029</v>
      </c>
      <c r="V17" s="1222">
        <f t="shared" si="6"/>
        <v>104115.7460471699</v>
      </c>
      <c r="W17" s="1222">
        <f t="shared" si="6"/>
        <v>106378.01410942939</v>
      </c>
      <c r="X17" s="1222">
        <f t="shared" si="6"/>
        <v>104136.63372983977</v>
      </c>
      <c r="Y17" s="1222">
        <f t="shared" si="6"/>
        <v>101533.21788659377</v>
      </c>
      <c r="Z17" s="1222">
        <f t="shared" si="6"/>
        <v>98994.887439428931</v>
      </c>
      <c r="AA17" s="1222">
        <f t="shared" si="6"/>
        <v>96520.015253443198</v>
      </c>
      <c r="AB17" s="1222">
        <f t="shared" si="6"/>
        <v>94107.014872107116</v>
      </c>
      <c r="AC17" s="1222">
        <f t="shared" si="6"/>
        <v>91754.339500304442</v>
      </c>
      <c r="AD17" s="1222">
        <f t="shared" si="6"/>
        <v>89460.481012796823</v>
      </c>
      <c r="AE17" s="1222">
        <f t="shared" si="6"/>
        <v>87223.968987476896</v>
      </c>
      <c r="AF17" s="1222">
        <f t="shared" si="6"/>
        <v>85043.369762789967</v>
      </c>
      <c r="AG17" s="1222">
        <f t="shared" si="6"/>
        <v>82917.285518720222</v>
      </c>
      <c r="AH17" s="1222">
        <f t="shared" si="6"/>
        <v>80844.353380752218</v>
      </c>
      <c r="AI17" s="1222">
        <f t="shared" si="6"/>
        <v>78823.244546233414</v>
      </c>
      <c r="AJ17" s="1222">
        <f t="shared" si="6"/>
        <v>76852.663432577581</v>
      </c>
      <c r="AK17" s="1222">
        <f t="shared" si="6"/>
        <v>74931.346846763146</v>
      </c>
      <c r="AL17" s="1222">
        <f t="shared" si="6"/>
        <v>73058.06317559407</v>
      </c>
      <c r="AM17" s="1222">
        <f t="shared" si="6"/>
        <v>71231.611596204224</v>
      </c>
      <c r="AN17" s="1222">
        <f t="shared" si="6"/>
        <v>69450.821306299113</v>
      </c>
      <c r="AO17" s="1222">
        <f t="shared" si="6"/>
        <v>67714.550773641633</v>
      </c>
    </row>
    <row r="18" spans="1:41" x14ac:dyDescent="0.8">
      <c r="A18" s="1202" t="s">
        <v>138</v>
      </c>
      <c r="B18" s="1223"/>
      <c r="C18" s="1224">
        <f t="shared" ref="C18:AO18" si="7">(C17-B17)/B17</f>
        <v>-3.2463601416593518E-2</v>
      </c>
      <c r="D18" s="1224">
        <f t="shared" si="7"/>
        <v>-0.28611428303273945</v>
      </c>
      <c r="E18" s="1224">
        <f t="shared" si="7"/>
        <v>0.26644462947543712</v>
      </c>
      <c r="F18" s="1224">
        <f t="shared" si="7"/>
        <v>-9.7330357451814939E-2</v>
      </c>
      <c r="G18" s="1224">
        <f t="shared" si="7"/>
        <v>8.4096027600747525E-2</v>
      </c>
      <c r="H18" s="1225">
        <f t="shared" si="7"/>
        <v>-0.11999999999999995</v>
      </c>
      <c r="I18" s="1224">
        <v>0.18</v>
      </c>
      <c r="J18" s="1224">
        <f t="shared" si="7"/>
        <v>-8.9999999999999955E-2</v>
      </c>
      <c r="K18" s="1224">
        <v>0.16</v>
      </c>
      <c r="L18" s="1224">
        <f t="shared" si="7"/>
        <v>-7.9999999999999974E-2</v>
      </c>
      <c r="M18" s="1224">
        <f t="shared" si="7"/>
        <v>0.10000000000000014</v>
      </c>
      <c r="N18" s="1225">
        <f t="shared" si="7"/>
        <v>-0.16</v>
      </c>
      <c r="O18" s="1224">
        <f t="shared" si="7"/>
        <v>0.11000000000000015</v>
      </c>
      <c r="P18" s="1224">
        <f t="shared" si="7"/>
        <v>-0.10666666666666674</v>
      </c>
      <c r="Q18" s="1224">
        <f t="shared" si="7"/>
        <v>7.3333333333333292E-2</v>
      </c>
      <c r="R18" s="1224">
        <f t="shared" si="7"/>
        <v>-7.1111111111111097E-2</v>
      </c>
      <c r="S18" s="1224">
        <f t="shared" si="7"/>
        <v>4.8888888888888968E-2</v>
      </c>
      <c r="T18" s="1224">
        <f t="shared" si="7"/>
        <v>-4.7407407407407495E-2</v>
      </c>
      <c r="U18" s="1224">
        <f t="shared" si="7"/>
        <v>3.2592592592592451E-2</v>
      </c>
      <c r="V18" s="1224">
        <f t="shared" si="7"/>
        <v>-3.1604938271604967E-2</v>
      </c>
      <c r="W18" s="1224">
        <f t="shared" si="7"/>
        <v>2.172839506172838E-2</v>
      </c>
      <c r="X18" s="1224">
        <f t="shared" si="7"/>
        <v>-2.1069958847736627E-2</v>
      </c>
      <c r="Y18" s="1224">
        <f t="shared" si="7"/>
        <v>-2.5000000000000012E-2</v>
      </c>
      <c r="Z18" s="1224">
        <f t="shared" si="7"/>
        <v>-2.5000000000000001E-2</v>
      </c>
      <c r="AA18" s="1224">
        <f t="shared" si="7"/>
        <v>-2.5000000000000092E-2</v>
      </c>
      <c r="AB18" s="1224">
        <f t="shared" si="7"/>
        <v>-2.5000000000000019E-2</v>
      </c>
      <c r="AC18" s="1224">
        <f t="shared" si="7"/>
        <v>-2.4999999999999956E-2</v>
      </c>
      <c r="AD18" s="1224">
        <f t="shared" si="7"/>
        <v>-2.5000000000000092E-2</v>
      </c>
      <c r="AE18" s="1224">
        <f t="shared" si="7"/>
        <v>-2.5000000000000078E-2</v>
      </c>
      <c r="AF18" s="1224">
        <f t="shared" si="7"/>
        <v>-2.5000000000000067E-2</v>
      </c>
      <c r="AG18" s="1224">
        <f t="shared" si="7"/>
        <v>-2.4999999999999953E-2</v>
      </c>
      <c r="AH18" s="1224">
        <f t="shared" si="7"/>
        <v>-2.4999999999999984E-2</v>
      </c>
      <c r="AI18" s="1224">
        <f t="shared" si="7"/>
        <v>-2.4999999999999977E-2</v>
      </c>
      <c r="AJ18" s="1224">
        <f t="shared" si="7"/>
        <v>-2.4999999999999974E-2</v>
      </c>
      <c r="AK18" s="1224">
        <f t="shared" si="7"/>
        <v>-2.4999999999999939E-2</v>
      </c>
      <c r="AL18" s="1224">
        <f t="shared" si="7"/>
        <v>-2.4999999999999967E-2</v>
      </c>
      <c r="AM18" s="1224">
        <f t="shared" si="7"/>
        <v>-2.4999999999999925E-2</v>
      </c>
      <c r="AN18" s="1224">
        <f t="shared" si="7"/>
        <v>-2.5000000000000081E-2</v>
      </c>
      <c r="AO18" s="1226">
        <f t="shared" si="7"/>
        <v>-2.5000000000000026E-2</v>
      </c>
    </row>
    <row r="19" spans="1:41" x14ac:dyDescent="0.8">
      <c r="A19" s="1227" t="s">
        <v>136</v>
      </c>
      <c r="B19" s="1228"/>
      <c r="C19" s="1228"/>
      <c r="D19" s="1228"/>
      <c r="E19" s="1228"/>
      <c r="F19" s="1228"/>
      <c r="G19" s="1229">
        <v>0.06</v>
      </c>
      <c r="H19" s="1230">
        <v>0.06</v>
      </c>
      <c r="I19" s="1230">
        <v>0.06</v>
      </c>
      <c r="J19" s="1230">
        <v>0.06</v>
      </c>
      <c r="K19" s="1230">
        <v>0.06</v>
      </c>
      <c r="L19" s="1230">
        <v>0.06</v>
      </c>
      <c r="M19" s="1229">
        <v>0.06</v>
      </c>
      <c r="N19" s="1230">
        <f t="shared" ref="N19:AO19" si="8">IF(M19/$B$78&gt;$J$77,M19/$B$78,$J$77)</f>
        <v>0.04</v>
      </c>
      <c r="O19" s="1230">
        <f t="shared" si="8"/>
        <v>2.6666666666666668E-2</v>
      </c>
      <c r="P19" s="1230">
        <f t="shared" si="8"/>
        <v>1.7777777777777778E-2</v>
      </c>
      <c r="Q19" s="1230">
        <f t="shared" si="8"/>
        <v>1.1851851851851851E-2</v>
      </c>
      <c r="R19" s="1230">
        <f t="shared" si="8"/>
        <v>7.9012345679012348E-3</v>
      </c>
      <c r="S19" s="1230">
        <f t="shared" si="8"/>
        <v>5.2674897119341568E-3</v>
      </c>
      <c r="T19" s="1230">
        <f t="shared" si="8"/>
        <v>3.5116598079561047E-3</v>
      </c>
      <c r="U19" s="1230">
        <f t="shared" si="8"/>
        <v>2.3411065386374033E-3</v>
      </c>
      <c r="V19" s="1230">
        <f t="shared" si="8"/>
        <v>1.5607376924249355E-3</v>
      </c>
      <c r="W19" s="1230">
        <f t="shared" si="8"/>
        <v>1.0404917949499569E-3</v>
      </c>
      <c r="X19" s="1230">
        <f t="shared" si="8"/>
        <v>6.9366119663330462E-4</v>
      </c>
      <c r="Y19" s="1230">
        <f t="shared" si="8"/>
        <v>4.6244079775553643E-4</v>
      </c>
      <c r="Z19" s="1230">
        <f t="shared" si="8"/>
        <v>3.0829386517035762E-4</v>
      </c>
      <c r="AA19" s="1230">
        <f t="shared" si="8"/>
        <v>2.0552924344690508E-4</v>
      </c>
      <c r="AB19" s="1230">
        <f t="shared" si="8"/>
        <v>1.3701949563127004E-4</v>
      </c>
      <c r="AC19" s="1230">
        <f t="shared" si="8"/>
        <v>9.1346330420846692E-5</v>
      </c>
      <c r="AD19" s="1230">
        <f t="shared" si="8"/>
        <v>6.0897553613897797E-5</v>
      </c>
      <c r="AE19" s="1230">
        <f t="shared" si="8"/>
        <v>4.0598369075931865E-5</v>
      </c>
      <c r="AF19" s="1230">
        <f t="shared" si="8"/>
        <v>2.7065579383954576E-5</v>
      </c>
      <c r="AG19" s="1230">
        <f t="shared" si="8"/>
        <v>1.8043719589303051E-5</v>
      </c>
      <c r="AH19" s="1230">
        <f t="shared" si="8"/>
        <v>1.2029146392868701E-5</v>
      </c>
      <c r="AI19" s="1230">
        <f t="shared" si="8"/>
        <v>8.0194309285791336E-6</v>
      </c>
      <c r="AJ19" s="1230">
        <f t="shared" si="8"/>
        <v>5.3462872857194227E-6</v>
      </c>
      <c r="AK19" s="1230">
        <f t="shared" si="8"/>
        <v>3.5641915238129483E-6</v>
      </c>
      <c r="AL19" s="1230">
        <f t="shared" si="8"/>
        <v>2.3761276825419654E-6</v>
      </c>
      <c r="AM19" s="1230">
        <f t="shared" si="8"/>
        <v>1.5840851216946436E-6</v>
      </c>
      <c r="AN19" s="1230">
        <f t="shared" si="8"/>
        <v>1.0560567477964291E-6</v>
      </c>
      <c r="AO19" s="1231">
        <f t="shared" si="8"/>
        <v>7.0403783186428612E-7</v>
      </c>
    </row>
    <row r="20" spans="1:41" x14ac:dyDescent="0.8">
      <c r="A20" s="1227" t="s">
        <v>135</v>
      </c>
      <c r="B20" s="1232" t="s">
        <v>448</v>
      </c>
      <c r="C20" s="1228"/>
      <c r="D20" s="1228"/>
      <c r="E20" s="1228"/>
      <c r="F20" s="1228"/>
      <c r="G20" s="1229">
        <v>0.04</v>
      </c>
      <c r="H20" s="1230">
        <v>0.09</v>
      </c>
      <c r="I20" s="1230">
        <v>9.5000000000000001E-2</v>
      </c>
      <c r="J20" s="1230">
        <v>0.12</v>
      </c>
      <c r="K20" s="1230">
        <v>9.5000000000000001E-2</v>
      </c>
      <c r="L20" s="1230">
        <v>8.5000000000000006E-2</v>
      </c>
      <c r="M20" s="1229">
        <v>7.0000000000000007E-2</v>
      </c>
      <c r="N20" s="1230">
        <f t="shared" ref="N20:AO20" si="9">IF(M20/$B$78&gt;$J$77,M20/$B$78,$J$77)</f>
        <v>4.6666666666666669E-2</v>
      </c>
      <c r="O20" s="1230">
        <f t="shared" si="9"/>
        <v>3.1111111111111114E-2</v>
      </c>
      <c r="P20" s="1230">
        <f t="shared" si="9"/>
        <v>2.0740740740740744E-2</v>
      </c>
      <c r="Q20" s="1230">
        <f t="shared" si="9"/>
        <v>1.3827160493827163E-2</v>
      </c>
      <c r="R20" s="1230">
        <f t="shared" si="9"/>
        <v>9.2181069958847759E-3</v>
      </c>
      <c r="S20" s="1230">
        <f t="shared" si="9"/>
        <v>6.1454046639231839E-3</v>
      </c>
      <c r="T20" s="1230">
        <f t="shared" si="9"/>
        <v>4.0969364426154562E-3</v>
      </c>
      <c r="U20" s="1230">
        <f t="shared" si="9"/>
        <v>2.7312909617436374E-3</v>
      </c>
      <c r="V20" s="1230">
        <f t="shared" si="9"/>
        <v>1.8208606411624249E-3</v>
      </c>
      <c r="W20" s="1230">
        <f t="shared" si="9"/>
        <v>1.2139070941082832E-3</v>
      </c>
      <c r="X20" s="1230">
        <f t="shared" si="9"/>
        <v>8.092713960721888E-4</v>
      </c>
      <c r="Y20" s="1230">
        <f t="shared" si="9"/>
        <v>5.3951426404812586E-4</v>
      </c>
      <c r="Z20" s="1230">
        <f t="shared" si="9"/>
        <v>3.5967617603208389E-4</v>
      </c>
      <c r="AA20" s="1230">
        <f t="shared" si="9"/>
        <v>2.3978411735472259E-4</v>
      </c>
      <c r="AB20" s="1230">
        <f t="shared" si="9"/>
        <v>1.5985607823648171E-4</v>
      </c>
      <c r="AC20" s="1230">
        <f t="shared" si="9"/>
        <v>1.0657071882432114E-4</v>
      </c>
      <c r="AD20" s="1230">
        <f t="shared" si="9"/>
        <v>7.1047145882880767E-5</v>
      </c>
      <c r="AE20" s="1230">
        <f t="shared" si="9"/>
        <v>4.7364763921920509E-5</v>
      </c>
      <c r="AF20" s="1230">
        <f t="shared" si="9"/>
        <v>3.1576509281280339E-5</v>
      </c>
      <c r="AG20" s="1230">
        <f t="shared" si="9"/>
        <v>2.1051006187520225E-5</v>
      </c>
      <c r="AH20" s="1230">
        <f t="shared" si="9"/>
        <v>1.4034004125013483E-5</v>
      </c>
      <c r="AI20" s="1230">
        <f t="shared" si="9"/>
        <v>9.3560027500089895E-6</v>
      </c>
      <c r="AJ20" s="1230">
        <f t="shared" si="9"/>
        <v>6.2373351666726596E-6</v>
      </c>
      <c r="AK20" s="1230">
        <f t="shared" si="9"/>
        <v>4.1582234444484398E-6</v>
      </c>
      <c r="AL20" s="1230">
        <f t="shared" si="9"/>
        <v>2.7721489629656265E-6</v>
      </c>
      <c r="AM20" s="1230">
        <f t="shared" si="9"/>
        <v>1.8480993086437509E-6</v>
      </c>
      <c r="AN20" s="1230">
        <f t="shared" si="9"/>
        <v>1.2320662057625007E-6</v>
      </c>
      <c r="AO20" s="1231">
        <f t="shared" si="9"/>
        <v>8.2137747050833379E-7</v>
      </c>
    </row>
    <row r="21" spans="1:41" x14ac:dyDescent="0.8">
      <c r="A21" s="1233" t="s">
        <v>134</v>
      </c>
      <c r="B21" s="1232" t="s">
        <v>449</v>
      </c>
      <c r="C21" s="1228"/>
      <c r="D21" s="1228"/>
      <c r="E21" s="1228"/>
      <c r="F21" s="1228"/>
      <c r="G21" s="1229">
        <v>0.13420000000000001</v>
      </c>
      <c r="H21" s="1230">
        <v>0.13420000000000001</v>
      </c>
      <c r="I21" s="1230">
        <v>0.13420000000000001</v>
      </c>
      <c r="J21" s="1230">
        <v>0.13420000000000001</v>
      </c>
      <c r="K21" s="1230">
        <v>0.13420000000000001</v>
      </c>
      <c r="L21" s="1230">
        <v>0.13420000000000001</v>
      </c>
      <c r="M21" s="1229">
        <v>0.13420000000000001</v>
      </c>
      <c r="N21" s="1230">
        <f t="shared" ref="N21:AO21" si="10">IF(M21/$B$78&gt;$J$77,M21/$B$78,$J$77)</f>
        <v>8.946666666666668E-2</v>
      </c>
      <c r="O21" s="1230">
        <f t="shared" si="10"/>
        <v>5.9644444444444451E-2</v>
      </c>
      <c r="P21" s="1230">
        <f t="shared" si="10"/>
        <v>3.9762962962962965E-2</v>
      </c>
      <c r="Q21" s="1230">
        <f t="shared" si="10"/>
        <v>2.6508641975308642E-2</v>
      </c>
      <c r="R21" s="1230">
        <f t="shared" si="10"/>
        <v>1.7672427983539095E-2</v>
      </c>
      <c r="S21" s="1230">
        <f t="shared" si="10"/>
        <v>1.178161865569273E-2</v>
      </c>
      <c r="T21" s="1230">
        <f t="shared" si="10"/>
        <v>7.854412437128486E-3</v>
      </c>
      <c r="U21" s="1230">
        <f t="shared" si="10"/>
        <v>5.2362749580856576E-3</v>
      </c>
      <c r="V21" s="1230">
        <f t="shared" si="10"/>
        <v>3.4908499720571052E-3</v>
      </c>
      <c r="W21" s="1230">
        <f t="shared" si="10"/>
        <v>2.3272333147047368E-3</v>
      </c>
      <c r="X21" s="1230">
        <f t="shared" si="10"/>
        <v>1.5514888764698246E-3</v>
      </c>
      <c r="Y21" s="1230">
        <f t="shared" si="10"/>
        <v>1.0343259176465497E-3</v>
      </c>
      <c r="Z21" s="1230">
        <f t="shared" si="10"/>
        <v>6.8955061176436642E-4</v>
      </c>
      <c r="AA21" s="1230">
        <f t="shared" si="10"/>
        <v>4.5970040784291093E-4</v>
      </c>
      <c r="AB21" s="1230">
        <f t="shared" si="10"/>
        <v>3.064669385619406E-4</v>
      </c>
      <c r="AC21" s="1230">
        <f t="shared" si="10"/>
        <v>2.0431129237462708E-4</v>
      </c>
      <c r="AD21" s="1230">
        <f t="shared" si="10"/>
        <v>1.3620752824975137E-4</v>
      </c>
      <c r="AE21" s="1230">
        <f t="shared" si="10"/>
        <v>9.0805018833167578E-5</v>
      </c>
      <c r="AF21" s="1230">
        <f t="shared" si="10"/>
        <v>6.0536679222111719E-5</v>
      </c>
      <c r="AG21" s="1230">
        <f t="shared" si="10"/>
        <v>4.0357786148074482E-5</v>
      </c>
      <c r="AH21" s="1230">
        <f t="shared" si="10"/>
        <v>2.6905190765382987E-5</v>
      </c>
      <c r="AI21" s="1230">
        <f t="shared" si="10"/>
        <v>1.7936793843588659E-5</v>
      </c>
      <c r="AJ21" s="1230">
        <f t="shared" si="10"/>
        <v>1.1957862562392439E-5</v>
      </c>
      <c r="AK21" s="1230">
        <f t="shared" si="10"/>
        <v>7.971908374928293E-6</v>
      </c>
      <c r="AL21" s="1230">
        <f t="shared" si="10"/>
        <v>5.3146055832855284E-6</v>
      </c>
      <c r="AM21" s="1230">
        <f t="shared" si="10"/>
        <v>3.5430703888570188E-6</v>
      </c>
      <c r="AN21" s="1230">
        <f t="shared" si="10"/>
        <v>2.3620469259046793E-6</v>
      </c>
      <c r="AO21" s="1231">
        <f t="shared" si="10"/>
        <v>1.5746979506031196E-6</v>
      </c>
    </row>
    <row r="22" spans="1:41" x14ac:dyDescent="0.8">
      <c r="A22" s="1233" t="s">
        <v>133</v>
      </c>
      <c r="B22" s="1232" t="s">
        <v>450</v>
      </c>
      <c r="C22" s="1228"/>
      <c r="D22" s="1228"/>
      <c r="E22" s="1228"/>
      <c r="F22" s="1228"/>
      <c r="G22" s="1229">
        <v>7.8E-2</v>
      </c>
      <c r="H22" s="1230">
        <v>7.8E-2</v>
      </c>
      <c r="I22" s="1230">
        <v>7.8E-2</v>
      </c>
      <c r="J22" s="1230">
        <v>7.8E-2</v>
      </c>
      <c r="K22" s="1230">
        <v>7.8E-2</v>
      </c>
      <c r="L22" s="1230">
        <v>7.8E-2</v>
      </c>
      <c r="M22" s="1229">
        <v>7.8E-2</v>
      </c>
      <c r="N22" s="1230">
        <f t="shared" ref="N22:AO22" si="11">IF(M22/$B$78&gt;$J$77,M22/$B$78,$J$77)</f>
        <v>5.1999999999999998E-2</v>
      </c>
      <c r="O22" s="1230">
        <f t="shared" si="11"/>
        <v>3.4666666666666665E-2</v>
      </c>
      <c r="P22" s="1230">
        <f t="shared" si="11"/>
        <v>2.311111111111111E-2</v>
      </c>
      <c r="Q22" s="1230">
        <f t="shared" si="11"/>
        <v>1.5407407407407406E-2</v>
      </c>
      <c r="R22" s="1230">
        <f t="shared" si="11"/>
        <v>1.0271604938271605E-2</v>
      </c>
      <c r="S22" s="1230">
        <f t="shared" si="11"/>
        <v>6.8477366255144034E-3</v>
      </c>
      <c r="T22" s="1230">
        <f t="shared" si="11"/>
        <v>4.5651577503429356E-3</v>
      </c>
      <c r="U22" s="1230">
        <f t="shared" si="11"/>
        <v>3.0434385002286236E-3</v>
      </c>
      <c r="V22" s="1230">
        <f t="shared" si="11"/>
        <v>2.0289590001524157E-3</v>
      </c>
      <c r="W22" s="1230">
        <f t="shared" si="11"/>
        <v>1.3526393334349438E-3</v>
      </c>
      <c r="X22" s="1230">
        <f t="shared" si="11"/>
        <v>9.0175955562329588E-4</v>
      </c>
      <c r="Y22" s="1230">
        <f t="shared" si="11"/>
        <v>6.0117303708219722E-4</v>
      </c>
      <c r="Z22" s="1230">
        <f t="shared" si="11"/>
        <v>4.0078202472146481E-4</v>
      </c>
      <c r="AA22" s="1230">
        <f t="shared" si="11"/>
        <v>2.6718801648097654E-4</v>
      </c>
      <c r="AB22" s="1230">
        <f t="shared" si="11"/>
        <v>1.7812534432065102E-4</v>
      </c>
      <c r="AC22" s="1230">
        <f t="shared" si="11"/>
        <v>1.1875022954710067E-4</v>
      </c>
      <c r="AD22" s="1230">
        <f t="shared" si="11"/>
        <v>7.9166819698067121E-5</v>
      </c>
      <c r="AE22" s="1230">
        <f t="shared" si="11"/>
        <v>5.2777879798711416E-5</v>
      </c>
      <c r="AF22" s="1230">
        <f t="shared" si="11"/>
        <v>3.5185253199140944E-5</v>
      </c>
      <c r="AG22" s="1230">
        <f t="shared" si="11"/>
        <v>2.3456835466093962E-5</v>
      </c>
      <c r="AH22" s="1230">
        <f t="shared" si="11"/>
        <v>1.5637890310729308E-5</v>
      </c>
      <c r="AI22" s="1230">
        <f t="shared" si="11"/>
        <v>1.0425260207152872E-5</v>
      </c>
      <c r="AJ22" s="1230">
        <f t="shared" si="11"/>
        <v>6.9501734714352479E-6</v>
      </c>
      <c r="AK22" s="1230">
        <f t="shared" si="11"/>
        <v>4.6334489809568319E-6</v>
      </c>
      <c r="AL22" s="1230">
        <f t="shared" si="11"/>
        <v>3.0889659873045545E-6</v>
      </c>
      <c r="AM22" s="1230">
        <f t="shared" si="11"/>
        <v>2.0593106582030362E-6</v>
      </c>
      <c r="AN22" s="1230">
        <f t="shared" si="11"/>
        <v>1.3728737721353575E-6</v>
      </c>
      <c r="AO22" s="1231">
        <f t="shared" si="11"/>
        <v>9.1524918142357168E-7</v>
      </c>
    </row>
    <row r="23" spans="1:41" x14ac:dyDescent="0.8">
      <c r="A23" s="1234" t="s">
        <v>115</v>
      </c>
      <c r="B23" s="1232" t="s">
        <v>451</v>
      </c>
      <c r="C23" s="1228"/>
      <c r="D23" s="1228"/>
      <c r="E23" s="1228"/>
      <c r="F23" s="1228"/>
      <c r="G23" s="1229">
        <v>7.1599999999999997E-2</v>
      </c>
      <c r="H23" s="1230">
        <v>7.1599999999999997E-2</v>
      </c>
      <c r="I23" s="1230">
        <v>7.1599999999999997E-2</v>
      </c>
      <c r="J23" s="1230">
        <v>7.1599999999999997E-2</v>
      </c>
      <c r="K23" s="1230">
        <v>7.1599999999999997E-2</v>
      </c>
      <c r="L23" s="1230">
        <v>7.1599999999999997E-2</v>
      </c>
      <c r="M23" s="1229">
        <v>7.1599999999999997E-2</v>
      </c>
      <c r="N23" s="1230">
        <f t="shared" ref="N23:AO23" si="12">IF(M23/$B$78&gt;$J$77,M23/$B$78,$J$77)</f>
        <v>4.7733333333333329E-2</v>
      </c>
      <c r="O23" s="1230">
        <f t="shared" si="12"/>
        <v>3.1822222222222217E-2</v>
      </c>
      <c r="P23" s="1230">
        <f t="shared" si="12"/>
        <v>2.1214814814814811E-2</v>
      </c>
      <c r="Q23" s="1230">
        <f t="shared" si="12"/>
        <v>1.4143209876543208E-2</v>
      </c>
      <c r="R23" s="1230">
        <f t="shared" si="12"/>
        <v>9.4288065843621382E-3</v>
      </c>
      <c r="S23" s="1230">
        <f t="shared" si="12"/>
        <v>6.2858710562414257E-3</v>
      </c>
      <c r="T23" s="1230">
        <f t="shared" si="12"/>
        <v>4.1905807041609502E-3</v>
      </c>
      <c r="U23" s="1230">
        <f t="shared" si="12"/>
        <v>2.7937204694406335E-3</v>
      </c>
      <c r="V23" s="1230">
        <f t="shared" si="12"/>
        <v>1.8624803129604222E-3</v>
      </c>
      <c r="W23" s="1230">
        <f t="shared" si="12"/>
        <v>1.2416535419736148E-3</v>
      </c>
      <c r="X23" s="1230">
        <f t="shared" si="12"/>
        <v>8.277690279824098E-4</v>
      </c>
      <c r="Y23" s="1230">
        <f t="shared" si="12"/>
        <v>5.5184601865493983E-4</v>
      </c>
      <c r="Z23" s="1230">
        <f t="shared" si="12"/>
        <v>3.6789734576995987E-4</v>
      </c>
      <c r="AA23" s="1230">
        <f t="shared" si="12"/>
        <v>2.4526489717997325E-4</v>
      </c>
      <c r="AB23" s="1230">
        <f t="shared" si="12"/>
        <v>1.6350993145331549E-4</v>
      </c>
      <c r="AC23" s="1230">
        <f t="shared" si="12"/>
        <v>1.0900662096887699E-4</v>
      </c>
      <c r="AD23" s="1230">
        <f t="shared" si="12"/>
        <v>7.2671080645917999E-5</v>
      </c>
      <c r="AE23" s="1230">
        <f t="shared" si="12"/>
        <v>4.8447387097278669E-5</v>
      </c>
      <c r="AF23" s="1230">
        <f t="shared" si="12"/>
        <v>3.2298258064852448E-5</v>
      </c>
      <c r="AG23" s="1230">
        <f t="shared" si="12"/>
        <v>2.1532172043234964E-5</v>
      </c>
      <c r="AH23" s="1230">
        <f t="shared" si="12"/>
        <v>1.4354781362156643E-5</v>
      </c>
      <c r="AI23" s="1230">
        <f t="shared" si="12"/>
        <v>9.5698542414377619E-6</v>
      </c>
      <c r="AJ23" s="1230">
        <f t="shared" si="12"/>
        <v>6.3799028276251746E-6</v>
      </c>
      <c r="AK23" s="1230">
        <f t="shared" si="12"/>
        <v>4.2532685517501167E-6</v>
      </c>
      <c r="AL23" s="1230">
        <f t="shared" si="12"/>
        <v>2.8355123678334112E-6</v>
      </c>
      <c r="AM23" s="1230">
        <f t="shared" si="12"/>
        <v>1.8903415785556074E-6</v>
      </c>
      <c r="AN23" s="1230">
        <f t="shared" si="12"/>
        <v>1.2602277190370715E-6</v>
      </c>
      <c r="AO23" s="1231">
        <f t="shared" si="12"/>
        <v>8.4015181269138103E-7</v>
      </c>
    </row>
    <row r="24" spans="1:41" x14ac:dyDescent="0.8">
      <c r="A24" s="1234" t="s">
        <v>132</v>
      </c>
      <c r="B24" s="1232" t="s">
        <v>452</v>
      </c>
      <c r="C24" s="1228"/>
      <c r="D24" s="1228"/>
      <c r="E24" s="1228"/>
      <c r="F24" s="1228"/>
      <c r="G24" s="1229">
        <v>0.121</v>
      </c>
      <c r="H24" s="1230">
        <v>0.121</v>
      </c>
      <c r="I24" s="1230">
        <v>0.121</v>
      </c>
      <c r="J24" s="1230">
        <v>0.121</v>
      </c>
      <c r="K24" s="1230">
        <v>0.121</v>
      </c>
      <c r="L24" s="1230">
        <v>0.121</v>
      </c>
      <c r="M24" s="1229">
        <v>0.121</v>
      </c>
      <c r="N24" s="1230">
        <f t="shared" ref="N24:AO24" si="13">IF(M24/$B$78&gt;$J$77,M24/$B$78,$J$77)</f>
        <v>8.0666666666666664E-2</v>
      </c>
      <c r="O24" s="1230">
        <f t="shared" si="13"/>
        <v>5.3777777777777779E-2</v>
      </c>
      <c r="P24" s="1230">
        <f t="shared" si="13"/>
        <v>3.585185185185185E-2</v>
      </c>
      <c r="Q24" s="1230">
        <f t="shared" si="13"/>
        <v>2.3901234567901233E-2</v>
      </c>
      <c r="R24" s="1230">
        <f t="shared" si="13"/>
        <v>1.5934156378600822E-2</v>
      </c>
      <c r="S24" s="1230">
        <f t="shared" si="13"/>
        <v>1.0622770919067215E-2</v>
      </c>
      <c r="T24" s="1230">
        <f t="shared" si="13"/>
        <v>7.0818472793781435E-3</v>
      </c>
      <c r="U24" s="1230">
        <f t="shared" si="13"/>
        <v>4.7212315195854287E-3</v>
      </c>
      <c r="V24" s="1230">
        <f t="shared" si="13"/>
        <v>3.147487679723619E-3</v>
      </c>
      <c r="W24" s="1230">
        <f t="shared" si="13"/>
        <v>2.0983251198157461E-3</v>
      </c>
      <c r="X24" s="1230">
        <f t="shared" si="13"/>
        <v>1.3988834132104974E-3</v>
      </c>
      <c r="Y24" s="1230">
        <f t="shared" si="13"/>
        <v>9.3258894214033161E-4</v>
      </c>
      <c r="Z24" s="1230">
        <f t="shared" si="13"/>
        <v>6.217259614268877E-4</v>
      </c>
      <c r="AA24" s="1230">
        <f t="shared" si="13"/>
        <v>4.144839742845918E-4</v>
      </c>
      <c r="AB24" s="1230">
        <f t="shared" si="13"/>
        <v>2.7632264952306122E-4</v>
      </c>
      <c r="AC24" s="1230">
        <f t="shared" si="13"/>
        <v>1.842150996820408E-4</v>
      </c>
      <c r="AD24" s="1230">
        <f t="shared" si="13"/>
        <v>1.2281006645469388E-4</v>
      </c>
      <c r="AE24" s="1230">
        <f t="shared" si="13"/>
        <v>8.1873377636462581E-5</v>
      </c>
      <c r="AF24" s="1230">
        <f t="shared" si="13"/>
        <v>5.4582251757641718E-5</v>
      </c>
      <c r="AG24" s="1230">
        <f t="shared" si="13"/>
        <v>3.6388167838427812E-5</v>
      </c>
      <c r="AH24" s="1230">
        <f t="shared" si="13"/>
        <v>2.4258778558951874E-5</v>
      </c>
      <c r="AI24" s="1230">
        <f t="shared" si="13"/>
        <v>1.6172519039301248E-5</v>
      </c>
      <c r="AJ24" s="1230">
        <f t="shared" si="13"/>
        <v>1.0781679359534166E-5</v>
      </c>
      <c r="AK24" s="1230">
        <f t="shared" si="13"/>
        <v>7.1877862396894439E-6</v>
      </c>
      <c r="AL24" s="1230">
        <f t="shared" si="13"/>
        <v>4.7918574931262957E-6</v>
      </c>
      <c r="AM24" s="1230">
        <f t="shared" si="13"/>
        <v>3.194571662084197E-6</v>
      </c>
      <c r="AN24" s="1230">
        <f t="shared" si="13"/>
        <v>2.1297144413894648E-6</v>
      </c>
      <c r="AO24" s="1231">
        <f t="shared" si="13"/>
        <v>1.4198096275929765E-6</v>
      </c>
    </row>
    <row r="25" spans="1:41" x14ac:dyDescent="0.8">
      <c r="A25" s="1202" t="s">
        <v>683</v>
      </c>
      <c r="B25" s="1232"/>
      <c r="C25" s="1228"/>
      <c r="D25" s="1228"/>
      <c r="E25" s="1228"/>
      <c r="F25" s="1228"/>
      <c r="G25" s="1229"/>
      <c r="H25" s="1360">
        <f>'Revenue Sensitivity'!C7</f>
        <v>0</v>
      </c>
      <c r="I25" s="1360">
        <f>'Revenue Sensitivity'!D7</f>
        <v>0</v>
      </c>
      <c r="J25" s="1360">
        <f>'Revenue Sensitivity'!E7</f>
        <v>0</v>
      </c>
      <c r="K25" s="1360">
        <f>'Revenue Sensitivity'!F7</f>
        <v>0</v>
      </c>
      <c r="L25" s="1360">
        <f>'Revenue Sensitivity'!G7</f>
        <v>0</v>
      </c>
      <c r="M25" s="1360">
        <f>'Revenue Sensitivity'!H7</f>
        <v>0</v>
      </c>
      <c r="N25" s="1360">
        <f>'Revenue Sensitivity'!I7</f>
        <v>0</v>
      </c>
      <c r="O25" s="1360">
        <f>'Revenue Sensitivity'!J7</f>
        <v>0</v>
      </c>
      <c r="P25" s="1360">
        <f>'Revenue Sensitivity'!K7</f>
        <v>0</v>
      </c>
      <c r="Q25" s="1360">
        <f>'Revenue Sensitivity'!L7</f>
        <v>0</v>
      </c>
      <c r="R25" s="1360">
        <f>'Revenue Sensitivity'!M7</f>
        <v>0</v>
      </c>
      <c r="S25" s="1360">
        <f>'Revenue Sensitivity'!N7</f>
        <v>0</v>
      </c>
      <c r="T25" s="1360">
        <f>'Revenue Sensitivity'!O7</f>
        <v>0</v>
      </c>
      <c r="U25" s="1360">
        <f>'Revenue Sensitivity'!P7</f>
        <v>0</v>
      </c>
      <c r="V25" s="1360">
        <f>'Revenue Sensitivity'!Q7</f>
        <v>0</v>
      </c>
      <c r="W25" s="1360">
        <f>'Revenue Sensitivity'!R7</f>
        <v>0</v>
      </c>
      <c r="X25" s="1360">
        <f>'Revenue Sensitivity'!S7</f>
        <v>0</v>
      </c>
      <c r="Y25" s="1360">
        <f>'Revenue Sensitivity'!T7</f>
        <v>0</v>
      </c>
      <c r="Z25" s="1360">
        <f>'Revenue Sensitivity'!U7</f>
        <v>0</v>
      </c>
      <c r="AA25" s="1360">
        <f>'Revenue Sensitivity'!V7</f>
        <v>0</v>
      </c>
      <c r="AB25" s="1360">
        <f>'Revenue Sensitivity'!W7</f>
        <v>0</v>
      </c>
      <c r="AC25" s="1360">
        <f>'Revenue Sensitivity'!X7</f>
        <v>0</v>
      </c>
      <c r="AD25" s="1360">
        <f>'Revenue Sensitivity'!Y7</f>
        <v>0</v>
      </c>
      <c r="AE25" s="1360">
        <f>'Revenue Sensitivity'!Z7</f>
        <v>0</v>
      </c>
      <c r="AF25" s="1360">
        <f>'Revenue Sensitivity'!AA7</f>
        <v>0</v>
      </c>
      <c r="AG25" s="1360">
        <f>'Revenue Sensitivity'!AB7</f>
        <v>0</v>
      </c>
      <c r="AH25" s="1360">
        <f>'Revenue Sensitivity'!AC7</f>
        <v>0</v>
      </c>
      <c r="AI25" s="1360">
        <f>'Revenue Sensitivity'!AD7</f>
        <v>0</v>
      </c>
      <c r="AJ25" s="1360">
        <f>'Revenue Sensitivity'!AE7</f>
        <v>0</v>
      </c>
      <c r="AK25" s="1360">
        <f>'Revenue Sensitivity'!AF7</f>
        <v>0</v>
      </c>
      <c r="AL25" s="1360">
        <f>'Revenue Sensitivity'!AG7</f>
        <v>0</v>
      </c>
      <c r="AM25" s="1360">
        <f>'Revenue Sensitivity'!AH7</f>
        <v>0</v>
      </c>
      <c r="AN25" s="1360">
        <f>'Revenue Sensitivity'!AI7</f>
        <v>0</v>
      </c>
      <c r="AO25" s="1360">
        <f>'Revenue Sensitivity'!AJ7</f>
        <v>0</v>
      </c>
    </row>
    <row r="26" spans="1:41" x14ac:dyDescent="0.8">
      <c r="A26" s="1235" t="s">
        <v>464</v>
      </c>
      <c r="B26" s="1236"/>
      <c r="C26" s="1236"/>
      <c r="D26" s="1236"/>
      <c r="E26" s="1236"/>
      <c r="F26" s="1236"/>
      <c r="G26" s="1237"/>
      <c r="H26" s="1238">
        <v>-0.12</v>
      </c>
      <c r="I26" s="1238">
        <v>0.18</v>
      </c>
      <c r="J26" s="1238">
        <v>-0.09</v>
      </c>
      <c r="K26" s="1238">
        <v>0.16</v>
      </c>
      <c r="L26" s="1238">
        <v>-0.08</v>
      </c>
      <c r="M26" s="1237">
        <v>0.1</v>
      </c>
      <c r="N26" s="1238">
        <v>-0.16</v>
      </c>
      <c r="O26" s="1238">
        <v>0.11</v>
      </c>
      <c r="P26" s="1238">
        <f t="shared" ref="P26:AO26" si="14">IF(ABS(N26)&gt;ABS(AVERAGE($N$26:$O$26)),N26/$B$78,AVERAGE($N$26:$O$26))</f>
        <v>-0.10666666666666667</v>
      </c>
      <c r="Q26" s="1238">
        <f t="shared" si="14"/>
        <v>7.3333333333333334E-2</v>
      </c>
      <c r="R26" s="1238">
        <f t="shared" si="14"/>
        <v>-7.1111111111111111E-2</v>
      </c>
      <c r="S26" s="1238">
        <f t="shared" si="14"/>
        <v>4.8888888888888891E-2</v>
      </c>
      <c r="T26" s="1238">
        <f t="shared" si="14"/>
        <v>-4.7407407407407405E-2</v>
      </c>
      <c r="U26" s="1238">
        <f t="shared" si="14"/>
        <v>3.2592592592592597E-2</v>
      </c>
      <c r="V26" s="1238">
        <f t="shared" si="14"/>
        <v>-3.1604938271604939E-2</v>
      </c>
      <c r="W26" s="1238">
        <f t="shared" si="14"/>
        <v>2.1728395061728398E-2</v>
      </c>
      <c r="X26" s="1238">
        <f t="shared" si="14"/>
        <v>-2.1069958847736627E-2</v>
      </c>
      <c r="Y26" s="1238">
        <f t="shared" si="14"/>
        <v>-2.5000000000000001E-2</v>
      </c>
      <c r="Z26" s="1238">
        <f t="shared" si="14"/>
        <v>-2.5000000000000001E-2</v>
      </c>
      <c r="AA26" s="1238">
        <f t="shared" si="14"/>
        <v>-2.5000000000000001E-2</v>
      </c>
      <c r="AB26" s="1238">
        <f t="shared" si="14"/>
        <v>-2.5000000000000001E-2</v>
      </c>
      <c r="AC26" s="1238">
        <f t="shared" si="14"/>
        <v>-2.5000000000000001E-2</v>
      </c>
      <c r="AD26" s="1238">
        <f t="shared" si="14"/>
        <v>-2.5000000000000001E-2</v>
      </c>
      <c r="AE26" s="1238">
        <f t="shared" si="14"/>
        <v>-2.5000000000000001E-2</v>
      </c>
      <c r="AF26" s="1238">
        <f t="shared" si="14"/>
        <v>-2.5000000000000001E-2</v>
      </c>
      <c r="AG26" s="1238">
        <f t="shared" si="14"/>
        <v>-2.5000000000000001E-2</v>
      </c>
      <c r="AH26" s="1238">
        <f t="shared" si="14"/>
        <v>-2.5000000000000001E-2</v>
      </c>
      <c r="AI26" s="1238">
        <f t="shared" si="14"/>
        <v>-2.5000000000000001E-2</v>
      </c>
      <c r="AJ26" s="1238">
        <f t="shared" si="14"/>
        <v>-2.5000000000000001E-2</v>
      </c>
      <c r="AK26" s="1238">
        <f t="shared" si="14"/>
        <v>-2.5000000000000001E-2</v>
      </c>
      <c r="AL26" s="1238">
        <f t="shared" si="14"/>
        <v>-2.5000000000000001E-2</v>
      </c>
      <c r="AM26" s="1238">
        <f t="shared" si="14"/>
        <v>-2.5000000000000001E-2</v>
      </c>
      <c r="AN26" s="1238">
        <f t="shared" si="14"/>
        <v>-2.5000000000000001E-2</v>
      </c>
      <c r="AO26" s="1239">
        <f t="shared" si="14"/>
        <v>-2.5000000000000001E-2</v>
      </c>
    </row>
    <row r="27" spans="1:41" x14ac:dyDescent="0.8">
      <c r="A27" s="1240"/>
      <c r="B27" s="1228"/>
      <c r="C27" s="1228"/>
      <c r="D27" s="1228"/>
      <c r="E27" s="1228"/>
      <c r="F27" s="1228"/>
      <c r="G27" s="1203"/>
      <c r="H27" s="1219"/>
      <c r="I27" s="1203"/>
      <c r="J27" s="1203"/>
      <c r="K27" s="1203"/>
      <c r="L27" s="1203"/>
      <c r="M27" s="1203"/>
      <c r="N27" s="1219"/>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41"/>
    </row>
    <row r="28" spans="1:41" x14ac:dyDescent="0.8">
      <c r="A28" s="1208" t="s">
        <v>447</v>
      </c>
      <c r="B28" s="1242">
        <v>87790</v>
      </c>
      <c r="C28" s="1242">
        <v>68050</v>
      </c>
      <c r="D28" s="1242">
        <v>64015</v>
      </c>
      <c r="E28" s="1242">
        <v>177749</v>
      </c>
      <c r="F28" s="1242">
        <v>216358</v>
      </c>
      <c r="G28" s="1242">
        <v>184443</v>
      </c>
      <c r="H28" s="1243">
        <f>G28*(1+H39+ABS(H39)*H38)</f>
        <v>178909.71</v>
      </c>
      <c r="I28" s="1243">
        <f t="shared" ref="I28:AO28" si="15">H28*(1+I39+ABS(I39)*I38)</f>
        <v>216480.74909999999</v>
      </c>
      <c r="J28" s="1243">
        <f t="shared" si="15"/>
        <v>205656.71164499997</v>
      </c>
      <c r="K28" s="1243">
        <f t="shared" si="15"/>
        <v>255014.32243979996</v>
      </c>
      <c r="L28" s="1243">
        <f t="shared" si="15"/>
        <v>237163.31986901394</v>
      </c>
      <c r="M28" s="1243">
        <f t="shared" si="15"/>
        <v>270366.18465067592</v>
      </c>
      <c r="N28" s="1243">
        <f t="shared" si="15"/>
        <v>246033.22803211509</v>
      </c>
      <c r="O28" s="1243">
        <f t="shared" si="15"/>
        <v>269406.38469516602</v>
      </c>
      <c r="P28" s="1243">
        <f t="shared" si="15"/>
        <v>253242.00161345606</v>
      </c>
      <c r="Q28" s="1243">
        <f t="shared" si="15"/>
        <v>269280.66171564156</v>
      </c>
      <c r="R28" s="1243">
        <f t="shared" si="15"/>
        <v>258509.43524701588</v>
      </c>
      <c r="S28" s="1243">
        <f t="shared" si="15"/>
        <v>269424.27806855651</v>
      </c>
      <c r="T28" s="1243">
        <f t="shared" si="15"/>
        <v>262239.63065339503</v>
      </c>
      <c r="U28" s="1243">
        <f t="shared" si="15"/>
        <v>269621.1906273425</v>
      </c>
      <c r="V28" s="1243">
        <f t="shared" si="15"/>
        <v>264827.92501618975</v>
      </c>
      <c r="W28" s="1243">
        <f t="shared" si="15"/>
        <v>269797.535460938</v>
      </c>
      <c r="X28" s="1243">
        <f t="shared" si="15"/>
        <v>266599.9350406602</v>
      </c>
      <c r="Y28" s="1243">
        <f t="shared" si="15"/>
        <v>269935.17702635407</v>
      </c>
      <c r="Z28" s="1243">
        <f t="shared" si="15"/>
        <v>267802.35587454087</v>
      </c>
      <c r="AA28" s="1243">
        <f t="shared" si="15"/>
        <v>270035.87895234226</v>
      </c>
      <c r="AB28" s="1243">
        <f t="shared" si="15"/>
        <v>268613.46773810772</v>
      </c>
      <c r="AC28" s="1243">
        <f t="shared" si="15"/>
        <v>270106.99300911615</v>
      </c>
      <c r="AD28" s="1243">
        <f t="shared" si="15"/>
        <v>269158.46913791815</v>
      </c>
      <c r="AE28" s="1243">
        <f t="shared" si="15"/>
        <v>270156.17283696315</v>
      </c>
      <c r="AF28" s="1243">
        <f t="shared" si="15"/>
        <v>269523.70845428127</v>
      </c>
      <c r="AG28" s="1243">
        <f t="shared" si="15"/>
        <v>270189.74682136026</v>
      </c>
      <c r="AH28" s="1243">
        <f t="shared" si="15"/>
        <v>270865.22118841362</v>
      </c>
      <c r="AI28" s="1243">
        <f t="shared" si="15"/>
        <v>271542.38424138463</v>
      </c>
      <c r="AJ28" s="1243">
        <f t="shared" si="15"/>
        <v>272221.24020198808</v>
      </c>
      <c r="AK28" s="1243">
        <f t="shared" si="15"/>
        <v>272901.79330249305</v>
      </c>
      <c r="AL28" s="1243">
        <f t="shared" si="15"/>
        <v>273584.04778574925</v>
      </c>
      <c r="AM28" s="1243">
        <f t="shared" si="15"/>
        <v>274268.00790521363</v>
      </c>
      <c r="AN28" s="1243">
        <f t="shared" si="15"/>
        <v>274953.67792497663</v>
      </c>
      <c r="AO28" s="1243">
        <f t="shared" si="15"/>
        <v>275641.06211978907</v>
      </c>
    </row>
    <row r="29" spans="1:41" x14ac:dyDescent="0.8">
      <c r="A29" s="1202" t="s">
        <v>138</v>
      </c>
      <c r="B29" s="1244"/>
      <c r="C29" s="1224">
        <f t="shared" ref="C29:AO29" si="16">(C28-B28)/B28</f>
        <v>-0.22485476705775145</v>
      </c>
      <c r="D29" s="1224">
        <f t="shared" si="16"/>
        <v>-5.9294636296840557E-2</v>
      </c>
      <c r="E29" s="1224">
        <f t="shared" si="16"/>
        <v>1.7766773412481449</v>
      </c>
      <c r="F29" s="1224">
        <f t="shared" si="16"/>
        <v>0.21721078599598309</v>
      </c>
      <c r="G29" s="1224">
        <f t="shared" si="16"/>
        <v>-0.14751014522227049</v>
      </c>
      <c r="H29" s="1225">
        <f t="shared" si="16"/>
        <v>-3.0000000000000044E-2</v>
      </c>
      <c r="I29" s="1224">
        <f t="shared" si="16"/>
        <v>0.21</v>
      </c>
      <c r="J29" s="1224">
        <f t="shared" si="16"/>
        <v>-5.0000000000000058E-2</v>
      </c>
      <c r="K29" s="1224">
        <f t="shared" si="16"/>
        <v>0.23999999999999996</v>
      </c>
      <c r="L29" s="1224">
        <f t="shared" si="16"/>
        <v>-7.000000000000009E-2</v>
      </c>
      <c r="M29" s="1224">
        <f t="shared" si="16"/>
        <v>0.1400000000000001</v>
      </c>
      <c r="N29" s="1225">
        <f t="shared" si="16"/>
        <v>-8.9999999999999983E-2</v>
      </c>
      <c r="O29" s="1224">
        <f t="shared" si="16"/>
        <v>9.5000000000000001E-2</v>
      </c>
      <c r="P29" s="1224">
        <f t="shared" si="16"/>
        <v>-6.0000000000000019E-2</v>
      </c>
      <c r="Q29" s="1224">
        <f t="shared" si="16"/>
        <v>6.3333333333333144E-2</v>
      </c>
      <c r="R29" s="1224">
        <f t="shared" si="16"/>
        <v>-4.000000000000007E-2</v>
      </c>
      <c r="S29" s="1224">
        <f t="shared" si="16"/>
        <v>4.2222222222222071E-2</v>
      </c>
      <c r="T29" s="1224">
        <f t="shared" si="16"/>
        <v>-2.6666666666666575E-2</v>
      </c>
      <c r="U29" s="1224">
        <f t="shared" si="16"/>
        <v>2.8148148148148359E-2</v>
      </c>
      <c r="V29" s="1224">
        <f t="shared" si="16"/>
        <v>-1.7777777777777747E-2</v>
      </c>
      <c r="W29" s="1224">
        <f t="shared" si="16"/>
        <v>1.8765432098765425E-2</v>
      </c>
      <c r="X29" s="1224">
        <f t="shared" si="16"/>
        <v>-1.1851851851851907E-2</v>
      </c>
      <c r="Y29" s="1224">
        <f t="shared" si="16"/>
        <v>1.2510288065843655E-2</v>
      </c>
      <c r="Z29" s="1224">
        <f t="shared" si="16"/>
        <v>-7.9012345679013579E-3</v>
      </c>
      <c r="AA29" s="1224">
        <f t="shared" si="16"/>
        <v>8.3401920438957861E-3</v>
      </c>
      <c r="AB29" s="1224">
        <f t="shared" si="16"/>
        <v>-5.2674897119340831E-3</v>
      </c>
      <c r="AC29" s="1224">
        <f t="shared" si="16"/>
        <v>5.5601280292639161E-3</v>
      </c>
      <c r="AD29" s="1224">
        <f t="shared" si="16"/>
        <v>-3.5116598079561485E-3</v>
      </c>
      <c r="AE29" s="1224">
        <f t="shared" si="16"/>
        <v>3.7067520195092629E-3</v>
      </c>
      <c r="AF29" s="1224">
        <f t="shared" si="16"/>
        <v>-2.3411065386374341E-3</v>
      </c>
      <c r="AG29" s="1224">
        <f t="shared" si="16"/>
        <v>2.4711680130060525E-3</v>
      </c>
      <c r="AH29" s="1224">
        <f t="shared" si="16"/>
        <v>2.499999999999866E-3</v>
      </c>
      <c r="AI29" s="1224">
        <f t="shared" si="16"/>
        <v>2.4999999999999081E-3</v>
      </c>
      <c r="AJ29" s="1224">
        <f t="shared" si="16"/>
        <v>2.4999999999999727E-3</v>
      </c>
      <c r="AK29" s="1224">
        <f t="shared" si="16"/>
        <v>2.5000000000000018E-3</v>
      </c>
      <c r="AL29" s="1224">
        <f t="shared" si="16"/>
        <v>2.499999999999873E-3</v>
      </c>
      <c r="AM29" s="1224">
        <f t="shared" si="16"/>
        <v>2.5000000000000122E-3</v>
      </c>
      <c r="AN29" s="1224">
        <f t="shared" si="16"/>
        <v>2.4999999999998682E-3</v>
      </c>
      <c r="AO29" s="1226">
        <f t="shared" si="16"/>
        <v>2.5000000000000174E-3</v>
      </c>
    </row>
    <row r="30" spans="1:41" x14ac:dyDescent="0.8">
      <c r="A30" s="1234" t="s">
        <v>131</v>
      </c>
      <c r="B30" s="1721" t="s">
        <v>453</v>
      </c>
      <c r="C30" s="1721"/>
      <c r="D30" s="1721"/>
      <c r="E30" s="1721"/>
      <c r="F30" s="1721"/>
      <c r="G30" s="1229">
        <v>8.4000000000000005E-2</v>
      </c>
      <c r="H30" s="1230">
        <v>8.4000000000000005E-2</v>
      </c>
      <c r="I30" s="1230">
        <v>8.4000000000000005E-2</v>
      </c>
      <c r="J30" s="1230">
        <v>8.4000000000000005E-2</v>
      </c>
      <c r="K30" s="1230">
        <v>8.4000000000000005E-2</v>
      </c>
      <c r="L30" s="1230">
        <v>8.4000000000000005E-2</v>
      </c>
      <c r="M30" s="1229">
        <v>8.4000000000000005E-2</v>
      </c>
      <c r="N30" s="1230">
        <f t="shared" ref="N30:AO30" si="17">IF(M30/$B$78&gt;$J$77,M30/$B$78,$J$77)</f>
        <v>5.6000000000000001E-2</v>
      </c>
      <c r="O30" s="1230">
        <f t="shared" si="17"/>
        <v>3.7333333333333336E-2</v>
      </c>
      <c r="P30" s="1230">
        <f t="shared" si="17"/>
        <v>2.4888888888888891E-2</v>
      </c>
      <c r="Q30" s="1230">
        <f t="shared" si="17"/>
        <v>1.6592592592592593E-2</v>
      </c>
      <c r="R30" s="1230">
        <f t="shared" si="17"/>
        <v>1.1061728395061728E-2</v>
      </c>
      <c r="S30" s="1230">
        <f t="shared" si="17"/>
        <v>7.3744855967078186E-3</v>
      </c>
      <c r="T30" s="1230">
        <f t="shared" si="17"/>
        <v>4.9163237311385458E-3</v>
      </c>
      <c r="U30" s="1230">
        <f t="shared" si="17"/>
        <v>3.2775491540923637E-3</v>
      </c>
      <c r="V30" s="1230">
        <f t="shared" si="17"/>
        <v>2.1850327693949093E-3</v>
      </c>
      <c r="W30" s="1230">
        <f t="shared" si="17"/>
        <v>1.4566885129299394E-3</v>
      </c>
      <c r="X30" s="1230">
        <f t="shared" si="17"/>
        <v>9.711256752866263E-4</v>
      </c>
      <c r="Y30" s="1230">
        <f t="shared" si="17"/>
        <v>6.4741711685775086E-4</v>
      </c>
      <c r="Z30" s="1230">
        <f t="shared" si="17"/>
        <v>4.3161141123850059E-4</v>
      </c>
      <c r="AA30" s="1230">
        <f t="shared" si="17"/>
        <v>2.8774094082566708E-4</v>
      </c>
      <c r="AB30" s="1230">
        <f t="shared" si="17"/>
        <v>1.9182729388377806E-4</v>
      </c>
      <c r="AC30" s="1230">
        <f t="shared" si="17"/>
        <v>1.2788486258918537E-4</v>
      </c>
      <c r="AD30" s="1230">
        <f t="shared" si="17"/>
        <v>8.5256575059456906E-5</v>
      </c>
      <c r="AE30" s="1230">
        <f t="shared" si="17"/>
        <v>5.6837716706304606E-5</v>
      </c>
      <c r="AF30" s="1230">
        <f t="shared" si="17"/>
        <v>3.7891811137536404E-5</v>
      </c>
      <c r="AG30" s="1230">
        <f t="shared" si="17"/>
        <v>2.5261207425024271E-5</v>
      </c>
      <c r="AH30" s="1230">
        <f t="shared" si="17"/>
        <v>1.6840804950016179E-5</v>
      </c>
      <c r="AI30" s="1230">
        <f t="shared" si="17"/>
        <v>1.1227203300010786E-5</v>
      </c>
      <c r="AJ30" s="1230">
        <f t="shared" si="17"/>
        <v>7.4848022000071907E-6</v>
      </c>
      <c r="AK30" s="1230">
        <f t="shared" si="17"/>
        <v>4.9898681333381269E-6</v>
      </c>
      <c r="AL30" s="1230">
        <f t="shared" si="17"/>
        <v>3.3265787555587514E-6</v>
      </c>
      <c r="AM30" s="1230">
        <f t="shared" si="17"/>
        <v>2.2177191703725008E-6</v>
      </c>
      <c r="AN30" s="1230">
        <f t="shared" si="17"/>
        <v>1.4784794469150004E-6</v>
      </c>
      <c r="AO30" s="1231">
        <f t="shared" si="17"/>
        <v>9.856529646100003E-7</v>
      </c>
    </row>
    <row r="31" spans="1:41" x14ac:dyDescent="0.8">
      <c r="A31" s="1227" t="s">
        <v>130</v>
      </c>
      <c r="B31" s="1245"/>
      <c r="C31" s="1245"/>
      <c r="D31" s="1245"/>
      <c r="E31" s="1245"/>
      <c r="F31" s="1245"/>
      <c r="G31" s="1229">
        <v>0.03</v>
      </c>
      <c r="H31" s="1230">
        <v>0.03</v>
      </c>
      <c r="I31" s="1230">
        <v>0.03</v>
      </c>
      <c r="J31" s="1230">
        <v>0.03</v>
      </c>
      <c r="K31" s="1230">
        <v>0.03</v>
      </c>
      <c r="L31" s="1230">
        <v>0.03</v>
      </c>
      <c r="M31" s="1229">
        <v>0.03</v>
      </c>
      <c r="N31" s="1230">
        <f t="shared" ref="N31:AO31" si="18">IF(M31/$B$78&gt;$J$77,M31/$B$78,$J$77)</f>
        <v>0.02</v>
      </c>
      <c r="O31" s="1230">
        <f t="shared" si="18"/>
        <v>1.3333333333333334E-2</v>
      </c>
      <c r="P31" s="1230">
        <f t="shared" si="18"/>
        <v>8.8888888888888889E-3</v>
      </c>
      <c r="Q31" s="1230">
        <f t="shared" si="18"/>
        <v>5.9259259259259256E-3</v>
      </c>
      <c r="R31" s="1230">
        <f t="shared" si="18"/>
        <v>3.9506172839506174E-3</v>
      </c>
      <c r="S31" s="1230">
        <f t="shared" si="18"/>
        <v>2.6337448559670784E-3</v>
      </c>
      <c r="T31" s="1230">
        <f t="shared" si="18"/>
        <v>1.7558299039780523E-3</v>
      </c>
      <c r="U31" s="1230">
        <f t="shared" si="18"/>
        <v>1.1705532693187016E-3</v>
      </c>
      <c r="V31" s="1230">
        <f t="shared" si="18"/>
        <v>7.8036884621246775E-4</v>
      </c>
      <c r="W31" s="1230">
        <f t="shared" si="18"/>
        <v>5.2024589747497847E-4</v>
      </c>
      <c r="X31" s="1230">
        <f t="shared" si="18"/>
        <v>3.4683059831665231E-4</v>
      </c>
      <c r="Y31" s="1230">
        <f t="shared" si="18"/>
        <v>2.3122039887776822E-4</v>
      </c>
      <c r="Z31" s="1230">
        <f t="shared" si="18"/>
        <v>1.5414693258517881E-4</v>
      </c>
      <c r="AA31" s="1230">
        <f t="shared" si="18"/>
        <v>1.0276462172345254E-4</v>
      </c>
      <c r="AB31" s="1230">
        <f t="shared" si="18"/>
        <v>6.8509747815635022E-5</v>
      </c>
      <c r="AC31" s="1230">
        <f t="shared" si="18"/>
        <v>4.5673165210423346E-5</v>
      </c>
      <c r="AD31" s="1230">
        <f t="shared" si="18"/>
        <v>3.0448776806948899E-5</v>
      </c>
      <c r="AE31" s="1230">
        <f t="shared" si="18"/>
        <v>2.0299184537965932E-5</v>
      </c>
      <c r="AF31" s="1230">
        <f t="shared" si="18"/>
        <v>1.3532789691977288E-5</v>
      </c>
      <c r="AG31" s="1230">
        <f t="shared" si="18"/>
        <v>9.0218597946515255E-6</v>
      </c>
      <c r="AH31" s="1230">
        <f t="shared" si="18"/>
        <v>6.0145731964343506E-6</v>
      </c>
      <c r="AI31" s="1230">
        <f t="shared" si="18"/>
        <v>4.0097154642895668E-6</v>
      </c>
      <c r="AJ31" s="1230">
        <f t="shared" si="18"/>
        <v>2.6731436428597113E-6</v>
      </c>
      <c r="AK31" s="1230">
        <f t="shared" si="18"/>
        <v>1.7820957619064742E-6</v>
      </c>
      <c r="AL31" s="1230">
        <f t="shared" si="18"/>
        <v>1.1880638412709827E-6</v>
      </c>
      <c r="AM31" s="1230">
        <f t="shared" si="18"/>
        <v>7.920425608473218E-7</v>
      </c>
      <c r="AN31" s="1230">
        <f t="shared" si="18"/>
        <v>5.2802837389821457E-7</v>
      </c>
      <c r="AO31" s="1231">
        <f t="shared" si="18"/>
        <v>3.5201891593214306E-7</v>
      </c>
    </row>
    <row r="32" spans="1:41" x14ac:dyDescent="0.8">
      <c r="A32" s="1227" t="s">
        <v>129</v>
      </c>
      <c r="B32" s="1721" t="s">
        <v>454</v>
      </c>
      <c r="C32" s="1721"/>
      <c r="D32" s="1721"/>
      <c r="E32" s="1721"/>
      <c r="F32" s="1721"/>
      <c r="G32" s="1229">
        <v>0.19539999999999999</v>
      </c>
      <c r="H32" s="1230">
        <v>0.19539999999999999</v>
      </c>
      <c r="I32" s="1230">
        <v>0.19539999999999999</v>
      </c>
      <c r="J32" s="1230">
        <v>0.19539999999999999</v>
      </c>
      <c r="K32" s="1230">
        <v>0.19539999999999999</v>
      </c>
      <c r="L32" s="1230">
        <v>0.19539999999999999</v>
      </c>
      <c r="M32" s="1229">
        <v>0.19539999999999999</v>
      </c>
      <c r="N32" s="1230">
        <f t="shared" ref="N32:AO32" si="19">IF(M32/$B$78&gt;$J$77,M32/$B$78,$J$77)</f>
        <v>0.13026666666666667</v>
      </c>
      <c r="O32" s="1230">
        <f t="shared" si="19"/>
        <v>8.6844444444444446E-2</v>
      </c>
      <c r="P32" s="1230">
        <f t="shared" si="19"/>
        <v>5.78962962962963E-2</v>
      </c>
      <c r="Q32" s="1230">
        <f t="shared" si="19"/>
        <v>3.8597530864197531E-2</v>
      </c>
      <c r="R32" s="1230">
        <f t="shared" si="19"/>
        <v>2.5731687242798354E-2</v>
      </c>
      <c r="S32" s="1230">
        <f t="shared" si="19"/>
        <v>1.715445816186557E-2</v>
      </c>
      <c r="T32" s="1230">
        <f t="shared" si="19"/>
        <v>1.1436305441243714E-2</v>
      </c>
      <c r="U32" s="1230">
        <f t="shared" si="19"/>
        <v>7.6242036274958092E-3</v>
      </c>
      <c r="V32" s="1230">
        <f t="shared" si="19"/>
        <v>5.0828024183305395E-3</v>
      </c>
      <c r="W32" s="1230">
        <f t="shared" si="19"/>
        <v>3.388534945553693E-3</v>
      </c>
      <c r="X32" s="1230">
        <f t="shared" si="19"/>
        <v>2.2590232970357955E-3</v>
      </c>
      <c r="Y32" s="1230">
        <f t="shared" si="19"/>
        <v>1.506015531357197E-3</v>
      </c>
      <c r="Z32" s="1230">
        <f t="shared" si="19"/>
        <v>1.0040103542381313E-3</v>
      </c>
      <c r="AA32" s="1230">
        <f t="shared" si="19"/>
        <v>6.6934023615875416E-4</v>
      </c>
      <c r="AB32" s="1230">
        <f t="shared" si="19"/>
        <v>4.4622682410583612E-4</v>
      </c>
      <c r="AC32" s="1230">
        <f t="shared" si="19"/>
        <v>2.9748454940389075E-4</v>
      </c>
      <c r="AD32" s="1230">
        <f t="shared" si="19"/>
        <v>1.9832303293592716E-4</v>
      </c>
      <c r="AE32" s="1230">
        <f t="shared" si="19"/>
        <v>1.3221535529061811E-4</v>
      </c>
      <c r="AF32" s="1230">
        <f t="shared" si="19"/>
        <v>8.8143570193745409E-5</v>
      </c>
      <c r="AG32" s="1230">
        <f t="shared" si="19"/>
        <v>5.8762380129163604E-5</v>
      </c>
      <c r="AH32" s="1230">
        <f t="shared" si="19"/>
        <v>3.9174920086109069E-5</v>
      </c>
      <c r="AI32" s="1230">
        <f t="shared" si="19"/>
        <v>2.6116613390739381E-5</v>
      </c>
      <c r="AJ32" s="1230">
        <f t="shared" si="19"/>
        <v>1.7411075593826253E-5</v>
      </c>
      <c r="AK32" s="1230">
        <f t="shared" si="19"/>
        <v>1.1607383729217502E-5</v>
      </c>
      <c r="AL32" s="1230">
        <f t="shared" si="19"/>
        <v>7.7382558194783339E-6</v>
      </c>
      <c r="AM32" s="1230">
        <f t="shared" si="19"/>
        <v>5.1588372129855562E-6</v>
      </c>
      <c r="AN32" s="1230">
        <f t="shared" si="19"/>
        <v>3.4392248086570373E-6</v>
      </c>
      <c r="AO32" s="1231">
        <f t="shared" si="19"/>
        <v>2.2928165391046914E-6</v>
      </c>
    </row>
    <row r="33" spans="1:41" x14ac:dyDescent="0.8">
      <c r="A33" s="1234" t="s">
        <v>128</v>
      </c>
      <c r="B33" s="1721" t="s">
        <v>455</v>
      </c>
      <c r="C33" s="1721"/>
      <c r="D33" s="1721"/>
      <c r="E33" s="1721"/>
      <c r="F33" s="1721"/>
      <c r="G33" s="1229">
        <v>0.09</v>
      </c>
      <c r="H33" s="1230">
        <v>0.09</v>
      </c>
      <c r="I33" s="1230">
        <v>0.09</v>
      </c>
      <c r="J33" s="1230">
        <v>0.09</v>
      </c>
      <c r="K33" s="1230">
        <v>0.09</v>
      </c>
      <c r="L33" s="1230">
        <v>0.09</v>
      </c>
      <c r="M33" s="1229">
        <v>0.09</v>
      </c>
      <c r="N33" s="1230">
        <f t="shared" ref="N33:AO33" si="20">IF(M33/$B$78&gt;$J$77,M33/$B$78,$J$77)</f>
        <v>0.06</v>
      </c>
      <c r="O33" s="1230">
        <f t="shared" si="20"/>
        <v>0.04</v>
      </c>
      <c r="P33" s="1230">
        <f t="shared" si="20"/>
        <v>2.6666666666666668E-2</v>
      </c>
      <c r="Q33" s="1230">
        <f t="shared" si="20"/>
        <v>1.7777777777777778E-2</v>
      </c>
      <c r="R33" s="1230">
        <f t="shared" si="20"/>
        <v>1.1851851851851851E-2</v>
      </c>
      <c r="S33" s="1230">
        <f t="shared" si="20"/>
        <v>7.9012345679012348E-3</v>
      </c>
      <c r="T33" s="1230">
        <f t="shared" si="20"/>
        <v>5.2674897119341568E-3</v>
      </c>
      <c r="U33" s="1230">
        <f t="shared" si="20"/>
        <v>3.5116598079561047E-3</v>
      </c>
      <c r="V33" s="1230">
        <f t="shared" si="20"/>
        <v>2.3411065386374033E-3</v>
      </c>
      <c r="W33" s="1230">
        <f t="shared" si="20"/>
        <v>1.5607376924249355E-3</v>
      </c>
      <c r="X33" s="1230">
        <f t="shared" si="20"/>
        <v>1.0404917949499569E-3</v>
      </c>
      <c r="Y33" s="1230">
        <f t="shared" si="20"/>
        <v>6.9366119663330462E-4</v>
      </c>
      <c r="Z33" s="1230">
        <f t="shared" si="20"/>
        <v>4.6244079775553643E-4</v>
      </c>
      <c r="AA33" s="1230">
        <f t="shared" si="20"/>
        <v>3.0829386517035762E-4</v>
      </c>
      <c r="AB33" s="1230">
        <f t="shared" si="20"/>
        <v>2.0552924344690508E-4</v>
      </c>
      <c r="AC33" s="1230">
        <f t="shared" si="20"/>
        <v>1.3701949563127004E-4</v>
      </c>
      <c r="AD33" s="1230">
        <f t="shared" si="20"/>
        <v>9.1346330420846692E-5</v>
      </c>
      <c r="AE33" s="1230">
        <f t="shared" si="20"/>
        <v>6.0897553613897797E-5</v>
      </c>
      <c r="AF33" s="1230">
        <f t="shared" si="20"/>
        <v>4.0598369075931865E-5</v>
      </c>
      <c r="AG33" s="1230">
        <f t="shared" si="20"/>
        <v>2.7065579383954576E-5</v>
      </c>
      <c r="AH33" s="1230">
        <f t="shared" si="20"/>
        <v>1.8043719589303051E-5</v>
      </c>
      <c r="AI33" s="1230">
        <f t="shared" si="20"/>
        <v>1.2029146392868701E-5</v>
      </c>
      <c r="AJ33" s="1230">
        <f t="shared" si="20"/>
        <v>8.0194309285791336E-6</v>
      </c>
      <c r="AK33" s="1230">
        <f t="shared" si="20"/>
        <v>5.3462872857194227E-6</v>
      </c>
      <c r="AL33" s="1230">
        <f t="shared" si="20"/>
        <v>3.5641915238129483E-6</v>
      </c>
      <c r="AM33" s="1230">
        <f t="shared" si="20"/>
        <v>2.3761276825419654E-6</v>
      </c>
      <c r="AN33" s="1230">
        <f t="shared" si="20"/>
        <v>1.5840851216946436E-6</v>
      </c>
      <c r="AO33" s="1231">
        <f t="shared" si="20"/>
        <v>1.0560567477964291E-6</v>
      </c>
    </row>
    <row r="34" spans="1:41" x14ac:dyDescent="0.8">
      <c r="A34" s="1234" t="s">
        <v>127</v>
      </c>
      <c r="B34" s="1721" t="s">
        <v>456</v>
      </c>
      <c r="C34" s="1721"/>
      <c r="D34" s="1721"/>
      <c r="E34" s="1721"/>
      <c r="F34" s="1721"/>
      <c r="G34" s="1229">
        <v>0.13300000000000001</v>
      </c>
      <c r="H34" s="1230">
        <v>0.13300000000000001</v>
      </c>
      <c r="I34" s="1230">
        <v>0.13300000000000001</v>
      </c>
      <c r="J34" s="1230">
        <v>0.13300000000000001</v>
      </c>
      <c r="K34" s="1230">
        <v>0.13300000000000001</v>
      </c>
      <c r="L34" s="1230">
        <v>0.13300000000000001</v>
      </c>
      <c r="M34" s="1229">
        <v>0.13300000000000001</v>
      </c>
      <c r="N34" s="1230">
        <f t="shared" ref="N34:AO34" si="21">IF(M34/$B$78&gt;$J$77,M34/$B$78,$J$77)</f>
        <v>8.8666666666666671E-2</v>
      </c>
      <c r="O34" s="1230">
        <f t="shared" si="21"/>
        <v>5.9111111111111114E-2</v>
      </c>
      <c r="P34" s="1230">
        <f t="shared" si="21"/>
        <v>3.9407407407407412E-2</v>
      </c>
      <c r="Q34" s="1230">
        <f t="shared" si="21"/>
        <v>2.6271604938271607E-2</v>
      </c>
      <c r="R34" s="1230">
        <f t="shared" si="21"/>
        <v>1.7514403292181072E-2</v>
      </c>
      <c r="S34" s="1230">
        <f t="shared" si="21"/>
        <v>1.1676268861454049E-2</v>
      </c>
      <c r="T34" s="1230">
        <f t="shared" si="21"/>
        <v>7.7841792409693656E-3</v>
      </c>
      <c r="U34" s="1230">
        <f t="shared" si="21"/>
        <v>5.1894528273129107E-3</v>
      </c>
      <c r="V34" s="1230">
        <f t="shared" si="21"/>
        <v>3.459635218208607E-3</v>
      </c>
      <c r="W34" s="1230">
        <f t="shared" si="21"/>
        <v>2.3064234788057378E-3</v>
      </c>
      <c r="X34" s="1230">
        <f t="shared" si="21"/>
        <v>1.5376156525371586E-3</v>
      </c>
      <c r="Y34" s="1230">
        <f t="shared" si="21"/>
        <v>1.025077101691439E-3</v>
      </c>
      <c r="Z34" s="1230">
        <f t="shared" si="21"/>
        <v>6.8338473446095938E-4</v>
      </c>
      <c r="AA34" s="1230">
        <f t="shared" si="21"/>
        <v>4.5558982297397294E-4</v>
      </c>
      <c r="AB34" s="1230">
        <f t="shared" si="21"/>
        <v>3.0372654864931531E-4</v>
      </c>
      <c r="AC34" s="1230">
        <f t="shared" si="21"/>
        <v>2.0248436576621022E-4</v>
      </c>
      <c r="AD34" s="1230">
        <f t="shared" si="21"/>
        <v>1.3498957717747348E-4</v>
      </c>
      <c r="AE34" s="1230">
        <f t="shared" si="21"/>
        <v>8.9993051451648989E-5</v>
      </c>
      <c r="AF34" s="1230">
        <f t="shared" si="21"/>
        <v>5.9995367634432659E-5</v>
      </c>
      <c r="AG34" s="1230">
        <f t="shared" si="21"/>
        <v>3.9996911756288437E-5</v>
      </c>
      <c r="AH34" s="1230">
        <f t="shared" si="21"/>
        <v>2.6664607837525624E-5</v>
      </c>
      <c r="AI34" s="1230">
        <f t="shared" si="21"/>
        <v>1.7776405225017083E-5</v>
      </c>
      <c r="AJ34" s="1230">
        <f t="shared" si="21"/>
        <v>1.1850936816678055E-5</v>
      </c>
      <c r="AK34" s="1230">
        <f t="shared" si="21"/>
        <v>7.9006245444520372E-6</v>
      </c>
      <c r="AL34" s="1230">
        <f t="shared" si="21"/>
        <v>5.2670830296346912E-6</v>
      </c>
      <c r="AM34" s="1230">
        <f t="shared" si="21"/>
        <v>3.5113886864231275E-6</v>
      </c>
      <c r="AN34" s="1230">
        <f t="shared" si="21"/>
        <v>2.3409257909487515E-6</v>
      </c>
      <c r="AO34" s="1231">
        <f t="shared" si="21"/>
        <v>1.5606171939658343E-6</v>
      </c>
    </row>
    <row r="35" spans="1:41" x14ac:dyDescent="0.8">
      <c r="A35" s="1234" t="s">
        <v>126</v>
      </c>
      <c r="B35" s="1245"/>
      <c r="C35" s="1245"/>
      <c r="D35" s="1245"/>
      <c r="E35" s="1245"/>
      <c r="F35" s="1245"/>
      <c r="G35" s="1229">
        <v>-4.8300000000000003E-2</v>
      </c>
      <c r="H35" s="1230">
        <v>-4.8300000000000003E-2</v>
      </c>
      <c r="I35" s="1230">
        <v>-4.8300000000000003E-2</v>
      </c>
      <c r="J35" s="1230">
        <v>-4.8300000000000003E-2</v>
      </c>
      <c r="K35" s="1230">
        <v>-4.8300000000000003E-2</v>
      </c>
      <c r="L35" s="1230">
        <v>-4.8300000000000003E-2</v>
      </c>
      <c r="M35" s="1229">
        <v>-4.8300000000000003E-2</v>
      </c>
      <c r="N35" s="1230">
        <f t="shared" ref="N35:AO35" si="22">IF(M35/$B$78&gt;$J$77,M35/$B$78,$J$77)</f>
        <v>-2.5897483990182945E-2</v>
      </c>
      <c r="O35" s="1230">
        <f t="shared" si="22"/>
        <v>-1.7264989326788629E-2</v>
      </c>
      <c r="P35" s="1230">
        <f t="shared" si="22"/>
        <v>-1.1509992884525753E-2</v>
      </c>
      <c r="Q35" s="1230">
        <f t="shared" si="22"/>
        <v>-7.6733285896838357E-3</v>
      </c>
      <c r="R35" s="1230">
        <f t="shared" si="22"/>
        <v>-5.1155523931225568E-3</v>
      </c>
      <c r="S35" s="1230">
        <f t="shared" si="22"/>
        <v>-3.4103682620817044E-3</v>
      </c>
      <c r="T35" s="1230">
        <f t="shared" si="22"/>
        <v>-2.2735788413878028E-3</v>
      </c>
      <c r="U35" s="1230">
        <f t="shared" si="22"/>
        <v>-1.5157192275918685E-3</v>
      </c>
      <c r="V35" s="1230">
        <f t="shared" si="22"/>
        <v>-1.0104794850612456E-3</v>
      </c>
      <c r="W35" s="1230">
        <f t="shared" si="22"/>
        <v>-6.7365299004083041E-4</v>
      </c>
      <c r="X35" s="1230">
        <f t="shared" si="22"/>
        <v>-4.4910199336055363E-4</v>
      </c>
      <c r="Y35" s="1230">
        <f t="shared" si="22"/>
        <v>-2.9940132890703575E-4</v>
      </c>
      <c r="Z35" s="1230">
        <f t="shared" si="22"/>
        <v>-1.9960088593802384E-4</v>
      </c>
      <c r="AA35" s="1230">
        <f t="shared" si="22"/>
        <v>-1.330672572920159E-4</v>
      </c>
      <c r="AB35" s="1230">
        <f t="shared" si="22"/>
        <v>-8.8711504861343932E-5</v>
      </c>
      <c r="AC35" s="1230">
        <f t="shared" si="22"/>
        <v>-5.9141003240895957E-5</v>
      </c>
      <c r="AD35" s="1230">
        <f t="shared" si="22"/>
        <v>-3.9427335493930638E-5</v>
      </c>
      <c r="AE35" s="1230">
        <f t="shared" si="22"/>
        <v>-2.6284890329287093E-5</v>
      </c>
      <c r="AF35" s="1230">
        <f t="shared" si="22"/>
        <v>-1.7523260219524729E-5</v>
      </c>
      <c r="AG35" s="1230">
        <f t="shared" si="22"/>
        <v>-1.1682173479683153E-5</v>
      </c>
      <c r="AH35" s="1230">
        <f t="shared" si="22"/>
        <v>-7.7881156531221014E-6</v>
      </c>
      <c r="AI35" s="1230">
        <f t="shared" si="22"/>
        <v>-5.1920771020814007E-6</v>
      </c>
      <c r="AJ35" s="1230">
        <f t="shared" si="22"/>
        <v>-3.4613847347209338E-6</v>
      </c>
      <c r="AK35" s="1230">
        <f t="shared" si="22"/>
        <v>-2.307589823147289E-6</v>
      </c>
      <c r="AL35" s="1230">
        <f t="shared" si="22"/>
        <v>-1.538393215431526E-6</v>
      </c>
      <c r="AM35" s="1230">
        <f t="shared" si="22"/>
        <v>-1.0255954769543506E-6</v>
      </c>
      <c r="AN35" s="1230">
        <f t="shared" si="22"/>
        <v>-6.8373031796956704E-7</v>
      </c>
      <c r="AO35" s="1231">
        <f t="shared" si="22"/>
        <v>-4.5582021197971138E-7</v>
      </c>
    </row>
    <row r="36" spans="1:41" x14ac:dyDescent="0.8">
      <c r="A36" s="1234" t="s">
        <v>125</v>
      </c>
      <c r="B36" s="1245" t="s">
        <v>457</v>
      </c>
      <c r="C36" s="1245"/>
      <c r="D36" s="1245"/>
      <c r="E36" s="1245"/>
      <c r="F36" s="1245"/>
      <c r="G36" s="1229">
        <v>5.5E-2</v>
      </c>
      <c r="H36" s="1230">
        <v>5.5E-2</v>
      </c>
      <c r="I36" s="1230">
        <v>5.5E-2</v>
      </c>
      <c r="J36" s="1230">
        <v>5.5E-2</v>
      </c>
      <c r="K36" s="1230">
        <v>5.5E-2</v>
      </c>
      <c r="L36" s="1230">
        <v>5.5E-2</v>
      </c>
      <c r="M36" s="1229">
        <v>5.5E-2</v>
      </c>
      <c r="N36" s="1230">
        <f t="shared" ref="N36:AO36" si="23">IF(M36/$B$78&gt;$J$77,M36/$B$78,$J$77)</f>
        <v>3.6666666666666667E-2</v>
      </c>
      <c r="O36" s="1230">
        <f t="shared" si="23"/>
        <v>2.4444444444444446E-2</v>
      </c>
      <c r="P36" s="1230">
        <f t="shared" si="23"/>
        <v>1.6296296296296298E-2</v>
      </c>
      <c r="Q36" s="1230">
        <f t="shared" si="23"/>
        <v>1.0864197530864199E-2</v>
      </c>
      <c r="R36" s="1230">
        <f t="shared" si="23"/>
        <v>7.2427983539094659E-3</v>
      </c>
      <c r="S36" s="1230">
        <f t="shared" si="23"/>
        <v>4.8285322359396437E-3</v>
      </c>
      <c r="T36" s="1230">
        <f t="shared" si="23"/>
        <v>3.2190214906264291E-3</v>
      </c>
      <c r="U36" s="1230">
        <f t="shared" si="23"/>
        <v>2.1460143270842862E-3</v>
      </c>
      <c r="V36" s="1230">
        <f t="shared" si="23"/>
        <v>1.4306762180561908E-3</v>
      </c>
      <c r="W36" s="1230">
        <f t="shared" si="23"/>
        <v>9.5378414537079391E-4</v>
      </c>
      <c r="X36" s="1230">
        <f t="shared" si="23"/>
        <v>6.3585609691386264E-4</v>
      </c>
      <c r="Y36" s="1230">
        <f t="shared" si="23"/>
        <v>4.2390406460924174E-4</v>
      </c>
      <c r="Z36" s="1230">
        <f t="shared" si="23"/>
        <v>2.8260270973949451E-4</v>
      </c>
      <c r="AA36" s="1230">
        <f t="shared" si="23"/>
        <v>1.8840180649299634E-4</v>
      </c>
      <c r="AB36" s="1230">
        <f t="shared" si="23"/>
        <v>1.2560120432866424E-4</v>
      </c>
      <c r="AC36" s="1230">
        <f t="shared" si="23"/>
        <v>8.3734136219109487E-5</v>
      </c>
      <c r="AD36" s="1230">
        <f t="shared" si="23"/>
        <v>5.5822757479406322E-5</v>
      </c>
      <c r="AE36" s="1230">
        <f t="shared" si="23"/>
        <v>3.7215171652937546E-5</v>
      </c>
      <c r="AF36" s="1230">
        <f t="shared" si="23"/>
        <v>2.4810114435291698E-5</v>
      </c>
      <c r="AG36" s="1230">
        <f t="shared" si="23"/>
        <v>1.6540076290194466E-5</v>
      </c>
      <c r="AH36" s="1230">
        <f t="shared" si="23"/>
        <v>1.1026717526796311E-5</v>
      </c>
      <c r="AI36" s="1230">
        <f t="shared" si="23"/>
        <v>7.3511450178642073E-6</v>
      </c>
      <c r="AJ36" s="1230">
        <f t="shared" si="23"/>
        <v>4.9007633452428046E-6</v>
      </c>
      <c r="AK36" s="1230">
        <f t="shared" si="23"/>
        <v>3.2671755634952032E-6</v>
      </c>
      <c r="AL36" s="1230">
        <f t="shared" si="23"/>
        <v>2.1781170423301355E-6</v>
      </c>
      <c r="AM36" s="1230">
        <f t="shared" si="23"/>
        <v>1.4520780282200902E-6</v>
      </c>
      <c r="AN36" s="1230">
        <f t="shared" si="23"/>
        <v>9.6805201881339357E-7</v>
      </c>
      <c r="AO36" s="1231">
        <f t="shared" si="23"/>
        <v>6.4536801254226234E-7</v>
      </c>
    </row>
    <row r="37" spans="1:41" ht="18.5" x14ac:dyDescent="0.8">
      <c r="A37" s="1234" t="s">
        <v>535</v>
      </c>
      <c r="B37" s="1228"/>
      <c r="C37" s="1228"/>
      <c r="D37" s="1228"/>
      <c r="E37" s="1228"/>
      <c r="F37" s="1228"/>
      <c r="G37" s="1229">
        <v>0.46850000000000003</v>
      </c>
      <c r="H37" s="1230">
        <v>0.46850000000000003</v>
      </c>
      <c r="I37" s="1230">
        <v>0.46850000000000003</v>
      </c>
      <c r="J37" s="1230">
        <v>0.46850000000000003</v>
      </c>
      <c r="K37" s="1230">
        <v>0.46850000000000003</v>
      </c>
      <c r="L37" s="1230">
        <v>0.46850000000000003</v>
      </c>
      <c r="M37" s="1229">
        <v>0.46850000000000003</v>
      </c>
      <c r="N37" s="1230">
        <f t="shared" ref="N37:AO37" si="24">IF(M37/$B$78&gt;$J$77,M37/$B$78,$J$77)</f>
        <v>0.31233333333333335</v>
      </c>
      <c r="O37" s="1230">
        <f t="shared" si="24"/>
        <v>0.20822222222222223</v>
      </c>
      <c r="P37" s="1230">
        <f t="shared" si="24"/>
        <v>0.13881481481481481</v>
      </c>
      <c r="Q37" s="1230">
        <f t="shared" si="24"/>
        <v>9.25432098765432E-2</v>
      </c>
      <c r="R37" s="1230">
        <f t="shared" si="24"/>
        <v>6.1695473251028803E-2</v>
      </c>
      <c r="S37" s="1230">
        <f t="shared" si="24"/>
        <v>4.1130315500685868E-2</v>
      </c>
      <c r="T37" s="1230">
        <f t="shared" si="24"/>
        <v>2.7420210333790579E-2</v>
      </c>
      <c r="U37" s="1230">
        <f t="shared" si="24"/>
        <v>1.8280140222527053E-2</v>
      </c>
      <c r="V37" s="1230">
        <f t="shared" si="24"/>
        <v>1.2186760148351369E-2</v>
      </c>
      <c r="W37" s="1230">
        <f t="shared" si="24"/>
        <v>8.1245067655675799E-3</v>
      </c>
      <c r="X37" s="1230">
        <f t="shared" si="24"/>
        <v>5.4163378437117196E-3</v>
      </c>
      <c r="Y37" s="1230">
        <f t="shared" si="24"/>
        <v>3.6108918958078131E-3</v>
      </c>
      <c r="Z37" s="1230">
        <f t="shared" si="24"/>
        <v>2.4072612638718753E-3</v>
      </c>
      <c r="AA37" s="1230">
        <f t="shared" si="24"/>
        <v>1.6048408425812502E-3</v>
      </c>
      <c r="AB37" s="1230">
        <f t="shared" si="24"/>
        <v>1.0698938950541668E-3</v>
      </c>
      <c r="AC37" s="1230">
        <f t="shared" si="24"/>
        <v>7.1326259670277789E-4</v>
      </c>
      <c r="AD37" s="1230">
        <f t="shared" si="24"/>
        <v>4.7550839780185193E-4</v>
      </c>
      <c r="AE37" s="1230">
        <f t="shared" si="24"/>
        <v>3.1700559853456797E-4</v>
      </c>
      <c r="AF37" s="1230">
        <f t="shared" si="24"/>
        <v>2.1133706568971197E-4</v>
      </c>
      <c r="AG37" s="1230">
        <f t="shared" si="24"/>
        <v>1.4089137712647464E-4</v>
      </c>
      <c r="AH37" s="1230">
        <f t="shared" si="24"/>
        <v>9.3927584750983092E-5</v>
      </c>
      <c r="AI37" s="1230">
        <f t="shared" si="24"/>
        <v>6.2618389833988728E-5</v>
      </c>
      <c r="AJ37" s="1230">
        <f t="shared" si="24"/>
        <v>4.1745593222659154E-5</v>
      </c>
      <c r="AK37" s="1230">
        <f t="shared" si="24"/>
        <v>2.7830395481772771E-5</v>
      </c>
      <c r="AL37" s="1230">
        <f t="shared" si="24"/>
        <v>1.8553596987848513E-5</v>
      </c>
      <c r="AM37" s="1230">
        <f t="shared" si="24"/>
        <v>1.2369064658565675E-5</v>
      </c>
      <c r="AN37" s="1230">
        <f t="shared" si="24"/>
        <v>8.24604310571045E-6</v>
      </c>
      <c r="AO37" s="1231">
        <f t="shared" si="24"/>
        <v>5.4973620704736336E-6</v>
      </c>
    </row>
    <row r="38" spans="1:41" x14ac:dyDescent="0.8">
      <c r="A38" s="1202" t="s">
        <v>683</v>
      </c>
      <c r="B38" s="1228"/>
      <c r="C38" s="1228"/>
      <c r="D38" s="1228"/>
      <c r="E38" s="1228"/>
      <c r="F38" s="1228"/>
      <c r="G38" s="1230"/>
      <c r="H38" s="1361">
        <f>'Revenue Sensitivity'!C8</f>
        <v>0</v>
      </c>
      <c r="I38" s="1361">
        <f>'Revenue Sensitivity'!D8</f>
        <v>0</v>
      </c>
      <c r="J38" s="1361">
        <f>'Revenue Sensitivity'!E8</f>
        <v>0</v>
      </c>
      <c r="K38" s="1361">
        <f>'Revenue Sensitivity'!F8</f>
        <v>0</v>
      </c>
      <c r="L38" s="1361">
        <f>'Revenue Sensitivity'!G8</f>
        <v>0</v>
      </c>
      <c r="M38" s="1361">
        <f>'Revenue Sensitivity'!H8</f>
        <v>0</v>
      </c>
      <c r="N38" s="1361">
        <f>'Revenue Sensitivity'!I8</f>
        <v>0</v>
      </c>
      <c r="O38" s="1361">
        <f>'Revenue Sensitivity'!J8</f>
        <v>0</v>
      </c>
      <c r="P38" s="1361">
        <f>'Revenue Sensitivity'!K8</f>
        <v>0</v>
      </c>
      <c r="Q38" s="1361">
        <f>'Revenue Sensitivity'!L8</f>
        <v>0</v>
      </c>
      <c r="R38" s="1361">
        <f>'Revenue Sensitivity'!M8</f>
        <v>0</v>
      </c>
      <c r="S38" s="1361">
        <f>'Revenue Sensitivity'!N8</f>
        <v>0</v>
      </c>
      <c r="T38" s="1361">
        <f>'Revenue Sensitivity'!O8</f>
        <v>0</v>
      </c>
      <c r="U38" s="1361">
        <f>'Revenue Sensitivity'!P8</f>
        <v>0</v>
      </c>
      <c r="V38" s="1361">
        <f>'Revenue Sensitivity'!Q8</f>
        <v>0</v>
      </c>
      <c r="W38" s="1361">
        <f>'Revenue Sensitivity'!R8</f>
        <v>0</v>
      </c>
      <c r="X38" s="1361">
        <f>'Revenue Sensitivity'!S8</f>
        <v>0</v>
      </c>
      <c r="Y38" s="1361">
        <f>'Revenue Sensitivity'!T8</f>
        <v>0</v>
      </c>
      <c r="Z38" s="1361">
        <f>'Revenue Sensitivity'!U8</f>
        <v>0</v>
      </c>
      <c r="AA38" s="1361">
        <f>'Revenue Sensitivity'!V8</f>
        <v>0</v>
      </c>
      <c r="AB38" s="1361">
        <f>'Revenue Sensitivity'!W8</f>
        <v>0</v>
      </c>
      <c r="AC38" s="1361">
        <f>'Revenue Sensitivity'!X8</f>
        <v>0</v>
      </c>
      <c r="AD38" s="1361">
        <f>'Revenue Sensitivity'!Y8</f>
        <v>0</v>
      </c>
      <c r="AE38" s="1361">
        <f>'Revenue Sensitivity'!Z8</f>
        <v>0</v>
      </c>
      <c r="AF38" s="1361">
        <f>'Revenue Sensitivity'!AA8</f>
        <v>0</v>
      </c>
      <c r="AG38" s="1361">
        <f>'Revenue Sensitivity'!AB8</f>
        <v>0</v>
      </c>
      <c r="AH38" s="1361">
        <f>'Revenue Sensitivity'!AC8</f>
        <v>0</v>
      </c>
      <c r="AI38" s="1361">
        <f>'Revenue Sensitivity'!AD8</f>
        <v>0</v>
      </c>
      <c r="AJ38" s="1361">
        <f>'Revenue Sensitivity'!AE8</f>
        <v>0</v>
      </c>
      <c r="AK38" s="1361">
        <f>'Revenue Sensitivity'!AF8</f>
        <v>0</v>
      </c>
      <c r="AL38" s="1361">
        <f>'Revenue Sensitivity'!AG8</f>
        <v>0</v>
      </c>
      <c r="AM38" s="1361">
        <f>'Revenue Sensitivity'!AH8</f>
        <v>0</v>
      </c>
      <c r="AN38" s="1361">
        <f>'Revenue Sensitivity'!AI8</f>
        <v>0</v>
      </c>
      <c r="AO38" s="1361">
        <f>'Revenue Sensitivity'!AJ8</f>
        <v>0</v>
      </c>
    </row>
    <row r="39" spans="1:41" x14ac:dyDescent="0.8">
      <c r="A39" s="1235" t="s">
        <v>464</v>
      </c>
      <c r="B39" s="1236"/>
      <c r="C39" s="1236"/>
      <c r="D39" s="1236"/>
      <c r="E39" s="1236"/>
      <c r="F39" s="1236"/>
      <c r="G39" s="1246"/>
      <c r="H39" s="1247">
        <v>-0.03</v>
      </c>
      <c r="I39" s="1248">
        <v>0.21</v>
      </c>
      <c r="J39" s="1248">
        <v>-0.05</v>
      </c>
      <c r="K39" s="1248">
        <v>0.24</v>
      </c>
      <c r="L39" s="1248">
        <v>-7.0000000000000007E-2</v>
      </c>
      <c r="M39" s="1248">
        <v>0.14000000000000001</v>
      </c>
      <c r="N39" s="1247">
        <v>-0.09</v>
      </c>
      <c r="O39" s="1248">
        <v>9.5000000000000001E-2</v>
      </c>
      <c r="P39" s="1248">
        <f t="shared" ref="P39:AO39" si="25">IF(ABS(N39)&gt;ABS(AVERAGE($N$39:$O$39)),N39/$B$78,AVERAGE($N$39:$O$39))</f>
        <v>-0.06</v>
      </c>
      <c r="Q39" s="1248">
        <f t="shared" si="25"/>
        <v>6.3333333333333339E-2</v>
      </c>
      <c r="R39" s="1248">
        <f t="shared" si="25"/>
        <v>-0.04</v>
      </c>
      <c r="S39" s="1248">
        <f t="shared" si="25"/>
        <v>4.2222222222222223E-2</v>
      </c>
      <c r="T39" s="1248">
        <f t="shared" si="25"/>
        <v>-2.6666666666666668E-2</v>
      </c>
      <c r="U39" s="1248">
        <f t="shared" si="25"/>
        <v>2.8148148148148148E-2</v>
      </c>
      <c r="V39" s="1248">
        <f t="shared" si="25"/>
        <v>-1.7777777777777778E-2</v>
      </c>
      <c r="W39" s="1248">
        <f t="shared" si="25"/>
        <v>1.8765432098765432E-2</v>
      </c>
      <c r="X39" s="1248">
        <f t="shared" si="25"/>
        <v>-1.1851851851851851E-2</v>
      </c>
      <c r="Y39" s="1248">
        <f t="shared" si="25"/>
        <v>1.2510288065843622E-2</v>
      </c>
      <c r="Z39" s="1248">
        <f t="shared" si="25"/>
        <v>-7.9012345679012348E-3</v>
      </c>
      <c r="AA39" s="1248">
        <f t="shared" si="25"/>
        <v>8.3401920438957479E-3</v>
      </c>
      <c r="AB39" s="1248">
        <f t="shared" si="25"/>
        <v>-5.2674897119341568E-3</v>
      </c>
      <c r="AC39" s="1248">
        <f t="shared" si="25"/>
        <v>5.5601280292638319E-3</v>
      </c>
      <c r="AD39" s="1248">
        <f t="shared" si="25"/>
        <v>-3.5116598079561047E-3</v>
      </c>
      <c r="AE39" s="1248">
        <f t="shared" si="25"/>
        <v>3.7067520195092213E-3</v>
      </c>
      <c r="AF39" s="1248">
        <f t="shared" si="25"/>
        <v>-2.3411065386374033E-3</v>
      </c>
      <c r="AG39" s="1248">
        <f t="shared" si="25"/>
        <v>2.4711680130061475E-3</v>
      </c>
      <c r="AH39" s="1248">
        <f t="shared" si="25"/>
        <v>2.5000000000000022E-3</v>
      </c>
      <c r="AI39" s="1248">
        <f t="shared" si="25"/>
        <v>2.5000000000000022E-3</v>
      </c>
      <c r="AJ39" s="1248">
        <f t="shared" si="25"/>
        <v>2.5000000000000022E-3</v>
      </c>
      <c r="AK39" s="1248">
        <f t="shared" si="25"/>
        <v>2.5000000000000022E-3</v>
      </c>
      <c r="AL39" s="1248">
        <f t="shared" si="25"/>
        <v>2.5000000000000022E-3</v>
      </c>
      <c r="AM39" s="1248">
        <f t="shared" si="25"/>
        <v>2.5000000000000022E-3</v>
      </c>
      <c r="AN39" s="1248">
        <f t="shared" si="25"/>
        <v>2.5000000000000022E-3</v>
      </c>
      <c r="AO39" s="1249">
        <f t="shared" si="25"/>
        <v>2.5000000000000022E-3</v>
      </c>
    </row>
    <row r="40" spans="1:41" x14ac:dyDescent="0.8">
      <c r="A40" s="1240"/>
      <c r="B40" s="1228"/>
      <c r="C40" s="1228"/>
      <c r="D40" s="1228"/>
      <c r="E40" s="1228"/>
      <c r="F40" s="1228"/>
      <c r="G40" s="1203"/>
      <c r="H40" s="1219"/>
      <c r="I40" s="1203"/>
      <c r="J40" s="1203"/>
      <c r="K40" s="1203"/>
      <c r="L40" s="1203"/>
      <c r="M40" s="1203"/>
      <c r="N40" s="1250"/>
      <c r="O40" s="1251"/>
      <c r="P40" s="1251"/>
      <c r="Q40" s="1251"/>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52"/>
    </row>
    <row r="41" spans="1:41" x14ac:dyDescent="0.8">
      <c r="A41" s="1208" t="s">
        <v>116</v>
      </c>
      <c r="B41" s="1253">
        <v>1053</v>
      </c>
      <c r="C41" s="1253">
        <v>992</v>
      </c>
      <c r="D41" s="1253">
        <v>951</v>
      </c>
      <c r="E41" s="1253">
        <v>993</v>
      </c>
      <c r="F41" s="1253">
        <v>696</v>
      </c>
      <c r="G41" s="1253">
        <v>397</v>
      </c>
      <c r="H41" s="1254">
        <f>G41*(1+H45+ABS(H45)*H44)</f>
        <v>277.89999999999998</v>
      </c>
      <c r="I41" s="1254">
        <f t="shared" ref="I41:AO41" si="26">H41*(1+I45+ABS(I45)*I44)</f>
        <v>250.10999999999999</v>
      </c>
      <c r="J41" s="1254">
        <f t="shared" si="26"/>
        <v>237.60449999999997</v>
      </c>
      <c r="K41" s="1254">
        <f t="shared" si="26"/>
        <v>247.10867999999999</v>
      </c>
      <c r="L41" s="1254">
        <f t="shared" si="26"/>
        <v>232.28215919999997</v>
      </c>
      <c r="M41" s="1254">
        <f t="shared" si="26"/>
        <v>246.21908875199998</v>
      </c>
      <c r="N41" s="1254">
        <f t="shared" si="26"/>
        <v>238.83251608943996</v>
      </c>
      <c r="O41" s="1254">
        <f t="shared" si="26"/>
        <v>245.99749157212318</v>
      </c>
      <c r="P41" s="1254">
        <f t="shared" si="26"/>
        <v>241.07754174068072</v>
      </c>
      <c r="Q41" s="1254">
        <f t="shared" si="26"/>
        <v>245.89909257549434</v>
      </c>
      <c r="R41" s="1254">
        <f t="shared" si="26"/>
        <v>242.62043800782109</v>
      </c>
      <c r="S41" s="1254">
        <f t="shared" si="26"/>
        <v>245.85537718125872</v>
      </c>
      <c r="T41" s="1254">
        <f t="shared" si="26"/>
        <v>243.66999605075864</v>
      </c>
      <c r="U41" s="1254">
        <f t="shared" si="26"/>
        <v>245.83595157120985</v>
      </c>
      <c r="V41" s="1254">
        <f t="shared" si="26"/>
        <v>244.37914593226935</v>
      </c>
      <c r="W41" s="1254">
        <f t="shared" si="26"/>
        <v>245.82731864890502</v>
      </c>
      <c r="X41" s="1254">
        <f t="shared" si="26"/>
        <v>244.85614899498341</v>
      </c>
      <c r="Y41" s="1254">
        <f t="shared" si="26"/>
        <v>245.82348192928455</v>
      </c>
      <c r="Z41" s="1254">
        <f t="shared" si="26"/>
        <v>245.17604559827737</v>
      </c>
      <c r="AA41" s="1254">
        <f t="shared" si="26"/>
        <v>245.82177674717818</v>
      </c>
      <c r="AB41" s="1254">
        <f t="shared" si="26"/>
        <v>245.39015552051646</v>
      </c>
      <c r="AC41" s="1254">
        <f t="shared" si="26"/>
        <v>245.82101889372123</v>
      </c>
      <c r="AD41" s="1254">
        <f t="shared" si="26"/>
        <v>245.53327229638793</v>
      </c>
      <c r="AE41" s="1254">
        <f t="shared" si="26"/>
        <v>245.82068207100099</v>
      </c>
      <c r="AF41" s="1254">
        <f t="shared" si="26"/>
        <v>245.62885126895807</v>
      </c>
      <c r="AG41" s="1254">
        <f t="shared" si="26"/>
        <v>245.82053237221933</v>
      </c>
      <c r="AH41" s="1254">
        <f t="shared" si="26"/>
        <v>245.69264524873756</v>
      </c>
      <c r="AI41" s="1254">
        <f t="shared" si="26"/>
        <v>245.82046583946797</v>
      </c>
      <c r="AJ41" s="1254">
        <f t="shared" si="26"/>
        <v>245.7352077802224</v>
      </c>
      <c r="AK41" s="1254">
        <f t="shared" si="26"/>
        <v>245.82043626936431</v>
      </c>
      <c r="AL41" s="1254">
        <f t="shared" si="26"/>
        <v>245.7635975700378</v>
      </c>
      <c r="AM41" s="1254">
        <f t="shared" si="26"/>
        <v>245.82042312709757</v>
      </c>
      <c r="AN41" s="1254">
        <f t="shared" si="26"/>
        <v>245.78253066290574</v>
      </c>
      <c r="AO41" s="1254">
        <f t="shared" si="26"/>
        <v>245.82041728609045</v>
      </c>
    </row>
    <row r="42" spans="1:41" x14ac:dyDescent="0.8">
      <c r="A42" s="1202" t="s">
        <v>138</v>
      </c>
      <c r="B42" s="1244"/>
      <c r="C42" s="1244">
        <f>(C41-B41)/B41</f>
        <v>-5.7929724596391265E-2</v>
      </c>
      <c r="D42" s="1244">
        <f>(D41-C41)/C41</f>
        <v>-4.1330645161290321E-2</v>
      </c>
      <c r="E42" s="1244">
        <f>(E41-D41)/D41</f>
        <v>4.4164037854889593E-2</v>
      </c>
      <c r="F42" s="1244">
        <f>(F41-E41)/E41</f>
        <v>-0.29909365558912387</v>
      </c>
      <c r="G42" s="1244">
        <f>(G41-F41)/F41</f>
        <v>-0.4295977011494253</v>
      </c>
      <c r="H42" s="1255"/>
      <c r="I42" s="1244"/>
      <c r="J42" s="1244"/>
      <c r="K42" s="1244"/>
      <c r="L42" s="1244"/>
      <c r="M42" s="1244"/>
      <c r="N42" s="1255"/>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56"/>
    </row>
    <row r="43" spans="1:41" x14ac:dyDescent="0.8">
      <c r="A43" s="1257" t="s">
        <v>124</v>
      </c>
      <c r="B43" s="1258" t="s">
        <v>458</v>
      </c>
      <c r="C43" s="1203"/>
      <c r="D43" s="1203"/>
      <c r="E43" s="1203"/>
      <c r="F43" s="1203"/>
      <c r="G43" s="1229">
        <v>0.13</v>
      </c>
      <c r="H43" s="1230">
        <v>0.13</v>
      </c>
      <c r="I43" s="1230">
        <v>0.13</v>
      </c>
      <c r="J43" s="1230">
        <v>0.13</v>
      </c>
      <c r="K43" s="1230">
        <v>0.13</v>
      </c>
      <c r="L43" s="1230">
        <v>0.13</v>
      </c>
      <c r="M43" s="1229">
        <v>0.13</v>
      </c>
      <c r="N43" s="1230">
        <f t="shared" ref="N43:AO43" si="27">IF(M43/$B$78&gt;$J$77,M43/$B$78,$J$77)</f>
        <v>8.666666666666667E-2</v>
      </c>
      <c r="O43" s="1230">
        <f t="shared" si="27"/>
        <v>5.7777777777777782E-2</v>
      </c>
      <c r="P43" s="1230">
        <f t="shared" si="27"/>
        <v>3.8518518518518521E-2</v>
      </c>
      <c r="Q43" s="1230">
        <f t="shared" si="27"/>
        <v>2.5679012345679014E-2</v>
      </c>
      <c r="R43" s="1230">
        <f t="shared" si="27"/>
        <v>1.7119341563786011E-2</v>
      </c>
      <c r="S43" s="1230">
        <f t="shared" si="27"/>
        <v>1.141289437585734E-2</v>
      </c>
      <c r="T43" s="1230">
        <f t="shared" si="27"/>
        <v>7.6085962505715596E-3</v>
      </c>
      <c r="U43" s="1230">
        <f t="shared" si="27"/>
        <v>5.0723975003810397E-3</v>
      </c>
      <c r="V43" s="1230">
        <f t="shared" si="27"/>
        <v>3.38159833358736E-3</v>
      </c>
      <c r="W43" s="1230">
        <f t="shared" si="27"/>
        <v>2.2543988890582401E-3</v>
      </c>
      <c r="X43" s="1230">
        <f t="shared" si="27"/>
        <v>1.5029325927054934E-3</v>
      </c>
      <c r="Y43" s="1230">
        <f t="shared" si="27"/>
        <v>1.0019550618036624E-3</v>
      </c>
      <c r="Z43" s="1230">
        <f t="shared" si="27"/>
        <v>6.6797004120244157E-4</v>
      </c>
      <c r="AA43" s="1230">
        <f t="shared" si="27"/>
        <v>4.4531336080162769E-4</v>
      </c>
      <c r="AB43" s="1230">
        <f t="shared" si="27"/>
        <v>2.9687557386775181E-4</v>
      </c>
      <c r="AC43" s="1230">
        <f t="shared" si="27"/>
        <v>1.9791704924516788E-4</v>
      </c>
      <c r="AD43" s="1230">
        <f t="shared" si="27"/>
        <v>1.3194469949677858E-4</v>
      </c>
      <c r="AE43" s="1230">
        <f t="shared" si="27"/>
        <v>8.7963132997852394E-5</v>
      </c>
      <c r="AF43" s="1230">
        <f t="shared" si="27"/>
        <v>5.8642088665234929E-5</v>
      </c>
      <c r="AG43" s="1230">
        <f t="shared" si="27"/>
        <v>3.9094725776823286E-5</v>
      </c>
      <c r="AH43" s="1230">
        <f t="shared" si="27"/>
        <v>2.606315051788219E-5</v>
      </c>
      <c r="AI43" s="1230">
        <f t="shared" si="27"/>
        <v>1.7375433678588126E-5</v>
      </c>
      <c r="AJ43" s="1230">
        <f t="shared" si="27"/>
        <v>1.1583622452392085E-5</v>
      </c>
      <c r="AK43" s="1230">
        <f t="shared" si="27"/>
        <v>7.7224149682613893E-6</v>
      </c>
      <c r="AL43" s="1230">
        <f t="shared" si="27"/>
        <v>5.1482766455075932E-6</v>
      </c>
      <c r="AM43" s="1230">
        <f t="shared" si="27"/>
        <v>3.4321844303383956E-6</v>
      </c>
      <c r="AN43" s="1230">
        <f t="shared" si="27"/>
        <v>2.2881229535589303E-6</v>
      </c>
      <c r="AO43" s="1231">
        <f t="shared" si="27"/>
        <v>1.5254153023726202E-6</v>
      </c>
    </row>
    <row r="44" spans="1:41" x14ac:dyDescent="0.8">
      <c r="A44" s="1202" t="s">
        <v>683</v>
      </c>
      <c r="B44" s="1258"/>
      <c r="C44" s="1203"/>
      <c r="D44" s="1203"/>
      <c r="E44" s="1203"/>
      <c r="F44" s="1203"/>
      <c r="G44" s="1229"/>
      <c r="H44" s="1361">
        <f>'Revenue Sensitivity'!C9</f>
        <v>0</v>
      </c>
      <c r="I44" s="1361">
        <f>'Revenue Sensitivity'!D9</f>
        <v>0</v>
      </c>
      <c r="J44" s="1361">
        <f>'Revenue Sensitivity'!E9</f>
        <v>0</v>
      </c>
      <c r="K44" s="1361">
        <f>'Revenue Sensitivity'!F9</f>
        <v>0</v>
      </c>
      <c r="L44" s="1361">
        <f>'Revenue Sensitivity'!G9</f>
        <v>0</v>
      </c>
      <c r="M44" s="1361">
        <f>'Revenue Sensitivity'!H9</f>
        <v>0</v>
      </c>
      <c r="N44" s="1361">
        <f>'Revenue Sensitivity'!I9</f>
        <v>0</v>
      </c>
      <c r="O44" s="1361">
        <f>'Revenue Sensitivity'!J9</f>
        <v>0</v>
      </c>
      <c r="P44" s="1361">
        <f>'Revenue Sensitivity'!K9</f>
        <v>0</v>
      </c>
      <c r="Q44" s="1361">
        <f>'Revenue Sensitivity'!L9</f>
        <v>0</v>
      </c>
      <c r="R44" s="1361">
        <f>'Revenue Sensitivity'!M9</f>
        <v>0</v>
      </c>
      <c r="S44" s="1361">
        <f>'Revenue Sensitivity'!N9</f>
        <v>0</v>
      </c>
      <c r="T44" s="1361">
        <f>'Revenue Sensitivity'!O9</f>
        <v>0</v>
      </c>
      <c r="U44" s="1361">
        <f>'Revenue Sensitivity'!P9</f>
        <v>0</v>
      </c>
      <c r="V44" s="1361">
        <f>'Revenue Sensitivity'!Q9</f>
        <v>0</v>
      </c>
      <c r="W44" s="1361">
        <f>'Revenue Sensitivity'!R9</f>
        <v>0</v>
      </c>
      <c r="X44" s="1361">
        <f>'Revenue Sensitivity'!S9</f>
        <v>0</v>
      </c>
      <c r="Y44" s="1361">
        <f>'Revenue Sensitivity'!T9</f>
        <v>0</v>
      </c>
      <c r="Z44" s="1361">
        <f>'Revenue Sensitivity'!U9</f>
        <v>0</v>
      </c>
      <c r="AA44" s="1361">
        <f>'Revenue Sensitivity'!V9</f>
        <v>0</v>
      </c>
      <c r="AB44" s="1361">
        <f>'Revenue Sensitivity'!W9</f>
        <v>0</v>
      </c>
      <c r="AC44" s="1361">
        <f>'Revenue Sensitivity'!X9</f>
        <v>0</v>
      </c>
      <c r="AD44" s="1361">
        <f>'Revenue Sensitivity'!Y9</f>
        <v>0</v>
      </c>
      <c r="AE44" s="1361">
        <f>'Revenue Sensitivity'!Z9</f>
        <v>0</v>
      </c>
      <c r="AF44" s="1361">
        <f>'Revenue Sensitivity'!AA9</f>
        <v>0</v>
      </c>
      <c r="AG44" s="1361">
        <f>'Revenue Sensitivity'!AB9</f>
        <v>0</v>
      </c>
      <c r="AH44" s="1361">
        <f>'Revenue Sensitivity'!AC9</f>
        <v>0</v>
      </c>
      <c r="AI44" s="1361">
        <f>'Revenue Sensitivity'!AD9</f>
        <v>0</v>
      </c>
      <c r="AJ44" s="1361">
        <f>'Revenue Sensitivity'!AE9</f>
        <v>0</v>
      </c>
      <c r="AK44" s="1361">
        <f>'Revenue Sensitivity'!AF9</f>
        <v>0</v>
      </c>
      <c r="AL44" s="1361">
        <f>'Revenue Sensitivity'!AG9</f>
        <v>0</v>
      </c>
      <c r="AM44" s="1361">
        <f>'Revenue Sensitivity'!AH9</f>
        <v>0</v>
      </c>
      <c r="AN44" s="1361">
        <f>'Revenue Sensitivity'!AI9</f>
        <v>0</v>
      </c>
      <c r="AO44" s="1361">
        <f>'Revenue Sensitivity'!AJ9</f>
        <v>0</v>
      </c>
    </row>
    <row r="45" spans="1:41" x14ac:dyDescent="0.8">
      <c r="A45" s="1235" t="s">
        <v>464</v>
      </c>
      <c r="B45" s="1246"/>
      <c r="C45" s="1246"/>
      <c r="D45" s="1246"/>
      <c r="E45" s="1246"/>
      <c r="F45" s="1246"/>
      <c r="G45" s="1259"/>
      <c r="H45" s="1247">
        <v>-0.3</v>
      </c>
      <c r="I45" s="1248">
        <v>-0.1</v>
      </c>
      <c r="J45" s="1248">
        <v>-0.05</v>
      </c>
      <c r="K45" s="1248">
        <v>0.04</v>
      </c>
      <c r="L45" s="1248">
        <v>-0.06</v>
      </c>
      <c r="M45" s="1248">
        <v>0.06</v>
      </c>
      <c r="N45" s="1247">
        <v>-0.03</v>
      </c>
      <c r="O45" s="1248">
        <v>0.03</v>
      </c>
      <c r="P45" s="1248">
        <f t="shared" ref="P45:AO45" si="28">IF(ABS(N45)&gt;ABS(AVERAGE($N$45:$O$45)),N45/$B$78,AVERAGE($N$45:$O$45))</f>
        <v>-0.02</v>
      </c>
      <c r="Q45" s="1248">
        <f t="shared" si="28"/>
        <v>0.02</v>
      </c>
      <c r="R45" s="1248">
        <f t="shared" si="28"/>
        <v>-1.3333333333333334E-2</v>
      </c>
      <c r="S45" s="1248">
        <f t="shared" si="28"/>
        <v>1.3333333333333334E-2</v>
      </c>
      <c r="T45" s="1248">
        <f t="shared" si="28"/>
        <v>-8.8888888888888889E-3</v>
      </c>
      <c r="U45" s="1248">
        <f t="shared" si="28"/>
        <v>8.8888888888888889E-3</v>
      </c>
      <c r="V45" s="1248">
        <f t="shared" si="28"/>
        <v>-5.9259259259259256E-3</v>
      </c>
      <c r="W45" s="1248">
        <f t="shared" si="28"/>
        <v>5.9259259259259256E-3</v>
      </c>
      <c r="X45" s="1248">
        <f t="shared" si="28"/>
        <v>-3.9506172839506174E-3</v>
      </c>
      <c r="Y45" s="1248">
        <f t="shared" si="28"/>
        <v>3.9506172839506174E-3</v>
      </c>
      <c r="Z45" s="1248">
        <f t="shared" si="28"/>
        <v>-2.6337448559670784E-3</v>
      </c>
      <c r="AA45" s="1248">
        <f t="shared" si="28"/>
        <v>2.6337448559670784E-3</v>
      </c>
      <c r="AB45" s="1248">
        <f t="shared" si="28"/>
        <v>-1.7558299039780523E-3</v>
      </c>
      <c r="AC45" s="1248">
        <f t="shared" si="28"/>
        <v>1.7558299039780523E-3</v>
      </c>
      <c r="AD45" s="1248">
        <f t="shared" si="28"/>
        <v>-1.1705532693187016E-3</v>
      </c>
      <c r="AE45" s="1248">
        <f t="shared" si="28"/>
        <v>1.1705532693187016E-3</v>
      </c>
      <c r="AF45" s="1248">
        <f t="shared" si="28"/>
        <v>-7.8036884621246775E-4</v>
      </c>
      <c r="AG45" s="1248">
        <f t="shared" si="28"/>
        <v>7.8036884621246775E-4</v>
      </c>
      <c r="AH45" s="1248">
        <f t="shared" si="28"/>
        <v>-5.2024589747497847E-4</v>
      </c>
      <c r="AI45" s="1248">
        <f t="shared" si="28"/>
        <v>5.2024589747497847E-4</v>
      </c>
      <c r="AJ45" s="1248">
        <f t="shared" si="28"/>
        <v>-3.4683059831665231E-4</v>
      </c>
      <c r="AK45" s="1248">
        <f t="shared" si="28"/>
        <v>3.4683059831665231E-4</v>
      </c>
      <c r="AL45" s="1248">
        <f t="shared" si="28"/>
        <v>-2.3122039887776822E-4</v>
      </c>
      <c r="AM45" s="1248">
        <f t="shared" si="28"/>
        <v>2.3122039887776822E-4</v>
      </c>
      <c r="AN45" s="1248">
        <f t="shared" si="28"/>
        <v>-1.5414693258517881E-4</v>
      </c>
      <c r="AO45" s="1249">
        <f t="shared" si="28"/>
        <v>1.5414693258517881E-4</v>
      </c>
    </row>
    <row r="46" spans="1:41" x14ac:dyDescent="0.8">
      <c r="A46" s="1208" t="s">
        <v>679</v>
      </c>
      <c r="B46" s="1253">
        <f>SUM(B17,B28,B41)</f>
        <v>220991</v>
      </c>
      <c r="C46" s="1253">
        <f>SUM(C17,C28,C41)</f>
        <v>196900</v>
      </c>
      <c r="D46" s="1253">
        <f t="shared" ref="D46:AO46" si="29">SUM(D17,D28,D41)</f>
        <v>156242</v>
      </c>
      <c r="E46" s="1253">
        <f t="shared" si="29"/>
        <v>294338</v>
      </c>
      <c r="F46" s="1253">
        <f t="shared" si="29"/>
        <v>321399</v>
      </c>
      <c r="G46" s="1253">
        <f t="shared" si="29"/>
        <v>297960</v>
      </c>
      <c r="H46" s="1253">
        <f t="shared" si="29"/>
        <v>278733.21000000002</v>
      </c>
      <c r="I46" s="1253">
        <f t="shared" si="29"/>
        <v>334194.66709999996</v>
      </c>
      <c r="J46" s="1253">
        <f t="shared" si="29"/>
        <v>312786.38142500003</v>
      </c>
      <c r="K46" s="1253">
        <f t="shared" si="29"/>
        <v>379256.22684459999</v>
      </c>
      <c r="L46" s="1253">
        <f t="shared" si="29"/>
        <v>351470.81409502996</v>
      </c>
      <c r="M46" s="1253">
        <f t="shared" si="29"/>
        <v>396095.13701292552</v>
      </c>
      <c r="N46" s="1253">
        <f t="shared" si="29"/>
        <v>351677.55649794254</v>
      </c>
      <c r="O46" s="1253">
        <f t="shared" si="29"/>
        <v>386652.4826909473</v>
      </c>
      <c r="P46" s="1253">
        <f t="shared" si="29"/>
        <v>358003.16893895692</v>
      </c>
      <c r="Q46" s="1253">
        <f t="shared" si="29"/>
        <v>381711.45717611967</v>
      </c>
      <c r="R46" s="1253">
        <f t="shared" si="29"/>
        <v>362959.35942231992</v>
      </c>
      <c r="S46" s="1253">
        <f t="shared" si="29"/>
        <v>378972.01647685736</v>
      </c>
      <c r="T46" s="1253">
        <f t="shared" si="29"/>
        <v>366603.46478131227</v>
      </c>
      <c r="U46" s="1253">
        <f t="shared" si="29"/>
        <v>377380.73680100404</v>
      </c>
      <c r="V46" s="1253">
        <f t="shared" si="29"/>
        <v>369188.05020929192</v>
      </c>
      <c r="W46" s="1253">
        <f t="shared" si="29"/>
        <v>376421.3768890163</v>
      </c>
      <c r="X46" s="1253">
        <f t="shared" si="29"/>
        <v>370981.42491949495</v>
      </c>
      <c r="Y46" s="1253">
        <f t="shared" si="29"/>
        <v>371714.2183948771</v>
      </c>
      <c r="Z46" s="1253">
        <f t="shared" si="29"/>
        <v>367042.4193595681</v>
      </c>
      <c r="AA46" s="1253">
        <f t="shared" si="29"/>
        <v>366801.71598253265</v>
      </c>
      <c r="AB46" s="1253">
        <f t="shared" si="29"/>
        <v>362965.87276573537</v>
      </c>
      <c r="AC46" s="1253">
        <f t="shared" si="29"/>
        <v>362107.15352831432</v>
      </c>
      <c r="AD46" s="1253">
        <f t="shared" si="29"/>
        <v>358864.48342301132</v>
      </c>
      <c r="AE46" s="1253">
        <f t="shared" si="29"/>
        <v>357625.96250651102</v>
      </c>
      <c r="AF46" s="1253">
        <f t="shared" si="29"/>
        <v>354812.70706834021</v>
      </c>
      <c r="AG46" s="1253">
        <f t="shared" si="29"/>
        <v>353352.8528724527</v>
      </c>
      <c r="AH46" s="1253">
        <f t="shared" si="29"/>
        <v>351955.26721441455</v>
      </c>
      <c r="AI46" s="1253">
        <f t="shared" si="29"/>
        <v>350611.44925345748</v>
      </c>
      <c r="AJ46" s="1253">
        <f t="shared" si="29"/>
        <v>349319.63884234586</v>
      </c>
      <c r="AK46" s="1253">
        <f t="shared" si="29"/>
        <v>348078.96058552555</v>
      </c>
      <c r="AL46" s="1253">
        <f t="shared" si="29"/>
        <v>346887.87455891335</v>
      </c>
      <c r="AM46" s="1253">
        <f t="shared" si="29"/>
        <v>345745.43992454495</v>
      </c>
      <c r="AN46" s="1253">
        <f t="shared" si="29"/>
        <v>344650.28176193865</v>
      </c>
      <c r="AO46" s="1253">
        <f t="shared" si="29"/>
        <v>343601.43331071676</v>
      </c>
    </row>
    <row r="47" spans="1:41" x14ac:dyDescent="0.8">
      <c r="H47" s="1198"/>
      <c r="N47" s="1198"/>
    </row>
    <row r="48" spans="1:41" ht="16.75" thickBot="1" x14ac:dyDescent="0.95">
      <c r="A48" s="1197" t="s">
        <v>123</v>
      </c>
      <c r="H48" s="1198"/>
      <c r="N48" s="1198"/>
    </row>
    <row r="49" spans="1:41" x14ac:dyDescent="0.8">
      <c r="A49" s="1199" t="s">
        <v>117</v>
      </c>
      <c r="B49" s="1261">
        <f t="shared" ref="B49:AO49" si="30">B5*B17</f>
        <v>252402.68</v>
      </c>
      <c r="C49" s="1261">
        <f t="shared" si="30"/>
        <v>276173.28000000003</v>
      </c>
      <c r="D49" s="1261">
        <f t="shared" si="30"/>
        <v>200807.2</v>
      </c>
      <c r="E49" s="1261">
        <f t="shared" si="30"/>
        <v>223100.28</v>
      </c>
      <c r="F49" s="1261">
        <f t="shared" si="30"/>
        <v>219124.5</v>
      </c>
      <c r="G49" s="1261">
        <f t="shared" si="30"/>
        <v>209272</v>
      </c>
      <c r="H49" s="1262">
        <f t="shared" si="30"/>
        <v>193367.32800000001</v>
      </c>
      <c r="I49" s="1261">
        <f t="shared" si="30"/>
        <v>209919.57127680004</v>
      </c>
      <c r="J49" s="1261">
        <f t="shared" si="30"/>
        <v>208219.22274945799</v>
      </c>
      <c r="K49" s="1261">
        <f t="shared" si="30"/>
        <v>222211.55451822156</v>
      </c>
      <c r="L49" s="1261">
        <f t="shared" si="30"/>
        <v>214656.36166460201</v>
      </c>
      <c r="M49" s="1261">
        <f t="shared" si="30"/>
        <v>217232.23800457729</v>
      </c>
      <c r="N49" s="1262">
        <f t="shared" si="30"/>
        <v>187949.33232156027</v>
      </c>
      <c r="O49" s="1261">
        <f t="shared" si="30"/>
        <v>191933.85816677738</v>
      </c>
      <c r="P49" s="1261">
        <f t="shared" si="30"/>
        <v>174890.13156156754</v>
      </c>
      <c r="Q49" s="1261">
        <f t="shared" si="30"/>
        <v>177703.91945602474</v>
      </c>
      <c r="R49" s="1261">
        <f t="shared" si="30"/>
        <v>160940.51638733974</v>
      </c>
      <c r="S49" s="1261">
        <f t="shared" si="30"/>
        <v>162806.63160945073</v>
      </c>
      <c r="T49" s="1261">
        <f t="shared" si="30"/>
        <v>151211.18151371094</v>
      </c>
      <c r="U49" s="1261">
        <f t="shared" si="30"/>
        <v>152438.46041464419</v>
      </c>
      <c r="V49" s="1261">
        <f t="shared" si="30"/>
        <v>143930.13597594533</v>
      </c>
      <c r="W49" s="1261">
        <f t="shared" si="30"/>
        <v>143381.06916092598</v>
      </c>
      <c r="X49" s="1261">
        <f t="shared" si="30"/>
        <v>136851.03503580677</v>
      </c>
      <c r="Y49" s="1261">
        <f t="shared" si="30"/>
        <v>130094.01518091378</v>
      </c>
      <c r="Z49" s="1261">
        <f t="shared" si="30"/>
        <v>123670.62318135618</v>
      </c>
      <c r="AA49" s="1261">
        <f t="shared" si="30"/>
        <v>117564.3861617767</v>
      </c>
      <c r="AB49" s="1261">
        <f t="shared" si="30"/>
        <v>111759.64459503898</v>
      </c>
      <c r="AC49" s="1261">
        <f t="shared" si="30"/>
        <v>106241.51214315892</v>
      </c>
      <c r="AD49" s="1261">
        <f t="shared" si="30"/>
        <v>100995.83748109044</v>
      </c>
      <c r="AE49" s="1261">
        <f t="shared" si="30"/>
        <v>96009.168005461586</v>
      </c>
      <c r="AF49" s="1261">
        <f t="shared" si="30"/>
        <v>91268.715335191897</v>
      </c>
      <c r="AG49" s="1261">
        <f t="shared" si="30"/>
        <v>86762.322515516804</v>
      </c>
      <c r="AH49" s="1261">
        <f t="shared" si="30"/>
        <v>82478.432841313159</v>
      </c>
      <c r="AI49" s="1261">
        <f t="shared" si="30"/>
        <v>78406.060219773324</v>
      </c>
      <c r="AJ49" s="1261">
        <f t="shared" si="30"/>
        <v>74534.760996422003</v>
      </c>
      <c r="AK49" s="1261">
        <f t="shared" si="30"/>
        <v>70854.607172223681</v>
      </c>
      <c r="AL49" s="1261">
        <f t="shared" si="30"/>
        <v>67356.160943095136</v>
      </c>
      <c r="AM49" s="1261">
        <f t="shared" si="30"/>
        <v>64030.450496529818</v>
      </c>
      <c r="AN49" s="1261">
        <f t="shared" si="30"/>
        <v>60868.947003263645</v>
      </c>
      <c r="AO49" s="1263">
        <f t="shared" si="30"/>
        <v>57863.542744977502</v>
      </c>
    </row>
    <row r="50" spans="1:41" x14ac:dyDescent="0.8">
      <c r="A50" s="1202" t="s">
        <v>121</v>
      </c>
      <c r="B50" s="1203"/>
      <c r="C50" s="1204">
        <f t="shared" ref="C50:AO50" si="31">(C49-B49)/B49</f>
        <v>9.4177288450344648E-2</v>
      </c>
      <c r="D50" s="1204">
        <f t="shared" si="31"/>
        <v>-0.27289417716297537</v>
      </c>
      <c r="E50" s="1204">
        <f t="shared" si="31"/>
        <v>0.11101733403981523</v>
      </c>
      <c r="F50" s="1204">
        <f t="shared" si="31"/>
        <v>-1.7820596191093972E-2</v>
      </c>
      <c r="G50" s="1204">
        <f t="shared" si="31"/>
        <v>-4.4963023304103372E-2</v>
      </c>
      <c r="H50" s="1264">
        <f t="shared" si="31"/>
        <v>-7.5999999999999956E-2</v>
      </c>
      <c r="I50" s="1204">
        <f t="shared" si="31"/>
        <v>8.5600000000000148E-2</v>
      </c>
      <c r="J50" s="1204">
        <f t="shared" si="31"/>
        <v>-8.0999999999998643E-3</v>
      </c>
      <c r="K50" s="1204">
        <f t="shared" si="31"/>
        <v>6.7199999999999982E-2</v>
      </c>
      <c r="L50" s="1204">
        <f t="shared" si="31"/>
        <v>-3.4000000000000072E-2</v>
      </c>
      <c r="M50" s="1204">
        <f t="shared" si="31"/>
        <v>1.2000000000000255E-2</v>
      </c>
      <c r="N50" s="1264">
        <f t="shared" si="31"/>
        <v>-0.13479999999999998</v>
      </c>
      <c r="O50" s="1204">
        <f t="shared" si="31"/>
        <v>2.1200000000000177E-2</v>
      </c>
      <c r="P50" s="1204">
        <f t="shared" si="31"/>
        <v>-8.8800000000000059E-2</v>
      </c>
      <c r="Q50" s="1204">
        <f t="shared" si="31"/>
        <v>1.6088888888888778E-2</v>
      </c>
      <c r="R50" s="1204">
        <f t="shared" si="31"/>
        <v>-9.4333333333333338E-2</v>
      </c>
      <c r="S50" s="1204">
        <f t="shared" si="31"/>
        <v>1.1595061728395148E-2</v>
      </c>
      <c r="T50" s="1204">
        <f t="shared" si="31"/>
        <v>-7.1222222222222395E-2</v>
      </c>
      <c r="U50" s="1204">
        <f t="shared" si="31"/>
        <v>8.1163237311386652E-3</v>
      </c>
      <c r="V50" s="1204">
        <f t="shared" si="31"/>
        <v>-5.5814814814814866E-2</v>
      </c>
      <c r="W50" s="1204">
        <f t="shared" si="31"/>
        <v>-3.814814814814852E-3</v>
      </c>
      <c r="X50" s="1204">
        <f t="shared" si="31"/>
        <v>-4.5543209876543249E-2</v>
      </c>
      <c r="Y50" s="1204">
        <f t="shared" si="31"/>
        <v>-4.9375000000000231E-2</v>
      </c>
      <c r="Z50" s="1204">
        <f t="shared" si="31"/>
        <v>-4.9374999999999863E-2</v>
      </c>
      <c r="AA50" s="1204">
        <f t="shared" si="31"/>
        <v>-4.9375000000000148E-2</v>
      </c>
      <c r="AB50" s="1204">
        <f t="shared" si="31"/>
        <v>-4.9374999999999968E-2</v>
      </c>
      <c r="AC50" s="1204">
        <f t="shared" si="31"/>
        <v>-4.9375000000000037E-2</v>
      </c>
      <c r="AD50" s="1204">
        <f t="shared" si="31"/>
        <v>-4.9375000000000134E-2</v>
      </c>
      <c r="AE50" s="1204">
        <f t="shared" si="31"/>
        <v>-4.9375000000000085E-2</v>
      </c>
      <c r="AF50" s="1204">
        <f t="shared" si="31"/>
        <v>-4.9375000000000245E-2</v>
      </c>
      <c r="AG50" s="1204">
        <f t="shared" si="31"/>
        <v>-4.9374999999999926E-2</v>
      </c>
      <c r="AH50" s="1204">
        <f t="shared" si="31"/>
        <v>-4.937500000000003E-2</v>
      </c>
      <c r="AI50" s="1204">
        <f t="shared" si="31"/>
        <v>-4.9374999999999968E-2</v>
      </c>
      <c r="AJ50" s="1204">
        <f t="shared" si="31"/>
        <v>-4.9375000000000176E-2</v>
      </c>
      <c r="AK50" s="1204">
        <f t="shared" si="31"/>
        <v>-4.9374999999999801E-2</v>
      </c>
      <c r="AL50" s="1204">
        <f t="shared" si="31"/>
        <v>-4.9375000000000016E-2</v>
      </c>
      <c r="AM50" s="1204">
        <f t="shared" si="31"/>
        <v>-4.9374999999999926E-2</v>
      </c>
      <c r="AN50" s="1204">
        <f t="shared" si="31"/>
        <v>-4.9375000000000203E-2</v>
      </c>
      <c r="AO50" s="1206">
        <f t="shared" si="31"/>
        <v>-4.9375000000000023E-2</v>
      </c>
    </row>
    <row r="51" spans="1:41" x14ac:dyDescent="0.8">
      <c r="A51" s="1208" t="s">
        <v>447</v>
      </c>
      <c r="B51" s="1265">
        <f t="shared" ref="B51:AO51" si="32">B8*B28</f>
        <v>79888.900000000009</v>
      </c>
      <c r="C51" s="1265">
        <f t="shared" si="32"/>
        <v>59884</v>
      </c>
      <c r="D51" s="1265">
        <f t="shared" si="32"/>
        <v>55693.05</v>
      </c>
      <c r="E51" s="1265">
        <f t="shared" si="32"/>
        <v>85319.52</v>
      </c>
      <c r="F51" s="1265">
        <f t="shared" si="32"/>
        <v>95197.52</v>
      </c>
      <c r="G51" s="1265">
        <f t="shared" si="32"/>
        <v>82999.350000000006</v>
      </c>
      <c r="H51" s="1266">
        <f t="shared" si="32"/>
        <v>82119.556889999993</v>
      </c>
      <c r="I51" s="1265">
        <f t="shared" si="32"/>
        <v>94644.842304647245</v>
      </c>
      <c r="J51" s="1265">
        <f t="shared" si="32"/>
        <v>91710.852193203173</v>
      </c>
      <c r="K51" s="1265">
        <f t="shared" si="32"/>
        <v>87565.521674070391</v>
      </c>
      <c r="L51" s="1265">
        <f t="shared" si="32"/>
        <v>83064.653860023158</v>
      </c>
      <c r="M51" s="1265">
        <f t="shared" si="32"/>
        <v>90195.754393906158</v>
      </c>
      <c r="N51" s="1266">
        <f t="shared" si="32"/>
        <v>83719.699228423706</v>
      </c>
      <c r="O51" s="1265">
        <f t="shared" si="32"/>
        <v>87318.599799005562</v>
      </c>
      <c r="P51" s="1265">
        <f t="shared" si="32"/>
        <v>83173.876928546102</v>
      </c>
      <c r="Q51" s="1265">
        <f t="shared" si="32"/>
        <v>85640.906533665577</v>
      </c>
      <c r="R51" s="1265">
        <f t="shared" si="32"/>
        <v>81084.810306074563</v>
      </c>
      <c r="S51" s="1265">
        <f t="shared" si="32"/>
        <v>82724.325149522556</v>
      </c>
      <c r="T51" s="1265">
        <f t="shared" si="32"/>
        <v>79411.215927284182</v>
      </c>
      <c r="U51" s="1265">
        <f t="shared" si="32"/>
        <v>80497.395784971639</v>
      </c>
      <c r="V51" s="1265">
        <f t="shared" si="32"/>
        <v>77979.168920165102</v>
      </c>
      <c r="W51" s="1265">
        <f t="shared" si="32"/>
        <v>78697.09547142082</v>
      </c>
      <c r="X51" s="1265">
        <f t="shared" si="32"/>
        <v>76695.128803845058</v>
      </c>
      <c r="Y51" s="1265">
        <f t="shared" si="32"/>
        <v>76586.856112749752</v>
      </c>
      <c r="Z51" s="1265">
        <f t="shared" si="32"/>
        <v>74936.976673565267</v>
      </c>
      <c r="AA51" s="1265">
        <f t="shared" si="32"/>
        <v>74522.988425271324</v>
      </c>
      <c r="AB51" s="1265">
        <f t="shared" si="32"/>
        <v>73111.145809370093</v>
      </c>
      <c r="AC51" s="1265">
        <f t="shared" si="32"/>
        <v>72506.785409755365</v>
      </c>
      <c r="AD51" s="1265">
        <f t="shared" si="32"/>
        <v>71258.698959750458</v>
      </c>
      <c r="AE51" s="1265">
        <f t="shared" si="32"/>
        <v>70539.398273344239</v>
      </c>
      <c r="AF51" s="1265">
        <f t="shared" si="32"/>
        <v>69406.611978946254</v>
      </c>
      <c r="AG51" s="1265">
        <f t="shared" si="32"/>
        <v>68621.428126907296</v>
      </c>
      <c r="AH51" s="1265">
        <f t="shared" si="32"/>
        <v>67847.078198887713</v>
      </c>
      <c r="AI51" s="1265">
        <f t="shared" si="32"/>
        <v>67081.466325837129</v>
      </c>
      <c r="AJ51" s="1265">
        <f t="shared" si="32"/>
        <v>66324.493904266506</v>
      </c>
      <c r="AK51" s="1265">
        <f t="shared" si="32"/>
        <v>65576.06344336555</v>
      </c>
      <c r="AL51" s="1265">
        <f t="shared" si="32"/>
        <v>64836.078552446808</v>
      </c>
      <c r="AM51" s="1265">
        <f t="shared" si="32"/>
        <v>64104.443928531538</v>
      </c>
      <c r="AN51" s="1265">
        <f t="shared" si="32"/>
        <v>63381.065344075505</v>
      </c>
      <c r="AO51" s="1267">
        <f t="shared" si="32"/>
        <v>62665.849634833452</v>
      </c>
    </row>
    <row r="52" spans="1:41" x14ac:dyDescent="0.8">
      <c r="A52" s="1202" t="s">
        <v>121</v>
      </c>
      <c r="B52" s="1203"/>
      <c r="C52" s="1204">
        <f t="shared" ref="C52:AO52" si="33">(C51-B51)/B51</f>
        <v>-0.25040900550639711</v>
      </c>
      <c r="D52" s="1204">
        <f t="shared" si="33"/>
        <v>-6.9984469975285499E-2</v>
      </c>
      <c r="E52" s="1204">
        <f t="shared" si="33"/>
        <v>0.53195991241276963</v>
      </c>
      <c r="F52" s="1204">
        <f t="shared" si="33"/>
        <v>0.11577655382965117</v>
      </c>
      <c r="G52" s="1204">
        <f t="shared" si="33"/>
        <v>-0.12813537579550388</v>
      </c>
      <c r="H52" s="1264">
        <f t="shared" si="33"/>
        <v>-1.060000000000016E-2</v>
      </c>
      <c r="I52" s="1204">
        <f t="shared" si="33"/>
        <v>0.15252500000000005</v>
      </c>
      <c r="J52" s="1204">
        <f t="shared" si="33"/>
        <v>-3.1000000000000087E-2</v>
      </c>
      <c r="K52" s="1204">
        <f t="shared" si="33"/>
        <v>-4.5199999999999983E-2</v>
      </c>
      <c r="L52" s="1204">
        <f t="shared" si="33"/>
        <v>-5.1400000000000168E-2</v>
      </c>
      <c r="M52" s="1204">
        <f t="shared" si="33"/>
        <v>8.5850000000000148E-2</v>
      </c>
      <c r="N52" s="1264">
        <f t="shared" si="33"/>
        <v>-7.1799999999999892E-2</v>
      </c>
      <c r="O52" s="1204">
        <f t="shared" si="33"/>
        <v>4.2987499999999908E-2</v>
      </c>
      <c r="P52" s="1204">
        <f t="shared" si="33"/>
        <v>-4.7466666666666622E-2</v>
      </c>
      <c r="Q52" s="1204">
        <f t="shared" si="33"/>
        <v>2.9661111111110965E-2</v>
      </c>
      <c r="R52" s="1204">
        <f t="shared" si="33"/>
        <v>-5.3200000000000053E-2</v>
      </c>
      <c r="S52" s="1204">
        <f t="shared" si="33"/>
        <v>2.0219753086419521E-2</v>
      </c>
      <c r="T52" s="1204">
        <f t="shared" si="33"/>
        <v>-4.0049999999999947E-2</v>
      </c>
      <c r="U52" s="1204">
        <f t="shared" si="33"/>
        <v>1.3677914951989376E-2</v>
      </c>
      <c r="V52" s="1204">
        <f t="shared" si="33"/>
        <v>-3.128333333333342E-2</v>
      </c>
      <c r="W52" s="1204">
        <f t="shared" si="33"/>
        <v>9.2066453284559788E-3</v>
      </c>
      <c r="X52" s="1204">
        <f t="shared" si="33"/>
        <v>-2.5438888888888973E-2</v>
      </c>
      <c r="Y52" s="1204">
        <f t="shared" si="33"/>
        <v>-1.411728395061746E-3</v>
      </c>
      <c r="Z52" s="1204">
        <f t="shared" si="33"/>
        <v>-2.15425925925927E-2</v>
      </c>
      <c r="AA52" s="1204">
        <f t="shared" si="33"/>
        <v>-5.5244855967078428E-3</v>
      </c>
      <c r="AB52" s="1204">
        <f t="shared" si="33"/>
        <v>-1.8945061728394989E-2</v>
      </c>
      <c r="AC52" s="1204">
        <f t="shared" si="33"/>
        <v>-8.2663237311385741E-3</v>
      </c>
      <c r="AD52" s="1204">
        <f t="shared" si="33"/>
        <v>-1.7213374485596542E-2</v>
      </c>
      <c r="AE52" s="1204">
        <f t="shared" si="33"/>
        <v>-1.0094215820759042E-2</v>
      </c>
      <c r="AF52" s="1204">
        <f t="shared" si="33"/>
        <v>-1.6058916323731215E-2</v>
      </c>
      <c r="AG52" s="1204">
        <f t="shared" si="33"/>
        <v>-1.131281054717286E-2</v>
      </c>
      <c r="AH52" s="1204">
        <f t="shared" si="33"/>
        <v>-1.1284375000000195E-2</v>
      </c>
      <c r="AI52" s="1204">
        <f t="shared" si="33"/>
        <v>-1.1284375000000155E-2</v>
      </c>
      <c r="AJ52" s="1204">
        <f t="shared" si="33"/>
        <v>-1.1284375000000067E-2</v>
      </c>
      <c r="AK52" s="1204">
        <f t="shared" si="33"/>
        <v>-1.1284374999999978E-2</v>
      </c>
      <c r="AL52" s="1204">
        <f t="shared" si="33"/>
        <v>-1.1284375000000214E-2</v>
      </c>
      <c r="AM52" s="1204">
        <f t="shared" si="33"/>
        <v>-1.1284375000000046E-2</v>
      </c>
      <c r="AN52" s="1204">
        <f t="shared" si="33"/>
        <v>-1.1284375000000161E-2</v>
      </c>
      <c r="AO52" s="1206">
        <f t="shared" si="33"/>
        <v>-1.1284375000000015E-2</v>
      </c>
    </row>
    <row r="53" spans="1:41" x14ac:dyDescent="0.8">
      <c r="A53" s="1208" t="s">
        <v>116</v>
      </c>
      <c r="B53" s="1156">
        <f t="shared" ref="B53:AO53" si="34">B41*B11</f>
        <v>27156.87</v>
      </c>
      <c r="C53" s="1156">
        <f t="shared" si="34"/>
        <v>26684.799999999999</v>
      </c>
      <c r="D53" s="1156">
        <f t="shared" si="34"/>
        <v>21112.2</v>
      </c>
      <c r="E53" s="1156">
        <f t="shared" si="34"/>
        <v>22332.57</v>
      </c>
      <c r="F53" s="1156">
        <f t="shared" si="34"/>
        <v>23775.359999999997</v>
      </c>
      <c r="G53" s="1156">
        <f t="shared" si="34"/>
        <v>19782.509999999998</v>
      </c>
      <c r="H53" s="1157">
        <f t="shared" si="34"/>
        <v>12462.981299999999</v>
      </c>
      <c r="I53" s="1156">
        <f t="shared" si="34"/>
        <v>10992.3495066</v>
      </c>
      <c r="J53" s="1156">
        <f t="shared" si="34"/>
        <v>10964.868632833501</v>
      </c>
      <c r="K53" s="1156">
        <f t="shared" si="34"/>
        <v>11061.359476802436</v>
      </c>
      <c r="L53" s="1156">
        <f t="shared" si="34"/>
        <v>10917.561803604003</v>
      </c>
      <c r="M53" s="1156">
        <f t="shared" si="34"/>
        <v>11225.437046465639</v>
      </c>
      <c r="N53" s="1157">
        <f t="shared" si="34"/>
        <v>11433.107631825253</v>
      </c>
      <c r="O53" s="1156">
        <f t="shared" si="34"/>
        <v>11422.81783495661</v>
      </c>
      <c r="P53" s="1156">
        <f t="shared" si="34"/>
        <v>11567.506860866062</v>
      </c>
      <c r="Q53" s="1156">
        <f t="shared" si="34"/>
        <v>11562.879858121716</v>
      </c>
      <c r="R53" s="1156">
        <f t="shared" si="34"/>
        <v>11662.23497393965</v>
      </c>
      <c r="S53" s="1156">
        <f t="shared" si="34"/>
        <v>11660.161687722062</v>
      </c>
      <c r="T53" s="1156">
        <f t="shared" si="34"/>
        <v>11727.723447624585</v>
      </c>
      <c r="U53" s="1156">
        <f t="shared" si="34"/>
        <v>11726.796812685514</v>
      </c>
      <c r="V53" s="1156">
        <f t="shared" si="34"/>
        <v>11772.4385568417</v>
      </c>
      <c r="W53" s="1156">
        <f t="shared" si="34"/>
        <v>11960.623167254031</v>
      </c>
      <c r="X53" s="1156">
        <f t="shared" si="34"/>
        <v>12032.505035869082</v>
      </c>
      <c r="Y53" s="1156">
        <f t="shared" si="34"/>
        <v>12200.841266815338</v>
      </c>
      <c r="Z53" s="1156">
        <f t="shared" si="34"/>
        <v>12290.394437529296</v>
      </c>
      <c r="AA53" s="1156">
        <f t="shared" si="34"/>
        <v>12445.991842663514</v>
      </c>
      <c r="AB53" s="1156">
        <f t="shared" si="34"/>
        <v>12548.380185981512</v>
      </c>
      <c r="AC53" s="1156">
        <f t="shared" si="34"/>
        <v>12696.117137230131</v>
      </c>
      <c r="AD53" s="1156">
        <f t="shared" si="34"/>
        <v>12808.068212365568</v>
      </c>
      <c r="AE53" s="1156">
        <f t="shared" si="34"/>
        <v>12951.291345870062</v>
      </c>
      <c r="AF53" s="1156">
        <f t="shared" si="34"/>
        <v>13070.596407201379</v>
      </c>
      <c r="AG53" s="1156">
        <f t="shared" si="34"/>
        <v>13211.604256373366</v>
      </c>
      <c r="AH53" s="1156">
        <f t="shared" si="34"/>
        <v>13336.778283194522</v>
      </c>
      <c r="AI53" s="1156">
        <f t="shared" si="34"/>
        <v>13477.153854255706</v>
      </c>
      <c r="AJ53" s="1156">
        <f t="shared" si="34"/>
        <v>13607.204360570038</v>
      </c>
      <c r="AK53" s="1156">
        <f t="shared" si="34"/>
        <v>13748.042992953831</v>
      </c>
      <c r="AL53" s="1156">
        <f t="shared" si="34"/>
        <v>13882.312806618904</v>
      </c>
      <c r="AM53" s="1156">
        <f t="shared" si="34"/>
        <v>14024.37790732863</v>
      </c>
      <c r="AN53" s="1156">
        <f t="shared" si="34"/>
        <v>14162.438253417728</v>
      </c>
      <c r="AO53" s="1158">
        <f t="shared" si="34"/>
        <v>14306.267563330741</v>
      </c>
    </row>
    <row r="54" spans="1:41" ht="16.75" thickBot="1" x14ac:dyDescent="0.95">
      <c r="A54" s="1213" t="s">
        <v>121</v>
      </c>
      <c r="B54" s="1214"/>
      <c r="C54" s="1215">
        <f t="shared" ref="C54:AO54" si="35">(C53-B53)/B53</f>
        <v>-1.7383078388636088E-2</v>
      </c>
      <c r="D54" s="1215">
        <f t="shared" si="35"/>
        <v>-0.20883049526322095</v>
      </c>
      <c r="E54" s="1215">
        <f t="shared" si="35"/>
        <v>5.7804018529570532E-2</v>
      </c>
      <c r="F54" s="1215">
        <f t="shared" si="35"/>
        <v>6.4604745445777059E-2</v>
      </c>
      <c r="G54" s="1215">
        <f t="shared" si="35"/>
        <v>-0.1679406747153355</v>
      </c>
      <c r="H54" s="1268">
        <f t="shared" si="35"/>
        <v>-0.37</v>
      </c>
      <c r="I54" s="1215">
        <f t="shared" si="35"/>
        <v>-0.11799999999999999</v>
      </c>
      <c r="J54" s="1215">
        <f t="shared" si="35"/>
        <v>-2.4999999999999016E-3</v>
      </c>
      <c r="K54" s="1215">
        <f t="shared" si="35"/>
        <v>8.8000000000000387E-3</v>
      </c>
      <c r="L54" s="1215">
        <f t="shared" si="35"/>
        <v>-1.3000000000000091E-2</v>
      </c>
      <c r="M54" s="1215">
        <f t="shared" si="35"/>
        <v>2.8200000000000225E-2</v>
      </c>
      <c r="N54" s="1268">
        <f t="shared" si="35"/>
        <v>1.8499999999999978E-2</v>
      </c>
      <c r="O54" s="1215">
        <f t="shared" si="35"/>
        <v>-9.0000000000001971E-4</v>
      </c>
      <c r="P54" s="1215">
        <f t="shared" si="35"/>
        <v>1.2666666666666855E-2</v>
      </c>
      <c r="Q54" s="1215">
        <f t="shared" si="35"/>
        <v>-3.9999999999997194E-4</v>
      </c>
      <c r="R54" s="1215">
        <f t="shared" si="35"/>
        <v>8.5925925925925579E-3</v>
      </c>
      <c r="S54" s="1215">
        <f t="shared" si="35"/>
        <v>-1.7777777777768999E-4</v>
      </c>
      <c r="T54" s="1215">
        <f t="shared" si="35"/>
        <v>5.7942386831276952E-3</v>
      </c>
      <c r="U54" s="1215">
        <f t="shared" si="35"/>
        <v>-7.901234567895815E-5</v>
      </c>
      <c r="V54" s="1215">
        <f t="shared" si="35"/>
        <v>3.8920896204846854E-3</v>
      </c>
      <c r="W54" s="1215">
        <f t="shared" si="35"/>
        <v>1.5985185185185335E-2</v>
      </c>
      <c r="X54" s="1215">
        <f t="shared" si="35"/>
        <v>6.0098765432097948E-3</v>
      </c>
      <c r="Y54" s="1215">
        <f t="shared" si="35"/>
        <v>1.3990123456789967E-2</v>
      </c>
      <c r="Z54" s="1215">
        <f t="shared" si="35"/>
        <v>7.3399176954732385E-3</v>
      </c>
      <c r="AA54" s="1215">
        <f t="shared" si="35"/>
        <v>1.2660082304526714E-2</v>
      </c>
      <c r="AB54" s="1215">
        <f t="shared" si="35"/>
        <v>8.226611796982055E-3</v>
      </c>
      <c r="AC54" s="1215">
        <f t="shared" si="35"/>
        <v>1.1773388203017911E-2</v>
      </c>
      <c r="AD54" s="1215">
        <f t="shared" si="35"/>
        <v>8.8177411979881385E-3</v>
      </c>
      <c r="AE54" s="1215">
        <f t="shared" si="35"/>
        <v>1.1182258802011956E-2</v>
      </c>
      <c r="AF54" s="1215">
        <f t="shared" si="35"/>
        <v>9.211827465325409E-3</v>
      </c>
      <c r="AG54" s="1215">
        <f t="shared" si="35"/>
        <v>1.0788172534674635E-2</v>
      </c>
      <c r="AH54" s="1215">
        <f t="shared" si="35"/>
        <v>9.4745516435501224E-3</v>
      </c>
      <c r="AI54" s="1215">
        <f t="shared" si="35"/>
        <v>1.0525448356449713E-2</v>
      </c>
      <c r="AJ54" s="1215">
        <f t="shared" si="35"/>
        <v>9.6497010957002308E-3</v>
      </c>
      <c r="AK54" s="1215">
        <f t="shared" si="35"/>
        <v>1.0350298904299914E-2</v>
      </c>
      <c r="AL54" s="1215">
        <f t="shared" si="35"/>
        <v>9.7664673971334399E-3</v>
      </c>
      <c r="AM54" s="1215">
        <f t="shared" si="35"/>
        <v>1.0233532602866508E-2</v>
      </c>
      <c r="AN54" s="1215">
        <f t="shared" si="35"/>
        <v>9.8443115980889704E-3</v>
      </c>
      <c r="AO54" s="1216">
        <f t="shared" si="35"/>
        <v>1.0155688401910872E-2</v>
      </c>
    </row>
    <row r="55" spans="1:41" x14ac:dyDescent="0.8">
      <c r="H55" s="1198"/>
      <c r="N55" s="1198"/>
    </row>
    <row r="56" spans="1:41" x14ac:dyDescent="0.8">
      <c r="H56" s="1198"/>
      <c r="N56" s="1198"/>
    </row>
    <row r="57" spans="1:41" ht="16.75" thickBot="1" x14ac:dyDescent="0.95">
      <c r="A57" s="1197" t="s">
        <v>122</v>
      </c>
      <c r="H57" s="1198"/>
      <c r="N57" s="1198"/>
    </row>
    <row r="58" spans="1:41" x14ac:dyDescent="0.8">
      <c r="A58" s="1199" t="s">
        <v>117</v>
      </c>
      <c r="B58" s="1261">
        <v>252892</v>
      </c>
      <c r="C58" s="1261">
        <v>277718</v>
      </c>
      <c r="D58" s="1261">
        <v>200907</v>
      </c>
      <c r="E58" s="1261">
        <v>222813</v>
      </c>
      <c r="F58" s="1261">
        <v>219445</v>
      </c>
      <c r="G58" s="1261">
        <v>213347</v>
      </c>
      <c r="H58" s="1262">
        <f t="shared" ref="H58:AO58" si="36">H49+H70</f>
        <v>194517.87599999999</v>
      </c>
      <c r="I58" s="1261">
        <f t="shared" si="36"/>
        <v>211070.11927680002</v>
      </c>
      <c r="J58" s="1261">
        <f t="shared" si="36"/>
        <v>209369.77074945797</v>
      </c>
      <c r="K58" s="1261">
        <f t="shared" si="36"/>
        <v>223362.10251822154</v>
      </c>
      <c r="L58" s="1261">
        <f t="shared" si="36"/>
        <v>215806.90966460199</v>
      </c>
      <c r="M58" s="1261">
        <f t="shared" si="36"/>
        <v>218382.78600457727</v>
      </c>
      <c r="N58" s="1262">
        <f t="shared" si="36"/>
        <v>189099.88032156025</v>
      </c>
      <c r="O58" s="1261">
        <f t="shared" si="36"/>
        <v>193084.40616677736</v>
      </c>
      <c r="P58" s="1261">
        <f t="shared" si="36"/>
        <v>176040.67956156752</v>
      </c>
      <c r="Q58" s="1261">
        <f t="shared" si="36"/>
        <v>178854.46745602472</v>
      </c>
      <c r="R58" s="1261">
        <f t="shared" si="36"/>
        <v>162091.06438733972</v>
      </c>
      <c r="S58" s="1261">
        <f t="shared" si="36"/>
        <v>163957.17960945072</v>
      </c>
      <c r="T58" s="1261">
        <f t="shared" si="36"/>
        <v>152361.72951371092</v>
      </c>
      <c r="U58" s="1261">
        <f t="shared" si="36"/>
        <v>153589.00841464417</v>
      </c>
      <c r="V58" s="1261">
        <f t="shared" si="36"/>
        <v>145080.68397594531</v>
      </c>
      <c r="W58" s="1261">
        <f t="shared" si="36"/>
        <v>144531.61716092596</v>
      </c>
      <c r="X58" s="1261">
        <f t="shared" si="36"/>
        <v>138001.58303580675</v>
      </c>
      <c r="Y58" s="1261">
        <f t="shared" si="36"/>
        <v>131244.56318091377</v>
      </c>
      <c r="Z58" s="1261">
        <f t="shared" si="36"/>
        <v>124821.17118135617</v>
      </c>
      <c r="AA58" s="1261">
        <f t="shared" si="36"/>
        <v>118714.93416177669</v>
      </c>
      <c r="AB58" s="1261">
        <f t="shared" si="36"/>
        <v>112910.19259503897</v>
      </c>
      <c r="AC58" s="1261">
        <f t="shared" si="36"/>
        <v>107392.06014315892</v>
      </c>
      <c r="AD58" s="1261">
        <f t="shared" si="36"/>
        <v>102146.38548109043</v>
      </c>
      <c r="AE58" s="1261">
        <f t="shared" si="36"/>
        <v>97159.716005461582</v>
      </c>
      <c r="AF58" s="1261">
        <f t="shared" si="36"/>
        <v>92419.263335191892</v>
      </c>
      <c r="AG58" s="1261">
        <f t="shared" si="36"/>
        <v>87912.870515516799</v>
      </c>
      <c r="AH58" s="1261">
        <f t="shared" si="36"/>
        <v>83628.980841313154</v>
      </c>
      <c r="AI58" s="1261">
        <f t="shared" si="36"/>
        <v>79556.608219773319</v>
      </c>
      <c r="AJ58" s="1261">
        <f t="shared" si="36"/>
        <v>75685.308996421998</v>
      </c>
      <c r="AK58" s="1261">
        <f t="shared" si="36"/>
        <v>72005.155172223676</v>
      </c>
      <c r="AL58" s="1261">
        <f t="shared" si="36"/>
        <v>68506.708943095131</v>
      </c>
      <c r="AM58" s="1261">
        <f t="shared" si="36"/>
        <v>65180.998496529814</v>
      </c>
      <c r="AN58" s="1261">
        <f t="shared" si="36"/>
        <v>62019.495003263641</v>
      </c>
      <c r="AO58" s="1263">
        <f t="shared" si="36"/>
        <v>59014.090744977497</v>
      </c>
    </row>
    <row r="59" spans="1:41" x14ac:dyDescent="0.8">
      <c r="A59" s="1202" t="s">
        <v>121</v>
      </c>
      <c r="B59" s="1203"/>
      <c r="C59" s="1204">
        <f t="shared" ref="C59:AO59" si="37">(C58-B58)/B58</f>
        <v>9.8168388086614045E-2</v>
      </c>
      <c r="D59" s="1204">
        <f t="shared" si="37"/>
        <v>-0.27657911982658667</v>
      </c>
      <c r="E59" s="1204">
        <f t="shared" si="37"/>
        <v>0.1090355238991175</v>
      </c>
      <c r="F59" s="1204">
        <f t="shared" si="37"/>
        <v>-1.5115814606867643E-2</v>
      </c>
      <c r="G59" s="1204">
        <f t="shared" si="37"/>
        <v>-2.7788284080293466E-2</v>
      </c>
      <c r="H59" s="1264">
        <f t="shared" si="37"/>
        <v>-8.8255864858657537E-2</v>
      </c>
      <c r="I59" s="1204">
        <f t="shared" si="37"/>
        <v>8.5093687105652072E-2</v>
      </c>
      <c r="J59" s="1204">
        <f t="shared" si="37"/>
        <v>-8.0558467165700205E-3</v>
      </c>
      <c r="K59" s="1204">
        <f t="shared" si="37"/>
        <v>6.683071638602249E-2</v>
      </c>
      <c r="L59" s="1204">
        <f t="shared" si="37"/>
        <v>-3.3824864506740604E-2</v>
      </c>
      <c r="M59" s="1204">
        <f t="shared" si="37"/>
        <v>1.1936023475701484E-2</v>
      </c>
      <c r="N59" s="1264">
        <f t="shared" si="37"/>
        <v>-0.13408980725432842</v>
      </c>
      <c r="O59" s="1204">
        <f t="shared" si="37"/>
        <v>2.1071011988170015E-2</v>
      </c>
      <c r="P59" s="1204">
        <f t="shared" si="37"/>
        <v>-8.8270860105027132E-2</v>
      </c>
      <c r="Q59" s="1204">
        <f t="shared" si="37"/>
        <v>1.5983736835514323E-2</v>
      </c>
      <c r="R59" s="1204">
        <f t="shared" si="37"/>
        <v>-9.3726499019694043E-2</v>
      </c>
      <c r="S59" s="1204">
        <f t="shared" si="37"/>
        <v>1.1512758147183527E-2</v>
      </c>
      <c r="T59" s="1204">
        <f t="shared" si="37"/>
        <v>-7.0722429620711902E-2</v>
      </c>
      <c r="U59" s="1204">
        <f t="shared" si="37"/>
        <v>8.0550339304385904E-3</v>
      </c>
      <c r="V59" s="1204">
        <f t="shared" si="37"/>
        <v>-5.5396701408013081E-2</v>
      </c>
      <c r="W59" s="1204">
        <f t="shared" si="37"/>
        <v>-3.7845618036263795E-3</v>
      </c>
      <c r="X59" s="1204">
        <f t="shared" si="37"/>
        <v>-4.5180661874477425E-2</v>
      </c>
      <c r="Y59" s="1204">
        <f t="shared" si="37"/>
        <v>-4.8963350319972475E-2</v>
      </c>
      <c r="Z59" s="1204">
        <f t="shared" si="37"/>
        <v>-4.89421568701729E-2</v>
      </c>
      <c r="AA59" s="1204">
        <f t="shared" si="37"/>
        <v>-4.8919882434908073E-2</v>
      </c>
      <c r="AB59" s="1204">
        <f t="shared" si="37"/>
        <v>-4.8896472947770928E-2</v>
      </c>
      <c r="AC59" s="1204">
        <f t="shared" si="37"/>
        <v>-4.8871871750952166E-2</v>
      </c>
      <c r="AD59" s="1204">
        <f t="shared" si="37"/>
        <v>-4.8846019482964971E-2</v>
      </c>
      <c r="AE59" s="1204">
        <f t="shared" si="37"/>
        <v>-4.8818853962796289E-2</v>
      </c>
      <c r="AF59" s="1204">
        <f t="shared" si="37"/>
        <v>-4.8790310070515409E-2</v>
      </c>
      <c r="AG59" s="1204">
        <f t="shared" si="37"/>
        <v>-4.8760319624395074E-2</v>
      </c>
      <c r="AH59" s="1204">
        <f t="shared" si="37"/>
        <v>-4.8728811254633415E-2</v>
      </c>
      <c r="AI59" s="1204">
        <f t="shared" si="37"/>
        <v>-4.8695710273777018E-2</v>
      </c>
      <c r="AJ59" s="1204">
        <f t="shared" si="37"/>
        <v>-4.866093854399807E-2</v>
      </c>
      <c r="AK59" s="1204">
        <f t="shared" si="37"/>
        <v>-4.8624414341392197E-2</v>
      </c>
      <c r="AL59" s="1204">
        <f t="shared" si="37"/>
        <v>-4.8586052217523545E-2</v>
      </c>
      <c r="AM59" s="1204">
        <f t="shared" si="37"/>
        <v>-4.8545762858464091E-2</v>
      </c>
      <c r="AN59" s="1204">
        <f t="shared" si="37"/>
        <v>-4.8503452941649691E-2</v>
      </c>
      <c r="AO59" s="1206">
        <f t="shared" si="37"/>
        <v>-4.8459024990899893E-2</v>
      </c>
    </row>
    <row r="60" spans="1:41" x14ac:dyDescent="0.8">
      <c r="A60" s="1208" t="s">
        <v>447</v>
      </c>
      <c r="B60" s="1265">
        <v>83225</v>
      </c>
      <c r="C60" s="1265">
        <v>63597</v>
      </c>
      <c r="D60" s="1265">
        <v>57993</v>
      </c>
      <c r="E60" s="1265">
        <v>91189</v>
      </c>
      <c r="F60" s="1265">
        <v>95547</v>
      </c>
      <c r="G60" s="1265">
        <v>84078</v>
      </c>
      <c r="H60" s="1157">
        <f t="shared" ref="H60:AO60" si="38">H51+H71</f>
        <v>84781.668889999986</v>
      </c>
      <c r="I60" s="1156">
        <f t="shared" si="38"/>
        <v>97306.954304647239</v>
      </c>
      <c r="J60" s="1156">
        <f t="shared" si="38"/>
        <v>94372.964193203166</v>
      </c>
      <c r="K60" s="1156">
        <f t="shared" si="38"/>
        <v>90227.633674070385</v>
      </c>
      <c r="L60" s="1156">
        <f t="shared" si="38"/>
        <v>85726.765860023152</v>
      </c>
      <c r="M60" s="1156">
        <f t="shared" si="38"/>
        <v>92857.866393906152</v>
      </c>
      <c r="N60" s="1157">
        <f t="shared" si="38"/>
        <v>86381.8112284237</v>
      </c>
      <c r="O60" s="1156">
        <f t="shared" si="38"/>
        <v>89980.711799005556</v>
      </c>
      <c r="P60" s="1156">
        <f t="shared" si="38"/>
        <v>85835.988928546096</v>
      </c>
      <c r="Q60" s="1156">
        <f t="shared" si="38"/>
        <v>88303.01853366557</v>
      </c>
      <c r="R60" s="1156">
        <f t="shared" si="38"/>
        <v>83746.922306074557</v>
      </c>
      <c r="S60" s="1156">
        <f t="shared" si="38"/>
        <v>85386.43714952255</v>
      </c>
      <c r="T60" s="1156">
        <f t="shared" si="38"/>
        <v>82073.327927284176</v>
      </c>
      <c r="U60" s="1156">
        <f t="shared" si="38"/>
        <v>83159.507784971633</v>
      </c>
      <c r="V60" s="1156">
        <f t="shared" si="38"/>
        <v>80641.280920165096</v>
      </c>
      <c r="W60" s="1156">
        <f t="shared" si="38"/>
        <v>81359.207471420814</v>
      </c>
      <c r="X60" s="1156">
        <f t="shared" si="38"/>
        <v>79357.240803845052</v>
      </c>
      <c r="Y60" s="1156">
        <f t="shared" si="38"/>
        <v>79248.968112749746</v>
      </c>
      <c r="Z60" s="1156">
        <f t="shared" si="38"/>
        <v>77599.08867356526</v>
      </c>
      <c r="AA60" s="1156">
        <f t="shared" si="38"/>
        <v>77185.100425271317</v>
      </c>
      <c r="AB60" s="1156">
        <f t="shared" si="38"/>
        <v>75773.257809370087</v>
      </c>
      <c r="AC60" s="1156">
        <f t="shared" si="38"/>
        <v>75168.897409755358</v>
      </c>
      <c r="AD60" s="1156">
        <f t="shared" si="38"/>
        <v>73920.810959750452</v>
      </c>
      <c r="AE60" s="1156">
        <f t="shared" si="38"/>
        <v>73201.510273344233</v>
      </c>
      <c r="AF60" s="1156">
        <f t="shared" si="38"/>
        <v>72068.723978946247</v>
      </c>
      <c r="AG60" s="1156">
        <f t="shared" si="38"/>
        <v>71283.54012690729</v>
      </c>
      <c r="AH60" s="1156">
        <f t="shared" si="38"/>
        <v>70509.190198887707</v>
      </c>
      <c r="AI60" s="1156">
        <f t="shared" si="38"/>
        <v>69743.578325837123</v>
      </c>
      <c r="AJ60" s="1156">
        <f t="shared" si="38"/>
        <v>68986.6059042665</v>
      </c>
      <c r="AK60" s="1156">
        <f t="shared" si="38"/>
        <v>68238.175443365544</v>
      </c>
      <c r="AL60" s="1156">
        <f t="shared" si="38"/>
        <v>67498.190552446802</v>
      </c>
      <c r="AM60" s="1156">
        <f t="shared" si="38"/>
        <v>66766.555928531539</v>
      </c>
      <c r="AN60" s="1156">
        <f t="shared" si="38"/>
        <v>66043.177344075506</v>
      </c>
      <c r="AO60" s="1158">
        <f t="shared" si="38"/>
        <v>65327.961634833446</v>
      </c>
    </row>
    <row r="61" spans="1:41" x14ac:dyDescent="0.8">
      <c r="A61" s="1202" t="s">
        <v>121</v>
      </c>
      <c r="B61" s="1203"/>
      <c r="C61" s="1204">
        <f t="shared" ref="C61:AO61" si="39">(C60-B60)/B60</f>
        <v>-0.23584259537398619</v>
      </c>
      <c r="D61" s="1204">
        <f t="shared" si="39"/>
        <v>-8.8117364026605027E-2</v>
      </c>
      <c r="E61" s="1204">
        <f t="shared" si="39"/>
        <v>0.57241391202386493</v>
      </c>
      <c r="F61" s="1204">
        <f t="shared" si="39"/>
        <v>4.7790851966794237E-2</v>
      </c>
      <c r="G61" s="1204">
        <f t="shared" si="39"/>
        <v>-0.12003516593927596</v>
      </c>
      <c r="H61" s="1264">
        <f t="shared" si="39"/>
        <v>8.3692391588761177E-3</v>
      </c>
      <c r="I61" s="1204">
        <f t="shared" si="39"/>
        <v>0.14773577329432133</v>
      </c>
      <c r="J61" s="1204">
        <f t="shared" si="39"/>
        <v>-3.0151905713320118E-2</v>
      </c>
      <c r="K61" s="1204">
        <f t="shared" si="39"/>
        <v>-4.3924979516870286E-2</v>
      </c>
      <c r="L61" s="1204">
        <f t="shared" si="39"/>
        <v>-4.988347395107063E-2</v>
      </c>
      <c r="M61" s="1204">
        <f t="shared" si="39"/>
        <v>8.3184061154562186E-2</v>
      </c>
      <c r="N61" s="1264">
        <f t="shared" si="39"/>
        <v>-6.9741589129463849E-2</v>
      </c>
      <c r="O61" s="1204">
        <f t="shared" si="39"/>
        <v>4.1662712547958801E-2</v>
      </c>
      <c r="P61" s="1204">
        <f t="shared" si="39"/>
        <v>-4.6062348114312944E-2</v>
      </c>
      <c r="Q61" s="1204">
        <f t="shared" si="39"/>
        <v>2.8741203263506938E-2</v>
      </c>
      <c r="R61" s="1204">
        <f t="shared" si="39"/>
        <v>-5.1596154958779797E-2</v>
      </c>
      <c r="S61" s="1204">
        <f t="shared" si="39"/>
        <v>1.9577016065807959E-2</v>
      </c>
      <c r="T61" s="1204">
        <f t="shared" si="39"/>
        <v>-3.8801352215184909E-2</v>
      </c>
      <c r="U61" s="1204">
        <f t="shared" si="39"/>
        <v>1.3234261179829303E-2</v>
      </c>
      <c r="V61" s="1204">
        <f t="shared" si="39"/>
        <v>-3.0281887566217941E-2</v>
      </c>
      <c r="W61" s="1204">
        <f t="shared" si="39"/>
        <v>8.9027176039833157E-3</v>
      </c>
      <c r="X61" s="1204">
        <f t="shared" si="39"/>
        <v>-2.4606516334110012E-2</v>
      </c>
      <c r="Y61" s="1204">
        <f t="shared" si="39"/>
        <v>-1.3643706610583163E-3</v>
      </c>
      <c r="Z61" s="1204">
        <f t="shared" si="39"/>
        <v>-2.0818939078640818E-2</v>
      </c>
      <c r="AA61" s="1204">
        <f t="shared" si="39"/>
        <v>-5.3349627601357542E-3</v>
      </c>
      <c r="AB61" s="1204">
        <f t="shared" si="39"/>
        <v>-1.8291647068181784E-2</v>
      </c>
      <c r="AC61" s="1204">
        <f t="shared" si="39"/>
        <v>-7.9759062377280227E-3</v>
      </c>
      <c r="AD61" s="1204">
        <f t="shared" si="39"/>
        <v>-1.6603761569115829E-2</v>
      </c>
      <c r="AE61" s="1204">
        <f t="shared" si="39"/>
        <v>-9.7306925758413963E-3</v>
      </c>
      <c r="AF61" s="1204">
        <f t="shared" si="39"/>
        <v>-1.547490332054639E-2</v>
      </c>
      <c r="AG61" s="1204">
        <f t="shared" si="39"/>
        <v>-1.0894932068844962E-2</v>
      </c>
      <c r="AH61" s="1204">
        <f t="shared" si="39"/>
        <v>-1.0862955552445833E-2</v>
      </c>
      <c r="AI61" s="1204">
        <f t="shared" si="39"/>
        <v>-1.085832741648282E-2</v>
      </c>
      <c r="AJ61" s="1204">
        <f t="shared" si="39"/>
        <v>-1.0853650468493323E-2</v>
      </c>
      <c r="AK61" s="1204">
        <f t="shared" si="39"/>
        <v>-1.0848924238127637E-2</v>
      </c>
      <c r="AL61" s="1204">
        <f t="shared" si="39"/>
        <v>-1.0844148251485631E-2</v>
      </c>
      <c r="AM61" s="1204">
        <f t="shared" si="39"/>
        <v>-1.0839322031110965E-2</v>
      </c>
      <c r="AN61" s="1204">
        <f t="shared" si="39"/>
        <v>-1.0834445095990191E-2</v>
      </c>
      <c r="AO61" s="1206">
        <f t="shared" si="39"/>
        <v>-1.0829516961546061E-2</v>
      </c>
    </row>
    <row r="62" spans="1:41" x14ac:dyDescent="0.8">
      <c r="A62" s="1208" t="s">
        <v>116</v>
      </c>
      <c r="B62" s="1156">
        <v>27156</v>
      </c>
      <c r="C62" s="1156">
        <v>26689</v>
      </c>
      <c r="D62" s="1156">
        <v>21114</v>
      </c>
      <c r="E62" s="1156">
        <v>22328</v>
      </c>
      <c r="F62" s="1156">
        <v>23775</v>
      </c>
      <c r="G62" s="1156">
        <v>19784</v>
      </c>
      <c r="H62" s="1157">
        <f t="shared" ref="H62:AO62" si="40">H53+H72</f>
        <v>12463.4933</v>
      </c>
      <c r="I62" s="1156">
        <f t="shared" si="40"/>
        <v>10992.8615066</v>
      </c>
      <c r="J62" s="1156">
        <f t="shared" si="40"/>
        <v>10965.380632833501</v>
      </c>
      <c r="K62" s="1156">
        <f t="shared" si="40"/>
        <v>11061.871476802437</v>
      </c>
      <c r="L62" s="1156">
        <f t="shared" si="40"/>
        <v>10918.073803604004</v>
      </c>
      <c r="M62" s="1156">
        <f t="shared" si="40"/>
        <v>11225.949046465639</v>
      </c>
      <c r="N62" s="1157">
        <f t="shared" si="40"/>
        <v>11433.619631825253</v>
      </c>
      <c r="O62" s="1156">
        <f t="shared" si="40"/>
        <v>11423.32983495661</v>
      </c>
      <c r="P62" s="1156">
        <f t="shared" si="40"/>
        <v>11568.018860866063</v>
      </c>
      <c r="Q62" s="1156">
        <f t="shared" si="40"/>
        <v>11563.391858121717</v>
      </c>
      <c r="R62" s="1156">
        <f t="shared" si="40"/>
        <v>11662.746973939651</v>
      </c>
      <c r="S62" s="1156">
        <f t="shared" si="40"/>
        <v>11660.673687722063</v>
      </c>
      <c r="T62" s="1156">
        <f t="shared" si="40"/>
        <v>11728.235447624586</v>
      </c>
      <c r="U62" s="1156">
        <f t="shared" si="40"/>
        <v>11727.308812685515</v>
      </c>
      <c r="V62" s="1156">
        <f t="shared" si="40"/>
        <v>11772.950556841701</v>
      </c>
      <c r="W62" s="1156">
        <f t="shared" si="40"/>
        <v>11961.135167254031</v>
      </c>
      <c r="X62" s="1156">
        <f t="shared" si="40"/>
        <v>12033.017035869083</v>
      </c>
      <c r="Y62" s="1156">
        <f t="shared" si="40"/>
        <v>12201.353266815338</v>
      </c>
      <c r="Z62" s="1156">
        <f t="shared" si="40"/>
        <v>12290.906437529296</v>
      </c>
      <c r="AA62" s="1156">
        <f t="shared" si="40"/>
        <v>12446.503842663515</v>
      </c>
      <c r="AB62" s="1156">
        <f t="shared" si="40"/>
        <v>12548.892185981513</v>
      </c>
      <c r="AC62" s="1156">
        <f t="shared" si="40"/>
        <v>12696.629137230131</v>
      </c>
      <c r="AD62" s="1156">
        <f t="shared" si="40"/>
        <v>12808.580212365569</v>
      </c>
      <c r="AE62" s="1156">
        <f t="shared" si="40"/>
        <v>12951.803345870063</v>
      </c>
      <c r="AF62" s="1156">
        <f t="shared" si="40"/>
        <v>13071.10840720138</v>
      </c>
      <c r="AG62" s="1156">
        <f t="shared" si="40"/>
        <v>13212.116256373367</v>
      </c>
      <c r="AH62" s="1156">
        <f t="shared" si="40"/>
        <v>13337.290283194523</v>
      </c>
      <c r="AI62" s="1156">
        <f t="shared" si="40"/>
        <v>13477.665854255707</v>
      </c>
      <c r="AJ62" s="1156">
        <f t="shared" si="40"/>
        <v>13607.716360570039</v>
      </c>
      <c r="AK62" s="1156">
        <f t="shared" si="40"/>
        <v>13748.554992953832</v>
      </c>
      <c r="AL62" s="1156">
        <f t="shared" si="40"/>
        <v>13882.824806618904</v>
      </c>
      <c r="AM62" s="1156">
        <f t="shared" si="40"/>
        <v>14024.88990732863</v>
      </c>
      <c r="AN62" s="1156">
        <f t="shared" si="40"/>
        <v>14162.950253417728</v>
      </c>
      <c r="AO62" s="1158">
        <f t="shared" si="40"/>
        <v>14306.779563330741</v>
      </c>
    </row>
    <row r="63" spans="1:41" x14ac:dyDescent="0.8">
      <c r="A63" s="1202" t="s">
        <v>121</v>
      </c>
      <c r="B63" s="1203"/>
      <c r="C63" s="1204">
        <f t="shared" ref="C63:AO63" si="41">(C62-B62)/B62</f>
        <v>-1.7196936220356458E-2</v>
      </c>
      <c r="D63" s="1204">
        <f t="shared" si="41"/>
        <v>-0.20888755667128781</v>
      </c>
      <c r="E63" s="1204">
        <f t="shared" si="41"/>
        <v>5.7497395093303025E-2</v>
      </c>
      <c r="F63" s="1204">
        <f t="shared" si="41"/>
        <v>6.4806520960229305E-2</v>
      </c>
      <c r="G63" s="1204">
        <f t="shared" si="41"/>
        <v>-0.16786540483701368</v>
      </c>
      <c r="H63" s="1264">
        <f t="shared" si="41"/>
        <v>-0.37002156793368379</v>
      </c>
      <c r="I63" s="1204">
        <f t="shared" si="41"/>
        <v>-0.11799515256288538</v>
      </c>
      <c r="J63" s="1204">
        <f t="shared" si="41"/>
        <v>-2.4998835607998593E-3</v>
      </c>
      <c r="K63" s="1204">
        <f t="shared" si="41"/>
        <v>8.7995891068308116E-3</v>
      </c>
      <c r="L63" s="1204">
        <f t="shared" si="41"/>
        <v>-1.2999398293497357E-2</v>
      </c>
      <c r="M63" s="1204">
        <f t="shared" si="41"/>
        <v>2.8198677568932278E-2</v>
      </c>
      <c r="N63" s="1264">
        <f t="shared" si="41"/>
        <v>1.8499156240602815E-2</v>
      </c>
      <c r="O63" s="1204">
        <f t="shared" si="41"/>
        <v>-8.9995969780221714E-4</v>
      </c>
      <c r="P63" s="1204">
        <f t="shared" si="41"/>
        <v>1.266609893961817E-2</v>
      </c>
      <c r="Q63" s="1204">
        <f t="shared" si="41"/>
        <v>-3.999822960177721E-4</v>
      </c>
      <c r="R63" s="1204">
        <f t="shared" si="41"/>
        <v>8.5922121326495425E-3</v>
      </c>
      <c r="S63" s="1204">
        <f t="shared" si="41"/>
        <v>-1.7776997325081261E-4</v>
      </c>
      <c r="T63" s="1204">
        <f t="shared" si="41"/>
        <v>5.793984268135456E-3</v>
      </c>
      <c r="U63" s="1204">
        <f t="shared" si="41"/>
        <v>-7.9008896368857896E-5</v>
      </c>
      <c r="V63" s="1204">
        <f t="shared" si="41"/>
        <v>3.8919196965986921E-3</v>
      </c>
      <c r="W63" s="1204">
        <f t="shared" si="41"/>
        <v>1.5984489997112022E-2</v>
      </c>
      <c r="X63" s="1204">
        <f t="shared" si="41"/>
        <v>6.0096192886309359E-3</v>
      </c>
      <c r="Y63" s="1204">
        <f t="shared" si="41"/>
        <v>1.3989528182704629E-2</v>
      </c>
      <c r="Z63" s="1204">
        <f t="shared" si="41"/>
        <v>7.3396096937477003E-3</v>
      </c>
      <c r="AA63" s="1204">
        <f t="shared" si="41"/>
        <v>1.265955492583639E-2</v>
      </c>
      <c r="AB63" s="1204">
        <f t="shared" si="41"/>
        <v>8.2262733866707485E-3</v>
      </c>
      <c r="AC63" s="1204">
        <f t="shared" si="41"/>
        <v>1.1772907843901694E-2</v>
      </c>
      <c r="AD63" s="1204">
        <f t="shared" si="41"/>
        <v>8.8173856167197105E-3</v>
      </c>
      <c r="AE63" s="1204">
        <f t="shared" si="41"/>
        <v>1.1181811811290758E-2</v>
      </c>
      <c r="AF63" s="1204">
        <f t="shared" si="41"/>
        <v>9.2114633109651005E-3</v>
      </c>
      <c r="AG63" s="1204">
        <f t="shared" si="41"/>
        <v>1.0787749958090792E-2</v>
      </c>
      <c r="AH63" s="1204">
        <f t="shared" si="41"/>
        <v>9.4741844828055925E-3</v>
      </c>
      <c r="AI63" s="1204">
        <f t="shared" si="41"/>
        <v>1.0525044299145412E-2</v>
      </c>
      <c r="AJ63" s="1204">
        <f t="shared" si="41"/>
        <v>9.649334515387702E-3</v>
      </c>
      <c r="AK63" s="1204">
        <f t="shared" si="41"/>
        <v>1.0349909466946975E-2</v>
      </c>
      <c r="AL63" s="1204">
        <f t="shared" si="41"/>
        <v>9.7661036911796222E-3</v>
      </c>
      <c r="AM63" s="1204">
        <f t="shared" si="41"/>
        <v>1.0233155189136546E-2</v>
      </c>
      <c r="AN63" s="1204">
        <f t="shared" si="41"/>
        <v>9.8439522164773113E-3</v>
      </c>
      <c r="AO63" s="1206">
        <f t="shared" si="41"/>
        <v>1.015532126707182E-2</v>
      </c>
    </row>
    <row r="64" spans="1:41" x14ac:dyDescent="0.8">
      <c r="A64" s="1269" t="s">
        <v>120</v>
      </c>
      <c r="B64" s="1159">
        <f t="shared" ref="B64:AO64" si="42">SUM(B62,B60,B58)</f>
        <v>363273</v>
      </c>
      <c r="C64" s="1159">
        <f t="shared" si="42"/>
        <v>368004</v>
      </c>
      <c r="D64" s="1159">
        <f t="shared" si="42"/>
        <v>280014</v>
      </c>
      <c r="E64" s="1159">
        <f t="shared" si="42"/>
        <v>336330</v>
      </c>
      <c r="F64" s="1159">
        <f t="shared" si="42"/>
        <v>338767</v>
      </c>
      <c r="G64" s="1159">
        <f t="shared" si="42"/>
        <v>317209</v>
      </c>
      <c r="H64" s="1160">
        <f t="shared" si="42"/>
        <v>291763.03818999999</v>
      </c>
      <c r="I64" s="1159">
        <f t="shared" si="42"/>
        <v>319369.93508804729</v>
      </c>
      <c r="J64" s="1159">
        <f t="shared" si="42"/>
        <v>314708.11557549465</v>
      </c>
      <c r="K64" s="1159">
        <f t="shared" si="42"/>
        <v>324651.60766909434</v>
      </c>
      <c r="L64" s="1159">
        <f t="shared" si="42"/>
        <v>312451.74932822911</v>
      </c>
      <c r="M64" s="1159">
        <f t="shared" si="42"/>
        <v>322466.60144494905</v>
      </c>
      <c r="N64" s="1160">
        <f t="shared" si="42"/>
        <v>286915.31118180917</v>
      </c>
      <c r="O64" s="1159">
        <f t="shared" si="42"/>
        <v>294488.44780073955</v>
      </c>
      <c r="P64" s="1159">
        <f t="shared" si="42"/>
        <v>273444.68735097966</v>
      </c>
      <c r="Q64" s="1159">
        <f t="shared" si="42"/>
        <v>278720.87784781202</v>
      </c>
      <c r="R64" s="1159">
        <f t="shared" si="42"/>
        <v>257500.73366735392</v>
      </c>
      <c r="S64" s="1159">
        <f t="shared" si="42"/>
        <v>261004.29044669535</v>
      </c>
      <c r="T64" s="1159">
        <f t="shared" si="42"/>
        <v>246163.29288861968</v>
      </c>
      <c r="U64" s="1159">
        <f t="shared" si="42"/>
        <v>248475.82501230133</v>
      </c>
      <c r="V64" s="1159">
        <f t="shared" si="42"/>
        <v>237494.91545295212</v>
      </c>
      <c r="W64" s="1159">
        <f t="shared" si="42"/>
        <v>237851.95979960082</v>
      </c>
      <c r="X64" s="1159">
        <f t="shared" si="42"/>
        <v>229391.84087552089</v>
      </c>
      <c r="Y64" s="1159">
        <f t="shared" si="42"/>
        <v>222694.88456047885</v>
      </c>
      <c r="Z64" s="1159">
        <f t="shared" si="42"/>
        <v>214711.16629245074</v>
      </c>
      <c r="AA64" s="1159">
        <f t="shared" si="42"/>
        <v>208346.53842971154</v>
      </c>
      <c r="AB64" s="1159">
        <f t="shared" si="42"/>
        <v>201232.34259039059</v>
      </c>
      <c r="AC64" s="1159">
        <f t="shared" si="42"/>
        <v>195257.58669014441</v>
      </c>
      <c r="AD64" s="1159">
        <f t="shared" si="42"/>
        <v>188875.77665320644</v>
      </c>
      <c r="AE64" s="1159">
        <f t="shared" si="42"/>
        <v>183313.02962467587</v>
      </c>
      <c r="AF64" s="1159">
        <f t="shared" si="42"/>
        <v>177559.09572133952</v>
      </c>
      <c r="AG64" s="1159">
        <f t="shared" si="42"/>
        <v>172408.52689879746</v>
      </c>
      <c r="AH64" s="1159">
        <f t="shared" si="42"/>
        <v>167475.46132339537</v>
      </c>
      <c r="AI64" s="1159">
        <f t="shared" si="42"/>
        <v>162777.85239986615</v>
      </c>
      <c r="AJ64" s="1159">
        <f t="shared" si="42"/>
        <v>158279.63126125853</v>
      </c>
      <c r="AK64" s="1159">
        <f t="shared" si="42"/>
        <v>153991.88560854306</v>
      </c>
      <c r="AL64" s="1159">
        <f t="shared" si="42"/>
        <v>149887.72430216084</v>
      </c>
      <c r="AM64" s="1159">
        <f t="shared" si="42"/>
        <v>145972.44433238998</v>
      </c>
      <c r="AN64" s="1159">
        <f t="shared" si="42"/>
        <v>142225.62260075688</v>
      </c>
      <c r="AO64" s="1161">
        <f t="shared" si="42"/>
        <v>138648.8319431417</v>
      </c>
    </row>
    <row r="65" spans="1:41" x14ac:dyDescent="0.8">
      <c r="A65" s="1269" t="s">
        <v>119</v>
      </c>
      <c r="B65" s="1270"/>
      <c r="C65" s="1270">
        <f t="shared" ref="C65:AO65" si="43">(C64-B64)/B64</f>
        <v>1.3023263496048426E-2</v>
      </c>
      <c r="D65" s="1270">
        <f t="shared" si="43"/>
        <v>-0.23910066194932664</v>
      </c>
      <c r="E65" s="1270">
        <f t="shared" si="43"/>
        <v>0.2011185155027963</v>
      </c>
      <c r="F65" s="1270">
        <f t="shared" si="43"/>
        <v>7.2458597211072463E-3</v>
      </c>
      <c r="G65" s="1270">
        <f t="shared" si="43"/>
        <v>-6.3636658824501799E-2</v>
      </c>
      <c r="H65" s="1271">
        <f t="shared" si="43"/>
        <v>-8.0218284506429538E-2</v>
      </c>
      <c r="I65" s="1270">
        <f t="shared" si="43"/>
        <v>9.46209535975195E-2</v>
      </c>
      <c r="J65" s="1270">
        <f t="shared" si="43"/>
        <v>-1.459692663702806E-2</v>
      </c>
      <c r="K65" s="1270">
        <f t="shared" si="43"/>
        <v>3.1595918889528507E-2</v>
      </c>
      <c r="L65" s="1270">
        <f t="shared" si="43"/>
        <v>-3.7578308724409919E-2</v>
      </c>
      <c r="M65" s="1270">
        <f t="shared" si="43"/>
        <v>3.2052475744660913E-2</v>
      </c>
      <c r="N65" s="1271">
        <f t="shared" si="43"/>
        <v>-0.11024797639146866</v>
      </c>
      <c r="O65" s="1270">
        <f t="shared" si="43"/>
        <v>2.6395024328734841E-2</v>
      </c>
      <c r="P65" s="1270">
        <f t="shared" si="43"/>
        <v>-7.1458695941780323E-2</v>
      </c>
      <c r="Q65" s="1270">
        <f t="shared" si="43"/>
        <v>1.9295275208840008E-2</v>
      </c>
      <c r="R65" s="1270">
        <f t="shared" si="43"/>
        <v>-7.6134031811010514E-2</v>
      </c>
      <c r="S65" s="1270">
        <f t="shared" si="43"/>
        <v>1.3606006978867127E-2</v>
      </c>
      <c r="T65" s="1270">
        <f t="shared" si="43"/>
        <v>-5.6861124898276855E-2</v>
      </c>
      <c r="U65" s="1270">
        <f t="shared" si="43"/>
        <v>9.394301223976529E-3</v>
      </c>
      <c r="V65" s="1270">
        <f t="shared" si="43"/>
        <v>-4.4193070125858623E-2</v>
      </c>
      <c r="W65" s="1270">
        <f t="shared" si="43"/>
        <v>1.5033768026896377E-3</v>
      </c>
      <c r="X65" s="1270">
        <f t="shared" si="43"/>
        <v>-3.5568842616255487E-2</v>
      </c>
      <c r="Y65" s="1270">
        <f t="shared" si="43"/>
        <v>-2.9194396319772054E-2</v>
      </c>
      <c r="Z65" s="1270">
        <f t="shared" si="43"/>
        <v>-3.5850478935720298E-2</v>
      </c>
      <c r="AA65" s="1270">
        <f t="shared" si="43"/>
        <v>-2.9642742725686469E-2</v>
      </c>
      <c r="AB65" s="1270">
        <f t="shared" si="43"/>
        <v>-3.4145975704420059E-2</v>
      </c>
      <c r="AC65" s="1270">
        <f t="shared" si="43"/>
        <v>-2.9690833110300879E-2</v>
      </c>
      <c r="AD65" s="1270">
        <f t="shared" si="43"/>
        <v>-3.2684056712558397E-2</v>
      </c>
      <c r="AE65" s="1270">
        <f t="shared" si="43"/>
        <v>-2.9451881692295026E-2</v>
      </c>
      <c r="AF65" s="1270">
        <f t="shared" si="43"/>
        <v>-3.1388570223934646E-2</v>
      </c>
      <c r="AG65" s="1270">
        <f t="shared" si="43"/>
        <v>-2.9007631524691591E-2</v>
      </c>
      <c r="AH65" s="1270">
        <f t="shared" si="43"/>
        <v>-2.8612654281871788E-2</v>
      </c>
      <c r="AI65" s="1270">
        <f t="shared" si="43"/>
        <v>-2.8049535653812151E-2</v>
      </c>
      <c r="AJ65" s="1270">
        <f t="shared" si="43"/>
        <v>-2.7634110367531314E-2</v>
      </c>
      <c r="AK65" s="1270">
        <f t="shared" si="43"/>
        <v>-2.7089686894948978E-2</v>
      </c>
      <c r="AL65" s="1270">
        <f t="shared" si="43"/>
        <v>-2.6651802399609861E-2</v>
      </c>
      <c r="AM65" s="1270">
        <f t="shared" si="43"/>
        <v>-2.6121418468386368E-2</v>
      </c>
      <c r="AN65" s="1270">
        <f t="shared" si="43"/>
        <v>-2.5668007059615382E-2</v>
      </c>
      <c r="AO65" s="1272">
        <f t="shared" si="43"/>
        <v>-2.5148708033120176E-2</v>
      </c>
    </row>
    <row r="66" spans="1:41" ht="16.75" thickBot="1" x14ac:dyDescent="0.95">
      <c r="A66" s="1273"/>
      <c r="B66" s="1214"/>
      <c r="C66" s="1214"/>
      <c r="D66" s="1214"/>
      <c r="E66" s="1214"/>
      <c r="F66" s="1214"/>
      <c r="G66" s="1214"/>
      <c r="H66" s="1274"/>
      <c r="I66" s="1214"/>
      <c r="J66" s="1214"/>
      <c r="K66" s="1214"/>
      <c r="L66" s="1214"/>
      <c r="M66" s="1214"/>
      <c r="N66" s="1274"/>
      <c r="O66" s="1214"/>
      <c r="P66" s="1214"/>
      <c r="Q66" s="1214"/>
      <c r="R66" s="1214"/>
      <c r="S66" s="1214"/>
      <c r="T66" s="1214"/>
      <c r="U66" s="1214"/>
      <c r="V66" s="1214"/>
      <c r="W66" s="1214"/>
      <c r="X66" s="1214"/>
      <c r="Y66" s="1214"/>
      <c r="Z66" s="1214"/>
      <c r="AA66" s="1214"/>
      <c r="AB66" s="1214"/>
      <c r="AC66" s="1214"/>
      <c r="AD66" s="1214"/>
      <c r="AE66" s="1214"/>
      <c r="AF66" s="1214"/>
      <c r="AG66" s="1214"/>
      <c r="AH66" s="1214"/>
      <c r="AI66" s="1214"/>
      <c r="AJ66" s="1214"/>
      <c r="AK66" s="1214"/>
      <c r="AL66" s="1214"/>
      <c r="AM66" s="1214"/>
      <c r="AN66" s="1214"/>
      <c r="AO66" s="1260"/>
    </row>
    <row r="67" spans="1:41" x14ac:dyDescent="0.8">
      <c r="A67" s="1275"/>
      <c r="B67" s="1276"/>
      <c r="C67" s="1276"/>
      <c r="D67" s="1276"/>
      <c r="E67" s="1276"/>
      <c r="F67" s="1276"/>
      <c r="G67" s="1276"/>
      <c r="H67" s="1277"/>
      <c r="I67" s="1276"/>
      <c r="J67" s="1276"/>
      <c r="K67" s="1276"/>
      <c r="L67" s="1276"/>
      <c r="M67" s="1276"/>
      <c r="N67" s="1277"/>
      <c r="O67" s="1276"/>
      <c r="P67" s="1276"/>
      <c r="Q67" s="1276"/>
      <c r="R67" s="1276"/>
      <c r="S67" s="1276"/>
      <c r="T67" s="1276"/>
      <c r="U67" s="1276"/>
      <c r="V67" s="1276"/>
      <c r="W67" s="1276"/>
      <c r="X67" s="1276"/>
      <c r="Y67" s="1276"/>
      <c r="Z67" s="1276"/>
      <c r="AA67" s="1276"/>
      <c r="AB67" s="1276"/>
      <c r="AC67" s="1276"/>
      <c r="AD67" s="1276"/>
      <c r="AE67" s="1276"/>
      <c r="AF67" s="1276"/>
      <c r="AG67" s="1276"/>
      <c r="AH67" s="1276"/>
      <c r="AI67" s="1276"/>
      <c r="AJ67" s="1276"/>
      <c r="AK67" s="1276"/>
      <c r="AL67" s="1276"/>
      <c r="AM67" s="1276"/>
      <c r="AN67" s="1276"/>
      <c r="AO67" s="1276"/>
    </row>
    <row r="68" spans="1:41" x14ac:dyDescent="0.8">
      <c r="A68" s="1278"/>
      <c r="B68" s="1278"/>
      <c r="C68" s="1278"/>
      <c r="D68" s="1278"/>
      <c r="E68" s="1278"/>
      <c r="F68" s="1278"/>
      <c r="G68" s="1278"/>
      <c r="H68" s="1279"/>
      <c r="I68" s="1278"/>
      <c r="J68" s="1278"/>
      <c r="K68" s="1278"/>
      <c r="L68" s="1278"/>
      <c r="M68" s="1278"/>
      <c r="N68" s="1279"/>
      <c r="O68" s="1278"/>
      <c r="P68" s="1278"/>
      <c r="Q68" s="1278"/>
      <c r="R68" s="1278"/>
      <c r="S68" s="1278"/>
      <c r="T68" s="1278"/>
      <c r="U68" s="1278"/>
      <c r="V68" s="1278"/>
      <c r="W68" s="1278"/>
      <c r="X68" s="1278"/>
      <c r="Y68" s="1278"/>
      <c r="Z68" s="1278"/>
      <c r="AA68" s="1278"/>
      <c r="AB68" s="1278"/>
      <c r="AC68" s="1278"/>
      <c r="AD68" s="1278"/>
      <c r="AE68" s="1278"/>
      <c r="AF68" s="1278"/>
      <c r="AG68" s="1278"/>
      <c r="AH68" s="1278"/>
      <c r="AI68" s="1278"/>
      <c r="AJ68" s="1278"/>
      <c r="AK68" s="1278"/>
      <c r="AL68" s="1278"/>
      <c r="AM68" s="1278"/>
      <c r="AN68" s="1278"/>
      <c r="AO68" s="1278"/>
    </row>
    <row r="69" spans="1:41" ht="16.75" thickBot="1" x14ac:dyDescent="0.95">
      <c r="A69" s="1280" t="s">
        <v>118</v>
      </c>
      <c r="B69" s="1278"/>
      <c r="C69" s="1278"/>
      <c r="D69" s="1278"/>
      <c r="E69" s="1278"/>
      <c r="F69" s="1278"/>
      <c r="G69" s="1278"/>
      <c r="H69" s="1279"/>
      <c r="I69" s="1278"/>
      <c r="J69" s="1278"/>
      <c r="K69" s="1278"/>
      <c r="L69" s="1278"/>
      <c r="M69" s="1278"/>
      <c r="N69" s="1279"/>
      <c r="O69" s="1278"/>
      <c r="P69" s="1278"/>
      <c r="Q69" s="1278"/>
      <c r="R69" s="1278"/>
      <c r="S69" s="1278"/>
      <c r="T69" s="1278"/>
      <c r="U69" s="1278"/>
      <c r="V69" s="1278"/>
      <c r="W69" s="1278"/>
      <c r="X69" s="1278"/>
      <c r="Y69" s="1278"/>
      <c r="Z69" s="1278"/>
      <c r="AA69" s="1278"/>
      <c r="AB69" s="1278"/>
      <c r="AC69" s="1278"/>
      <c r="AD69" s="1278"/>
      <c r="AE69" s="1278"/>
      <c r="AF69" s="1278"/>
      <c r="AG69" s="1278"/>
      <c r="AH69" s="1278"/>
      <c r="AI69" s="1278"/>
      <c r="AJ69" s="1278"/>
      <c r="AK69" s="1278"/>
      <c r="AL69" s="1278"/>
      <c r="AM69" s="1278"/>
      <c r="AN69" s="1278"/>
      <c r="AO69" s="1278"/>
    </row>
    <row r="70" spans="1:41" ht="16.75" thickBot="1" x14ac:dyDescent="0.95">
      <c r="A70" s="1281" t="s">
        <v>117</v>
      </c>
      <c r="B70" s="1261">
        <f t="shared" ref="B70:G70" si="44">B58-B49</f>
        <v>489.32000000000698</v>
      </c>
      <c r="C70" s="1261">
        <f t="shared" si="44"/>
        <v>1544.7199999999721</v>
      </c>
      <c r="D70" s="1261">
        <f t="shared" si="44"/>
        <v>99.799999999988358</v>
      </c>
      <c r="E70" s="1261">
        <f t="shared" si="44"/>
        <v>-287.27999999999884</v>
      </c>
      <c r="F70" s="1261">
        <f t="shared" si="44"/>
        <v>320.5</v>
      </c>
      <c r="G70" s="1261">
        <f t="shared" si="44"/>
        <v>4075</v>
      </c>
      <c r="H70" s="1262">
        <f t="shared" ref="H70:H72" si="45">AVERAGE(C70:G70)</f>
        <v>1150.5479999999923</v>
      </c>
      <c r="I70" s="1261">
        <f>H70</f>
        <v>1150.5479999999923</v>
      </c>
      <c r="J70" s="1261">
        <f t="shared" ref="J70:AO72" si="46">I70</f>
        <v>1150.5479999999923</v>
      </c>
      <c r="K70" s="1261">
        <f t="shared" si="46"/>
        <v>1150.5479999999923</v>
      </c>
      <c r="L70" s="1261">
        <f t="shared" si="46"/>
        <v>1150.5479999999923</v>
      </c>
      <c r="M70" s="1261">
        <f t="shared" si="46"/>
        <v>1150.5479999999923</v>
      </c>
      <c r="N70" s="1261">
        <f t="shared" si="46"/>
        <v>1150.5479999999923</v>
      </c>
      <c r="O70" s="1261">
        <f t="shared" si="46"/>
        <v>1150.5479999999923</v>
      </c>
      <c r="P70" s="1261">
        <f t="shared" si="46"/>
        <v>1150.5479999999923</v>
      </c>
      <c r="Q70" s="1261">
        <f t="shared" si="46"/>
        <v>1150.5479999999923</v>
      </c>
      <c r="R70" s="1261">
        <f t="shared" si="46"/>
        <v>1150.5479999999923</v>
      </c>
      <c r="S70" s="1261">
        <f t="shared" si="46"/>
        <v>1150.5479999999923</v>
      </c>
      <c r="T70" s="1261">
        <f t="shared" si="46"/>
        <v>1150.5479999999923</v>
      </c>
      <c r="U70" s="1261">
        <f t="shared" si="46"/>
        <v>1150.5479999999923</v>
      </c>
      <c r="V70" s="1261">
        <f t="shared" si="46"/>
        <v>1150.5479999999923</v>
      </c>
      <c r="W70" s="1261">
        <f t="shared" si="46"/>
        <v>1150.5479999999923</v>
      </c>
      <c r="X70" s="1261">
        <f t="shared" si="46"/>
        <v>1150.5479999999923</v>
      </c>
      <c r="Y70" s="1261">
        <f t="shared" si="46"/>
        <v>1150.5479999999923</v>
      </c>
      <c r="Z70" s="1261">
        <f t="shared" si="46"/>
        <v>1150.5479999999923</v>
      </c>
      <c r="AA70" s="1261">
        <f t="shared" si="46"/>
        <v>1150.5479999999923</v>
      </c>
      <c r="AB70" s="1261">
        <f t="shared" si="46"/>
        <v>1150.5479999999923</v>
      </c>
      <c r="AC70" s="1261">
        <f t="shared" si="46"/>
        <v>1150.5479999999923</v>
      </c>
      <c r="AD70" s="1261">
        <f t="shared" si="46"/>
        <v>1150.5479999999923</v>
      </c>
      <c r="AE70" s="1261">
        <f t="shared" si="46"/>
        <v>1150.5479999999923</v>
      </c>
      <c r="AF70" s="1261">
        <f t="shared" si="46"/>
        <v>1150.5479999999923</v>
      </c>
      <c r="AG70" s="1261">
        <f t="shared" si="46"/>
        <v>1150.5479999999923</v>
      </c>
      <c r="AH70" s="1261">
        <f t="shared" si="46"/>
        <v>1150.5479999999923</v>
      </c>
      <c r="AI70" s="1261">
        <f t="shared" si="46"/>
        <v>1150.5479999999923</v>
      </c>
      <c r="AJ70" s="1261">
        <f t="shared" si="46"/>
        <v>1150.5479999999923</v>
      </c>
      <c r="AK70" s="1261">
        <f t="shared" si="46"/>
        <v>1150.5479999999923</v>
      </c>
      <c r="AL70" s="1261">
        <f t="shared" si="46"/>
        <v>1150.5479999999923</v>
      </c>
      <c r="AM70" s="1261">
        <f t="shared" si="46"/>
        <v>1150.5479999999923</v>
      </c>
      <c r="AN70" s="1261">
        <f t="shared" si="46"/>
        <v>1150.5479999999923</v>
      </c>
      <c r="AO70" s="1261">
        <f t="shared" si="46"/>
        <v>1150.5479999999923</v>
      </c>
    </row>
    <row r="71" spans="1:41" ht="16.75" thickBot="1" x14ac:dyDescent="0.95">
      <c r="A71" s="1282" t="s">
        <v>447</v>
      </c>
      <c r="B71" s="1265">
        <f t="shared" ref="B71:G71" si="47">B60-B51</f>
        <v>3336.0999999999913</v>
      </c>
      <c r="C71" s="1265">
        <f t="shared" si="47"/>
        <v>3713</v>
      </c>
      <c r="D71" s="1265">
        <f t="shared" si="47"/>
        <v>2299.9499999999971</v>
      </c>
      <c r="E71" s="1265">
        <f t="shared" si="47"/>
        <v>5869.4799999999959</v>
      </c>
      <c r="F71" s="1265">
        <f t="shared" si="47"/>
        <v>349.47999999999593</v>
      </c>
      <c r="G71" s="1265">
        <f t="shared" si="47"/>
        <v>1078.6499999999942</v>
      </c>
      <c r="H71" s="1157">
        <f t="shared" si="45"/>
        <v>2662.1119999999964</v>
      </c>
      <c r="I71" s="1261">
        <f t="shared" ref="I71:X72" si="48">H71</f>
        <v>2662.1119999999964</v>
      </c>
      <c r="J71" s="1261">
        <f t="shared" si="48"/>
        <v>2662.1119999999964</v>
      </c>
      <c r="K71" s="1261">
        <f t="shared" si="48"/>
        <v>2662.1119999999964</v>
      </c>
      <c r="L71" s="1261">
        <f t="shared" si="48"/>
        <v>2662.1119999999964</v>
      </c>
      <c r="M71" s="1261">
        <f t="shared" si="48"/>
        <v>2662.1119999999964</v>
      </c>
      <c r="N71" s="1261">
        <f t="shared" si="48"/>
        <v>2662.1119999999964</v>
      </c>
      <c r="O71" s="1261">
        <f t="shared" si="48"/>
        <v>2662.1119999999964</v>
      </c>
      <c r="P71" s="1261">
        <f t="shared" si="48"/>
        <v>2662.1119999999964</v>
      </c>
      <c r="Q71" s="1261">
        <f t="shared" si="48"/>
        <v>2662.1119999999964</v>
      </c>
      <c r="R71" s="1261">
        <f t="shared" si="48"/>
        <v>2662.1119999999964</v>
      </c>
      <c r="S71" s="1261">
        <f t="shared" si="48"/>
        <v>2662.1119999999964</v>
      </c>
      <c r="T71" s="1261">
        <f t="shared" si="48"/>
        <v>2662.1119999999964</v>
      </c>
      <c r="U71" s="1261">
        <f t="shared" si="48"/>
        <v>2662.1119999999964</v>
      </c>
      <c r="V71" s="1261">
        <f t="shared" si="48"/>
        <v>2662.1119999999964</v>
      </c>
      <c r="W71" s="1261">
        <f t="shared" si="48"/>
        <v>2662.1119999999964</v>
      </c>
      <c r="X71" s="1261">
        <f t="shared" si="48"/>
        <v>2662.1119999999964</v>
      </c>
      <c r="Y71" s="1261">
        <f t="shared" si="46"/>
        <v>2662.1119999999964</v>
      </c>
      <c r="Z71" s="1261">
        <f t="shared" si="46"/>
        <v>2662.1119999999964</v>
      </c>
      <c r="AA71" s="1261">
        <f t="shared" si="46"/>
        <v>2662.1119999999964</v>
      </c>
      <c r="AB71" s="1261">
        <f t="shared" si="46"/>
        <v>2662.1119999999964</v>
      </c>
      <c r="AC71" s="1261">
        <f t="shared" si="46"/>
        <v>2662.1119999999964</v>
      </c>
      <c r="AD71" s="1261">
        <f t="shared" si="46"/>
        <v>2662.1119999999964</v>
      </c>
      <c r="AE71" s="1261">
        <f t="shared" si="46"/>
        <v>2662.1119999999964</v>
      </c>
      <c r="AF71" s="1261">
        <f t="shared" si="46"/>
        <v>2662.1119999999964</v>
      </c>
      <c r="AG71" s="1261">
        <f t="shared" si="46"/>
        <v>2662.1119999999964</v>
      </c>
      <c r="AH71" s="1261">
        <f t="shared" si="46"/>
        <v>2662.1119999999964</v>
      </c>
      <c r="AI71" s="1261">
        <f t="shared" si="46"/>
        <v>2662.1119999999964</v>
      </c>
      <c r="AJ71" s="1261">
        <f t="shared" si="46"/>
        <v>2662.1119999999964</v>
      </c>
      <c r="AK71" s="1261">
        <f t="shared" si="46"/>
        <v>2662.1119999999964</v>
      </c>
      <c r="AL71" s="1261">
        <f t="shared" si="46"/>
        <v>2662.1119999999964</v>
      </c>
      <c r="AM71" s="1261">
        <f t="shared" si="46"/>
        <v>2662.1119999999964</v>
      </c>
      <c r="AN71" s="1261">
        <f t="shared" si="46"/>
        <v>2662.1119999999964</v>
      </c>
      <c r="AO71" s="1261">
        <f t="shared" si="46"/>
        <v>2662.1119999999964</v>
      </c>
    </row>
    <row r="72" spans="1:41" ht="16.75" thickBot="1" x14ac:dyDescent="0.95">
      <c r="A72" s="1283" t="s">
        <v>116</v>
      </c>
      <c r="B72" s="1284">
        <f t="shared" ref="B72:G72" si="49">B62-B53</f>
        <v>-0.86999999999898137</v>
      </c>
      <c r="C72" s="1284">
        <f t="shared" si="49"/>
        <v>4.2000000000007276</v>
      </c>
      <c r="D72" s="1284">
        <f t="shared" si="49"/>
        <v>1.7999999999992724</v>
      </c>
      <c r="E72" s="1284">
        <f t="shared" si="49"/>
        <v>-4.569999999999709</v>
      </c>
      <c r="F72" s="1284">
        <f t="shared" si="49"/>
        <v>-0.3599999999969441</v>
      </c>
      <c r="G72" s="1284">
        <f t="shared" si="49"/>
        <v>1.4900000000016007</v>
      </c>
      <c r="H72" s="1285">
        <f t="shared" si="45"/>
        <v>0.51200000000098955</v>
      </c>
      <c r="I72" s="1261">
        <f t="shared" si="48"/>
        <v>0.51200000000098955</v>
      </c>
      <c r="J72" s="1261">
        <f t="shared" si="46"/>
        <v>0.51200000000098955</v>
      </c>
      <c r="K72" s="1261">
        <f t="shared" si="46"/>
        <v>0.51200000000098955</v>
      </c>
      <c r="L72" s="1261">
        <f t="shared" si="46"/>
        <v>0.51200000000098955</v>
      </c>
      <c r="M72" s="1261">
        <f t="shared" si="46"/>
        <v>0.51200000000098955</v>
      </c>
      <c r="N72" s="1261">
        <f t="shared" si="46"/>
        <v>0.51200000000098955</v>
      </c>
      <c r="O72" s="1261">
        <f t="shared" si="46"/>
        <v>0.51200000000098955</v>
      </c>
      <c r="P72" s="1261">
        <f t="shared" si="46"/>
        <v>0.51200000000098955</v>
      </c>
      <c r="Q72" s="1261">
        <f t="shared" si="46"/>
        <v>0.51200000000098955</v>
      </c>
      <c r="R72" s="1261">
        <f t="shared" si="46"/>
        <v>0.51200000000098955</v>
      </c>
      <c r="S72" s="1261">
        <f t="shared" si="46"/>
        <v>0.51200000000098955</v>
      </c>
      <c r="T72" s="1261">
        <f t="shared" si="46"/>
        <v>0.51200000000098955</v>
      </c>
      <c r="U72" s="1261">
        <f t="shared" si="46"/>
        <v>0.51200000000098955</v>
      </c>
      <c r="V72" s="1261">
        <f t="shared" si="46"/>
        <v>0.51200000000098955</v>
      </c>
      <c r="W72" s="1261">
        <f t="shared" si="46"/>
        <v>0.51200000000098955</v>
      </c>
      <c r="X72" s="1261">
        <f t="shared" si="46"/>
        <v>0.51200000000098955</v>
      </c>
      <c r="Y72" s="1261">
        <f t="shared" si="46"/>
        <v>0.51200000000098955</v>
      </c>
      <c r="Z72" s="1261">
        <f t="shared" si="46"/>
        <v>0.51200000000098955</v>
      </c>
      <c r="AA72" s="1261">
        <f t="shared" si="46"/>
        <v>0.51200000000098955</v>
      </c>
      <c r="AB72" s="1261">
        <f t="shared" si="46"/>
        <v>0.51200000000098955</v>
      </c>
      <c r="AC72" s="1261">
        <f t="shared" si="46"/>
        <v>0.51200000000098955</v>
      </c>
      <c r="AD72" s="1261">
        <f t="shared" si="46"/>
        <v>0.51200000000098955</v>
      </c>
      <c r="AE72" s="1261">
        <f t="shared" si="46"/>
        <v>0.51200000000098955</v>
      </c>
      <c r="AF72" s="1261">
        <f t="shared" si="46"/>
        <v>0.51200000000098955</v>
      </c>
      <c r="AG72" s="1261">
        <f t="shared" si="46"/>
        <v>0.51200000000098955</v>
      </c>
      <c r="AH72" s="1261">
        <f t="shared" si="46"/>
        <v>0.51200000000098955</v>
      </c>
      <c r="AI72" s="1261">
        <f t="shared" si="46"/>
        <v>0.51200000000098955</v>
      </c>
      <c r="AJ72" s="1261">
        <f t="shared" si="46"/>
        <v>0.51200000000098955</v>
      </c>
      <c r="AK72" s="1261">
        <f t="shared" si="46"/>
        <v>0.51200000000098955</v>
      </c>
      <c r="AL72" s="1261">
        <f t="shared" si="46"/>
        <v>0.51200000000098955</v>
      </c>
      <c r="AM72" s="1261">
        <f t="shared" si="46"/>
        <v>0.51200000000098955</v>
      </c>
      <c r="AN72" s="1261">
        <f t="shared" si="46"/>
        <v>0.51200000000098955</v>
      </c>
      <c r="AO72" s="1261">
        <f t="shared" si="46"/>
        <v>0.51200000000098955</v>
      </c>
    </row>
    <row r="73" spans="1:41" ht="16.75" thickBot="1" x14ac:dyDescent="0.95">
      <c r="A73" s="1286"/>
      <c r="B73" s="1278"/>
      <c r="C73" s="1278"/>
      <c r="D73" s="1278"/>
      <c r="E73" s="1278"/>
      <c r="F73" s="1278"/>
      <c r="G73" s="1278"/>
      <c r="H73" s="1287"/>
      <c r="I73" s="1288"/>
      <c r="J73" s="1278"/>
      <c r="K73" s="1278"/>
      <c r="L73" s="1278"/>
      <c r="M73" s="1278"/>
      <c r="N73" s="1279"/>
      <c r="O73" s="1278"/>
      <c r="P73" s="1278"/>
      <c r="Q73" s="1278"/>
      <c r="R73" s="1278"/>
      <c r="S73" s="1278"/>
      <c r="T73" s="1278"/>
      <c r="U73" s="1278"/>
      <c r="V73" s="1278"/>
      <c r="W73" s="1278"/>
      <c r="X73" s="1278"/>
      <c r="Y73" s="1278"/>
      <c r="Z73" s="1278"/>
      <c r="AA73" s="1278"/>
      <c r="AB73" s="1278"/>
      <c r="AC73" s="1278"/>
      <c r="AD73" s="1278"/>
      <c r="AE73" s="1278"/>
      <c r="AF73" s="1278"/>
      <c r="AG73" s="1278"/>
      <c r="AH73" s="1278"/>
      <c r="AI73" s="1278"/>
      <c r="AJ73" s="1278"/>
      <c r="AK73" s="1278"/>
      <c r="AL73" s="1278"/>
      <c r="AM73" s="1278"/>
      <c r="AN73" s="1278"/>
      <c r="AO73" s="1278"/>
    </row>
    <row r="74" spans="1:41" x14ac:dyDescent="0.8">
      <c r="A74" s="1289" t="s">
        <v>459</v>
      </c>
      <c r="B74" s="1290">
        <v>3.6400000000000002E-2</v>
      </c>
      <c r="C74" s="1290">
        <v>3.2399999999999998E-2</v>
      </c>
      <c r="D74" s="1290">
        <v>4.3099999999999999E-2</v>
      </c>
      <c r="E74" s="1290">
        <v>4.07E-2</v>
      </c>
      <c r="F74" s="1290">
        <v>0.03</v>
      </c>
      <c r="G74" s="1290">
        <v>3.5000000000000003E-2</v>
      </c>
      <c r="H74" s="1291">
        <v>2.9700000000000001E-2</v>
      </c>
      <c r="I74" s="1290">
        <v>2.76E-2</v>
      </c>
      <c r="J74" s="1290">
        <v>2.64E-2</v>
      </c>
      <c r="K74" s="1290">
        <v>2.5600000000000001E-2</v>
      </c>
      <c r="L74" s="1290">
        <v>2.5600000000000001E-2</v>
      </c>
      <c r="M74" s="1290">
        <v>2.5600000000000001E-2</v>
      </c>
      <c r="N74" s="1291">
        <v>2.5600000000000001E-2</v>
      </c>
      <c r="O74" s="1290">
        <v>2.5600000000000001E-2</v>
      </c>
      <c r="P74" s="1290">
        <v>2.4E-2</v>
      </c>
      <c r="Q74" s="1290">
        <v>2.4E-2</v>
      </c>
      <c r="R74" s="1290">
        <v>2.4E-2</v>
      </c>
      <c r="S74" s="1290">
        <v>2.4E-2</v>
      </c>
      <c r="T74" s="1290">
        <v>2.4E-2</v>
      </c>
      <c r="U74" s="1290">
        <v>2.2800000000000001E-2</v>
      </c>
      <c r="V74" s="1290">
        <v>2.2800000000000001E-2</v>
      </c>
      <c r="W74" s="1290">
        <v>2.2800000000000001E-2</v>
      </c>
      <c r="X74" s="1290">
        <v>2.2800000000000001E-2</v>
      </c>
      <c r="Y74" s="1290">
        <v>2.2800000000000001E-2</v>
      </c>
      <c r="Z74" s="1290">
        <v>2.0400000000000001E-2</v>
      </c>
      <c r="AA74" s="1290">
        <v>2.0400000000000001E-2</v>
      </c>
      <c r="AB74" s="1290">
        <v>2.0400000000000001E-2</v>
      </c>
      <c r="AC74" s="1290">
        <v>2.0400000000000001E-2</v>
      </c>
      <c r="AD74" s="1290">
        <v>2.0400000000000001E-2</v>
      </c>
      <c r="AE74" s="1290">
        <v>1.8200000000000001E-2</v>
      </c>
      <c r="AF74" s="1290">
        <v>1.8200000000000001E-2</v>
      </c>
      <c r="AG74" s="1290">
        <v>1.8200000000000001E-2</v>
      </c>
      <c r="AH74" s="1290">
        <v>1.8200000000000001E-2</v>
      </c>
      <c r="AI74" s="1290">
        <v>1.8200000000000001E-2</v>
      </c>
      <c r="AJ74" s="1290">
        <v>1.66E-2</v>
      </c>
      <c r="AK74" s="1290">
        <v>1.66E-2</v>
      </c>
      <c r="AL74" s="1290">
        <v>1.66E-2</v>
      </c>
      <c r="AM74" s="1290">
        <v>1.66E-2</v>
      </c>
      <c r="AN74" s="1290">
        <v>1.66E-2</v>
      </c>
      <c r="AO74" s="1292">
        <v>1.54E-2</v>
      </c>
    </row>
    <row r="75" spans="1:41" x14ac:dyDescent="0.8">
      <c r="A75" s="1293" t="s">
        <v>460</v>
      </c>
      <c r="B75" s="1294">
        <v>299520000</v>
      </c>
      <c r="C75" s="1294">
        <v>291560000</v>
      </c>
      <c r="D75" s="1294">
        <v>305580000</v>
      </c>
      <c r="E75" s="1294">
        <v>335840000</v>
      </c>
      <c r="F75" s="1294">
        <v>335170000</v>
      </c>
      <c r="G75" s="1294">
        <v>334950000</v>
      </c>
      <c r="H75" s="1295">
        <v>346100000</v>
      </c>
      <c r="I75" s="1294">
        <v>353980000</v>
      </c>
      <c r="J75" s="1294"/>
      <c r="K75" s="1294"/>
      <c r="L75" s="1294"/>
      <c r="M75" s="1294"/>
      <c r="N75" s="1279"/>
      <c r="O75" s="1294"/>
      <c r="P75" s="1294"/>
      <c r="Q75" s="1294"/>
      <c r="R75" s="1294"/>
      <c r="S75" s="1294"/>
      <c r="T75" s="1294"/>
      <c r="U75" s="1294"/>
      <c r="V75" s="1294"/>
      <c r="W75" s="1294"/>
      <c r="X75" s="1294"/>
      <c r="Y75" s="1294"/>
      <c r="Z75" s="1294"/>
      <c r="AA75" s="1294"/>
      <c r="AB75" s="1294"/>
      <c r="AC75" s="1294"/>
      <c r="AD75" s="1294"/>
      <c r="AE75" s="1294"/>
      <c r="AF75" s="1294"/>
      <c r="AG75" s="1294"/>
      <c r="AH75" s="1294"/>
      <c r="AI75" s="1294"/>
      <c r="AJ75" s="1294"/>
      <c r="AK75" s="1294"/>
      <c r="AL75" s="1294"/>
      <c r="AM75" s="1294"/>
      <c r="AN75" s="1294"/>
      <c r="AO75" s="1296"/>
    </row>
    <row r="76" spans="1:41" x14ac:dyDescent="0.8">
      <c r="A76" s="1293" t="s">
        <v>461</v>
      </c>
      <c r="B76" s="1294">
        <v>1.2128505608974358E-3</v>
      </c>
      <c r="C76" s="1294">
        <v>1.262189600768281E-3</v>
      </c>
      <c r="D76" s="1294">
        <v>9.1633614765364226E-4</v>
      </c>
      <c r="E76" s="1294">
        <v>1.0014590281086232E-3</v>
      </c>
      <c r="F76" s="1294">
        <v>1.0107318674105678E-3</v>
      </c>
      <c r="G76" s="1294">
        <v>9.470338856545753E-4</v>
      </c>
      <c r="H76" s="1279">
        <v>1.0606999473555239E-3</v>
      </c>
      <c r="I76" s="1294">
        <v>1.034878177183497E-3</v>
      </c>
      <c r="J76" s="1294">
        <f>AVERAGE(B76:I76)</f>
        <v>1.0557724018790183E-3</v>
      </c>
      <c r="K76" s="1294"/>
      <c r="L76" s="1294"/>
      <c r="M76" s="1294"/>
      <c r="N76" s="1279"/>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c r="AJ76" s="1294"/>
      <c r="AK76" s="1294"/>
      <c r="AL76" s="1294"/>
      <c r="AM76" s="1294"/>
      <c r="AN76" s="1294"/>
      <c r="AO76" s="1296"/>
    </row>
    <row r="77" spans="1:41" ht="16.75" thickBot="1" x14ac:dyDescent="0.95">
      <c r="A77" s="1293" t="s">
        <v>462</v>
      </c>
      <c r="B77" s="1294"/>
      <c r="C77" s="1294"/>
      <c r="D77" s="1294"/>
      <c r="E77" s="1294"/>
      <c r="F77" s="1294"/>
      <c r="G77" s="1294"/>
      <c r="H77" s="1279"/>
      <c r="I77" s="1294"/>
      <c r="J77" s="1297">
        <f>AVERAGE(AL65:AO65)</f>
        <v>-2.5897483990182945E-2</v>
      </c>
      <c r="K77" s="1294"/>
      <c r="L77" s="1294"/>
      <c r="M77" s="1294"/>
      <c r="N77" s="1279"/>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6"/>
    </row>
    <row r="78" spans="1:41" ht="16.75" thickBot="1" x14ac:dyDescent="0.95">
      <c r="A78" s="1298" t="s">
        <v>463</v>
      </c>
      <c r="B78" s="1299">
        <v>1.5</v>
      </c>
      <c r="C78" s="1300"/>
      <c r="D78" s="1300"/>
      <c r="E78" s="1300"/>
      <c r="F78" s="1300"/>
      <c r="G78" s="1300"/>
      <c r="H78" s="1301"/>
      <c r="I78" s="1300"/>
      <c r="J78" s="1300"/>
      <c r="K78" s="1300"/>
      <c r="L78" s="1300"/>
      <c r="M78" s="1300"/>
      <c r="N78" s="1301"/>
      <c r="O78" s="1300"/>
      <c r="P78" s="1300"/>
      <c r="Q78" s="1300"/>
      <c r="R78" s="1300"/>
      <c r="S78" s="1300"/>
      <c r="T78" s="1300"/>
      <c r="U78" s="1300"/>
      <c r="V78" s="1300"/>
      <c r="W78" s="1300"/>
      <c r="X78" s="1300"/>
      <c r="Y78" s="1300"/>
      <c r="Z78" s="1300"/>
      <c r="AA78" s="1300"/>
      <c r="AB78" s="1300"/>
      <c r="AC78" s="1300"/>
      <c r="AD78" s="1300"/>
      <c r="AE78" s="1300"/>
      <c r="AF78" s="1300"/>
      <c r="AG78" s="1300"/>
      <c r="AH78" s="1300"/>
      <c r="AI78" s="1300"/>
      <c r="AJ78" s="1300"/>
      <c r="AK78" s="1300"/>
      <c r="AL78" s="1300"/>
      <c r="AM78" s="1300"/>
      <c r="AN78" s="1300"/>
      <c r="AO78" s="1302"/>
    </row>
    <row r="79" spans="1:41" x14ac:dyDescent="0.8">
      <c r="G79" s="1303"/>
      <c r="H79" s="1220"/>
      <c r="M79" s="1303"/>
      <c r="N79" s="1220"/>
    </row>
    <row r="80" spans="1:41" x14ac:dyDescent="0.8">
      <c r="A80" s="1197"/>
      <c r="G80" s="1220"/>
      <c r="M80" s="1220"/>
    </row>
    <row r="81" spans="1:9" x14ac:dyDescent="0.8">
      <c r="A81" s="1197"/>
    </row>
    <row r="82" spans="1:9" x14ac:dyDescent="0.8">
      <c r="A82" s="1197"/>
    </row>
    <row r="83" spans="1:9" x14ac:dyDescent="0.8">
      <c r="A83" s="1197"/>
    </row>
    <row r="84" spans="1:9" x14ac:dyDescent="0.8">
      <c r="A84" s="1305"/>
      <c r="I84" s="1306"/>
    </row>
    <row r="85" spans="1:9" x14ac:dyDescent="0.8">
      <c r="A85" s="1305"/>
      <c r="B85" s="1719"/>
      <c r="C85" s="1719"/>
      <c r="D85" s="1719"/>
      <c r="E85" s="1719"/>
      <c r="F85" s="1719"/>
      <c r="G85" s="1720"/>
      <c r="H85" s="1307"/>
    </row>
    <row r="87" spans="1:9" x14ac:dyDescent="0.8">
      <c r="A87" s="1308"/>
    </row>
    <row r="88" spans="1:9" x14ac:dyDescent="0.8">
      <c r="A88" s="1308"/>
    </row>
    <row r="89" spans="1:9" x14ac:dyDescent="0.8">
      <c r="A89" s="1308"/>
    </row>
    <row r="90" spans="1:9" x14ac:dyDescent="0.8">
      <c r="A90" s="1308"/>
    </row>
    <row r="91" spans="1:9" x14ac:dyDescent="0.8">
      <c r="A91" s="1308"/>
    </row>
    <row r="92" spans="1:9" x14ac:dyDescent="0.8">
      <c r="A92" s="1308"/>
    </row>
    <row r="93" spans="1:9" x14ac:dyDescent="0.8">
      <c r="A93" s="1309"/>
    </row>
  </sheetData>
  <mergeCells count="8">
    <mergeCell ref="B1:G2"/>
    <mergeCell ref="H1:M2"/>
    <mergeCell ref="N1:AO2"/>
    <mergeCell ref="B85:G85"/>
    <mergeCell ref="B32:F32"/>
    <mergeCell ref="B30:F30"/>
    <mergeCell ref="B33:F33"/>
    <mergeCell ref="B34:F34"/>
  </mergeCells>
  <conditionalFormatting sqref="C14:G14">
    <cfRule type="colorScale" priority="2">
      <colorScale>
        <cfvo type="min"/>
        <cfvo type="percentile" val="50"/>
        <cfvo type="max"/>
        <color rgb="FFF8696B"/>
        <color rgb="FFFFEB84"/>
        <color rgb="FF63BE7B"/>
      </colorScale>
    </cfRule>
  </conditionalFormatting>
  <conditionalFormatting sqref="C31:F31 C19:F27 C43:F45 C35:F40">
    <cfRule type="colorScale" priority="3">
      <colorScale>
        <cfvo type="min"/>
        <cfvo type="percentile" val="50"/>
        <cfvo type="max"/>
        <color rgb="FFF8696B"/>
        <color rgb="FFFFEB84"/>
        <color rgb="FF63BE7B"/>
      </colorScale>
    </cfRule>
  </conditionalFormatting>
  <conditionalFormatting sqref="C66:AO66">
    <cfRule type="colorScale" priority="5">
      <colorScale>
        <cfvo type="min"/>
        <cfvo type="percentile" val="50"/>
        <cfvo type="max"/>
        <color rgb="FFF8696B"/>
        <color rgb="FFFFEB84"/>
        <color rgb="FF63BE7B"/>
      </colorScale>
    </cfRule>
  </conditionalFormatting>
  <conditionalFormatting sqref="C67:AO67">
    <cfRule type="colorScale" priority="6">
      <colorScale>
        <cfvo type="min"/>
        <cfvo type="percentile" val="50"/>
        <cfvo type="max"/>
        <color rgb="FFF8696B"/>
        <color rgb="FFFFEB84"/>
        <color rgb="FF63BE7B"/>
      </colorScale>
    </cfRule>
  </conditionalFormatting>
  <hyperlinks>
    <hyperlink ref="A1" location="'Cover Page '!A1" display="Back to cover page " xr:uid="{00000000-0004-0000-0A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CW158"/>
  <sheetViews>
    <sheetView showGridLines="0" zoomScale="55" zoomScaleNormal="55" zoomScalePageLayoutView="55" workbookViewId="0"/>
  </sheetViews>
  <sheetFormatPr defaultColWidth="8.83203125" defaultRowHeight="16" x14ac:dyDescent="0.8"/>
  <cols>
    <col min="1" max="1" width="42.1640625" bestFit="1" customWidth="1"/>
    <col min="2" max="2" width="33.5" bestFit="1" customWidth="1"/>
    <col min="3" max="4" width="6" bestFit="1" customWidth="1"/>
    <col min="5" max="5" width="8.1640625" bestFit="1" customWidth="1"/>
    <col min="6" max="35" width="6" bestFit="1" customWidth="1"/>
    <col min="36" max="37" width="6" customWidth="1"/>
    <col min="38" max="38" width="8.33203125" customWidth="1"/>
    <col min="39" max="39" width="8.1640625" bestFit="1" customWidth="1"/>
    <col min="40" max="40" width="33.5" customWidth="1"/>
    <col min="41" max="41" width="9.1640625" customWidth="1"/>
    <col min="42" max="42" width="88.6640625" bestFit="1" customWidth="1"/>
    <col min="43" max="43" width="22" bestFit="1" customWidth="1"/>
    <col min="44" max="44" width="11" bestFit="1" customWidth="1"/>
    <col min="45" max="55" width="9.1640625" bestFit="1" customWidth="1"/>
    <col min="57" max="57" width="92.33203125" bestFit="1" customWidth="1"/>
    <col min="58" max="58" width="20.1640625" customWidth="1"/>
    <col min="59" max="59" width="11" bestFit="1" customWidth="1"/>
    <col min="60" max="70" width="9.1640625" bestFit="1" customWidth="1"/>
    <col min="73" max="74" width="9" customWidth="1"/>
    <col min="75" max="75" width="11.33203125" customWidth="1"/>
    <col min="76" max="76" width="11" bestFit="1" customWidth="1"/>
    <col min="90" max="90" width="11" bestFit="1" customWidth="1"/>
  </cols>
  <sheetData>
    <row r="1" spans="1:54" x14ac:dyDescent="0.8">
      <c r="A1" s="1621" t="s">
        <v>534</v>
      </c>
      <c r="C1" s="1352">
        <v>2017</v>
      </c>
      <c r="D1" s="1353">
        <v>2018</v>
      </c>
      <c r="E1" s="1353">
        <v>2019</v>
      </c>
      <c r="F1" s="1353">
        <v>2020</v>
      </c>
      <c r="G1" s="1353">
        <v>2021</v>
      </c>
      <c r="H1" s="1353">
        <v>2022</v>
      </c>
      <c r="I1" s="251">
        <v>2023</v>
      </c>
      <c r="J1" s="254">
        <v>2024</v>
      </c>
      <c r="K1" s="254">
        <v>2025</v>
      </c>
      <c r="L1" s="254">
        <v>2026</v>
      </c>
      <c r="M1" s="254">
        <v>2027</v>
      </c>
      <c r="N1" s="254">
        <v>2028</v>
      </c>
      <c r="O1" s="254">
        <v>2029</v>
      </c>
      <c r="P1" s="254">
        <v>2030</v>
      </c>
      <c r="Q1" s="254">
        <v>2031</v>
      </c>
      <c r="R1" s="254">
        <v>2032</v>
      </c>
      <c r="S1" s="254">
        <v>2033</v>
      </c>
      <c r="T1" s="254">
        <v>2034</v>
      </c>
      <c r="U1" s="254">
        <v>2035</v>
      </c>
      <c r="V1" s="254">
        <v>2036</v>
      </c>
      <c r="W1" s="254">
        <v>2037</v>
      </c>
      <c r="X1" s="254">
        <v>2038</v>
      </c>
      <c r="Y1" s="254">
        <v>2039</v>
      </c>
      <c r="Z1" s="254">
        <v>2040</v>
      </c>
      <c r="AA1" s="254">
        <v>2041</v>
      </c>
      <c r="AB1" s="254">
        <v>2042</v>
      </c>
      <c r="AC1" s="254">
        <v>2043</v>
      </c>
      <c r="AD1" s="254">
        <v>2044</v>
      </c>
      <c r="AE1" s="254">
        <v>2045</v>
      </c>
      <c r="AF1" s="254">
        <v>2046</v>
      </c>
      <c r="AG1" s="254">
        <v>2047</v>
      </c>
      <c r="AH1" s="254">
        <v>2048</v>
      </c>
      <c r="AI1" s="254">
        <v>2049</v>
      </c>
      <c r="AJ1" s="254">
        <v>2050</v>
      </c>
    </row>
    <row r="2" spans="1:54" x14ac:dyDescent="0.8">
      <c r="A2" s="1359" t="s">
        <v>689</v>
      </c>
    </row>
    <row r="3" spans="1:54" x14ac:dyDescent="0.8">
      <c r="A3" s="89" t="s">
        <v>684</v>
      </c>
      <c r="C3" s="14">
        <f>AN24</f>
        <v>0</v>
      </c>
      <c r="D3" s="14">
        <f t="shared" ref="D3:AJ5" si="0">C3</f>
        <v>0</v>
      </c>
      <c r="E3" s="14">
        <f t="shared" si="0"/>
        <v>0</v>
      </c>
      <c r="F3" s="14">
        <f t="shared" si="0"/>
        <v>0</v>
      </c>
      <c r="G3" s="14">
        <f t="shared" si="0"/>
        <v>0</v>
      </c>
      <c r="H3" s="14">
        <f t="shared" si="0"/>
        <v>0</v>
      </c>
      <c r="I3" s="14">
        <f>AN35</f>
        <v>0</v>
      </c>
      <c r="J3" s="14">
        <f t="shared" si="0"/>
        <v>0</v>
      </c>
      <c r="K3" s="14">
        <f t="shared" si="0"/>
        <v>0</v>
      </c>
      <c r="L3" s="14">
        <f t="shared" si="0"/>
        <v>0</v>
      </c>
      <c r="M3" s="14">
        <f t="shared" si="0"/>
        <v>0</v>
      </c>
      <c r="N3" s="14">
        <f t="shared" si="0"/>
        <v>0</v>
      </c>
      <c r="O3" s="14">
        <f t="shared" si="0"/>
        <v>0</v>
      </c>
      <c r="P3" s="14">
        <f t="shared" si="0"/>
        <v>0</v>
      </c>
      <c r="Q3" s="14">
        <f t="shared" si="0"/>
        <v>0</v>
      </c>
      <c r="R3" s="14">
        <f t="shared" si="0"/>
        <v>0</v>
      </c>
      <c r="S3" s="14">
        <f t="shared" si="0"/>
        <v>0</v>
      </c>
      <c r="T3" s="14">
        <f t="shared" si="0"/>
        <v>0</v>
      </c>
      <c r="U3" s="14">
        <f t="shared" si="0"/>
        <v>0</v>
      </c>
      <c r="V3" s="14">
        <f t="shared" si="0"/>
        <v>0</v>
      </c>
      <c r="W3" s="14">
        <f t="shared" si="0"/>
        <v>0</v>
      </c>
      <c r="X3" s="14">
        <f t="shared" si="0"/>
        <v>0</v>
      </c>
      <c r="Y3" s="14">
        <f t="shared" si="0"/>
        <v>0</v>
      </c>
      <c r="Z3" s="14">
        <f t="shared" si="0"/>
        <v>0</v>
      </c>
      <c r="AA3" s="14">
        <f t="shared" si="0"/>
        <v>0</v>
      </c>
      <c r="AB3" s="14">
        <f t="shared" si="0"/>
        <v>0</v>
      </c>
      <c r="AC3" s="14">
        <f t="shared" si="0"/>
        <v>0</v>
      </c>
      <c r="AD3" s="14">
        <f t="shared" si="0"/>
        <v>0</v>
      </c>
      <c r="AE3" s="14">
        <f t="shared" si="0"/>
        <v>0</v>
      </c>
      <c r="AF3" s="14">
        <f t="shared" si="0"/>
        <v>0</v>
      </c>
      <c r="AG3" s="14">
        <f t="shared" si="0"/>
        <v>0</v>
      </c>
      <c r="AH3" s="14">
        <f t="shared" si="0"/>
        <v>0</v>
      </c>
      <c r="AI3" s="14">
        <f t="shared" si="0"/>
        <v>0</v>
      </c>
      <c r="AJ3" s="14">
        <f t="shared" si="0"/>
        <v>0</v>
      </c>
      <c r="AK3" s="14" t="s">
        <v>685</v>
      </c>
      <c r="AL3" s="14"/>
      <c r="AM3" s="14"/>
      <c r="AN3" s="14"/>
      <c r="AO3" s="14"/>
    </row>
    <row r="4" spans="1:54" x14ac:dyDescent="0.8">
      <c r="A4" s="1208" t="s">
        <v>447</v>
      </c>
      <c r="C4" s="14">
        <f>AN25</f>
        <v>0</v>
      </c>
      <c r="D4" s="14">
        <f t="shared" ref="D4:R4" si="1">C4</f>
        <v>0</v>
      </c>
      <c r="E4" s="14">
        <f t="shared" si="1"/>
        <v>0</v>
      </c>
      <c r="F4" s="14">
        <f t="shared" si="1"/>
        <v>0</v>
      </c>
      <c r="G4" s="14">
        <f t="shared" si="1"/>
        <v>0</v>
      </c>
      <c r="H4" s="14">
        <f t="shared" si="1"/>
        <v>0</v>
      </c>
      <c r="I4" s="14">
        <f>AN36</f>
        <v>0</v>
      </c>
      <c r="J4" s="14">
        <f t="shared" si="1"/>
        <v>0</v>
      </c>
      <c r="K4" s="14">
        <f t="shared" si="1"/>
        <v>0</v>
      </c>
      <c r="L4" s="14">
        <f t="shared" si="1"/>
        <v>0</v>
      </c>
      <c r="M4" s="14">
        <f t="shared" si="1"/>
        <v>0</v>
      </c>
      <c r="N4" s="14">
        <f t="shared" si="1"/>
        <v>0</v>
      </c>
      <c r="O4" s="14">
        <f t="shared" si="1"/>
        <v>0</v>
      </c>
      <c r="P4" s="14">
        <f t="shared" si="1"/>
        <v>0</v>
      </c>
      <c r="Q4" s="14">
        <f t="shared" si="1"/>
        <v>0</v>
      </c>
      <c r="R4" s="14">
        <f t="shared" si="1"/>
        <v>0</v>
      </c>
      <c r="S4" s="14">
        <f t="shared" si="0"/>
        <v>0</v>
      </c>
      <c r="T4" s="14">
        <f t="shared" si="0"/>
        <v>0</v>
      </c>
      <c r="U4" s="14">
        <f t="shared" si="0"/>
        <v>0</v>
      </c>
      <c r="V4" s="14">
        <f t="shared" si="0"/>
        <v>0</v>
      </c>
      <c r="W4" s="14">
        <f t="shared" si="0"/>
        <v>0</v>
      </c>
      <c r="X4" s="14">
        <f t="shared" si="0"/>
        <v>0</v>
      </c>
      <c r="Y4" s="14">
        <f t="shared" si="0"/>
        <v>0</v>
      </c>
      <c r="Z4" s="14">
        <f t="shared" si="0"/>
        <v>0</v>
      </c>
      <c r="AA4" s="14">
        <f t="shared" si="0"/>
        <v>0</v>
      </c>
      <c r="AB4" s="14">
        <f t="shared" si="0"/>
        <v>0</v>
      </c>
      <c r="AC4" s="14">
        <f t="shared" si="0"/>
        <v>0</v>
      </c>
      <c r="AD4" s="14">
        <f t="shared" si="0"/>
        <v>0</v>
      </c>
      <c r="AE4" s="14">
        <f t="shared" si="0"/>
        <v>0</v>
      </c>
      <c r="AF4" s="14">
        <f t="shared" si="0"/>
        <v>0</v>
      </c>
      <c r="AG4" s="14">
        <f t="shared" si="0"/>
        <v>0</v>
      </c>
      <c r="AH4" s="14">
        <f t="shared" si="0"/>
        <v>0</v>
      </c>
      <c r="AI4" s="14">
        <f t="shared" si="0"/>
        <v>0</v>
      </c>
      <c r="AJ4" s="14">
        <f t="shared" si="0"/>
        <v>0</v>
      </c>
      <c r="AK4" s="14" t="s">
        <v>685</v>
      </c>
      <c r="AL4" s="14"/>
      <c r="AM4" s="14"/>
      <c r="AN4" s="14"/>
      <c r="AO4" s="14"/>
    </row>
    <row r="5" spans="1:54" x14ac:dyDescent="0.8">
      <c r="A5" s="1208" t="s">
        <v>116</v>
      </c>
      <c r="C5" s="14">
        <f>AN26</f>
        <v>0</v>
      </c>
      <c r="D5" s="14">
        <f t="shared" si="0"/>
        <v>0</v>
      </c>
      <c r="E5" s="14">
        <f t="shared" si="0"/>
        <v>0</v>
      </c>
      <c r="F5" s="14">
        <f t="shared" si="0"/>
        <v>0</v>
      </c>
      <c r="G5" s="14">
        <f t="shared" si="0"/>
        <v>0</v>
      </c>
      <c r="H5" s="14">
        <f t="shared" si="0"/>
        <v>0</v>
      </c>
      <c r="I5" s="14">
        <f>AN37</f>
        <v>0</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t="s">
        <v>685</v>
      </c>
      <c r="AL5" s="14"/>
      <c r="AM5" s="14"/>
      <c r="AN5" s="14"/>
      <c r="AO5" s="14"/>
    </row>
    <row r="6" spans="1:54" x14ac:dyDescent="0.8">
      <c r="A6" s="1358" t="s">
        <v>688</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t="s">
        <v>685</v>
      </c>
      <c r="AL6" s="14"/>
      <c r="AM6" s="14"/>
      <c r="AN6" s="14"/>
      <c r="AO6" s="14"/>
    </row>
    <row r="7" spans="1:54" x14ac:dyDescent="0.8">
      <c r="A7" s="89" t="s">
        <v>686</v>
      </c>
      <c r="C7" s="14">
        <f>AN29</f>
        <v>0</v>
      </c>
      <c r="D7" s="14">
        <f t="shared" ref="D7:AJ7" si="2">C7</f>
        <v>0</v>
      </c>
      <c r="E7" s="14">
        <f t="shared" si="2"/>
        <v>0</v>
      </c>
      <c r="F7" s="14">
        <f t="shared" si="2"/>
        <v>0</v>
      </c>
      <c r="G7" s="14">
        <f t="shared" si="2"/>
        <v>0</v>
      </c>
      <c r="H7" s="14">
        <f t="shared" si="2"/>
        <v>0</v>
      </c>
      <c r="I7" s="14">
        <f>AN39</f>
        <v>0</v>
      </c>
      <c r="J7" s="14">
        <f t="shared" si="2"/>
        <v>0</v>
      </c>
      <c r="K7" s="14">
        <f t="shared" si="2"/>
        <v>0</v>
      </c>
      <c r="L7" s="14">
        <f t="shared" si="2"/>
        <v>0</v>
      </c>
      <c r="M7" s="14">
        <f t="shared" si="2"/>
        <v>0</v>
      </c>
      <c r="N7" s="14">
        <f t="shared" si="2"/>
        <v>0</v>
      </c>
      <c r="O7" s="14">
        <f t="shared" si="2"/>
        <v>0</v>
      </c>
      <c r="P7" s="14">
        <f t="shared" si="2"/>
        <v>0</v>
      </c>
      <c r="Q7" s="14">
        <f t="shared" si="2"/>
        <v>0</v>
      </c>
      <c r="R7" s="14">
        <f t="shared" si="2"/>
        <v>0</v>
      </c>
      <c r="S7" s="14">
        <f t="shared" si="2"/>
        <v>0</v>
      </c>
      <c r="T7" s="14">
        <f t="shared" si="2"/>
        <v>0</v>
      </c>
      <c r="U7" s="14">
        <f t="shared" si="2"/>
        <v>0</v>
      </c>
      <c r="V7" s="14">
        <f t="shared" si="2"/>
        <v>0</v>
      </c>
      <c r="W7" s="14">
        <f t="shared" si="2"/>
        <v>0</v>
      </c>
      <c r="X7" s="14">
        <f t="shared" si="2"/>
        <v>0</v>
      </c>
      <c r="Y7" s="14">
        <f t="shared" si="2"/>
        <v>0</v>
      </c>
      <c r="Z7" s="14">
        <f t="shared" si="2"/>
        <v>0</v>
      </c>
      <c r="AA7" s="14">
        <f t="shared" si="2"/>
        <v>0</v>
      </c>
      <c r="AB7" s="14">
        <f t="shared" si="2"/>
        <v>0</v>
      </c>
      <c r="AC7" s="14">
        <f t="shared" si="2"/>
        <v>0</v>
      </c>
      <c r="AD7" s="14">
        <f t="shared" si="2"/>
        <v>0</v>
      </c>
      <c r="AE7" s="14">
        <f t="shared" si="2"/>
        <v>0</v>
      </c>
      <c r="AF7" s="14">
        <f t="shared" si="2"/>
        <v>0</v>
      </c>
      <c r="AG7" s="14">
        <f t="shared" si="2"/>
        <v>0</v>
      </c>
      <c r="AH7" s="14">
        <f t="shared" si="2"/>
        <v>0</v>
      </c>
      <c r="AI7" s="14">
        <f t="shared" si="2"/>
        <v>0</v>
      </c>
      <c r="AJ7" s="14">
        <f t="shared" si="2"/>
        <v>0</v>
      </c>
      <c r="AK7" s="14" t="s">
        <v>685</v>
      </c>
      <c r="AL7" s="14"/>
      <c r="AM7" s="14"/>
      <c r="AN7" s="14"/>
      <c r="AO7" s="14"/>
    </row>
    <row r="8" spans="1:54" x14ac:dyDescent="0.8">
      <c r="A8" s="1208" t="s">
        <v>687</v>
      </c>
      <c r="C8" s="14">
        <f>AN30</f>
        <v>0</v>
      </c>
      <c r="D8" s="14">
        <f t="shared" ref="D8:AJ8" si="3">C8</f>
        <v>0</v>
      </c>
      <c r="E8" s="14">
        <f t="shared" si="3"/>
        <v>0</v>
      </c>
      <c r="F8" s="14">
        <f t="shared" si="3"/>
        <v>0</v>
      </c>
      <c r="G8" s="14">
        <f t="shared" si="3"/>
        <v>0</v>
      </c>
      <c r="H8" s="14">
        <f t="shared" si="3"/>
        <v>0</v>
      </c>
      <c r="I8" s="14">
        <f>AN40</f>
        <v>0</v>
      </c>
      <c r="J8" s="14">
        <f t="shared" si="3"/>
        <v>0</v>
      </c>
      <c r="K8" s="14">
        <f t="shared" si="3"/>
        <v>0</v>
      </c>
      <c r="L8" s="14">
        <f t="shared" si="3"/>
        <v>0</v>
      </c>
      <c r="M8" s="14">
        <f t="shared" si="3"/>
        <v>0</v>
      </c>
      <c r="N8" s="14">
        <f t="shared" si="3"/>
        <v>0</v>
      </c>
      <c r="O8" s="14">
        <f t="shared" si="3"/>
        <v>0</v>
      </c>
      <c r="P8" s="14">
        <f t="shared" si="3"/>
        <v>0</v>
      </c>
      <c r="Q8" s="14">
        <f t="shared" si="3"/>
        <v>0</v>
      </c>
      <c r="R8" s="14">
        <f t="shared" si="3"/>
        <v>0</v>
      </c>
      <c r="S8" s="14">
        <f t="shared" si="3"/>
        <v>0</v>
      </c>
      <c r="T8" s="14">
        <f t="shared" si="3"/>
        <v>0</v>
      </c>
      <c r="U8" s="14">
        <f t="shared" si="3"/>
        <v>0</v>
      </c>
      <c r="V8" s="14">
        <f t="shared" si="3"/>
        <v>0</v>
      </c>
      <c r="W8" s="14">
        <f t="shared" si="3"/>
        <v>0</v>
      </c>
      <c r="X8" s="14">
        <f t="shared" si="3"/>
        <v>0</v>
      </c>
      <c r="Y8" s="14">
        <f t="shared" si="3"/>
        <v>0</v>
      </c>
      <c r="Z8" s="14">
        <f t="shared" si="3"/>
        <v>0</v>
      </c>
      <c r="AA8" s="14">
        <f t="shared" si="3"/>
        <v>0</v>
      </c>
      <c r="AB8" s="14">
        <f t="shared" si="3"/>
        <v>0</v>
      </c>
      <c r="AC8" s="14">
        <f t="shared" si="3"/>
        <v>0</v>
      </c>
      <c r="AD8" s="14">
        <f t="shared" si="3"/>
        <v>0</v>
      </c>
      <c r="AE8" s="14">
        <f t="shared" si="3"/>
        <v>0</v>
      </c>
      <c r="AF8" s="14">
        <f t="shared" si="3"/>
        <v>0</v>
      </c>
      <c r="AG8" s="14">
        <f t="shared" si="3"/>
        <v>0</v>
      </c>
      <c r="AH8" s="14">
        <f t="shared" si="3"/>
        <v>0</v>
      </c>
      <c r="AI8" s="14">
        <f t="shared" si="3"/>
        <v>0</v>
      </c>
      <c r="AJ8" s="14">
        <f t="shared" si="3"/>
        <v>0</v>
      </c>
      <c r="AK8" s="14" t="s">
        <v>685</v>
      </c>
      <c r="AL8" s="14"/>
      <c r="AM8" s="14"/>
      <c r="AN8" s="14"/>
      <c r="AO8" s="14"/>
    </row>
    <row r="9" spans="1:54" x14ac:dyDescent="0.8">
      <c r="A9" s="1208" t="s">
        <v>116</v>
      </c>
      <c r="C9" s="14">
        <f>AN31</f>
        <v>0</v>
      </c>
      <c r="D9" s="14">
        <f t="shared" ref="D9:AJ9" si="4">C9</f>
        <v>0</v>
      </c>
      <c r="E9" s="14">
        <f t="shared" si="4"/>
        <v>0</v>
      </c>
      <c r="F9" s="14">
        <f t="shared" si="4"/>
        <v>0</v>
      </c>
      <c r="G9" s="14">
        <f t="shared" si="4"/>
        <v>0</v>
      </c>
      <c r="H9" s="14">
        <f t="shared" si="4"/>
        <v>0</v>
      </c>
      <c r="I9" s="14">
        <f>AN41</f>
        <v>0</v>
      </c>
      <c r="J9" s="14">
        <f t="shared" si="4"/>
        <v>0</v>
      </c>
      <c r="K9" s="14">
        <f t="shared" si="4"/>
        <v>0</v>
      </c>
      <c r="L9" s="14">
        <f t="shared" si="4"/>
        <v>0</v>
      </c>
      <c r="M9" s="14">
        <f t="shared" si="4"/>
        <v>0</v>
      </c>
      <c r="N9" s="14">
        <f t="shared" si="4"/>
        <v>0</v>
      </c>
      <c r="O9" s="14">
        <f t="shared" si="4"/>
        <v>0</v>
      </c>
      <c r="P9" s="14">
        <f t="shared" si="4"/>
        <v>0</v>
      </c>
      <c r="Q9" s="14">
        <f t="shared" si="4"/>
        <v>0</v>
      </c>
      <c r="R9" s="14">
        <f t="shared" si="4"/>
        <v>0</v>
      </c>
      <c r="S9" s="14">
        <f t="shared" si="4"/>
        <v>0</v>
      </c>
      <c r="T9" s="14">
        <f t="shared" si="4"/>
        <v>0</v>
      </c>
      <c r="U9" s="14">
        <f t="shared" si="4"/>
        <v>0</v>
      </c>
      <c r="V9" s="14">
        <f t="shared" si="4"/>
        <v>0</v>
      </c>
      <c r="W9" s="14">
        <f t="shared" si="4"/>
        <v>0</v>
      </c>
      <c r="X9" s="14">
        <f t="shared" si="4"/>
        <v>0</v>
      </c>
      <c r="Y9" s="14">
        <f t="shared" si="4"/>
        <v>0</v>
      </c>
      <c r="Z9" s="14">
        <f t="shared" si="4"/>
        <v>0</v>
      </c>
      <c r="AA9" s="14">
        <f t="shared" si="4"/>
        <v>0</v>
      </c>
      <c r="AB9" s="14">
        <f t="shared" si="4"/>
        <v>0</v>
      </c>
      <c r="AC9" s="14">
        <f t="shared" si="4"/>
        <v>0</v>
      </c>
      <c r="AD9" s="14">
        <f t="shared" si="4"/>
        <v>0</v>
      </c>
      <c r="AE9" s="14">
        <f t="shared" si="4"/>
        <v>0</v>
      </c>
      <c r="AF9" s="14">
        <f t="shared" si="4"/>
        <v>0</v>
      </c>
      <c r="AG9" s="14">
        <f t="shared" si="4"/>
        <v>0</v>
      </c>
      <c r="AH9" s="14">
        <f t="shared" si="4"/>
        <v>0</v>
      </c>
      <c r="AI9" s="14">
        <f t="shared" si="4"/>
        <v>0</v>
      </c>
      <c r="AJ9" s="14">
        <f t="shared" si="4"/>
        <v>0</v>
      </c>
      <c r="AK9" s="14" t="s">
        <v>685</v>
      </c>
      <c r="AL9" s="14"/>
      <c r="AM9" s="14"/>
      <c r="AN9" s="14"/>
      <c r="AO9" s="14"/>
    </row>
    <row r="10" spans="1:54" x14ac:dyDescent="0.8">
      <c r="AK10" t="s">
        <v>685</v>
      </c>
    </row>
    <row r="12" spans="1:54" ht="16.75" thickBot="1" x14ac:dyDescent="0.95">
      <c r="L12" s="1364"/>
      <c r="M12" s="1364"/>
      <c r="N12" s="1364"/>
      <c r="O12" s="1364"/>
      <c r="P12" s="1364"/>
      <c r="Q12" s="1364"/>
      <c r="R12" s="1364"/>
      <c r="S12" s="1364"/>
      <c r="T12" s="1364"/>
      <c r="U12" s="1364"/>
      <c r="V12" s="1364"/>
    </row>
    <row r="13" spans="1:54" x14ac:dyDescent="0.8">
      <c r="AM13" s="1708" t="s">
        <v>697</v>
      </c>
      <c r="AN13" s="1710"/>
      <c r="AP13" s="36" t="s">
        <v>704</v>
      </c>
      <c r="AQ13" s="21"/>
      <c r="AR13" s="21"/>
      <c r="AS13" s="21"/>
      <c r="AT13" s="21"/>
      <c r="AU13" s="21"/>
      <c r="AV13" s="21"/>
      <c r="AW13" s="21"/>
      <c r="AX13" s="21"/>
      <c r="AY13" s="21"/>
      <c r="AZ13" s="21"/>
      <c r="BA13" s="21"/>
      <c r="BB13" s="171"/>
    </row>
    <row r="14" spans="1:54" x14ac:dyDescent="0.8">
      <c r="AM14" s="1729">
        <v>0</v>
      </c>
      <c r="AN14" s="1730"/>
      <c r="AP14" s="366"/>
      <c r="AQ14" s="156"/>
      <c r="AR14" s="1644" t="s">
        <v>692</v>
      </c>
      <c r="AS14" s="1644"/>
      <c r="AT14" s="1644"/>
      <c r="AU14" s="1644"/>
      <c r="AV14" s="1644"/>
      <c r="AW14" s="1644"/>
      <c r="AX14" s="1644"/>
      <c r="AY14" s="1644"/>
      <c r="AZ14" s="1644"/>
      <c r="BA14" s="1644"/>
      <c r="BB14" s="1645"/>
    </row>
    <row r="15" spans="1:54" x14ac:dyDescent="0.8">
      <c r="I15" s="1362"/>
      <c r="AM15" s="22"/>
      <c r="AN15" s="172"/>
      <c r="AP15" s="22"/>
      <c r="AQ15" s="1376">
        <f>'APV Valuation'!B36</f>
        <v>10.653657453279301</v>
      </c>
      <c r="AR15" s="1377">
        <f t="shared" ref="AR15:AU15" si="5">AS15-2.5%</f>
        <v>-0.125</v>
      </c>
      <c r="AS15" s="1377">
        <f t="shared" si="5"/>
        <v>-0.1</v>
      </c>
      <c r="AT15" s="1377">
        <f t="shared" si="5"/>
        <v>-7.5000000000000011E-2</v>
      </c>
      <c r="AU15" s="1377">
        <f t="shared" si="5"/>
        <v>-0.05</v>
      </c>
      <c r="AV15" s="1377">
        <f>AW15-2.5%</f>
        <v>-2.5000000000000001E-2</v>
      </c>
      <c r="AW15" s="1385">
        <v>0</v>
      </c>
      <c r="AX15" s="1377">
        <f>AW15+2.5%</f>
        <v>2.5000000000000001E-2</v>
      </c>
      <c r="AY15" s="1377">
        <f t="shared" ref="AY15:BB15" si="6">AX15+2.5%</f>
        <v>0.05</v>
      </c>
      <c r="AZ15" s="1377">
        <f t="shared" si="6"/>
        <v>7.5000000000000011E-2</v>
      </c>
      <c r="BA15" s="1377">
        <f t="shared" si="6"/>
        <v>0.1</v>
      </c>
      <c r="BB15" s="1378">
        <f t="shared" si="6"/>
        <v>0.125</v>
      </c>
    </row>
    <row r="16" spans="1:54" x14ac:dyDescent="0.8">
      <c r="I16" s="1362"/>
      <c r="AM16" s="1727" t="s">
        <v>698</v>
      </c>
      <c r="AN16" s="1728"/>
      <c r="AP16" s="1693" t="s">
        <v>689</v>
      </c>
      <c r="AQ16" s="1377">
        <f t="shared" ref="AQ16:AQ19" si="7">AQ17-2.5%</f>
        <v>-0.125</v>
      </c>
      <c r="AR16" s="1354">
        <f t="dataTable" ref="AR16:BB26" dt2D="1" dtr="1" r1="AM17" r2="AM14" ca="1"/>
        <v>9.9520535616634991</v>
      </c>
      <c r="AS16" s="1354">
        <v>9.7673618482097773</v>
      </c>
      <c r="AT16" s="1354">
        <v>9.8516864295714104</v>
      </c>
      <c r="AU16" s="1354">
        <v>9.9798492669614678</v>
      </c>
      <c r="AV16" s="1354">
        <v>10.109718378228683</v>
      </c>
      <c r="AW16" s="1354">
        <v>10.243293326640872</v>
      </c>
      <c r="AX16" s="1354">
        <v>10.380694770481279</v>
      </c>
      <c r="AY16" s="1354">
        <v>10.539036233030874</v>
      </c>
      <c r="AZ16" s="1354">
        <v>10.684009549919137</v>
      </c>
      <c r="BA16" s="1354">
        <v>10.833126180881088</v>
      </c>
      <c r="BB16" s="1382">
        <v>10.986507301329052</v>
      </c>
    </row>
    <row r="17" spans="1:54" x14ac:dyDescent="0.8">
      <c r="I17" s="1362"/>
      <c r="AM17" s="1729">
        <v>0</v>
      </c>
      <c r="AN17" s="1730"/>
      <c r="AP17" s="1693"/>
      <c r="AQ17" s="1377">
        <f t="shared" si="7"/>
        <v>-0.1</v>
      </c>
      <c r="AR17" s="1354">
        <v>9.8283986256961651</v>
      </c>
      <c r="AS17" s="1354">
        <v>9.8085045662461265</v>
      </c>
      <c r="AT17" s="1354">
        <v>9.9206272866921346</v>
      </c>
      <c r="AU17" s="1354">
        <v>10.051338089410001</v>
      </c>
      <c r="AV17" s="1354">
        <v>10.183607935769292</v>
      </c>
      <c r="AW17" s="1354">
        <v>10.319674459745467</v>
      </c>
      <c r="AX17" s="1354">
        <v>10.476421809305249</v>
      </c>
      <c r="AY17" s="1354">
        <v>10.620000011229488</v>
      </c>
      <c r="AZ17" s="1354">
        <v>10.767689826536298</v>
      </c>
      <c r="BA17" s="1375">
        <v>10.919611722694748</v>
      </c>
      <c r="BB17" s="1365">
        <v>11.075889783153599</v>
      </c>
    </row>
    <row r="18" spans="1:54" x14ac:dyDescent="0.8">
      <c r="I18" s="1362"/>
      <c r="AM18" s="22"/>
      <c r="AN18" s="172"/>
      <c r="AP18" s="1693"/>
      <c r="AQ18" s="1377">
        <f t="shared" si="7"/>
        <v>-7.5000000000000011E-2</v>
      </c>
      <c r="AR18" s="1354">
        <v>9.8009181026809866</v>
      </c>
      <c r="AS18" s="1354">
        <v>9.8638955330760929</v>
      </c>
      <c r="AT18" s="1354">
        <v>9.9931059868877661</v>
      </c>
      <c r="AU18" s="1354">
        <v>10.124080675847505</v>
      </c>
      <c r="AV18" s="1354">
        <v>10.25881068285385</v>
      </c>
      <c r="AW18" s="1354">
        <v>10.413964670073234</v>
      </c>
      <c r="AX18" s="1354">
        <v>10.556145861619939</v>
      </c>
      <c r="AY18" s="1354">
        <v>10.702406786211684</v>
      </c>
      <c r="AZ18" s="1375">
        <v>10.85286719575026</v>
      </c>
      <c r="BA18" s="1354">
        <v>11.00765044206703</v>
      </c>
      <c r="BB18" s="1365">
        <v>11.166883591101415</v>
      </c>
    </row>
    <row r="19" spans="1:54" x14ac:dyDescent="0.8">
      <c r="I19" s="1362"/>
      <c r="AM19" s="22"/>
      <c r="AN19" s="172"/>
      <c r="AP19" s="1693"/>
      <c r="AQ19" s="1377">
        <f t="shared" si="7"/>
        <v>-0.05</v>
      </c>
      <c r="AR19" s="1354">
        <v>9.8126030588979862</v>
      </c>
      <c r="AS19" s="1354">
        <v>9.9350522801712255</v>
      </c>
      <c r="AT19" s="1354">
        <v>10.064721864787638</v>
      </c>
      <c r="AU19" s="1354">
        <v>10.198114050950318</v>
      </c>
      <c r="AV19" s="1354">
        <v>10.351675727574424</v>
      </c>
      <c r="AW19" s="1354">
        <v>10.492458320737548</v>
      </c>
      <c r="AX19" s="1354">
        <v>10.637288594730693</v>
      </c>
      <c r="AY19" s="1375">
        <v>10.786285578448956</v>
      </c>
      <c r="AZ19" s="1354">
        <v>10.939571884395528</v>
      </c>
      <c r="BA19" s="1354">
        <v>11.097273822485446</v>
      </c>
      <c r="BB19" s="1365">
        <v>11.259521517765874</v>
      </c>
    </row>
    <row r="20" spans="1:54" x14ac:dyDescent="0.8">
      <c r="I20" s="1362"/>
      <c r="AM20" s="22"/>
      <c r="AN20" s="172"/>
      <c r="AP20" s="1693"/>
      <c r="AQ20" s="1377">
        <f>AQ21-2.5%</f>
        <v>-2.5000000000000001E-2</v>
      </c>
      <c r="AR20" s="1354">
        <v>9.8752659428176237</v>
      </c>
      <c r="AS20" s="1354">
        <v>10.005532011192999</v>
      </c>
      <c r="AT20" s="1354">
        <v>10.137594977804529</v>
      </c>
      <c r="AU20" s="1354">
        <v>10.28956569339508</v>
      </c>
      <c r="AV20" s="1354">
        <v>10.428948404457955</v>
      </c>
      <c r="AW20" s="1354">
        <v>10.57234658000155</v>
      </c>
      <c r="AX20" s="1375">
        <v>10.71987851866041</v>
      </c>
      <c r="AY20" s="1354">
        <v>10.871666086088497</v>
      </c>
      <c r="AZ20" s="1354">
        <v>11.027834828378779</v>
      </c>
      <c r="BA20" s="1354">
        <v>11.188514089389985</v>
      </c>
      <c r="BB20" s="1365">
        <v>11.353837132129762</v>
      </c>
    </row>
    <row r="21" spans="1:54" x14ac:dyDescent="0.8">
      <c r="I21" s="1362"/>
      <c r="AM21" s="22"/>
      <c r="AN21" s="172"/>
      <c r="AP21" s="1693"/>
      <c r="AQ21" s="1385">
        <v>0</v>
      </c>
      <c r="AR21" s="1354">
        <v>9.9465363817892456</v>
      </c>
      <c r="AS21" s="1354">
        <v>10.077263679168135</v>
      </c>
      <c r="AT21" s="1354">
        <v>10.22764507776227</v>
      </c>
      <c r="AU21" s="1354">
        <v>10.365626924119919</v>
      </c>
      <c r="AV21" s="1354">
        <v>10.507591862190203</v>
      </c>
      <c r="AW21" s="1375">
        <v>10.653657453279301</v>
      </c>
      <c r="AX21" s="1354">
        <v>10.803944808861379</v>
      </c>
      <c r="AY21" s="1354">
        <v>10.958578703604545</v>
      </c>
      <c r="AZ21" s="1354">
        <v>11.117687692294473</v>
      </c>
      <c r="BA21" s="1354">
        <v>11.281404230804263</v>
      </c>
      <c r="BB21" s="1365">
        <v>11.449864801266214</v>
      </c>
    </row>
    <row r="22" spans="1:54" x14ac:dyDescent="0.8">
      <c r="I22" s="1362"/>
      <c r="AM22" s="366"/>
      <c r="AN22" s="1388" t="s">
        <v>690</v>
      </c>
      <c r="AP22" s="1693"/>
      <c r="AQ22" s="1377">
        <f>AQ21+2.5%</f>
        <v>2.5000000000000001E-2</v>
      </c>
      <c r="AR22" s="1354">
        <v>10.017122818555032</v>
      </c>
      <c r="AS22" s="1354">
        <v>10.165924188911953</v>
      </c>
      <c r="AT22" s="1354">
        <v>10.30250448583519</v>
      </c>
      <c r="AU22" s="1354">
        <v>10.443035352969948</v>
      </c>
      <c r="AV22" s="1375">
        <v>10.587633607412766</v>
      </c>
      <c r="AW22" s="1354">
        <v>10.736419599318371</v>
      </c>
      <c r="AX22" s="1354">
        <v>10.88951732452287</v>
      </c>
      <c r="AY22" s="1354">
        <v>11.047054541054365</v>
      </c>
      <c r="AZ22" s="1354">
        <v>11.209162889679749</v>
      </c>
      <c r="BA22" s="1354">
        <v>11.375978018642682</v>
      </c>
      <c r="BB22" s="1365">
        <v>11.547639712754636</v>
      </c>
    </row>
    <row r="23" spans="1:54" x14ac:dyDescent="0.8">
      <c r="I23" s="1362"/>
      <c r="AM23" s="22"/>
      <c r="AN23" s="172"/>
      <c r="AP23" s="1693"/>
      <c r="AQ23" s="1377">
        <f t="shared" ref="AQ23:AQ26" si="8">AQ22+2.5%</f>
        <v>0.05</v>
      </c>
      <c r="AR23" s="1354">
        <v>10.104413132530304</v>
      </c>
      <c r="AS23" s="1354">
        <v>10.239591489873384</v>
      </c>
      <c r="AT23" s="1354">
        <v>10.378687754847638</v>
      </c>
      <c r="AU23" s="1375">
        <v>10.52181799364574</v>
      </c>
      <c r="AV23" s="1354">
        <v>10.669101788154913</v>
      </c>
      <c r="AW23" s="1354">
        <v>10.820662348168078</v>
      </c>
      <c r="AX23" s="1354">
        <v>10.976626627472148</v>
      </c>
      <c r="AY23" s="1354">
        <v>11.137125443961667</v>
      </c>
      <c r="AZ23" s="1354">
        <v>11.302293603932927</v>
      </c>
      <c r="BA23" s="1354">
        <v>11.472270030719686</v>
      </c>
      <c r="BB23" s="1365">
        <v>11.647197897839142</v>
      </c>
    </row>
    <row r="24" spans="1:54" x14ac:dyDescent="0.8">
      <c r="I24" s="1362"/>
      <c r="AM24" s="1685" t="s">
        <v>689</v>
      </c>
      <c r="AN24" s="1372">
        <f>0%+$AM$14</f>
        <v>0</v>
      </c>
      <c r="AP24" s="1693"/>
      <c r="AQ24" s="1377">
        <f t="shared" si="8"/>
        <v>7.5000000000000011E-2</v>
      </c>
      <c r="AR24" s="1354">
        <v>10.176898130121572</v>
      </c>
      <c r="AS24" s="1354">
        <v>10.314559560566252</v>
      </c>
      <c r="AT24" s="1375">
        <v>10.456221411384387</v>
      </c>
      <c r="AU24" s="1354">
        <v>10.602002489439569</v>
      </c>
      <c r="AV24" s="1354">
        <v>10.752025211467013</v>
      </c>
      <c r="AW24" s="1354">
        <v>10.906415719730076</v>
      </c>
      <c r="AX24" s="1354">
        <v>11.06530400169108</v>
      </c>
      <c r="AY24" s="1354">
        <v>11.228824013851279</v>
      </c>
      <c r="AZ24" s="1354">
        <v>11.39711380992094</v>
      </c>
      <c r="BA24" s="1354">
        <v>11.570315673487556</v>
      </c>
      <c r="BB24" s="1365">
        <v>11.747518754472793</v>
      </c>
    </row>
    <row r="25" spans="1:54" x14ac:dyDescent="0.8">
      <c r="I25" s="1362"/>
      <c r="AM25" s="1685"/>
      <c r="AN25" s="1372">
        <f>0%+$AM$14</f>
        <v>0</v>
      </c>
      <c r="AP25" s="1693"/>
      <c r="AQ25" s="1377">
        <f t="shared" si="8"/>
        <v>0.1</v>
      </c>
      <c r="AR25" s="1354">
        <v>10.250661052583229</v>
      </c>
      <c r="AS25" s="1375">
        <v>10.390854446276874</v>
      </c>
      <c r="AT25" s="1354">
        <v>10.535132599975197</v>
      </c>
      <c r="AU25" s="1354">
        <v>10.683617130538201</v>
      </c>
      <c r="AV25" s="1354">
        <v>10.836433361625126</v>
      </c>
      <c r="AW25" s="1354">
        <v>10.993710442912878</v>
      </c>
      <c r="AX25" s="1354">
        <v>11.15558147347185</v>
      </c>
      <c r="AY25" s="1354">
        <v>11.322183629459799</v>
      </c>
      <c r="AZ25" s="1354">
        <v>11.493658296301795</v>
      </c>
      <c r="BA25" s="1354">
        <v>11.670151205531202</v>
      </c>
      <c r="BB25" s="1365">
        <v>11.845658033617534</v>
      </c>
    </row>
    <row r="26" spans="1:54" ht="16.75" thickBot="1" x14ac:dyDescent="0.95">
      <c r="AM26" s="1685"/>
      <c r="AN26" s="1372">
        <f>0%+$AM$14</f>
        <v>0</v>
      </c>
      <c r="AP26" s="1694"/>
      <c r="AQ26" s="1379">
        <f t="shared" si="8"/>
        <v>0.125</v>
      </c>
      <c r="AR26" s="1383">
        <v>10.325727469711401</v>
      </c>
      <c r="AS26" s="1367">
        <v>10.468502798738848</v>
      </c>
      <c r="AT26" s="1367">
        <v>10.615449100071501</v>
      </c>
      <c r="AU26" s="1367">
        <v>10.766690871886144</v>
      </c>
      <c r="AV26" s="1367">
        <v>10.922356418928194</v>
      </c>
      <c r="AW26" s="1367">
        <v>11.08257797541353</v>
      </c>
      <c r="AX26" s="1367">
        <v>11.247491832235982</v>
      </c>
      <c r="AY26" s="1367">
        <v>11.417238468648168</v>
      </c>
      <c r="AZ26" s="1367">
        <v>11.591962688590227</v>
      </c>
      <c r="BA26" s="1367">
        <v>11.767338868302659</v>
      </c>
      <c r="BB26" s="1369">
        <v>11.945591471698499</v>
      </c>
    </row>
    <row r="27" spans="1:54" x14ac:dyDescent="0.8">
      <c r="AM27" s="22"/>
      <c r="AN27" s="172"/>
    </row>
    <row r="28" spans="1:54" x14ac:dyDescent="0.8">
      <c r="AM28" s="22"/>
      <c r="AN28" s="348"/>
    </row>
    <row r="29" spans="1:54" x14ac:dyDescent="0.8">
      <c r="AM29" s="1685" t="s">
        <v>692</v>
      </c>
      <c r="AN29" s="1372">
        <f>0%+$AM$17</f>
        <v>0</v>
      </c>
    </row>
    <row r="30" spans="1:54" x14ac:dyDescent="0.8">
      <c r="AM30" s="1685"/>
      <c r="AN30" s="1372">
        <f>0%+$AM$17</f>
        <v>0</v>
      </c>
    </row>
    <row r="31" spans="1:54" x14ac:dyDescent="0.8">
      <c r="AM31" s="1726"/>
      <c r="AN31" s="1386">
        <f>0%+$AM$17</f>
        <v>0</v>
      </c>
    </row>
    <row r="32" spans="1:54" x14ac:dyDescent="0.8">
      <c r="A32" s="1363"/>
      <c r="AM32" s="1373"/>
      <c r="AN32" s="172"/>
    </row>
    <row r="33" spans="1:70" ht="16.75" thickBot="1" x14ac:dyDescent="0.95">
      <c r="A33" s="1363"/>
      <c r="AM33" s="1387"/>
      <c r="AN33" s="1388" t="s">
        <v>691</v>
      </c>
    </row>
    <row r="34" spans="1:70" x14ac:dyDescent="0.8">
      <c r="A34" s="1363"/>
      <c r="AM34" s="1373"/>
      <c r="AN34" s="172"/>
      <c r="AP34" s="36" t="s">
        <v>705</v>
      </c>
      <c r="AQ34" s="21"/>
      <c r="AR34" s="21"/>
      <c r="AS34" s="21"/>
      <c r="AT34" s="21"/>
      <c r="AU34" s="21"/>
      <c r="AV34" s="21"/>
      <c r="AW34" s="21"/>
      <c r="AX34" s="21"/>
      <c r="AY34" s="21"/>
      <c r="AZ34" s="21"/>
      <c r="BA34" s="21"/>
      <c r="BB34" s="21"/>
      <c r="BC34" s="171"/>
      <c r="BE34" s="36" t="s">
        <v>706</v>
      </c>
      <c r="BF34" s="21"/>
      <c r="BG34" s="21"/>
      <c r="BH34" s="21"/>
      <c r="BI34" s="21"/>
      <c r="BJ34" s="21"/>
      <c r="BK34" s="21"/>
      <c r="BL34" s="21"/>
      <c r="BM34" s="21"/>
      <c r="BN34" s="21"/>
      <c r="BO34" s="21"/>
      <c r="BP34" s="21"/>
      <c r="BQ34" s="21"/>
      <c r="BR34" s="171"/>
    </row>
    <row r="35" spans="1:70" x14ac:dyDescent="0.8">
      <c r="AM35" s="1685" t="s">
        <v>689</v>
      </c>
      <c r="AN35" s="1372">
        <f>0%+$AM$14</f>
        <v>0</v>
      </c>
      <c r="AP35" s="366"/>
      <c r="AQ35" s="156"/>
      <c r="AR35" s="156"/>
      <c r="AS35" s="1717" t="s">
        <v>693</v>
      </c>
      <c r="AT35" s="1717"/>
      <c r="AU35" s="1717"/>
      <c r="AV35" s="1717"/>
      <c r="AW35" s="1717"/>
      <c r="AX35" s="1717"/>
      <c r="AY35" s="1717"/>
      <c r="AZ35" s="1717"/>
      <c r="BA35" s="1717"/>
      <c r="BB35" s="1717"/>
      <c r="BC35" s="1718"/>
      <c r="BE35" s="366"/>
      <c r="BF35" s="156"/>
      <c r="BG35" s="156"/>
      <c r="BH35" s="1717" t="s">
        <v>693</v>
      </c>
      <c r="BI35" s="1717"/>
      <c r="BJ35" s="1717"/>
      <c r="BK35" s="1717"/>
      <c r="BL35" s="1717"/>
      <c r="BM35" s="1717"/>
      <c r="BN35" s="1717"/>
      <c r="BO35" s="1717"/>
      <c r="BP35" s="1717"/>
      <c r="BQ35" s="1717"/>
      <c r="BR35" s="1718"/>
    </row>
    <row r="36" spans="1:70" x14ac:dyDescent="0.8">
      <c r="AM36" s="1685"/>
      <c r="AN36" s="1372">
        <f>0%+$AM$14</f>
        <v>0</v>
      </c>
      <c r="AP36" s="22"/>
      <c r="AQ36" s="185"/>
      <c r="AR36" s="156"/>
      <c r="AS36" s="1689" t="s">
        <v>694</v>
      </c>
      <c r="AT36" s="1689"/>
      <c r="AU36" s="1689"/>
      <c r="AV36" s="1689"/>
      <c r="AW36" s="1689"/>
      <c r="AX36" s="1689"/>
      <c r="AY36" s="1689"/>
      <c r="AZ36" s="1689"/>
      <c r="BA36" s="1689"/>
      <c r="BB36" s="1689"/>
      <c r="BC36" s="1690"/>
      <c r="BE36" s="22"/>
      <c r="BF36" s="185"/>
      <c r="BG36" s="156"/>
      <c r="BH36" s="1695" t="s">
        <v>701</v>
      </c>
      <c r="BI36" s="1695"/>
      <c r="BJ36" s="1695"/>
      <c r="BK36" s="1695"/>
      <c r="BL36" s="1695"/>
      <c r="BM36" s="1695"/>
      <c r="BN36" s="1695"/>
      <c r="BO36" s="1695"/>
      <c r="BP36" s="1695"/>
      <c r="BQ36" s="1695"/>
      <c r="BR36" s="1696"/>
    </row>
    <row r="37" spans="1:70" x14ac:dyDescent="0.8">
      <c r="AM37" s="1685"/>
      <c r="AN37" s="1372">
        <f>0%+$AM$14</f>
        <v>0</v>
      </c>
      <c r="AP37" s="22"/>
      <c r="AQ37" s="131"/>
      <c r="AR37" s="1376">
        <f>'APV Valuation'!B36</f>
        <v>10.653657453279301</v>
      </c>
      <c r="AS37" s="1377">
        <f t="shared" ref="AS37:AV37" si="9">AT37-2.5%</f>
        <v>-0.125</v>
      </c>
      <c r="AT37" s="1377">
        <f t="shared" si="9"/>
        <v>-0.1</v>
      </c>
      <c r="AU37" s="1377">
        <f t="shared" si="9"/>
        <v>-7.5000000000000011E-2</v>
      </c>
      <c r="AV37" s="1377">
        <f t="shared" si="9"/>
        <v>-0.05</v>
      </c>
      <c r="AW37" s="1377">
        <f>AX37-2.5%</f>
        <v>-2.5000000000000001E-2</v>
      </c>
      <c r="AX37" s="1528">
        <v>0</v>
      </c>
      <c r="AY37" s="1377">
        <f>AX37+2.5%</f>
        <v>2.5000000000000001E-2</v>
      </c>
      <c r="AZ37" s="1377">
        <f t="shared" ref="AZ37:BC37" si="10">AY37+2.5%</f>
        <v>0.05</v>
      </c>
      <c r="BA37" s="1377">
        <f t="shared" si="10"/>
        <v>7.5000000000000011E-2</v>
      </c>
      <c r="BB37" s="1377">
        <f t="shared" si="10"/>
        <v>0.1</v>
      </c>
      <c r="BC37" s="1378">
        <f t="shared" si="10"/>
        <v>0.125</v>
      </c>
      <c r="BE37" s="22"/>
      <c r="BF37" s="131"/>
      <c r="BG37" s="1376">
        <f>'APV Valuation'!B36</f>
        <v>10.653657453279301</v>
      </c>
      <c r="BH37" s="1377">
        <f t="shared" ref="BH37:BK37" si="11">BI37-2.5%</f>
        <v>-0.125</v>
      </c>
      <c r="BI37" s="1377">
        <f t="shared" si="11"/>
        <v>-0.1</v>
      </c>
      <c r="BJ37" s="1377">
        <f t="shared" si="11"/>
        <v>-7.5000000000000011E-2</v>
      </c>
      <c r="BK37" s="1377">
        <f t="shared" si="11"/>
        <v>-0.05</v>
      </c>
      <c r="BL37" s="1377">
        <f>BM37-2.5%</f>
        <v>-2.5000000000000001E-2</v>
      </c>
      <c r="BM37" s="1528">
        <v>0</v>
      </c>
      <c r="BN37" s="1377">
        <f>BM37+2.5%</f>
        <v>2.5000000000000001E-2</v>
      </c>
      <c r="BO37" s="1377">
        <f t="shared" ref="BO37:BR37" si="12">BN37+2.5%</f>
        <v>0.05</v>
      </c>
      <c r="BP37" s="1377">
        <f t="shared" si="12"/>
        <v>7.5000000000000011E-2</v>
      </c>
      <c r="BQ37" s="1377">
        <f t="shared" si="12"/>
        <v>0.1</v>
      </c>
      <c r="BR37" s="1378">
        <f t="shared" si="12"/>
        <v>0.125</v>
      </c>
    </row>
    <row r="38" spans="1:70" x14ac:dyDescent="0.8">
      <c r="AM38" s="1373"/>
      <c r="AN38" s="348"/>
      <c r="AP38" s="1685" t="s">
        <v>695</v>
      </c>
      <c r="AQ38" s="1722" t="s">
        <v>694</v>
      </c>
      <c r="AR38" s="1377">
        <f t="shared" ref="AR38:AR41" si="13">AR39-2.5%</f>
        <v>-0.125</v>
      </c>
      <c r="AS38" s="1354">
        <f t="dataTable" ref="AS38:BC48" dt2D="1" dtr="1" r1="AN35" r2="AN24" ca="1"/>
        <v>10.390347984820767</v>
      </c>
      <c r="AT38" s="1354">
        <v>10.421322518331589</v>
      </c>
      <c r="AU38" s="1354">
        <v>10.435880833452805</v>
      </c>
      <c r="AV38" s="1354">
        <v>10.45065455267622</v>
      </c>
      <c r="AW38" s="1354">
        <v>10.465647461572848</v>
      </c>
      <c r="AX38" s="1529">
        <v>10.48086342538781</v>
      </c>
      <c r="AY38" s="1354">
        <v>10.496306391187609</v>
      </c>
      <c r="AZ38" s="1354">
        <v>10.511980390075772</v>
      </c>
      <c r="BA38" s="1354">
        <v>10.527889539479343</v>
      </c>
      <c r="BB38" s="1354">
        <v>10.544038045508868</v>
      </c>
      <c r="BC38" s="1365">
        <v>10.560430205394375</v>
      </c>
      <c r="BE38" s="1685" t="s">
        <v>695</v>
      </c>
      <c r="BF38" s="1724" t="s">
        <v>701</v>
      </c>
      <c r="BG38" s="1377">
        <f t="shared" ref="BG38:BG41" si="14">BG39-2.5%</f>
        <v>-0.125</v>
      </c>
      <c r="BH38" s="1354">
        <f t="dataTable" ref="BH38:BR48" dt2D="1" dtr="1" r1="AN39" r2="AN29" ca="1"/>
        <v>10.19630094131236</v>
      </c>
      <c r="BI38" s="1354">
        <v>10.227861273118458</v>
      </c>
      <c r="BJ38" s="1354">
        <v>10.259994947882776</v>
      </c>
      <c r="BK38" s="1354">
        <v>10.292714303141317</v>
      </c>
      <c r="BL38" s="1354">
        <v>10.326031951303053</v>
      </c>
      <c r="BM38" s="1529">
        <v>10.359960787310868</v>
      </c>
      <c r="BN38" s="1354">
        <v>10.394513996563036</v>
      </c>
      <c r="BO38" s="1354">
        <v>10.429705063103974</v>
      </c>
      <c r="BP38" s="1354">
        <v>10.465547778093809</v>
      </c>
      <c r="BQ38" s="1354">
        <v>10.502056248566175</v>
      </c>
      <c r="BR38" s="1365">
        <v>10.539244906484567</v>
      </c>
    </row>
    <row r="39" spans="1:70" x14ac:dyDescent="0.8">
      <c r="AM39" s="1685" t="s">
        <v>692</v>
      </c>
      <c r="AN39" s="1372">
        <f>0%+$AM$17</f>
        <v>0</v>
      </c>
      <c r="AP39" s="1685"/>
      <c r="AQ39" s="1722"/>
      <c r="AR39" s="1377">
        <f t="shared" si="13"/>
        <v>-0.1</v>
      </c>
      <c r="AS39" s="1354">
        <v>10.42318597085012</v>
      </c>
      <c r="AT39" s="1354">
        <v>10.454550236449805</v>
      </c>
      <c r="AU39" s="1354">
        <v>10.4692863524721</v>
      </c>
      <c r="AV39" s="1354">
        <v>10.484240310928111</v>
      </c>
      <c r="AW39" s="1354">
        <v>10.499415939535387</v>
      </c>
      <c r="AX39" s="1529">
        <v>10.514817146630419</v>
      </c>
      <c r="AY39" s="1354">
        <v>10.530447923341901</v>
      </c>
      <c r="AZ39" s="1354">
        <v>10.546312345833398</v>
      </c>
      <c r="BA39" s="1354">
        <v>10.562414577617597</v>
      </c>
      <c r="BB39" s="1354">
        <v>10.578758871944855</v>
      </c>
      <c r="BC39" s="1365">
        <v>10.59534957426875</v>
      </c>
      <c r="BE39" s="1685"/>
      <c r="BF39" s="1724"/>
      <c r="BG39" s="1377">
        <f t="shared" si="14"/>
        <v>-0.1</v>
      </c>
      <c r="BH39" s="1354">
        <v>10.250296085245168</v>
      </c>
      <c r="BI39" s="1354">
        <v>10.282456610105445</v>
      </c>
      <c r="BJ39" s="1354">
        <v>10.315201406896154</v>
      </c>
      <c r="BK39" s="1354">
        <v>10.348543034897062</v>
      </c>
      <c r="BL39" s="1354">
        <v>10.382494333309204</v>
      </c>
      <c r="BM39" s="1529">
        <v>10.417068429064994</v>
      </c>
      <c r="BN39" s="1354">
        <v>10.452278744903495</v>
      </c>
      <c r="BO39" s="1354">
        <v>10.488139007719543</v>
      </c>
      <c r="BP39" s="1354">
        <v>10.524663257196512</v>
      </c>
      <c r="BQ39" s="1354">
        <v>10.561865854732361</v>
      </c>
      <c r="BR39" s="1365">
        <v>10.59976149266933</v>
      </c>
    </row>
    <row r="40" spans="1:70" x14ac:dyDescent="0.8">
      <c r="AM40" s="1685"/>
      <c r="AN40" s="1372">
        <f>0%+$AM$17</f>
        <v>0</v>
      </c>
      <c r="AP40" s="1685"/>
      <c r="AQ40" s="1722"/>
      <c r="AR40" s="1377">
        <f t="shared" si="13"/>
        <v>-7.5000000000000011E-2</v>
      </c>
      <c r="AS40" s="1354">
        <v>10.456313253023866</v>
      </c>
      <c r="AT40" s="1354">
        <v>10.488070740953717</v>
      </c>
      <c r="AU40" s="1354">
        <v>10.502986472297041</v>
      </c>
      <c r="AV40" s="1354">
        <v>10.518122507207959</v>
      </c>
      <c r="AW40" s="1354">
        <v>10.533482715950438</v>
      </c>
      <c r="AX40" s="1529">
        <v>10.549071050361352</v>
      </c>
      <c r="AY40" s="1354">
        <v>10.564891546050099</v>
      </c>
      <c r="AZ40" s="1354">
        <v>10.580948324668423</v>
      </c>
      <c r="BA40" s="1354">
        <v>10.597245596252629</v>
      </c>
      <c r="BB40" s="1354">
        <v>10.613787661641112</v>
      </c>
      <c r="BC40" s="1365">
        <v>10.630578914969693</v>
      </c>
      <c r="BE40" s="1685"/>
      <c r="BF40" s="1724"/>
      <c r="BG40" s="1377">
        <f t="shared" si="14"/>
        <v>-7.5000000000000011E-2</v>
      </c>
      <c r="BH40" s="1354">
        <v>10.30504770238678</v>
      </c>
      <c r="BI40" s="1354">
        <v>10.337817918395478</v>
      </c>
      <c r="BJ40" s="1354">
        <v>10.371183502964739</v>
      </c>
      <c r="BK40" s="1354">
        <v>10.405157240363838</v>
      </c>
      <c r="BL40" s="1354">
        <v>10.439752199911224</v>
      </c>
      <c r="BM40" s="1529">
        <v>10.474981743936084</v>
      </c>
      <c r="BN40" s="1354">
        <v>10.510859536009436</v>
      </c>
      <c r="BO40" s="1354">
        <v>10.54739954945398</v>
      </c>
      <c r="BP40" s="1354">
        <v>10.584616076142321</v>
      </c>
      <c r="BQ40" s="1354">
        <v>10.622523735593566</v>
      </c>
      <c r="BR40" s="1365">
        <v>10.661137484378816</v>
      </c>
    </row>
    <row r="41" spans="1:70" ht="16.75" thickBot="1" x14ac:dyDescent="0.95">
      <c r="AM41" s="1686"/>
      <c r="AN41" s="1374">
        <f>0%+$AM$17</f>
        <v>0</v>
      </c>
      <c r="AP41" s="1685"/>
      <c r="AQ41" s="1722"/>
      <c r="AR41" s="1377">
        <f t="shared" si="13"/>
        <v>-0.05</v>
      </c>
      <c r="AS41" s="1354">
        <v>10.489732100763913</v>
      </c>
      <c r="AT41" s="1354">
        <v>10.521886325781846</v>
      </c>
      <c r="AU41" s="1354">
        <v>10.536983501390448</v>
      </c>
      <c r="AV41" s="1354">
        <v>10.552303464675168</v>
      </c>
      <c r="AW41" s="1354">
        <v>10.567850128849363</v>
      </c>
      <c r="AX41" s="1529">
        <v>10.583627489662494</v>
      </c>
      <c r="AY41" s="1354">
        <v>10.599639627626328</v>
      </c>
      <c r="AZ41" s="1354">
        <v>10.615890710312145</v>
      </c>
      <c r="BA41" s="1354">
        <v>10.632384994721322</v>
      </c>
      <c r="BB41" s="1354">
        <v>10.649126829731857</v>
      </c>
      <c r="BC41" s="1365">
        <v>10.666120658623859</v>
      </c>
      <c r="BE41" s="1685"/>
      <c r="BF41" s="1724"/>
      <c r="BG41" s="1377">
        <f t="shared" si="14"/>
        <v>-0.05</v>
      </c>
      <c r="BH41" s="1354">
        <v>10.360565311073101</v>
      </c>
      <c r="BI41" s="1354">
        <v>10.393954834309653</v>
      </c>
      <c r="BJ41" s="1354">
        <v>10.427950992327224</v>
      </c>
      <c r="BK41" s="1354">
        <v>10.462566797669643</v>
      </c>
      <c r="BL41" s="1354">
        <v>10.497815553138516</v>
      </c>
      <c r="BM41" s="1529">
        <v>10.53371085990824</v>
      </c>
      <c r="BN41" s="1354">
        <v>10.570266625915256</v>
      </c>
      <c r="BO41" s="1354">
        <v>10.607497074530741</v>
      </c>
      <c r="BP41" s="1354">
        <v>10.645416753526671</v>
      </c>
      <c r="BQ41" s="1354">
        <v>10.684040544345375</v>
      </c>
      <c r="BR41" s="1365">
        <v>10.723383671683193</v>
      </c>
    </row>
    <row r="42" spans="1:70" x14ac:dyDescent="0.8">
      <c r="AP42" s="1685"/>
      <c r="AQ42" s="1722"/>
      <c r="AR42" s="1377">
        <f>AR43-2.5%</f>
        <v>-2.5000000000000001E-2</v>
      </c>
      <c r="AS42" s="1354">
        <v>10.523444796218284</v>
      </c>
      <c r="AT42" s="1354">
        <v>10.555999297730962</v>
      </c>
      <c r="AU42" s="1354">
        <v>10.571279761154511</v>
      </c>
      <c r="AV42" s="1354">
        <v>10.586785519510677</v>
      </c>
      <c r="AW42" s="1354">
        <v>10.602520529368258</v>
      </c>
      <c r="AX42" s="1529">
        <v>10.618488830804626</v>
      </c>
      <c r="AY42" s="1354">
        <v>10.634694549658848</v>
      </c>
      <c r="AZ42" s="1354">
        <v>10.651141899856434</v>
      </c>
      <c r="BA42" s="1354">
        <v>10.667835185808499</v>
      </c>
      <c r="BB42" s="1354">
        <v>10.684778804887703</v>
      </c>
      <c r="BC42" s="1365">
        <v>10.701977249984033</v>
      </c>
      <c r="BE42" s="1685"/>
      <c r="BF42" s="1724"/>
      <c r="BG42" s="1377">
        <f>BG43-2.5%</f>
        <v>-2.5000000000000001E-2</v>
      </c>
      <c r="BH42" s="1354">
        <v>10.416858513494104</v>
      </c>
      <c r="BI42" s="1354">
        <v>10.450877079050391</v>
      </c>
      <c r="BJ42" s="1354">
        <v>10.485513717147825</v>
      </c>
      <c r="BK42" s="1354">
        <v>10.520781671929626</v>
      </c>
      <c r="BL42" s="1354">
        <v>10.556694483086945</v>
      </c>
      <c r="BM42" s="1529">
        <v>10.593265994129508</v>
      </c>
      <c r="BN42" s="1354">
        <v>10.630510360935224</v>
      </c>
      <c r="BO42" s="1354">
        <v>10.668442060587983</v>
      </c>
      <c r="BP42" s="1354">
        <v>10.707075900513898</v>
      </c>
      <c r="BQ42" s="1354">
        <v>10.746427027926138</v>
      </c>
      <c r="BR42" s="1365">
        <v>10.786510939589309</v>
      </c>
    </row>
    <row r="43" spans="1:70" x14ac:dyDescent="0.8">
      <c r="AP43" s="1685"/>
      <c r="AQ43" s="1722"/>
      <c r="AR43" s="1528">
        <v>0</v>
      </c>
      <c r="AS43" s="1529">
        <v>10.55745363429126</v>
      </c>
      <c r="AT43" s="1529">
        <v>10.590411976486774</v>
      </c>
      <c r="AU43" s="1529">
        <v>10.605877585961798</v>
      </c>
      <c r="AV43" s="1529">
        <v>10.621571020948222</v>
      </c>
      <c r="AW43" s="1529">
        <v>10.637496281779445</v>
      </c>
      <c r="AX43" s="1356">
        <v>10.653657453279301</v>
      </c>
      <c r="AY43" s="1529">
        <v>10.670058707042266</v>
      </c>
      <c r="AZ43" s="1529">
        <v>10.686704303786083</v>
      </c>
      <c r="BA43" s="1529">
        <v>10.703598595779672</v>
      </c>
      <c r="BB43" s="1529">
        <v>10.72074602934878</v>
      </c>
      <c r="BC43" s="1531">
        <v>10.738151147462368</v>
      </c>
      <c r="BE43" s="1685"/>
      <c r="BF43" s="1724"/>
      <c r="BG43" s="1528">
        <v>0</v>
      </c>
      <c r="BH43" s="1529">
        <v>10.473936996031229</v>
      </c>
      <c r="BI43" s="1529">
        <v>10.508594459044556</v>
      </c>
      <c r="BJ43" s="1529">
        <v>10.543881605865295</v>
      </c>
      <c r="BK43" s="1529">
        <v>10.579811915601045</v>
      </c>
      <c r="BL43" s="1529">
        <v>10.616399168279974</v>
      </c>
      <c r="BM43" s="1356">
        <v>10.653657453279301</v>
      </c>
      <c r="BN43" s="1529">
        <v>10.691601178037423</v>
      </c>
      <c r="BO43" s="1529">
        <v>10.730245077059132</v>
      </c>
      <c r="BP43" s="1529">
        <v>10.769604221224428</v>
      </c>
      <c r="BQ43" s="1529">
        <v>10.809694027410979</v>
      </c>
      <c r="BR43" s="1531">
        <v>10.85053026844172</v>
      </c>
    </row>
    <row r="44" spans="1:70" x14ac:dyDescent="0.8">
      <c r="AP44" s="1685"/>
      <c r="AQ44" s="1722"/>
      <c r="AR44" s="1377">
        <f>AR43+2.5%</f>
        <v>2.5000000000000001E-2</v>
      </c>
      <c r="AS44" s="1354">
        <v>10.591760922673716</v>
      </c>
      <c r="AT44" s="1354">
        <v>10.625126694654927</v>
      </c>
      <c r="AU44" s="1354">
        <v>10.640779323186505</v>
      </c>
      <c r="AV44" s="1354">
        <v>10.656662331305894</v>
      </c>
      <c r="AW44" s="1354">
        <v>10.672779763523362</v>
      </c>
      <c r="AX44" s="1529">
        <v>10.689135749830946</v>
      </c>
      <c r="AY44" s="1354">
        <v>10.705734508009892</v>
      </c>
      <c r="AZ44" s="1354">
        <v>10.722580346011483</v>
      </c>
      <c r="BA44" s="1354">
        <v>10.739677664413904</v>
      </c>
      <c r="BB44" s="1354">
        <v>10.757030958957872</v>
      </c>
      <c r="BC44" s="1365">
        <v>10.774644823163861</v>
      </c>
      <c r="BE44" s="1685"/>
      <c r="BF44" s="1724"/>
      <c r="BG44" s="1377">
        <f>BG43+2.5%</f>
        <v>2.5000000000000001E-2</v>
      </c>
      <c r="BH44" s="1354">
        <v>10.531810529597077</v>
      </c>
      <c r="BI44" s="1354">
        <v>10.567116866288899</v>
      </c>
      <c r="BJ44" s="1354">
        <v>10.603064673544292</v>
      </c>
      <c r="BK44" s="1354">
        <v>10.639667668840737</v>
      </c>
      <c r="BL44" s="1354">
        <v>10.676939876032355</v>
      </c>
      <c r="BM44" s="1529">
        <v>10.714895633938392</v>
      </c>
      <c r="BN44" s="1354">
        <v>10.753549605220131</v>
      </c>
      <c r="BO44" s="1354">
        <v>10.792916785555905</v>
      </c>
      <c r="BP44" s="1354">
        <v>10.833012513124634</v>
      </c>
      <c r="BQ44" s="1354">
        <v>10.873852478408567</v>
      </c>
      <c r="BR44" s="1365">
        <v>10.915452734326438</v>
      </c>
    </row>
    <row r="45" spans="1:70" x14ac:dyDescent="0.8">
      <c r="AP45" s="1685"/>
      <c r="AQ45" s="1722"/>
      <c r="AR45" s="1377">
        <f t="shared" ref="AR45:AR48" si="15">AR44+2.5%</f>
        <v>0.05</v>
      </c>
      <c r="AS45" s="1354">
        <v>10.626368981873544</v>
      </c>
      <c r="AT45" s="1354">
        <v>10.642604489925974</v>
      </c>
      <c r="AU45" s="1354">
        <v>10.675987333235819</v>
      </c>
      <c r="AV45" s="1354">
        <v>10.692061826017722</v>
      </c>
      <c r="AW45" s="1354">
        <v>10.708373365240409</v>
      </c>
      <c r="AX45" s="1529">
        <v>10.724926126489008</v>
      </c>
      <c r="AY45" s="1354">
        <v>10.741724374166193</v>
      </c>
      <c r="AZ45" s="1354">
        <v>10.758772463901389</v>
      </c>
      <c r="BA45" s="1354">
        <v>10.776074845036909</v>
      </c>
      <c r="BB45" s="1354">
        <v>10.793636063193754</v>
      </c>
      <c r="BC45" s="1365">
        <v>10.811460762920026</v>
      </c>
      <c r="BE45" s="1685"/>
      <c r="BF45" s="1724"/>
      <c r="BG45" s="1377">
        <f t="shared" ref="BG45:BG48" si="16">BG44+2.5%</f>
        <v>0.05</v>
      </c>
      <c r="BH45" s="1354">
        <v>10.590488969977471</v>
      </c>
      <c r="BI45" s="1354">
        <v>10.626454278697945</v>
      </c>
      <c r="BJ45" s="1354">
        <v>10.663073022229213</v>
      </c>
      <c r="BK45" s="1354">
        <v>10.70035915986503</v>
      </c>
      <c r="BL45" s="1354">
        <v>10.738326962816219</v>
      </c>
      <c r="BM45" s="1529">
        <v>10.776991022961417</v>
      </c>
      <c r="BN45" s="1354">
        <v>10.816366261890952</v>
      </c>
      <c r="BO45" s="1354">
        <v>10.856467940253991</v>
      </c>
      <c r="BP45" s="1354">
        <v>10.897311667419251</v>
      </c>
      <c r="BQ45" s="1354">
        <v>10.938913411460392</v>
      </c>
      <c r="BR45" s="1365">
        <v>10.981289509477298</v>
      </c>
    </row>
    <row r="46" spans="1:70" x14ac:dyDescent="0.8">
      <c r="AP46" s="1685"/>
      <c r="AQ46" s="1722"/>
      <c r="AR46" s="1377">
        <f t="shared" si="15"/>
        <v>7.5000000000000011E-2</v>
      </c>
      <c r="AS46" s="1354">
        <v>10.661280145246305</v>
      </c>
      <c r="AT46" s="1354">
        <v>10.677709765904376</v>
      </c>
      <c r="AU46" s="1354">
        <v>10.711503989581427</v>
      </c>
      <c r="AV46" s="1354">
        <v>10.727771893665516</v>
      </c>
      <c r="AW46" s="1354">
        <v>10.744279490803027</v>
      </c>
      <c r="AX46" s="1529">
        <v>10.761031002600321</v>
      </c>
      <c r="AY46" s="1354">
        <v>10.778030740519405</v>
      </c>
      <c r="AZ46" s="1354">
        <v>10.7952831083158</v>
      </c>
      <c r="BA46" s="1354">
        <v>10.812792604554183</v>
      </c>
      <c r="BB46" s="1354">
        <v>10.830563825204665</v>
      </c>
      <c r="BC46" s="1365">
        <v>10.848601466322599</v>
      </c>
      <c r="BE46" s="1685"/>
      <c r="BF46" s="1724"/>
      <c r="BG46" s="1377">
        <f t="shared" si="16"/>
        <v>7.5000000000000011E-2</v>
      </c>
      <c r="BH46" s="1354">
        <v>10.649982258176008</v>
      </c>
      <c r="BI46" s="1354">
        <v>10.686616760454399</v>
      </c>
      <c r="BJ46" s="1354">
        <v>10.723916841300586</v>
      </c>
      <c r="BK46" s="1354">
        <v>10.761896705312253</v>
      </c>
      <c r="BL46" s="1354">
        <v>10.80057087462991</v>
      </c>
      <c r="BM46" s="1529">
        <v>10.839954197852036</v>
      </c>
      <c r="BN46" s="1354">
        <v>10.880061859248372</v>
      </c>
      <c r="BO46" s="1354">
        <v>10.920909388281347</v>
      </c>
      <c r="BP46" s="1354">
        <v>10.962512669446488</v>
      </c>
      <c r="BQ46" s="1354">
        <v>11.004887952442857</v>
      </c>
      <c r="BR46" s="1365">
        <v>11.048051862685051</v>
      </c>
    </row>
    <row r="47" spans="1:70" x14ac:dyDescent="0.8">
      <c r="AP47" s="1685"/>
      <c r="AQ47" s="1722"/>
      <c r="AR47" s="1377">
        <f t="shared" si="15"/>
        <v>0.1</v>
      </c>
      <c r="AS47" s="1354">
        <v>10.696496759025958</v>
      </c>
      <c r="AT47" s="1354">
        <v>10.713122425232369</v>
      </c>
      <c r="AU47" s="1354">
        <v>10.747331678791227</v>
      </c>
      <c r="AV47" s="1354">
        <v>10.763794936010829</v>
      </c>
      <c r="AW47" s="1354">
        <v>10.780500557347972</v>
      </c>
      <c r="AX47" s="1529">
        <v>10.797452810861632</v>
      </c>
      <c r="AY47" s="1354">
        <v>10.814656055514343</v>
      </c>
      <c r="AZ47" s="1354">
        <v>10.832114743639041</v>
      </c>
      <c r="BA47" s="1354">
        <v>10.849833423484423</v>
      </c>
      <c r="BB47" s="1354">
        <v>10.867816741841992</v>
      </c>
      <c r="BC47" s="1365">
        <v>10.886069446757526</v>
      </c>
      <c r="BE47" s="1685"/>
      <c r="BF47" s="1724"/>
      <c r="BG47" s="1377">
        <f t="shared" si="16"/>
        <v>0.1</v>
      </c>
      <c r="BH47" s="1354">
        <v>10.69248620807916</v>
      </c>
      <c r="BI47" s="1354">
        <v>10.747614462362048</v>
      </c>
      <c r="BJ47" s="1354">
        <v>10.785606407833997</v>
      </c>
      <c r="BK47" s="1354">
        <v>10.824290710607842</v>
      </c>
      <c r="BL47" s="1354">
        <v>10.863682147369309</v>
      </c>
      <c r="BM47" s="1529">
        <v>10.903795827140794</v>
      </c>
      <c r="BN47" s="1354">
        <v>10.944647200666234</v>
      </c>
      <c r="BO47" s="1354">
        <v>10.986252070109321</v>
      </c>
      <c r="BP47" s="1354">
        <v>11.028626599075924</v>
      </c>
      <c r="BQ47" s="1354">
        <v>11.07178732297208</v>
      </c>
      <c r="BR47" s="1365">
        <v>11.115751159709296</v>
      </c>
    </row>
    <row r="48" spans="1:70" ht="16.75" thickBot="1" x14ac:dyDescent="0.95">
      <c r="AP48" s="1686"/>
      <c r="AQ48" s="1723"/>
      <c r="AR48" s="1379">
        <f t="shared" si="15"/>
        <v>0.125</v>
      </c>
      <c r="AS48" s="1367">
        <v>10.732021182355831</v>
      </c>
      <c r="AT48" s="1367">
        <v>10.748844842109051</v>
      </c>
      <c r="AU48" s="1367">
        <v>10.783472800561125</v>
      </c>
      <c r="AV48" s="1367">
        <v>10.800133368027007</v>
      </c>
      <c r="AW48" s="1367">
        <v>10.817038995308673</v>
      </c>
      <c r="AX48" s="1530">
        <v>10.834193997352262</v>
      </c>
      <c r="AY48" s="1367">
        <v>10.851602781065401</v>
      </c>
      <c r="AZ48" s="1367">
        <v>10.869269847813053</v>
      </c>
      <c r="BA48" s="1367">
        <v>10.88719979599305</v>
      </c>
      <c r="BB48" s="1367">
        <v>10.905397323694048</v>
      </c>
      <c r="BC48" s="1369">
        <v>10.923867231439012</v>
      </c>
      <c r="BE48" s="1686"/>
      <c r="BF48" s="1725"/>
      <c r="BG48" s="1379">
        <f t="shared" si="16"/>
        <v>0.125</v>
      </c>
      <c r="BH48" s="1367">
        <v>10.75328173293944</v>
      </c>
      <c r="BI48" s="1367">
        <v>10.809457622201354</v>
      </c>
      <c r="BJ48" s="1367">
        <v>10.848152086961704</v>
      </c>
      <c r="BK48" s="1367">
        <v>10.88755167033209</v>
      </c>
      <c r="BL48" s="1367">
        <v>10.927671407201952</v>
      </c>
      <c r="BM48" s="1530">
        <v>10.968526670765568</v>
      </c>
      <c r="BN48" s="1367">
        <v>11.010133182080791</v>
      </c>
      <c r="BO48" s="1367">
        <v>11.052507019946439</v>
      </c>
      <c r="BP48" s="1367">
        <v>11.095664631109173</v>
      </c>
      <c r="BQ48" s="1367">
        <v>11.139622840811549</v>
      </c>
      <c r="BR48" s="1369">
        <v>11.184398863693207</v>
      </c>
    </row>
    <row r="49" spans="42:70" x14ac:dyDescent="0.8">
      <c r="AP49" s="77"/>
      <c r="AQ49" s="77"/>
      <c r="AR49" s="1370"/>
      <c r="AS49" s="1371"/>
      <c r="AT49" s="1371"/>
      <c r="AU49" s="1371"/>
      <c r="AV49" s="1371"/>
      <c r="AW49" s="1371"/>
      <c r="AX49" s="1371"/>
      <c r="AY49" s="1371"/>
      <c r="AZ49" s="1371"/>
      <c r="BA49" s="1371"/>
      <c r="BB49" s="1371"/>
      <c r="BC49" s="1371"/>
    </row>
    <row r="50" spans="42:70" x14ac:dyDescent="0.8">
      <c r="AP50" s="77"/>
      <c r="AQ50" s="77"/>
      <c r="AR50" s="1370"/>
      <c r="AS50" s="1371"/>
      <c r="AT50" s="1371"/>
      <c r="AU50" s="1371"/>
      <c r="AV50" s="1371"/>
      <c r="AW50" s="1371"/>
      <c r="AX50" s="1371"/>
      <c r="AY50" s="1371"/>
      <c r="AZ50" s="1371"/>
      <c r="BA50" s="1371"/>
      <c r="BB50" s="1371"/>
      <c r="BC50" s="1371"/>
    </row>
    <row r="51" spans="42:70" ht="16.75" thickBot="1" x14ac:dyDescent="0.95">
      <c r="AP51" s="77"/>
      <c r="AQ51" s="77"/>
      <c r="AR51" s="1370"/>
      <c r="AS51" s="1371"/>
      <c r="AT51" s="1371"/>
      <c r="AU51" s="1371"/>
      <c r="AV51" s="1371"/>
      <c r="AW51" s="1371"/>
      <c r="AX51" s="1371"/>
      <c r="AY51" s="1371"/>
      <c r="AZ51" s="1371"/>
      <c r="BA51" s="1371"/>
      <c r="BB51" s="1371"/>
      <c r="BC51" s="1371"/>
    </row>
    <row r="52" spans="42:70" x14ac:dyDescent="0.8">
      <c r="AP52" s="36" t="s">
        <v>707</v>
      </c>
      <c r="AQ52" s="1380"/>
      <c r="AR52" s="1381"/>
      <c r="AS52" s="21"/>
      <c r="AT52" s="21"/>
      <c r="AU52" s="21"/>
      <c r="AV52" s="21"/>
      <c r="AW52" s="21"/>
      <c r="AX52" s="21"/>
      <c r="AY52" s="21"/>
      <c r="AZ52" s="21"/>
      <c r="BA52" s="21"/>
      <c r="BB52" s="21"/>
      <c r="BC52" s="171"/>
      <c r="BE52" s="36" t="s">
        <v>710</v>
      </c>
      <c r="BF52" s="21"/>
      <c r="BG52" s="21"/>
      <c r="BH52" s="21"/>
      <c r="BI52" s="21"/>
      <c r="BJ52" s="21"/>
      <c r="BK52" s="21"/>
      <c r="BL52" s="21"/>
      <c r="BM52" s="21"/>
      <c r="BN52" s="21"/>
      <c r="BO52" s="21"/>
      <c r="BP52" s="21"/>
      <c r="BQ52" s="21"/>
      <c r="BR52" s="171"/>
    </row>
    <row r="53" spans="42:70" x14ac:dyDescent="0.8">
      <c r="AP53" s="366"/>
      <c r="AQ53" s="156"/>
      <c r="AR53" s="156"/>
      <c r="AS53" s="1717" t="s">
        <v>693</v>
      </c>
      <c r="AT53" s="1717"/>
      <c r="AU53" s="1717"/>
      <c r="AV53" s="1717"/>
      <c r="AW53" s="1717"/>
      <c r="AX53" s="1717"/>
      <c r="AY53" s="1717"/>
      <c r="AZ53" s="1717"/>
      <c r="BA53" s="1717"/>
      <c r="BB53" s="1717"/>
      <c r="BC53" s="1718"/>
      <c r="BE53" s="366"/>
      <c r="BF53" s="156"/>
      <c r="BG53" s="156"/>
      <c r="BH53" s="1717" t="s">
        <v>693</v>
      </c>
      <c r="BI53" s="1717"/>
      <c r="BJ53" s="1717"/>
      <c r="BK53" s="1717"/>
      <c r="BL53" s="1717"/>
      <c r="BM53" s="1717"/>
      <c r="BN53" s="1717"/>
      <c r="BO53" s="1717"/>
      <c r="BP53" s="1717"/>
      <c r="BQ53" s="1717"/>
      <c r="BR53" s="1718"/>
    </row>
    <row r="54" spans="42:70" x14ac:dyDescent="0.8">
      <c r="AP54" s="22"/>
      <c r="AQ54" s="185"/>
      <c r="AR54" s="156"/>
      <c r="AS54" s="1689" t="s">
        <v>696</v>
      </c>
      <c r="AT54" s="1689"/>
      <c r="AU54" s="1689"/>
      <c r="AV54" s="1689"/>
      <c r="AW54" s="1689"/>
      <c r="AX54" s="1689"/>
      <c r="AY54" s="1689"/>
      <c r="AZ54" s="1689"/>
      <c r="BA54" s="1689"/>
      <c r="BB54" s="1689"/>
      <c r="BC54" s="1690"/>
      <c r="BE54" s="22"/>
      <c r="BF54" s="185"/>
      <c r="BG54" s="156"/>
      <c r="BH54" s="1689" t="s">
        <v>702</v>
      </c>
      <c r="BI54" s="1689"/>
      <c r="BJ54" s="1689"/>
      <c r="BK54" s="1689"/>
      <c r="BL54" s="1689"/>
      <c r="BM54" s="1689"/>
      <c r="BN54" s="1689"/>
      <c r="BO54" s="1689"/>
      <c r="BP54" s="1689"/>
      <c r="BQ54" s="1689"/>
      <c r="BR54" s="1690"/>
    </row>
    <row r="55" spans="42:70" x14ac:dyDescent="0.8">
      <c r="AP55" s="22"/>
      <c r="AQ55" s="131"/>
      <c r="AR55" s="1376">
        <f>'APV Valuation'!B36</f>
        <v>10.653657453279301</v>
      </c>
      <c r="AS55" s="1377">
        <f t="shared" ref="AS55:AV55" si="17">AT55-2.5%</f>
        <v>-0.125</v>
      </c>
      <c r="AT55" s="1377">
        <f t="shared" si="17"/>
        <v>-0.1</v>
      </c>
      <c r="AU55" s="1377">
        <f t="shared" si="17"/>
        <v>-7.5000000000000011E-2</v>
      </c>
      <c r="AV55" s="1377">
        <f t="shared" si="17"/>
        <v>-0.05</v>
      </c>
      <c r="AW55" s="1377">
        <f>AX55-2.5%</f>
        <v>-2.5000000000000001E-2</v>
      </c>
      <c r="AX55" s="1528">
        <v>0</v>
      </c>
      <c r="AY55" s="1377">
        <f>AX55+2.5%</f>
        <v>2.5000000000000001E-2</v>
      </c>
      <c r="AZ55" s="1377">
        <f t="shared" ref="AZ55:BC55" si="18">AY55+2.5%</f>
        <v>0.05</v>
      </c>
      <c r="BA55" s="1377">
        <f t="shared" si="18"/>
        <v>7.5000000000000011E-2</v>
      </c>
      <c r="BB55" s="1377">
        <f t="shared" si="18"/>
        <v>0.1</v>
      </c>
      <c r="BC55" s="1378">
        <f t="shared" si="18"/>
        <v>0.125</v>
      </c>
      <c r="BE55" s="22"/>
      <c r="BF55" s="131"/>
      <c r="BG55" s="1376">
        <f>'APV Valuation'!B36</f>
        <v>10.653657453279301</v>
      </c>
      <c r="BH55" s="1377">
        <f t="shared" ref="BH55:BK55" si="19">BI55-2.5%</f>
        <v>-0.125</v>
      </c>
      <c r="BI55" s="1377">
        <f t="shared" si="19"/>
        <v>-0.1</v>
      </c>
      <c r="BJ55" s="1377">
        <f t="shared" si="19"/>
        <v>-7.5000000000000011E-2</v>
      </c>
      <c r="BK55" s="1377">
        <f t="shared" si="19"/>
        <v>-0.05</v>
      </c>
      <c r="BL55" s="1377">
        <f>BM55-2.5%</f>
        <v>-2.5000000000000001E-2</v>
      </c>
      <c r="BM55" s="1384">
        <v>0</v>
      </c>
      <c r="BN55" s="1377">
        <f>BM55+2.5%</f>
        <v>2.5000000000000001E-2</v>
      </c>
      <c r="BO55" s="1377">
        <f t="shared" ref="BO55:BR55" si="20">BN55+2.5%</f>
        <v>0.05</v>
      </c>
      <c r="BP55" s="1377">
        <f t="shared" si="20"/>
        <v>7.5000000000000011E-2</v>
      </c>
      <c r="BQ55" s="1377">
        <f t="shared" si="20"/>
        <v>0.1</v>
      </c>
      <c r="BR55" s="1378">
        <f t="shared" si="20"/>
        <v>0.125</v>
      </c>
    </row>
    <row r="56" spans="42:70" x14ac:dyDescent="0.8">
      <c r="AP56" s="1685" t="s">
        <v>695</v>
      </c>
      <c r="AQ56" s="1722" t="s">
        <v>696</v>
      </c>
      <c r="AR56" s="1377">
        <f t="shared" ref="AR56:AR59" si="21">AR57-2.5%</f>
        <v>-0.125</v>
      </c>
      <c r="AS56" s="1354">
        <f t="dataTable" ref="AS56:BC66" dt2D="1" dtr="1" r1="AN36" r2="AN25" ca="1"/>
        <v>10.528114777030778</v>
      </c>
      <c r="AT56" s="1354">
        <v>10.535493351663748</v>
      </c>
      <c r="AU56" s="1354">
        <v>10.542943128455759</v>
      </c>
      <c r="AV56" s="1354">
        <v>10.550464993385328</v>
      </c>
      <c r="AW56" s="1354">
        <v>10.558059846448737</v>
      </c>
      <c r="AX56" s="1529">
        <v>10.565728601938369</v>
      </c>
      <c r="AY56" s="1354">
        <v>10.573472188727585</v>
      </c>
      <c r="AZ56" s="1354">
        <v>10.581291550562391</v>
      </c>
      <c r="BA56" s="1354">
        <v>10.589187646360221</v>
      </c>
      <c r="BB56" s="1354">
        <v>10.597161450515665</v>
      </c>
      <c r="BC56" s="1365">
        <v>10.605213953213788</v>
      </c>
      <c r="BE56" s="1685" t="s">
        <v>695</v>
      </c>
      <c r="BF56" s="1722" t="s">
        <v>702</v>
      </c>
      <c r="BG56" s="1377">
        <f t="shared" ref="BG56:BG59" si="22">BG57-2.5%</f>
        <v>-0.125</v>
      </c>
      <c r="BH56" s="1354">
        <f t="dataTable" ref="BH56:BR66" dt2D="1" dtr="1" r1="AN40" r2="AN30" ca="1"/>
        <v>10.458111473933302</v>
      </c>
      <c r="BI56" s="1354">
        <v>10.470611139961024</v>
      </c>
      <c r="BJ56" s="1354">
        <v>10.483240449692763</v>
      </c>
      <c r="BK56" s="1354">
        <v>10.49600085596178</v>
      </c>
      <c r="BL56" s="1354">
        <v>10.50889382703372</v>
      </c>
      <c r="BM56" s="1355">
        <v>10.521920846752257</v>
      </c>
      <c r="BN56" s="1354">
        <v>10.535083414685579</v>
      </c>
      <c r="BO56" s="1354">
        <v>10.548383046274138</v>
      </c>
      <c r="BP56" s="1354">
        <v>10.561821272979214</v>
      </c>
      <c r="BQ56" s="1354">
        <v>10.5753996424327</v>
      </c>
      <c r="BR56" s="1365">
        <v>10.589119718587863</v>
      </c>
    </row>
    <row r="57" spans="42:70" x14ac:dyDescent="0.8">
      <c r="AP57" s="1685"/>
      <c r="AQ57" s="1722"/>
      <c r="AR57" s="1377">
        <f t="shared" si="21"/>
        <v>-0.1</v>
      </c>
      <c r="AS57" s="1354">
        <v>10.545029580345222</v>
      </c>
      <c r="AT57" s="1354">
        <v>10.552497706781878</v>
      </c>
      <c r="AU57" s="1354">
        <v>10.560037944933111</v>
      </c>
      <c r="AV57" s="1354">
        <v>10.567651193091844</v>
      </c>
      <c r="AW57" s="1354">
        <v>10.575338363782873</v>
      </c>
      <c r="AX57" s="1529">
        <v>10.583100384045782</v>
      </c>
      <c r="AY57" s="1354">
        <v>10.590938195724528</v>
      </c>
      <c r="AZ57" s="1354">
        <v>10.598852755763916</v>
      </c>
      <c r="BA57" s="1354">
        <v>10.606845036513265</v>
      </c>
      <c r="BB57" s="1354">
        <v>10.614916026037262</v>
      </c>
      <c r="BC57" s="1365">
        <v>10.623066728434443</v>
      </c>
      <c r="BE57" s="1685"/>
      <c r="BF57" s="1722"/>
      <c r="BG57" s="1377">
        <f t="shared" si="22"/>
        <v>-0.1</v>
      </c>
      <c r="BH57" s="1354">
        <v>10.482733390762835</v>
      </c>
      <c r="BI57" s="1354">
        <v>10.495446209668428</v>
      </c>
      <c r="BJ57" s="1354">
        <v>10.508290974635242</v>
      </c>
      <c r="BK57" s="1354">
        <v>10.521269164650622</v>
      </c>
      <c r="BL57" s="1354">
        <v>10.534382274401477</v>
      </c>
      <c r="BM57" s="1355">
        <v>10.547631814422003</v>
      </c>
      <c r="BN57" s="1354">
        <v>10.561019311242553</v>
      </c>
      <c r="BO57" s="1354">
        <v>10.574546307539414</v>
      </c>
      <c r="BP57" s="1354">
        <v>10.588214362285726</v>
      </c>
      <c r="BQ57" s="1354">
        <v>10.602025050903434</v>
      </c>
      <c r="BR57" s="1365">
        <v>10.61597996541637</v>
      </c>
    </row>
    <row r="58" spans="42:70" x14ac:dyDescent="0.8">
      <c r="AP58" s="1685"/>
      <c r="AQ58" s="1722"/>
      <c r="AR58" s="1377">
        <f t="shared" si="21"/>
        <v>-7.5000000000000011E-2</v>
      </c>
      <c r="AS58" s="1354">
        <v>10.562047802576151</v>
      </c>
      <c r="AT58" s="1354">
        <v>10.569606089061935</v>
      </c>
      <c r="AU58" s="1354">
        <v>10.57723740354677</v>
      </c>
      <c r="AV58" s="1354">
        <v>10.584942656738846</v>
      </c>
      <c r="AW58" s="1354">
        <v>10.592722773794293</v>
      </c>
      <c r="AX58" s="1529">
        <v>10.60057869460463</v>
      </c>
      <c r="AY58" s="1354">
        <v>10.608511374091135</v>
      </c>
      <c r="AZ58" s="1354">
        <v>10.616521782506215</v>
      </c>
      <c r="BA58" s="1354">
        <v>10.624610905741948</v>
      </c>
      <c r="BB58" s="1354">
        <v>10.632779745646136</v>
      </c>
      <c r="BC58" s="1365">
        <v>10.641029320345954</v>
      </c>
      <c r="BE58" s="1685"/>
      <c r="BF58" s="1722"/>
      <c r="BG58" s="1377">
        <f t="shared" si="22"/>
        <v>-7.5000000000000011E-2</v>
      </c>
      <c r="BH58" s="1354">
        <v>10.507655553660401</v>
      </c>
      <c r="BI58" s="1354">
        <v>10.52058441889109</v>
      </c>
      <c r="BJ58" s="1354">
        <v>10.53364756539135</v>
      </c>
      <c r="BK58" s="1354">
        <v>10.546846498665545</v>
      </c>
      <c r="BL58" s="1354">
        <v>10.560182740187972</v>
      </c>
      <c r="BM58" s="1355">
        <v>10.573657827552845</v>
      </c>
      <c r="BN58" s="1354">
        <v>10.587273314625286</v>
      </c>
      <c r="BO58" s="1354">
        <v>10.601030771693418</v>
      </c>
      <c r="BP58" s="1354">
        <v>10.614931785621513</v>
      </c>
      <c r="BQ58" s="1354">
        <v>10.628977960004228</v>
      </c>
      <c r="BR58" s="1365">
        <v>10.643170915321905</v>
      </c>
    </row>
    <row r="59" spans="42:70" x14ac:dyDescent="0.8">
      <c r="AP59" s="1685"/>
      <c r="AQ59" s="1722"/>
      <c r="AR59" s="1377">
        <f t="shared" si="21"/>
        <v>-0.05</v>
      </c>
      <c r="AS59" s="1354">
        <v>10.579169894560344</v>
      </c>
      <c r="AT59" s="1354">
        <v>10.586818952091516</v>
      </c>
      <c r="AU59" s="1354">
        <v>10.594541960663735</v>
      </c>
      <c r="AV59" s="1354">
        <v>10.602339843501746</v>
      </c>
      <c r="AW59" s="1354">
        <v>10.610213538496135</v>
      </c>
      <c r="AX59" s="1529">
        <v>10.618163998495518</v>
      </c>
      <c r="AY59" s="1354">
        <v>10.626192191605627</v>
      </c>
      <c r="AZ59" s="1354">
        <v>10.634299101495582</v>
      </c>
      <c r="BA59" s="1354">
        <v>10.642485727711559</v>
      </c>
      <c r="BB59" s="1354">
        <v>10.650753085997845</v>
      </c>
      <c r="BC59" s="1365">
        <v>10.659102208625905</v>
      </c>
      <c r="BE59" s="1685"/>
      <c r="BF59" s="1722"/>
      <c r="BG59" s="1377">
        <f t="shared" si="22"/>
        <v>-0.05</v>
      </c>
      <c r="BH59" s="1354">
        <v>10.532880927646191</v>
      </c>
      <c r="BI59" s="1354">
        <v>10.546028762772004</v>
      </c>
      <c r="BJ59" s="1354">
        <v>10.559313247574167</v>
      </c>
      <c r="BK59" s="1354">
        <v>10.572735914440255</v>
      </c>
      <c r="BL59" s="1354">
        <v>10.586298312001377</v>
      </c>
      <c r="BM59" s="1355">
        <v>10.600002005284445</v>
      </c>
      <c r="BN59" s="1354">
        <v>10.613848575865346</v>
      </c>
      <c r="BO59" s="1354">
        <v>10.627839622023343</v>
      </c>
      <c r="BP59" s="1354">
        <v>10.641976758896478</v>
      </c>
      <c r="BQ59" s="1354">
        <v>10.656261618638094</v>
      </c>
      <c r="BR59" s="1365">
        <v>10.670695850574445</v>
      </c>
    </row>
    <row r="60" spans="42:70" x14ac:dyDescent="0.8">
      <c r="AP60" s="1685"/>
      <c r="AQ60" s="1722"/>
      <c r="AR60" s="1377">
        <f>AR61-2.5%</f>
        <v>-2.5000000000000001E-2</v>
      </c>
      <c r="AS60" s="1354">
        <v>10.59639630859755</v>
      </c>
      <c r="AT60" s="1354">
        <v>10.604136750927738</v>
      </c>
      <c r="AU60" s="1354">
        <v>10.611952074127153</v>
      </c>
      <c r="AV60" s="1354">
        <v>10.619843214038683</v>
      </c>
      <c r="AW60" s="1354">
        <v>10.627811121390941</v>
      </c>
      <c r="AX60" s="1529">
        <v>10.635856762095106</v>
      </c>
      <c r="AY60" s="1354">
        <v>10.643981117548899</v>
      </c>
      <c r="AZ60" s="1354">
        <v>10.652185184947745</v>
      </c>
      <c r="BA60" s="1354">
        <v>10.660469977603496</v>
      </c>
      <c r="BB60" s="1354">
        <v>10.668836525270819</v>
      </c>
      <c r="BC60" s="1365">
        <v>10.677285874481433</v>
      </c>
      <c r="BE60" s="1685"/>
      <c r="BF60" s="1722"/>
      <c r="BG60" s="1377">
        <f>BG61-2.5%</f>
        <v>-2.5000000000000001E-2</v>
      </c>
      <c r="BH60" s="1354">
        <v>10.558412501037656</v>
      </c>
      <c r="BI60" s="1354">
        <v>10.571782259969551</v>
      </c>
      <c r="BJ60" s="1354">
        <v>10.585291070532293</v>
      </c>
      <c r="BK60" s="1354">
        <v>10.59894049236607</v>
      </c>
      <c r="BL60" s="1354">
        <v>10.612732101631517</v>
      </c>
      <c r="BM60" s="1355">
        <v>10.626667491164227</v>
      </c>
      <c r="BN60" s="1354">
        <v>10.640748270630155</v>
      </c>
      <c r="BO60" s="1354">
        <v>10.654976066682357</v>
      </c>
      <c r="BP60" s="1354">
        <v>10.669352523118636</v>
      </c>
      <c r="BQ60" s="1354">
        <v>10.683879301040401</v>
      </c>
      <c r="BR60" s="1365">
        <v>10.698558079012606</v>
      </c>
    </row>
    <row r="61" spans="42:70" x14ac:dyDescent="0.8">
      <c r="AP61" s="1685"/>
      <c r="AQ61" s="1722"/>
      <c r="AR61" s="1528">
        <v>0</v>
      </c>
      <c r="AS61" s="1529">
        <v>10.613727498453573</v>
      </c>
      <c r="AT61" s="1529">
        <v>10.621559942100387</v>
      </c>
      <c r="AU61" s="1529">
        <v>10.629468203259437</v>
      </c>
      <c r="AV61" s="1529">
        <v>10.637453230493728</v>
      </c>
      <c r="AW61" s="1529">
        <v>10.645515987473798</v>
      </c>
      <c r="AX61" s="1356">
        <v>10.653657453279301</v>
      </c>
      <c r="AY61" s="1529">
        <v>10.661878622707807</v>
      </c>
      <c r="AZ61" s="1529">
        <v>10.670180506591002</v>
      </c>
      <c r="BA61" s="1529">
        <v>10.678564132118517</v>
      </c>
      <c r="BB61" s="1529">
        <v>10.687030543169563</v>
      </c>
      <c r="BC61" s="1531">
        <v>10.695580800652612</v>
      </c>
      <c r="BE61" s="1685"/>
      <c r="BF61" s="1722"/>
      <c r="BG61" s="1384">
        <v>0</v>
      </c>
      <c r="BH61" s="1355">
        <v>10.584253285578011</v>
      </c>
      <c r="BI61" s="1355">
        <v>10.597847952786703</v>
      </c>
      <c r="BJ61" s="1355">
        <v>10.61158410747967</v>
      </c>
      <c r="BK61" s="1355">
        <v>10.625463336922433</v>
      </c>
      <c r="BL61" s="1355">
        <v>10.639487245181144</v>
      </c>
      <c r="BM61" s="1356">
        <v>10.653657453279301</v>
      </c>
      <c r="BN61" s="1355">
        <v>10.667975599355639</v>
      </c>
      <c r="BO61" s="1355">
        <v>10.68244333882293</v>
      </c>
      <c r="BP61" s="1355">
        <v>10.69706234452814</v>
      </c>
      <c r="BQ61" s="1355">
        <v>10.71183430691352</v>
      </c>
      <c r="BR61" s="1366">
        <v>10.726760934178932</v>
      </c>
    </row>
    <row r="62" spans="42:70" x14ac:dyDescent="0.8">
      <c r="AP62" s="1685"/>
      <c r="AQ62" s="1722"/>
      <c r="AR62" s="1377">
        <f>AR61+2.5%</f>
        <v>2.5000000000000001E-2</v>
      </c>
      <c r="AS62" s="1354">
        <v>10.631163919363509</v>
      </c>
      <c r="AT62" s="1354">
        <v>10.639088983615153</v>
      </c>
      <c r="AU62" s="1354">
        <v>10.647090808865507</v>
      </c>
      <c r="AV62" s="1354">
        <v>10.655170356500079</v>
      </c>
      <c r="AW62" s="1354">
        <v>10.66332860323562</v>
      </c>
      <c r="AX62" s="1529">
        <v>10.671566541426492</v>
      </c>
      <c r="AY62" s="1354">
        <v>10.679885179378394</v>
      </c>
      <c r="AZ62" s="1354">
        <v>10.688285541669615</v>
      </c>
      <c r="BA62" s="1354">
        <v>10.696768669480052</v>
      </c>
      <c r="BB62" s="1354">
        <v>10.705335620928066</v>
      </c>
      <c r="BC62" s="1365">
        <v>10.713987471415694</v>
      </c>
      <c r="BE62" s="1685"/>
      <c r="BF62" s="1722"/>
      <c r="BG62" s="1377">
        <f>BG61+2.5%</f>
        <v>2.5000000000000001E-2</v>
      </c>
      <c r="BH62" s="1354">
        <v>10.610406316564406</v>
      </c>
      <c r="BI62" s="1354">
        <v>10.624228907299898</v>
      </c>
      <c r="BJ62" s="1354">
        <v>10.638195455625258</v>
      </c>
      <c r="BK62" s="1354">
        <v>10.652307576807294</v>
      </c>
      <c r="BL62" s="1354">
        <v>10.666566903196903</v>
      </c>
      <c r="BM62" s="1355">
        <v>10.680975084388201</v>
      </c>
      <c r="BN62" s="1354">
        <v>10.695533787378549</v>
      </c>
      <c r="BO62" s="1354">
        <v>10.710244696729868</v>
      </c>
      <c r="BP62" s="1354">
        <v>10.725109514730995</v>
      </c>
      <c r="BQ62" s="1354">
        <v>10.740129961561241</v>
      </c>
      <c r="BR62" s="1365">
        <v>10.755307775454995</v>
      </c>
    </row>
    <row r="63" spans="42:70" x14ac:dyDescent="0.8">
      <c r="AP63" s="1685"/>
      <c r="AQ63" s="1722"/>
      <c r="AR63" s="1377">
        <f t="shared" ref="AR63:AR66" si="23">AR62+2.5%</f>
        <v>0.05</v>
      </c>
      <c r="AS63" s="1354">
        <v>10.648706028034898</v>
      </c>
      <c r="AT63" s="1354">
        <v>10.656724334956746</v>
      </c>
      <c r="AU63" s="1354">
        <v>10.664820353235966</v>
      </c>
      <c r="AV63" s="1354">
        <v>10.672995057183305</v>
      </c>
      <c r="AW63" s="1354">
        <v>10.681249436666347</v>
      </c>
      <c r="AX63" s="1529">
        <v>10.689584497420789</v>
      </c>
      <c r="AY63" s="1354">
        <v>10.698001261369161</v>
      </c>
      <c r="AZ63" s="1354">
        <v>10.706500766947061</v>
      </c>
      <c r="BA63" s="1354">
        <v>10.71508406943749</v>
      </c>
      <c r="BB63" s="1354">
        <v>10.723752241313031</v>
      </c>
      <c r="BC63" s="1365">
        <v>10.732506372586506</v>
      </c>
      <c r="BE63" s="1685"/>
      <c r="BF63" s="1722"/>
      <c r="BG63" s="1377">
        <f t="shared" ref="BG63:BG66" si="24">BG62+2.5%</f>
        <v>0.05</v>
      </c>
      <c r="BH63" s="1354">
        <v>10.636874652975919</v>
      </c>
      <c r="BI63" s="1354">
        <v>10.65092821348771</v>
      </c>
      <c r="BJ63" s="1354">
        <v>10.665128236302316</v>
      </c>
      <c r="BK63" s="1354">
        <v>10.679476365067032</v>
      </c>
      <c r="BL63" s="1354">
        <v>10.693974260800129</v>
      </c>
      <c r="BM63" s="1355">
        <v>10.708623602052198</v>
      </c>
      <c r="BN63" s="1354">
        <v>10.723426085068606</v>
      </c>
      <c r="BO63" s="1354">
        <v>10.738383423953108</v>
      </c>
      <c r="BP63" s="1354">
        <v>10.75349735083258</v>
      </c>
      <c r="BQ63" s="1354">
        <v>10.768769616022974</v>
      </c>
      <c r="BR63" s="1365">
        <v>10.784201988196324</v>
      </c>
    </row>
    <row r="64" spans="42:70" x14ac:dyDescent="0.8">
      <c r="AP64" s="1685"/>
      <c r="AQ64" s="1722"/>
      <c r="AR64" s="1377">
        <f t="shared" si="23"/>
        <v>7.5000000000000011E-2</v>
      </c>
      <c r="AS64" s="1354">
        <v>10.666354282650849</v>
      </c>
      <c r="AT64" s="1354">
        <v>10.674466457092089</v>
      </c>
      <c r="AU64" s="1354">
        <v>10.682657300150289</v>
      </c>
      <c r="AV64" s="1354">
        <v>10.690927799164468</v>
      </c>
      <c r="AW64" s="1354">
        <v>10.6992789572581</v>
      </c>
      <c r="AX64" s="1529">
        <v>10.707711793655246</v>
      </c>
      <c r="AY64" s="1354">
        <v>10.71622734400426</v>
      </c>
      <c r="AZ64" s="1354">
        <v>10.724826660709228</v>
      </c>
      <c r="BA64" s="1354">
        <v>10.733510813269451</v>
      </c>
      <c r="BB64" s="1354">
        <v>10.742280888627183</v>
      </c>
      <c r="BC64" s="1365">
        <v>10.751137991523729</v>
      </c>
      <c r="BE64" s="1685"/>
      <c r="BF64" s="1722"/>
      <c r="BG64" s="1377">
        <f t="shared" si="24"/>
        <v>7.5000000000000011E-2</v>
      </c>
      <c r="BH64" s="1354">
        <v>10.663661377601048</v>
      </c>
      <c r="BI64" s="1354">
        <v>10.677948985359123</v>
      </c>
      <c r="BJ64" s="1354">
        <v>10.692385595097395</v>
      </c>
      <c r="BK64" s="1354">
        <v>10.706972879226223</v>
      </c>
      <c r="BL64" s="1354">
        <v>10.721712527817134</v>
      </c>
      <c r="BM64" s="1355">
        <v>10.736606248766448</v>
      </c>
      <c r="BN64" s="1354">
        <v>10.751655767960228</v>
      </c>
      <c r="BO64" s="1354">
        <v>10.766862829440159</v>
      </c>
      <c r="BP64" s="1354">
        <v>10.782229195570734</v>
      </c>
      <c r="BQ64" s="1354">
        <v>10.797756647207567</v>
      </c>
      <c r="BR64" s="1365">
        <v>10.813446983866877</v>
      </c>
    </row>
    <row r="65" spans="42:70" x14ac:dyDescent="0.8">
      <c r="AP65" s="1685"/>
      <c r="AQ65" s="1722"/>
      <c r="AR65" s="1377">
        <f t="shared" si="23"/>
        <v>0.1</v>
      </c>
      <c r="AS65" s="1354">
        <v>10.68410914287319</v>
      </c>
      <c r="AT65" s="1354">
        <v>10.692315812473494</v>
      </c>
      <c r="AU65" s="1354">
        <v>10.700602114879981</v>
      </c>
      <c r="AV65" s="1354">
        <v>10.708969050563407</v>
      </c>
      <c r="AW65" s="1354">
        <v>10.717417636008511</v>
      </c>
      <c r="AX65" s="1529">
        <v>10.725948904035109</v>
      </c>
      <c r="AY65" s="1354">
        <v>10.734563904126814</v>
      </c>
      <c r="AZ65" s="1354">
        <v>10.743263702767702</v>
      </c>
      <c r="BA65" s="1354">
        <v>10.752049383787066</v>
      </c>
      <c r="BB65" s="1354">
        <v>10.760922048712619</v>
      </c>
      <c r="BC65" s="1365">
        <v>10.769882817132208</v>
      </c>
      <c r="BE65" s="1685"/>
      <c r="BF65" s="1722"/>
      <c r="BG65" s="1377">
        <f t="shared" si="24"/>
        <v>0.1</v>
      </c>
      <c r="BH65" s="1354">
        <v>10.690769597165158</v>
      </c>
      <c r="BI65" s="1354">
        <v>10.705294361081524</v>
      </c>
      <c r="BJ65" s="1354">
        <v>10.719970701979081</v>
      </c>
      <c r="BK65" s="1354">
        <v>10.734800321417055</v>
      </c>
      <c r="BL65" s="1354">
        <v>10.74978493890938</v>
      </c>
      <c r="BM65" s="1355">
        <v>10.764926292090818</v>
      </c>
      <c r="BN65" s="1354">
        <v>10.780226136884117</v>
      </c>
      <c r="BO65" s="1354">
        <v>10.795686247668396</v>
      </c>
      <c r="BP65" s="1354">
        <v>10.811308417448762</v>
      </c>
      <c r="BQ65" s="1354">
        <v>10.827094458026961</v>
      </c>
      <c r="BR65" s="1365">
        <v>10.843046200173408</v>
      </c>
    </row>
    <row r="66" spans="42:70" ht="16.75" thickBot="1" x14ac:dyDescent="0.95">
      <c r="AP66" s="1686"/>
      <c r="AQ66" s="1723"/>
      <c r="AR66" s="1379">
        <f t="shared" si="23"/>
        <v>0.125</v>
      </c>
      <c r="AS66" s="1367">
        <v>10.701971069845651</v>
      </c>
      <c r="AT66" s="1367">
        <v>10.710272865041803</v>
      </c>
      <c r="AU66" s="1367">
        <v>10.718655264191753</v>
      </c>
      <c r="AV66" s="1367">
        <v>10.727119281001826</v>
      </c>
      <c r="AW66" s="1367">
        <v>10.735665945423801</v>
      </c>
      <c r="AX66" s="1530">
        <v>10.744296303980999</v>
      </c>
      <c r="AY66" s="1367">
        <v>10.753011420102107</v>
      </c>
      <c r="AZ66" s="1367">
        <v>10.761812374463068</v>
      </c>
      <c r="BA66" s="1367">
        <v>10.770700265337243</v>
      </c>
      <c r="BB66" s="1367">
        <v>10.779676208954021</v>
      </c>
      <c r="BC66" s="1369">
        <v>10.788741339866279</v>
      </c>
      <c r="BE66" s="1686"/>
      <c r="BF66" s="1723"/>
      <c r="BG66" s="1379">
        <f t="shared" si="24"/>
        <v>0.125</v>
      </c>
      <c r="BH66" s="1367">
        <v>10.718202442457345</v>
      </c>
      <c r="BI66" s="1367">
        <v>10.73296750310846</v>
      </c>
      <c r="BJ66" s="1367">
        <v>10.747886751426391</v>
      </c>
      <c r="BK66" s="1367">
        <v>10.762961918508354</v>
      </c>
      <c r="BL66" s="1367">
        <v>10.778194753703316</v>
      </c>
      <c r="BM66" s="1368">
        <v>10.793587024780363</v>
      </c>
      <c r="BN66" s="1367">
        <v>10.809140518098395</v>
      </c>
      <c r="BO66" s="1367">
        <v>10.824857038776916</v>
      </c>
      <c r="BP66" s="1367">
        <v>10.840738410867978</v>
      </c>
      <c r="BQ66" s="1367">
        <v>10.856786477529472</v>
      </c>
      <c r="BR66" s="1369">
        <v>10.873003101199501</v>
      </c>
    </row>
    <row r="67" spans="42:70" x14ac:dyDescent="0.8">
      <c r="AP67" s="1363"/>
      <c r="AQ67" s="1363"/>
      <c r="AR67" s="1370"/>
      <c r="AS67" s="1371"/>
      <c r="AT67" s="1371"/>
      <c r="AU67" s="1371"/>
      <c r="AV67" s="1371"/>
      <c r="AW67" s="1371"/>
      <c r="AX67" s="1371"/>
      <c r="AY67" s="1371"/>
      <c r="AZ67" s="1371"/>
      <c r="BA67" s="1371"/>
      <c r="BB67" s="1371"/>
      <c r="BC67" s="1371"/>
    </row>
    <row r="68" spans="42:70" x14ac:dyDescent="0.8">
      <c r="AP68" s="1363"/>
      <c r="AQ68" s="1363"/>
      <c r="AR68" s="1370"/>
      <c r="AS68" s="1371"/>
      <c r="AT68" s="1371"/>
      <c r="AU68" s="1371"/>
      <c r="AV68" s="1371"/>
      <c r="AW68" s="1371"/>
      <c r="AX68" s="1371"/>
      <c r="AY68" s="1371"/>
      <c r="AZ68" s="1371"/>
      <c r="BA68" s="1371"/>
      <c r="BB68" s="1371"/>
      <c r="BC68" s="1371"/>
    </row>
    <row r="69" spans="42:70" ht="16.75" thickBot="1" x14ac:dyDescent="0.95">
      <c r="AP69" s="1363"/>
      <c r="AQ69" s="1363"/>
      <c r="AR69" s="1370"/>
      <c r="AS69" s="1371"/>
      <c r="AT69" s="1371"/>
      <c r="AU69" s="1371"/>
      <c r="AV69" s="1371"/>
      <c r="AW69" s="1371"/>
      <c r="AX69" s="1371"/>
      <c r="AY69" s="1371"/>
      <c r="AZ69" s="1371"/>
      <c r="BA69" s="1371"/>
      <c r="BB69" s="1371"/>
      <c r="BC69" s="1371"/>
    </row>
    <row r="70" spans="42:70" x14ac:dyDescent="0.8">
      <c r="AP70" s="36" t="s">
        <v>708</v>
      </c>
      <c r="AQ70" s="21"/>
      <c r="AR70" s="21"/>
      <c r="AS70" s="21"/>
      <c r="AT70" s="21"/>
      <c r="AU70" s="21"/>
      <c r="AV70" s="21"/>
      <c r="AW70" s="21"/>
      <c r="AX70" s="21"/>
      <c r="AY70" s="21"/>
      <c r="AZ70" s="21"/>
      <c r="BA70" s="21"/>
      <c r="BB70" s="21"/>
      <c r="BC70" s="171"/>
      <c r="BE70" s="36" t="s">
        <v>709</v>
      </c>
      <c r="BF70" s="21"/>
      <c r="BG70" s="21"/>
      <c r="BH70" s="21"/>
      <c r="BI70" s="21"/>
      <c r="BJ70" s="21"/>
      <c r="BK70" s="21"/>
      <c r="BL70" s="21"/>
      <c r="BM70" s="21"/>
      <c r="BN70" s="21"/>
      <c r="BO70" s="21"/>
      <c r="BP70" s="21"/>
      <c r="BQ70" s="21"/>
      <c r="BR70" s="171"/>
    </row>
    <row r="71" spans="42:70" x14ac:dyDescent="0.8">
      <c r="AP71" s="366"/>
      <c r="AQ71" s="156"/>
      <c r="AR71" s="156"/>
      <c r="AS71" s="1717" t="s">
        <v>693</v>
      </c>
      <c r="AT71" s="1717"/>
      <c r="AU71" s="1717"/>
      <c r="AV71" s="1717"/>
      <c r="AW71" s="1717"/>
      <c r="AX71" s="1717"/>
      <c r="AY71" s="1717"/>
      <c r="AZ71" s="1717"/>
      <c r="BA71" s="1717"/>
      <c r="BB71" s="1717"/>
      <c r="BC71" s="1718"/>
      <c r="BE71" s="366"/>
      <c r="BF71" s="156"/>
      <c r="BG71" s="156"/>
      <c r="BH71" s="1717" t="s">
        <v>693</v>
      </c>
      <c r="BI71" s="1717"/>
      <c r="BJ71" s="1717"/>
      <c r="BK71" s="1717"/>
      <c r="BL71" s="1717"/>
      <c r="BM71" s="1717"/>
      <c r="BN71" s="1717"/>
      <c r="BO71" s="1717"/>
      <c r="BP71" s="1717"/>
      <c r="BQ71" s="1717"/>
      <c r="BR71" s="1718"/>
    </row>
    <row r="72" spans="42:70" x14ac:dyDescent="0.8">
      <c r="AP72" s="22"/>
      <c r="AQ72" s="185"/>
      <c r="AR72" s="156"/>
      <c r="AS72" s="1689" t="s">
        <v>699</v>
      </c>
      <c r="AT72" s="1689"/>
      <c r="AU72" s="1689"/>
      <c r="AV72" s="1689"/>
      <c r="AW72" s="1689"/>
      <c r="AX72" s="1689"/>
      <c r="AY72" s="1689"/>
      <c r="AZ72" s="1689"/>
      <c r="BA72" s="1689"/>
      <c r="BB72" s="1689"/>
      <c r="BC72" s="1690"/>
      <c r="BE72" s="22"/>
      <c r="BF72" s="185"/>
      <c r="BG72" s="156"/>
      <c r="BH72" s="1689" t="s">
        <v>703</v>
      </c>
      <c r="BI72" s="1689"/>
      <c r="BJ72" s="1689"/>
      <c r="BK72" s="1689"/>
      <c r="BL72" s="1689"/>
      <c r="BM72" s="1689"/>
      <c r="BN72" s="1689"/>
      <c r="BO72" s="1689"/>
      <c r="BP72" s="1689"/>
      <c r="BQ72" s="1689"/>
      <c r="BR72" s="1690"/>
    </row>
    <row r="73" spans="42:70" x14ac:dyDescent="0.8">
      <c r="AP73" s="22"/>
      <c r="AQ73" s="131"/>
      <c r="AR73" s="1376">
        <f>'APV Valuation'!B36</f>
        <v>10.653657453279301</v>
      </c>
      <c r="AS73" s="1377">
        <f t="shared" ref="AS73:AV73" si="25">AT73-2.5%</f>
        <v>-0.125</v>
      </c>
      <c r="AT73" s="1377">
        <f t="shared" si="25"/>
        <v>-0.1</v>
      </c>
      <c r="AU73" s="1377">
        <f t="shared" si="25"/>
        <v>-7.5000000000000011E-2</v>
      </c>
      <c r="AV73" s="1377">
        <f t="shared" si="25"/>
        <v>-0.05</v>
      </c>
      <c r="AW73" s="1377">
        <f>AX73-2.5%</f>
        <v>-2.5000000000000001E-2</v>
      </c>
      <c r="AX73" s="1528">
        <v>0</v>
      </c>
      <c r="AY73" s="1377">
        <f>AX73+2.5%</f>
        <v>2.5000000000000001E-2</v>
      </c>
      <c r="AZ73" s="1377">
        <f t="shared" ref="AZ73:BC73" si="26">AY73+2.5%</f>
        <v>0.05</v>
      </c>
      <c r="BA73" s="1377">
        <f t="shared" si="26"/>
        <v>7.5000000000000011E-2</v>
      </c>
      <c r="BB73" s="1377">
        <f t="shared" si="26"/>
        <v>0.1</v>
      </c>
      <c r="BC73" s="1378">
        <f t="shared" si="26"/>
        <v>0.125</v>
      </c>
      <c r="BE73" s="22"/>
      <c r="BF73" s="131"/>
      <c r="BG73" s="1376">
        <f>'APV Valuation'!B36</f>
        <v>10.653657453279301</v>
      </c>
      <c r="BH73" s="1377">
        <f t="shared" ref="BH73:BK73" si="27">BI73-2.5%</f>
        <v>-0.125</v>
      </c>
      <c r="BI73" s="1377">
        <f t="shared" si="27"/>
        <v>-0.1</v>
      </c>
      <c r="BJ73" s="1377">
        <f t="shared" si="27"/>
        <v>-7.5000000000000011E-2</v>
      </c>
      <c r="BK73" s="1377">
        <f t="shared" si="27"/>
        <v>-0.05</v>
      </c>
      <c r="BL73" s="1377">
        <f>BM73-2.5%</f>
        <v>-2.5000000000000001E-2</v>
      </c>
      <c r="BM73" s="1528">
        <v>0</v>
      </c>
      <c r="BN73" s="1377">
        <f>BM73+2.5%</f>
        <v>2.5000000000000001E-2</v>
      </c>
      <c r="BO73" s="1377">
        <f t="shared" ref="BO73:BR73" si="28">BN73+2.5%</f>
        <v>0.05</v>
      </c>
      <c r="BP73" s="1377">
        <f t="shared" si="28"/>
        <v>7.5000000000000011E-2</v>
      </c>
      <c r="BQ73" s="1377">
        <f t="shared" si="28"/>
        <v>0.1</v>
      </c>
      <c r="BR73" s="1378">
        <f t="shared" si="28"/>
        <v>0.125</v>
      </c>
    </row>
    <row r="74" spans="42:70" x14ac:dyDescent="0.8">
      <c r="AP74" s="1685" t="s">
        <v>695</v>
      </c>
      <c r="AQ74" s="1722" t="s">
        <v>699</v>
      </c>
      <c r="AR74" s="1377">
        <f t="shared" ref="AR74:AR77" si="29">AR75-2.5%</f>
        <v>-0.125</v>
      </c>
      <c r="AS74" s="1354">
        <f t="dataTable" ref="AS74:BC84" dt2D="1" dtr="1" r1="AN37" r2="AN26" ca="1"/>
        <v>10.632310336617893</v>
      </c>
      <c r="AT74" s="1354">
        <v>10.633886190946672</v>
      </c>
      <c r="AU74" s="1354">
        <v>10.635474019474913</v>
      </c>
      <c r="AV74" s="1354">
        <v>10.637073929944743</v>
      </c>
      <c r="AW74" s="1354">
        <v>10.638686031211584</v>
      </c>
      <c r="AX74" s="1529">
        <v>10.640310433258316</v>
      </c>
      <c r="AY74" s="1354">
        <v>10.641947247209508</v>
      </c>
      <c r="AZ74" s="1354">
        <v>10.643596585346041</v>
      </c>
      <c r="BA74" s="1354">
        <v>10.645258561119826</v>
      </c>
      <c r="BB74" s="1354">
        <v>10.646933289168848</v>
      </c>
      <c r="BC74" s="1365">
        <v>10.648620885332384</v>
      </c>
      <c r="BE74" s="1685" t="s">
        <v>695</v>
      </c>
      <c r="BF74" s="1722" t="s">
        <v>703</v>
      </c>
      <c r="BG74" s="1377">
        <f t="shared" ref="BG74:BG77" si="30">BG75-2.5%</f>
        <v>-0.125</v>
      </c>
      <c r="BH74" s="1354">
        <f t="dataTable" ref="BH74:BR84" dt2D="1" dtr="1" r1="AN41" r2="AN31" ca="1"/>
        <v>10.613215356997733</v>
      </c>
      <c r="BI74" s="1354">
        <v>10.614008971304754</v>
      </c>
      <c r="BJ74" s="1354">
        <v>10.614805235148873</v>
      </c>
      <c r="BK74" s="1354">
        <v>10.615604157548031</v>
      </c>
      <c r="BL74" s="1354">
        <v>10.616405747549587</v>
      </c>
      <c r="BM74" s="1529">
        <v>10.61721001423037</v>
      </c>
      <c r="BN74" s="1354">
        <v>10.618016966696761</v>
      </c>
      <c r="BO74" s="1354">
        <v>10.618826614084803</v>
      </c>
      <c r="BP74" s="1354">
        <v>10.619638965560306</v>
      </c>
      <c r="BQ74" s="1354">
        <v>10.620454030318907</v>
      </c>
      <c r="BR74" s="1365">
        <v>10.621271817586212</v>
      </c>
    </row>
    <row r="75" spans="42:70" x14ac:dyDescent="0.8">
      <c r="AP75" s="1685"/>
      <c r="AQ75" s="1722"/>
      <c r="AR75" s="1377">
        <f t="shared" si="29"/>
        <v>-0.1</v>
      </c>
      <c r="AS75" s="1354">
        <v>10.634895797296378</v>
      </c>
      <c r="AT75" s="1354">
        <v>10.636483323635787</v>
      </c>
      <c r="AU75" s="1354">
        <v>10.638082915842219</v>
      </c>
      <c r="AV75" s="1354">
        <v>10.639694682547395</v>
      </c>
      <c r="AW75" s="1354">
        <v>10.641318733506868</v>
      </c>
      <c r="AX75" s="1529">
        <v>10.64295517961436</v>
      </c>
      <c r="AY75" s="1354">
        <v>10.644604132916177</v>
      </c>
      <c r="AZ75" s="1354">
        <v>10.646265706625931</v>
      </c>
      <c r="BA75" s="1354">
        <v>10.64794001513949</v>
      </c>
      <c r="BB75" s="1354">
        <v>10.649627174050119</v>
      </c>
      <c r="BC75" s="1365">
        <v>10.651327300163976</v>
      </c>
      <c r="BE75" s="1685"/>
      <c r="BF75" s="1722"/>
      <c r="BG75" s="1377">
        <f t="shared" si="30"/>
        <v>-0.1</v>
      </c>
      <c r="BH75" s="1354">
        <v>10.620291016421314</v>
      </c>
      <c r="BI75" s="1354">
        <v>10.621100364034932</v>
      </c>
      <c r="BJ75" s="1354">
        <v>10.62191241455332</v>
      </c>
      <c r="BK75" s="1354">
        <v>10.622727177180757</v>
      </c>
      <c r="BL75" s="1354">
        <v>10.623544661151541</v>
      </c>
      <c r="BM75" s="1529">
        <v>10.624364875730043</v>
      </c>
      <c r="BN75" s="1354">
        <v>10.625187830210889</v>
      </c>
      <c r="BO75" s="1354">
        <v>10.626013533918963</v>
      </c>
      <c r="BP75" s="1354">
        <v>10.626841996209553</v>
      </c>
      <c r="BQ75" s="1354">
        <v>10.62767322646847</v>
      </c>
      <c r="BR75" s="1365">
        <v>10.62850723411206</v>
      </c>
    </row>
    <row r="76" spans="42:70" x14ac:dyDescent="0.8">
      <c r="AP76" s="1685"/>
      <c r="AQ76" s="1722"/>
      <c r="AR76" s="1377">
        <f t="shared" si="29"/>
        <v>-7.5000000000000011E-2</v>
      </c>
      <c r="AS76" s="1354">
        <v>10.637493192666794</v>
      </c>
      <c r="AT76" s="1354">
        <v>10.639092458688156</v>
      </c>
      <c r="AU76" s="1354">
        <v>10.640703882815316</v>
      </c>
      <c r="AV76" s="1354">
        <v>10.642327574575967</v>
      </c>
      <c r="AW76" s="1354">
        <v>10.643963644632267</v>
      </c>
      <c r="AX76" s="1529">
        <v>10.645612204795336</v>
      </c>
      <c r="AY76" s="1354">
        <v>10.647273368039853</v>
      </c>
      <c r="AZ76" s="1354">
        <v>10.64894724851891</v>
      </c>
      <c r="BA76" s="1354">
        <v>10.650633961579159</v>
      </c>
      <c r="BB76" s="1354">
        <v>10.652333623776132</v>
      </c>
      <c r="BC76" s="1365">
        <v>10.654046352889848</v>
      </c>
      <c r="BE76" s="1685"/>
      <c r="BF76" s="1722"/>
      <c r="BG76" s="1377">
        <f t="shared" si="30"/>
        <v>-7.5000000000000011E-2</v>
      </c>
      <c r="BH76" s="1354">
        <v>10.627432431161871</v>
      </c>
      <c r="BI76" s="1354">
        <v>10.628257709439776</v>
      </c>
      <c r="BJ76" s="1354">
        <v>10.629085744688018</v>
      </c>
      <c r="BK76" s="1354">
        <v>10.629916546299745</v>
      </c>
      <c r="BL76" s="1354">
        <v>10.630750123698782</v>
      </c>
      <c r="BM76" s="1529">
        <v>10.631586486339698</v>
      </c>
      <c r="BN76" s="1354">
        <v>10.632425643707892</v>
      </c>
      <c r="BO76" s="1354">
        <v>10.633267605319757</v>
      </c>
      <c r="BP76" s="1354">
        <v>10.634112380722678</v>
      </c>
      <c r="BQ76" s="1354">
        <v>10.634959979495219</v>
      </c>
      <c r="BR76" s="1365">
        <v>10.635810411247192</v>
      </c>
    </row>
    <row r="77" spans="42:70" x14ac:dyDescent="0.8">
      <c r="AP77" s="1685"/>
      <c r="AQ77" s="1722"/>
      <c r="AR77" s="1377">
        <f t="shared" si="29"/>
        <v>-0.05</v>
      </c>
      <c r="AS77" s="1354">
        <v>10.640102571066739</v>
      </c>
      <c r="AT77" s="1354">
        <v>10.641713644752015</v>
      </c>
      <c r="AU77" s="1354">
        <v>10.643336969356167</v>
      </c>
      <c r="AV77" s="1354">
        <v>10.644972655309225</v>
      </c>
      <c r="AW77" s="1354">
        <v>10.646620814186477</v>
      </c>
      <c r="AX77" s="1529">
        <v>10.648281558723033</v>
      </c>
      <c r="AY77" s="1354">
        <v>10.649955002828628</v>
      </c>
      <c r="AZ77" s="1354">
        <v>10.651641261602627</v>
      </c>
      <c r="BA77" s="1354">
        <v>10.653340451349376</v>
      </c>
      <c r="BB77" s="1354">
        <v>10.655052689593623</v>
      </c>
      <c r="BC77" s="1365">
        <v>10.656778095096405</v>
      </c>
      <c r="BE77" s="1685"/>
      <c r="BF77" s="1722"/>
      <c r="BG77" s="1377">
        <f t="shared" si="30"/>
        <v>-0.05</v>
      </c>
      <c r="BH77" s="1354">
        <v>10.634640154565494</v>
      </c>
      <c r="BI77" s="1354">
        <v>10.635481562663138</v>
      </c>
      <c r="BJ77" s="1354">
        <v>10.636325782501494</v>
      </c>
      <c r="BK77" s="1354">
        <v>10.637172823665182</v>
      </c>
      <c r="BL77" s="1354">
        <v>10.638022695770168</v>
      </c>
      <c r="BM77" s="1529">
        <v>10.638875408463816</v>
      </c>
      <c r="BN77" s="1354">
        <v>10.639730971424981</v>
      </c>
      <c r="BO77" s="1354">
        <v>10.640589394364131</v>
      </c>
      <c r="BP77" s="1354">
        <v>10.641450687023463</v>
      </c>
      <c r="BQ77" s="1354">
        <v>10.642314859176942</v>
      </c>
      <c r="BR77" s="1365">
        <v>10.643181920630481</v>
      </c>
    </row>
    <row r="78" spans="42:70" x14ac:dyDescent="0.8">
      <c r="AP78" s="1685"/>
      <c r="AQ78" s="1722"/>
      <c r="AR78" s="1377">
        <f>AR79-2.5%</f>
        <v>-2.5000000000000001E-2</v>
      </c>
      <c r="AS78" s="1354">
        <v>10.642723980982497</v>
      </c>
      <c r="AT78" s="1354">
        <v>10.644346930625513</v>
      </c>
      <c r="AU78" s="1354">
        <v>10.645982224577772</v>
      </c>
      <c r="AV78" s="1354">
        <v>10.647629974178159</v>
      </c>
      <c r="AW78" s="1354">
        <v>10.649290291921599</v>
      </c>
      <c r="AX78" s="1529">
        <v>10.650963291473866</v>
      </c>
      <c r="AY78" s="1354">
        <v>10.652649087686454</v>
      </c>
      <c r="AZ78" s="1354">
        <v>10.654347796611878</v>
      </c>
      <c r="BA78" s="1354">
        <v>10.656059535519065</v>
      </c>
      <c r="BB78" s="1354">
        <v>10.657784422909065</v>
      </c>
      <c r="BC78" s="1365">
        <v>10.659522578531018</v>
      </c>
      <c r="BE78" s="1685"/>
      <c r="BF78" s="1722"/>
      <c r="BG78" s="1377">
        <f>BG79-2.5%</f>
        <v>-2.5000000000000001E-2</v>
      </c>
      <c r="BH78" s="1354">
        <v>10.641914743192533</v>
      </c>
      <c r="BI78" s="1354">
        <v>10.642772482075813</v>
      </c>
      <c r="BJ78" s="1354">
        <v>10.643633088181923</v>
      </c>
      <c r="BK78" s="1354">
        <v>10.644496571289633</v>
      </c>
      <c r="BL78" s="1354">
        <v>10.645362941209692</v>
      </c>
      <c r="BM78" s="1529">
        <v>10.646232207784884</v>
      </c>
      <c r="BN78" s="1354">
        <v>10.647104380890186</v>
      </c>
      <c r="BO78" s="1354">
        <v>10.64797947043286</v>
      </c>
      <c r="BP78" s="1354">
        <v>10.648857486352519</v>
      </c>
      <c r="BQ78" s="1354">
        <v>10.649738438621272</v>
      </c>
      <c r="BR78" s="1365">
        <v>10.65062233724381</v>
      </c>
    </row>
    <row r="79" spans="42:70" x14ac:dyDescent="0.8">
      <c r="AP79" s="1685"/>
      <c r="AQ79" s="1722"/>
      <c r="AR79" s="1528">
        <v>0</v>
      </c>
      <c r="AS79" s="1529">
        <v>10.645357471049467</v>
      </c>
      <c r="AT79" s="1529">
        <v>10.64699236525699</v>
      </c>
      <c r="AU79" s="1529">
        <v>10.648639697744565</v>
      </c>
      <c r="AV79" s="1529">
        <v>10.650299580766367</v>
      </c>
      <c r="AW79" s="1529">
        <v>10.651972127743592</v>
      </c>
      <c r="AX79" s="1356">
        <v>10.653657453279301</v>
      </c>
      <c r="AY79" s="1529">
        <v>10.655355673173613</v>
      </c>
      <c r="AZ79" s="1529">
        <v>10.657066904438992</v>
      </c>
      <c r="BA79" s="1529">
        <v>10.65879126531599</v>
      </c>
      <c r="BB79" s="1529">
        <v>10.660528875288993</v>
      </c>
      <c r="BC79" s="1531">
        <v>10.662279855102463</v>
      </c>
      <c r="BE79" s="1685"/>
      <c r="BF79" s="1722"/>
      <c r="BG79" s="1528">
        <v>0</v>
      </c>
      <c r="BH79" s="1529">
        <v>10.649256756833312</v>
      </c>
      <c r="BI79" s="1529">
        <v>10.650131029291172</v>
      </c>
      <c r="BJ79" s="1529">
        <v>10.651008225172829</v>
      </c>
      <c r="BK79" s="1529">
        <v>10.651888354453821</v>
      </c>
      <c r="BL79" s="1529">
        <v>10.652771427142339</v>
      </c>
      <c r="BM79" s="1356">
        <v>10.653657453279301</v>
      </c>
      <c r="BN79" s="1529">
        <v>10.654546442938495</v>
      </c>
      <c r="BO79" s="1529">
        <v>10.655438406226622</v>
      </c>
      <c r="BP79" s="1529">
        <v>10.656333353283468</v>
      </c>
      <c r="BQ79" s="1529">
        <v>10.65723129428198</v>
      </c>
      <c r="BR79" s="1531">
        <v>10.658132239428364</v>
      </c>
    </row>
    <row r="80" spans="42:70" x14ac:dyDescent="0.8">
      <c r="AP80" s="1685"/>
      <c r="AQ80" s="1722"/>
      <c r="AR80" s="1377">
        <f>AR79+2.5%</f>
        <v>2.5000000000000001E-2</v>
      </c>
      <c r="AS80" s="1354">
        <v>10.648003090052457</v>
      </c>
      <c r="AT80" s="1354">
        <v>10.649649997745437</v>
      </c>
      <c r="AU80" s="1354">
        <v>10.651309438272738</v>
      </c>
      <c r="AV80" s="1354">
        <v>10.65298152481043</v>
      </c>
      <c r="AW80" s="1354">
        <v>10.654666371712558</v>
      </c>
      <c r="AX80" s="1529">
        <v>10.656364094526246</v>
      </c>
      <c r="AY80" s="1354">
        <v>10.658074810006994</v>
      </c>
      <c r="AZ80" s="1354">
        <v>10.659798636134225</v>
      </c>
      <c r="BA80" s="1354">
        <v>10.661535692127053</v>
      </c>
      <c r="BB80" s="1354">
        <v>10.66328609846042</v>
      </c>
      <c r="BC80" s="1365">
        <v>10.665049976881303</v>
      </c>
      <c r="BE80" s="1685"/>
      <c r="BF80" s="1722"/>
      <c r="BG80" s="1377">
        <f>BG79+2.5%</f>
        <v>2.5000000000000001E-2</v>
      </c>
      <c r="BH80" s="1354">
        <v>10.656666758523787</v>
      </c>
      <c r="BI80" s="1354">
        <v>10.657557769181054</v>
      </c>
      <c r="BJ80" s="1354">
        <v>10.658451760188958</v>
      </c>
      <c r="BK80" s="1354">
        <v>10.65934874172255</v>
      </c>
      <c r="BL80" s="1354">
        <v>10.660248723990128</v>
      </c>
      <c r="BM80" s="1529">
        <v>10.661151717233468</v>
      </c>
      <c r="BN80" s="1354">
        <v>10.66205773172784</v>
      </c>
      <c r="BO80" s="1354">
        <v>10.662966777782177</v>
      </c>
      <c r="BP80" s="1354">
        <v>10.663878865739134</v>
      </c>
      <c r="BQ80" s="1354">
        <v>10.66479400597524</v>
      </c>
      <c r="BR80" s="1365">
        <v>10.665712208900995</v>
      </c>
    </row>
    <row r="81" spans="42:86" x14ac:dyDescent="0.8">
      <c r="AP81" s="1685"/>
      <c r="AQ81" s="1722"/>
      <c r="AR81" s="1377">
        <f t="shared" ref="AR81:AR84" si="31">AR80+2.5%</f>
        <v>0.05</v>
      </c>
      <c r="AS81" s="1354">
        <v>10.650660886926078</v>
      </c>
      <c r="AT81" s="1354">
        <v>10.65231987734078</v>
      </c>
      <c r="AU81" s="1354">
        <v>10.653991495730688</v>
      </c>
      <c r="AV81" s="1354">
        <v>10.655675856200292</v>
      </c>
      <c r="AW81" s="1354">
        <v>10.657373074043203</v>
      </c>
      <c r="AX81" s="1529">
        <v>10.659083265757376</v>
      </c>
      <c r="AY81" s="1354">
        <v>10.660806549060579</v>
      </c>
      <c r="AZ81" s="1354">
        <v>10.662543042906119</v>
      </c>
      <c r="BA81" s="1354">
        <v>10.664292867498819</v>
      </c>
      <c r="BB81" s="1354">
        <v>10.666056144311282</v>
      </c>
      <c r="BC81" s="1365">
        <v>10.667832996100316</v>
      </c>
      <c r="BE81" s="1685"/>
      <c r="BF81" s="1722"/>
      <c r="BG81" s="1377">
        <f t="shared" ref="BG81:BG84" si="32">BG80+2.5%</f>
        <v>0.05</v>
      </c>
      <c r="BH81" s="1354">
        <v>10.664145314561344</v>
      </c>
      <c r="BI81" s="1354">
        <v>10.665053269891478</v>
      </c>
      <c r="BJ81" s="1354">
        <v>10.665964263232185</v>
      </c>
      <c r="BK81" s="1354">
        <v>10.666878304960646</v>
      </c>
      <c r="BL81" s="1354">
        <v>10.667795405488079</v>
      </c>
      <c r="BM81" s="1529">
        <v>10.668715575259791</v>
      </c>
      <c r="BN81" s="1354">
        <v>10.669638824755316</v>
      </c>
      <c r="BO81" s="1354">
        <v>10.670565164488554</v>
      </c>
      <c r="BP81" s="1354">
        <v>10.671494605007814</v>
      </c>
      <c r="BQ81" s="1354">
        <v>10.672427156895978</v>
      </c>
      <c r="BR81" s="1365">
        <v>10.673362830770598</v>
      </c>
    </row>
    <row r="82" spans="42:86" x14ac:dyDescent="0.8">
      <c r="AP82" s="1685"/>
      <c r="AQ82" s="1722"/>
      <c r="AR82" s="1377">
        <f t="shared" si="31"/>
        <v>7.5000000000000011E-2</v>
      </c>
      <c r="AS82" s="1354">
        <v>10.653330910755114</v>
      </c>
      <c r="AT82" s="1354">
        <v>10.655002053444303</v>
      </c>
      <c r="AU82" s="1354">
        <v>10.656685919839274</v>
      </c>
      <c r="AV82" s="1354">
        <v>10.658382624979602</v>
      </c>
      <c r="AW82" s="1354">
        <v>10.660092285105167</v>
      </c>
      <c r="AX82" s="1529">
        <v>10.661815017671561</v>
      </c>
      <c r="AY82" s="1354">
        <v>10.663550941365745</v>
      </c>
      <c r="AZ82" s="1354">
        <v>10.665300176121937</v>
      </c>
      <c r="BA82" s="1354">
        <v>10.667062843137771</v>
      </c>
      <c r="BB82" s="1354">
        <v>10.668839064890744</v>
      </c>
      <c r="BC82" s="1365">
        <v>10.670628965154831</v>
      </c>
      <c r="BE82" s="1685"/>
      <c r="BF82" s="1722"/>
      <c r="BG82" s="1377">
        <f t="shared" si="32"/>
        <v>7.5000000000000011E-2</v>
      </c>
      <c r="BH82" s="1354">
        <v>10.671692994520605</v>
      </c>
      <c r="BI82" s="1354">
        <v>10.672618102858635</v>
      </c>
      <c r="BJ82" s="1354">
        <v>10.673546307607385</v>
      </c>
      <c r="BK82" s="1354">
        <v>10.674477619348991</v>
      </c>
      <c r="BL82" s="1354">
        <v>10.675412048700272</v>
      </c>
      <c r="BM82" s="1529">
        <v>10.676349606312865</v>
      </c>
      <c r="BN82" s="1354">
        <v>10.677290302873358</v>
      </c>
      <c r="BO82" s="1354">
        <v>10.678234149103348</v>
      </c>
      <c r="BP82" s="1354">
        <v>10.679181155759624</v>
      </c>
      <c r="BQ82" s="1354">
        <v>10.680131333634222</v>
      </c>
      <c r="BR82" s="1365">
        <v>10.681084693554551</v>
      </c>
    </row>
    <row r="83" spans="42:86" x14ac:dyDescent="0.8">
      <c r="AP83" s="1685"/>
      <c r="AQ83" s="1722"/>
      <c r="AR83" s="1377">
        <f t="shared" si="31"/>
        <v>0.1</v>
      </c>
      <c r="AS83" s="1354">
        <v>10.656013210774894</v>
      </c>
      <c r="AT83" s="1354">
        <v>10.657696575608988</v>
      </c>
      <c r="AU83" s="1354">
        <v>10.659392760472317</v>
      </c>
      <c r="AV83" s="1354">
        <v>10.661101881346166</v>
      </c>
      <c r="AW83" s="1354">
        <v>10.662824055423435</v>
      </c>
      <c r="AX83" s="1529">
        <v>10.664559401124245</v>
      </c>
      <c r="AY83" s="1354">
        <v>10.666308038111705</v>
      </c>
      <c r="AZ83" s="1354">
        <v>10.668070087308013</v>
      </c>
      <c r="BA83" s="1354">
        <v>10.669845670910791</v>
      </c>
      <c r="BB83" s="1354">
        <v>10.671634912409676</v>
      </c>
      <c r="BC83" s="1365">
        <v>10.673437936603232</v>
      </c>
      <c r="BE83" s="1685"/>
      <c r="BF83" s="1722"/>
      <c r="BG83" s="1377">
        <f t="shared" si="32"/>
        <v>0.1</v>
      </c>
      <c r="BH83" s="1354">
        <v>10.679310371269279</v>
      </c>
      <c r="BI83" s="1354">
        <v>10.680252842824704</v>
      </c>
      <c r="BJ83" s="1354">
        <v>10.68119846993852</v>
      </c>
      <c r="BK83" s="1354">
        <v>10.682147263400537</v>
      </c>
      <c r="BL83" s="1354">
        <v>10.683099234035987</v>
      </c>
      <c r="BM83" s="1529">
        <v>10.684054392705661</v>
      </c>
      <c r="BN83" s="1354">
        <v>10.685012750305919</v>
      </c>
      <c r="BO83" s="1354">
        <v>10.685974317768961</v>
      </c>
      <c r="BP83" s="1354">
        <v>10.68693910606282</v>
      </c>
      <c r="BQ83" s="1354">
        <v>10.687907126191526</v>
      </c>
      <c r="BR83" s="1365">
        <v>10.688878389195214</v>
      </c>
    </row>
    <row r="84" spans="42:86" ht="16.75" thickBot="1" x14ac:dyDescent="0.95">
      <c r="AP84" s="1686"/>
      <c r="AQ84" s="1723"/>
      <c r="AR84" s="1379">
        <f t="shared" si="31"/>
        <v>0.125</v>
      </c>
      <c r="AS84" s="1367">
        <v>10.658707836371601</v>
      </c>
      <c r="AT84" s="1367">
        <v>10.660403493539908</v>
      </c>
      <c r="AU84" s="1367">
        <v>10.662112067656857</v>
      </c>
      <c r="AV84" s="1367">
        <v>10.663833675652192</v>
      </c>
      <c r="AW84" s="1367">
        <v>10.665568435678672</v>
      </c>
      <c r="AX84" s="1530">
        <v>10.667316467127806</v>
      </c>
      <c r="AY84" s="1367">
        <v>10.669077890645882</v>
      </c>
      <c r="AZ84" s="1367">
        <v>10.670852828150178</v>
      </c>
      <c r="BA84" s="1367">
        <v>10.672641402845514</v>
      </c>
      <c r="BB84" s="1367">
        <v>10.674443739241033</v>
      </c>
      <c r="BC84" s="1369">
        <v>10.676259963167258</v>
      </c>
      <c r="BE84" s="1686"/>
      <c r="BF84" s="1723"/>
      <c r="BG84" s="1379">
        <f t="shared" si="32"/>
        <v>0.125</v>
      </c>
      <c r="BH84" s="1367">
        <v>10.686998020984104</v>
      </c>
      <c r="BI84" s="1367">
        <v>10.687958067853906</v>
      </c>
      <c r="BJ84" s="1367">
        <v>10.688921330184563</v>
      </c>
      <c r="BK84" s="1367">
        <v>10.689887818976404</v>
      </c>
      <c r="BL84" s="1367">
        <v>10.690857545265869</v>
      </c>
      <c r="BM84" s="1530">
        <v>10.691830520125666</v>
      </c>
      <c r="BN84" s="1367">
        <v>10.692806754664838</v>
      </c>
      <c r="BO84" s="1367">
        <v>10.693786260028981</v>
      </c>
      <c r="BP84" s="1367">
        <v>10.69476904740023</v>
      </c>
      <c r="BQ84" s="1367">
        <v>10.695755127997494</v>
      </c>
      <c r="BR84" s="1369">
        <v>10.696744513076474</v>
      </c>
    </row>
    <row r="91" spans="42:86" ht="16.75" thickBot="1" x14ac:dyDescent="0.95"/>
    <row r="92" spans="42:86" x14ac:dyDescent="0.8">
      <c r="BV92" s="36" t="s">
        <v>704</v>
      </c>
      <c r="BW92" s="21"/>
      <c r="BX92" s="21"/>
      <c r="BY92" s="21"/>
      <c r="BZ92" s="21"/>
      <c r="CA92" s="21"/>
      <c r="CB92" s="21"/>
      <c r="CC92" s="21"/>
      <c r="CD92" s="21"/>
      <c r="CE92" s="21"/>
      <c r="CF92" s="21"/>
      <c r="CG92" s="21"/>
      <c r="CH92" s="171"/>
    </row>
    <row r="93" spans="42:86" x14ac:dyDescent="0.8">
      <c r="BV93" s="366"/>
      <c r="BW93" s="156"/>
      <c r="BX93" s="1644" t="s">
        <v>692</v>
      </c>
      <c r="BY93" s="1644"/>
      <c r="BZ93" s="1644"/>
      <c r="CA93" s="1644"/>
      <c r="CB93" s="1644"/>
      <c r="CC93" s="1644"/>
      <c r="CD93" s="1644"/>
      <c r="CE93" s="1644"/>
      <c r="CF93" s="1644"/>
      <c r="CG93" s="1644"/>
      <c r="CH93" s="1645"/>
    </row>
    <row r="94" spans="42:86" x14ac:dyDescent="0.8">
      <c r="BV94" s="22"/>
      <c r="BW94" s="1376">
        <f>'APV Valuation'!$B$36</f>
        <v>10.653657453279301</v>
      </c>
      <c r="BX94" s="1377">
        <f t="shared" ref="BX94" si="33">BY94-2.5%</f>
        <v>-0.125</v>
      </c>
      <c r="BY94" s="1377">
        <f t="shared" ref="BY94" si="34">BZ94-2.5%</f>
        <v>-0.1</v>
      </c>
      <c r="BZ94" s="1377">
        <f t="shared" ref="BZ94" si="35">CA94-2.5%</f>
        <v>-7.5000000000000011E-2</v>
      </c>
      <c r="CA94" s="1377">
        <f t="shared" ref="CA94" si="36">CB94-2.5%</f>
        <v>-0.05</v>
      </c>
      <c r="CB94" s="1377">
        <f>CC94-2.5%</f>
        <v>-2.5000000000000001E-2</v>
      </c>
      <c r="CC94" s="1385">
        <v>0</v>
      </c>
      <c r="CD94" s="1377">
        <f>CC94+2.5%</f>
        <v>2.5000000000000001E-2</v>
      </c>
      <c r="CE94" s="1377">
        <f t="shared" ref="CE94" si="37">CD94+2.5%</f>
        <v>0.05</v>
      </c>
      <c r="CF94" s="1377">
        <f t="shared" ref="CF94" si="38">CE94+2.5%</f>
        <v>7.5000000000000011E-2</v>
      </c>
      <c r="CG94" s="1377">
        <f t="shared" ref="CG94" si="39">CF94+2.5%</f>
        <v>0.1</v>
      </c>
      <c r="CH94" s="1378">
        <f t="shared" ref="CH94" si="40">CG94+2.5%</f>
        <v>0.125</v>
      </c>
    </row>
    <row r="95" spans="42:86" x14ac:dyDescent="0.8">
      <c r="BV95" s="1693" t="s">
        <v>689</v>
      </c>
      <c r="BW95" s="1377">
        <f t="shared" ref="BW95:BW98" si="41">BW96-2.5%</f>
        <v>-0.125</v>
      </c>
      <c r="BX95" s="1354">
        <v>9.9520535616634991</v>
      </c>
      <c r="BY95" s="1354">
        <v>9.7673618482097773</v>
      </c>
      <c r="BZ95" s="1354">
        <v>9.8516864295714104</v>
      </c>
      <c r="CA95" s="1354">
        <v>9.9798492669614678</v>
      </c>
      <c r="CB95" s="1354">
        <v>10.109718378228683</v>
      </c>
      <c r="CC95" s="1354">
        <v>10.243293326640872</v>
      </c>
      <c r="CD95" s="1354">
        <v>10.380694770481279</v>
      </c>
      <c r="CE95" s="1354">
        <v>10.539036233030874</v>
      </c>
      <c r="CF95" s="1354">
        <v>10.684009549919137</v>
      </c>
      <c r="CG95" s="1354">
        <v>10.833126180881088</v>
      </c>
      <c r="CH95" s="1382">
        <v>10.986507301329052</v>
      </c>
    </row>
    <row r="96" spans="42:86" x14ac:dyDescent="0.8">
      <c r="BV96" s="1693"/>
      <c r="BW96" s="1377">
        <f t="shared" si="41"/>
        <v>-0.1</v>
      </c>
      <c r="BX96" s="1354">
        <v>9.8283986256961651</v>
      </c>
      <c r="BY96" s="1354">
        <v>9.8085045662461265</v>
      </c>
      <c r="BZ96" s="1354">
        <v>9.9206272866921346</v>
      </c>
      <c r="CA96" s="1354">
        <v>10.051338089410001</v>
      </c>
      <c r="CB96" s="1354">
        <v>10.183607935769292</v>
      </c>
      <c r="CC96" s="1354">
        <v>10.319674459745467</v>
      </c>
      <c r="CD96" s="1354">
        <v>10.476421809305249</v>
      </c>
      <c r="CE96" s="1354">
        <v>10.620000011229488</v>
      </c>
      <c r="CF96" s="1354">
        <v>10.767689826536298</v>
      </c>
      <c r="CG96" s="1375">
        <v>10.919611722694748</v>
      </c>
      <c r="CH96" s="1365">
        <v>11.075889783153599</v>
      </c>
    </row>
    <row r="97" spans="74:101" x14ac:dyDescent="0.8">
      <c r="BV97" s="1693"/>
      <c r="BW97" s="1377">
        <f t="shared" si="41"/>
        <v>-7.5000000000000011E-2</v>
      </c>
      <c r="BX97" s="1354">
        <v>9.8009181026809866</v>
      </c>
      <c r="BY97" s="1354">
        <v>9.8638955330760929</v>
      </c>
      <c r="BZ97" s="1354">
        <v>9.9931059868877661</v>
      </c>
      <c r="CA97" s="1354">
        <v>10.124080675847505</v>
      </c>
      <c r="CB97" s="1354">
        <v>10.25881068285385</v>
      </c>
      <c r="CC97" s="1354">
        <v>10.413964670073234</v>
      </c>
      <c r="CD97" s="1354">
        <v>10.556145861619939</v>
      </c>
      <c r="CE97" s="1354">
        <v>10.702406786211684</v>
      </c>
      <c r="CF97" s="1375">
        <v>10.85286719575026</v>
      </c>
      <c r="CG97" s="1354">
        <v>11.00765044206703</v>
      </c>
      <c r="CH97" s="1365">
        <v>11.166883591101415</v>
      </c>
    </row>
    <row r="98" spans="74:101" x14ac:dyDescent="0.8">
      <c r="BV98" s="1693"/>
      <c r="BW98" s="1377">
        <f t="shared" si="41"/>
        <v>-0.05</v>
      </c>
      <c r="BX98" s="1354">
        <v>9.8126030588979862</v>
      </c>
      <c r="BY98" s="1354">
        <v>9.9350522801712255</v>
      </c>
      <c r="BZ98" s="1354">
        <v>10.064721864787638</v>
      </c>
      <c r="CA98" s="1354">
        <v>10.198114050950318</v>
      </c>
      <c r="CB98" s="1354">
        <v>10.351675727574424</v>
      </c>
      <c r="CC98" s="1354">
        <v>10.492458320737548</v>
      </c>
      <c r="CD98" s="1354">
        <v>10.637288594730693</v>
      </c>
      <c r="CE98" s="1375">
        <v>10.786285578448956</v>
      </c>
      <c r="CF98" s="1354">
        <v>10.939571884395528</v>
      </c>
      <c r="CG98" s="1354">
        <v>11.097273822485446</v>
      </c>
      <c r="CH98" s="1365">
        <v>11.259521517765874</v>
      </c>
    </row>
    <row r="99" spans="74:101" x14ac:dyDescent="0.8">
      <c r="BV99" s="1693"/>
      <c r="BW99" s="1377">
        <f>BW100-2.5%</f>
        <v>-2.5000000000000001E-2</v>
      </c>
      <c r="BX99" s="1354">
        <v>9.8752659428176237</v>
      </c>
      <c r="BY99" s="1354">
        <v>10.005532011192999</v>
      </c>
      <c r="BZ99" s="1354">
        <v>10.137594977804529</v>
      </c>
      <c r="CA99" s="1354">
        <v>10.28956569339508</v>
      </c>
      <c r="CB99" s="1354">
        <v>10.428948404457955</v>
      </c>
      <c r="CC99" s="1354">
        <v>10.57234658000155</v>
      </c>
      <c r="CD99" s="1375">
        <v>10.71987851866041</v>
      </c>
      <c r="CE99" s="1354">
        <v>10.871666086088497</v>
      </c>
      <c r="CF99" s="1354">
        <v>11.027834828378779</v>
      </c>
      <c r="CG99" s="1354">
        <v>11.188514089389985</v>
      </c>
      <c r="CH99" s="1365">
        <v>11.353837132129762</v>
      </c>
    </row>
    <row r="100" spans="74:101" x14ac:dyDescent="0.8">
      <c r="BV100" s="1693"/>
      <c r="BW100" s="1385">
        <v>0</v>
      </c>
      <c r="BX100" s="1354">
        <v>9.9465363817892456</v>
      </c>
      <c r="BY100" s="1354">
        <v>10.077263679168135</v>
      </c>
      <c r="BZ100" s="1354">
        <v>10.22764507776227</v>
      </c>
      <c r="CA100" s="1354">
        <v>10.365626924119919</v>
      </c>
      <c r="CB100" s="1354">
        <v>10.507591862190203</v>
      </c>
      <c r="CC100" s="1375">
        <v>10.653657453279301</v>
      </c>
      <c r="CD100" s="1354">
        <v>10.803944808861379</v>
      </c>
      <c r="CE100" s="1354">
        <v>10.958578703604545</v>
      </c>
      <c r="CF100" s="1354">
        <v>11.117687692294473</v>
      </c>
      <c r="CG100" s="1354">
        <v>11.281404230804263</v>
      </c>
      <c r="CH100" s="1365">
        <v>11.449864801266214</v>
      </c>
    </row>
    <row r="101" spans="74:101" x14ac:dyDescent="0.8">
      <c r="BV101" s="1693"/>
      <c r="BW101" s="1377">
        <f>BW100+2.5%</f>
        <v>2.5000000000000001E-2</v>
      </c>
      <c r="BX101" s="1354">
        <v>10.017122818555032</v>
      </c>
      <c r="BY101" s="1354">
        <v>10.165924188911953</v>
      </c>
      <c r="BZ101" s="1354">
        <v>10.30250448583519</v>
      </c>
      <c r="CA101" s="1354">
        <v>10.443035352969948</v>
      </c>
      <c r="CB101" s="1375">
        <v>10.587633607412766</v>
      </c>
      <c r="CC101" s="1354">
        <v>10.736419599318371</v>
      </c>
      <c r="CD101" s="1354">
        <v>10.88951732452287</v>
      </c>
      <c r="CE101" s="1354">
        <v>11.047054541054365</v>
      </c>
      <c r="CF101" s="1354">
        <v>11.209162889679749</v>
      </c>
      <c r="CG101" s="1354">
        <v>11.375978018642682</v>
      </c>
      <c r="CH101" s="1365">
        <v>11.547639712754636</v>
      </c>
    </row>
    <row r="102" spans="74:101" x14ac:dyDescent="0.8">
      <c r="BV102" s="1693"/>
      <c r="BW102" s="1377">
        <f t="shared" ref="BW102:BW105" si="42">BW101+2.5%</f>
        <v>0.05</v>
      </c>
      <c r="BX102" s="1354">
        <v>10.104413132530304</v>
      </c>
      <c r="BY102" s="1354">
        <v>10.239591489873384</v>
      </c>
      <c r="BZ102" s="1354">
        <v>10.378687754847638</v>
      </c>
      <c r="CA102" s="1375">
        <v>10.52181799364574</v>
      </c>
      <c r="CB102" s="1354">
        <v>10.669101788154913</v>
      </c>
      <c r="CC102" s="1354">
        <v>10.820662348168078</v>
      </c>
      <c r="CD102" s="1354">
        <v>10.976626627472148</v>
      </c>
      <c r="CE102" s="1354">
        <v>11.137125443961667</v>
      </c>
      <c r="CF102" s="1354">
        <v>11.302293603932927</v>
      </c>
      <c r="CG102" s="1354">
        <v>11.472270030719686</v>
      </c>
      <c r="CH102" s="1365">
        <v>11.647197897839142</v>
      </c>
    </row>
    <row r="103" spans="74:101" x14ac:dyDescent="0.8">
      <c r="BV103" s="1693"/>
      <c r="BW103" s="1377">
        <f t="shared" si="42"/>
        <v>7.5000000000000011E-2</v>
      </c>
      <c r="BX103" s="1354">
        <v>10.176898130121572</v>
      </c>
      <c r="BY103" s="1354">
        <v>10.314559560566252</v>
      </c>
      <c r="BZ103" s="1375">
        <v>10.456221411384387</v>
      </c>
      <c r="CA103" s="1354">
        <v>10.602002489439569</v>
      </c>
      <c r="CB103" s="1354">
        <v>10.752025211467013</v>
      </c>
      <c r="CC103" s="1354">
        <v>10.906415719730076</v>
      </c>
      <c r="CD103" s="1354">
        <v>11.06530400169108</v>
      </c>
      <c r="CE103" s="1354">
        <v>11.228824013851279</v>
      </c>
      <c r="CF103" s="1354">
        <v>11.39711380992094</v>
      </c>
      <c r="CG103" s="1354">
        <v>11.570315673487556</v>
      </c>
      <c r="CH103" s="1365">
        <v>11.747518754472793</v>
      </c>
    </row>
    <row r="104" spans="74:101" x14ac:dyDescent="0.8">
      <c r="BV104" s="1693"/>
      <c r="BW104" s="1377">
        <f t="shared" si="42"/>
        <v>0.1</v>
      </c>
      <c r="BX104" s="1354">
        <v>10.250661052583229</v>
      </c>
      <c r="BY104" s="1375">
        <v>10.390854446276874</v>
      </c>
      <c r="BZ104" s="1354">
        <v>10.535132599975197</v>
      </c>
      <c r="CA104" s="1354">
        <v>10.683617130538201</v>
      </c>
      <c r="CB104" s="1354">
        <v>10.836433361625126</v>
      </c>
      <c r="CC104" s="1354">
        <v>10.993710442912878</v>
      </c>
      <c r="CD104" s="1354">
        <v>11.15558147347185</v>
      </c>
      <c r="CE104" s="1354">
        <v>11.322183629459799</v>
      </c>
      <c r="CF104" s="1354">
        <v>11.493658296301795</v>
      </c>
      <c r="CG104" s="1354">
        <v>11.670151205531202</v>
      </c>
      <c r="CH104" s="1365">
        <v>11.845658033617534</v>
      </c>
    </row>
    <row r="105" spans="74:101" ht="16.75" thickBot="1" x14ac:dyDescent="0.95">
      <c r="BV105" s="1694"/>
      <c r="BW105" s="1379">
        <f t="shared" si="42"/>
        <v>0.125</v>
      </c>
      <c r="BX105" s="1383">
        <v>10.325727469711401</v>
      </c>
      <c r="BY105" s="1367">
        <v>10.468502798738848</v>
      </c>
      <c r="BZ105" s="1367">
        <v>10.615449100071501</v>
      </c>
      <c r="CA105" s="1367">
        <v>10.766690871886144</v>
      </c>
      <c r="CB105" s="1367">
        <v>10.922356418928194</v>
      </c>
      <c r="CC105" s="1367">
        <v>11.08257797541353</v>
      </c>
      <c r="CD105" s="1367">
        <v>11.247491832235982</v>
      </c>
      <c r="CE105" s="1367">
        <v>11.417238468648168</v>
      </c>
      <c r="CF105" s="1367">
        <v>11.591962688590227</v>
      </c>
      <c r="CG105" s="1367">
        <v>11.767338868302659</v>
      </c>
      <c r="CH105" s="1369">
        <v>11.945591471698499</v>
      </c>
    </row>
    <row r="107" spans="74:101" ht="16.75" thickBot="1" x14ac:dyDescent="0.95"/>
    <row r="108" spans="74:101" x14ac:dyDescent="0.8">
      <c r="BV108" s="36" t="s">
        <v>705</v>
      </c>
      <c r="BW108" s="21"/>
      <c r="BX108" s="21"/>
      <c r="BY108" s="21"/>
      <c r="BZ108" s="21"/>
      <c r="CA108" s="21"/>
      <c r="CB108" s="21"/>
      <c r="CC108" s="21"/>
      <c r="CD108" s="21"/>
      <c r="CE108" s="21"/>
      <c r="CF108" s="21"/>
      <c r="CG108" s="21"/>
      <c r="CH108" s="21"/>
      <c r="CI108" s="171"/>
      <c r="CJ108" s="36" t="s">
        <v>706</v>
      </c>
      <c r="CK108" s="21"/>
      <c r="CL108" s="21"/>
      <c r="CM108" s="21"/>
      <c r="CN108" s="21"/>
      <c r="CO108" s="21"/>
      <c r="CP108" s="21"/>
      <c r="CQ108" s="21"/>
      <c r="CR108" s="21"/>
      <c r="CS108" s="21"/>
      <c r="CT108" s="21"/>
      <c r="CU108" s="21"/>
      <c r="CV108" s="21"/>
      <c r="CW108" s="171"/>
    </row>
    <row r="109" spans="74:101" x14ac:dyDescent="0.8">
      <c r="BV109" s="366"/>
      <c r="BW109" s="156"/>
      <c r="BX109" s="156"/>
      <c r="BY109" s="1717" t="s">
        <v>693</v>
      </c>
      <c r="BZ109" s="1717"/>
      <c r="CA109" s="1717"/>
      <c r="CB109" s="1717"/>
      <c r="CC109" s="1717"/>
      <c r="CD109" s="1717"/>
      <c r="CE109" s="1717"/>
      <c r="CF109" s="1717"/>
      <c r="CG109" s="1717"/>
      <c r="CH109" s="1717"/>
      <c r="CI109" s="1718"/>
      <c r="CJ109" s="366"/>
      <c r="CK109" s="156"/>
      <c r="CL109" s="156"/>
      <c r="CM109" s="1717" t="s">
        <v>693</v>
      </c>
      <c r="CN109" s="1717"/>
      <c r="CO109" s="1717"/>
      <c r="CP109" s="1717"/>
      <c r="CQ109" s="1717"/>
      <c r="CR109" s="1717"/>
      <c r="CS109" s="1717"/>
      <c r="CT109" s="1717"/>
      <c r="CU109" s="1717"/>
      <c r="CV109" s="1717"/>
      <c r="CW109" s="1718"/>
    </row>
    <row r="110" spans="74:101" x14ac:dyDescent="0.8">
      <c r="BV110" s="22"/>
      <c r="BW110" s="185"/>
      <c r="BX110" s="156"/>
      <c r="BY110" s="1689" t="s">
        <v>694</v>
      </c>
      <c r="BZ110" s="1689"/>
      <c r="CA110" s="1689"/>
      <c r="CB110" s="1689"/>
      <c r="CC110" s="1689"/>
      <c r="CD110" s="1689"/>
      <c r="CE110" s="1689"/>
      <c r="CF110" s="1689"/>
      <c r="CG110" s="1689"/>
      <c r="CH110" s="1689"/>
      <c r="CI110" s="1690"/>
      <c r="CJ110" s="22"/>
      <c r="CK110" s="185"/>
      <c r="CL110" s="156"/>
      <c r="CM110" s="1695" t="s">
        <v>701</v>
      </c>
      <c r="CN110" s="1695"/>
      <c r="CO110" s="1695"/>
      <c r="CP110" s="1695"/>
      <c r="CQ110" s="1695"/>
      <c r="CR110" s="1695"/>
      <c r="CS110" s="1695"/>
      <c r="CT110" s="1695"/>
      <c r="CU110" s="1695"/>
      <c r="CV110" s="1695"/>
      <c r="CW110" s="1696"/>
    </row>
    <row r="111" spans="74:101" x14ac:dyDescent="0.8">
      <c r="BV111" s="22"/>
      <c r="BW111" s="131"/>
      <c r="BX111" s="1376">
        <f>'APV Valuation'!$B$36</f>
        <v>10.653657453279301</v>
      </c>
      <c r="BY111" s="1377">
        <f t="shared" ref="BY111" si="43">BZ111-2.5%</f>
        <v>-0.125</v>
      </c>
      <c r="BZ111" s="1377">
        <f t="shared" ref="BZ111" si="44">CA111-2.5%</f>
        <v>-0.1</v>
      </c>
      <c r="CA111" s="1377">
        <f t="shared" ref="CA111" si="45">CB111-2.5%</f>
        <v>-7.5000000000000011E-2</v>
      </c>
      <c r="CB111" s="1377">
        <f t="shared" ref="CB111" si="46">CC111-2.5%</f>
        <v>-0.05</v>
      </c>
      <c r="CC111" s="1377">
        <f>CD111-2.5%</f>
        <v>-2.5000000000000001E-2</v>
      </c>
      <c r="CD111" s="1528">
        <v>0</v>
      </c>
      <c r="CE111" s="1377">
        <f>CD111+2.5%</f>
        <v>2.5000000000000001E-2</v>
      </c>
      <c r="CF111" s="1377">
        <f t="shared" ref="CF111" si="47">CE111+2.5%</f>
        <v>0.05</v>
      </c>
      <c r="CG111" s="1377">
        <f t="shared" ref="CG111" si="48">CF111+2.5%</f>
        <v>7.5000000000000011E-2</v>
      </c>
      <c r="CH111" s="1377">
        <f t="shared" ref="CH111" si="49">CG111+2.5%</f>
        <v>0.1</v>
      </c>
      <c r="CI111" s="1378">
        <f t="shared" ref="CI111" si="50">CH111+2.5%</f>
        <v>0.125</v>
      </c>
      <c r="CJ111" s="22"/>
      <c r="CK111" s="131"/>
      <c r="CL111" s="1376">
        <f>'APV Valuation'!$B$36</f>
        <v>10.653657453279301</v>
      </c>
      <c r="CM111" s="1377">
        <f t="shared" ref="CM111" si="51">CN111-2.5%</f>
        <v>-0.125</v>
      </c>
      <c r="CN111" s="1377">
        <f t="shared" ref="CN111" si="52">CO111-2.5%</f>
        <v>-0.1</v>
      </c>
      <c r="CO111" s="1377">
        <f t="shared" ref="CO111" si="53">CP111-2.5%</f>
        <v>-7.5000000000000011E-2</v>
      </c>
      <c r="CP111" s="1377">
        <f t="shared" ref="CP111" si="54">CQ111-2.5%</f>
        <v>-0.05</v>
      </c>
      <c r="CQ111" s="1377">
        <f>CR111-2.5%</f>
        <v>-2.5000000000000001E-2</v>
      </c>
      <c r="CR111" s="1528">
        <v>0</v>
      </c>
      <c r="CS111" s="1377">
        <f>CR111+2.5%</f>
        <v>2.5000000000000001E-2</v>
      </c>
      <c r="CT111" s="1377">
        <f t="shared" ref="CT111" si="55">CS111+2.5%</f>
        <v>0.05</v>
      </c>
      <c r="CU111" s="1377">
        <f t="shared" ref="CU111" si="56">CT111+2.5%</f>
        <v>7.5000000000000011E-2</v>
      </c>
      <c r="CV111" s="1377">
        <f t="shared" ref="CV111" si="57">CU111+2.5%</f>
        <v>0.1</v>
      </c>
      <c r="CW111" s="1378">
        <f t="shared" ref="CW111" si="58">CV111+2.5%</f>
        <v>0.125</v>
      </c>
    </row>
    <row r="112" spans="74:101" x14ac:dyDescent="0.8">
      <c r="BV112" s="1685" t="s">
        <v>695</v>
      </c>
      <c r="BW112" s="1722" t="s">
        <v>694</v>
      </c>
      <c r="BX112" s="1377">
        <f t="shared" ref="BX112:BX115" si="59">BX113-2.5%</f>
        <v>-0.125</v>
      </c>
      <c r="BY112" s="1354">
        <v>10.390347984820767</v>
      </c>
      <c r="BZ112" s="1354">
        <v>10.421322518331589</v>
      </c>
      <c r="CA112" s="1354">
        <v>10.435880833452805</v>
      </c>
      <c r="CB112" s="1354">
        <v>10.45065455267622</v>
      </c>
      <c r="CC112" s="1354">
        <v>10.465647461572848</v>
      </c>
      <c r="CD112" s="1529">
        <v>10.48086342538781</v>
      </c>
      <c r="CE112" s="1354">
        <v>10.496306391187609</v>
      </c>
      <c r="CF112" s="1354">
        <v>10.511980390075772</v>
      </c>
      <c r="CG112" s="1354">
        <v>10.527889539479343</v>
      </c>
      <c r="CH112" s="1354">
        <v>10.544038045508868</v>
      </c>
      <c r="CI112" s="1365">
        <v>10.560430205394375</v>
      </c>
      <c r="CJ112" s="1685" t="s">
        <v>695</v>
      </c>
      <c r="CK112" s="1724" t="s">
        <v>701</v>
      </c>
      <c r="CL112" s="1377">
        <f t="shared" ref="CL112:CL115" si="60">CL113-2.5%</f>
        <v>-0.125</v>
      </c>
      <c r="CM112" s="1354">
        <v>10.19630094131236</v>
      </c>
      <c r="CN112" s="1354">
        <v>10.227861273118458</v>
      </c>
      <c r="CO112" s="1354">
        <v>10.259994947882776</v>
      </c>
      <c r="CP112" s="1354">
        <v>10.292714303141317</v>
      </c>
      <c r="CQ112" s="1354">
        <v>10.326031951303053</v>
      </c>
      <c r="CR112" s="1529">
        <v>10.359960787310868</v>
      </c>
      <c r="CS112" s="1354">
        <v>10.394513996563036</v>
      </c>
      <c r="CT112" s="1354">
        <v>10.429705063103974</v>
      </c>
      <c r="CU112" s="1354">
        <v>10.465547778093809</v>
      </c>
      <c r="CV112" s="1354">
        <v>10.502056248566175</v>
      </c>
      <c r="CW112" s="1365">
        <v>10.539244906484567</v>
      </c>
    </row>
    <row r="113" spans="74:101" x14ac:dyDescent="0.8">
      <c r="BV113" s="1685"/>
      <c r="BW113" s="1722"/>
      <c r="BX113" s="1377">
        <f t="shared" si="59"/>
        <v>-0.1</v>
      </c>
      <c r="BY113" s="1354">
        <v>10.42318597085012</v>
      </c>
      <c r="BZ113" s="1354">
        <v>10.454550236449805</v>
      </c>
      <c r="CA113" s="1354">
        <v>10.4692863524721</v>
      </c>
      <c r="CB113" s="1354">
        <v>10.484240310928111</v>
      </c>
      <c r="CC113" s="1354">
        <v>10.499415939535387</v>
      </c>
      <c r="CD113" s="1529">
        <v>10.514817146630419</v>
      </c>
      <c r="CE113" s="1354">
        <v>10.530447923341901</v>
      </c>
      <c r="CF113" s="1354">
        <v>10.546312345833398</v>
      </c>
      <c r="CG113" s="1354">
        <v>10.562414577617597</v>
      </c>
      <c r="CH113" s="1354">
        <v>10.578758871944855</v>
      </c>
      <c r="CI113" s="1365">
        <v>10.59534957426875</v>
      </c>
      <c r="CJ113" s="1685"/>
      <c r="CK113" s="1724"/>
      <c r="CL113" s="1377">
        <f t="shared" si="60"/>
        <v>-0.1</v>
      </c>
      <c r="CM113" s="1354">
        <v>10.250296085245168</v>
      </c>
      <c r="CN113" s="1354">
        <v>10.282456610105445</v>
      </c>
      <c r="CO113" s="1354">
        <v>10.315201406896154</v>
      </c>
      <c r="CP113" s="1354">
        <v>10.348543034897062</v>
      </c>
      <c r="CQ113" s="1354">
        <v>10.382494333309204</v>
      </c>
      <c r="CR113" s="1529">
        <v>10.417068429064994</v>
      </c>
      <c r="CS113" s="1354">
        <v>10.452278744903495</v>
      </c>
      <c r="CT113" s="1354">
        <v>10.488139007719543</v>
      </c>
      <c r="CU113" s="1354">
        <v>10.524663257196512</v>
      </c>
      <c r="CV113" s="1354">
        <v>10.561865854732361</v>
      </c>
      <c r="CW113" s="1365">
        <v>10.59976149266933</v>
      </c>
    </row>
    <row r="114" spans="74:101" x14ac:dyDescent="0.8">
      <c r="BV114" s="1685"/>
      <c r="BW114" s="1722"/>
      <c r="BX114" s="1377">
        <f t="shared" si="59"/>
        <v>-7.5000000000000011E-2</v>
      </c>
      <c r="BY114" s="1354">
        <v>10.456313253023866</v>
      </c>
      <c r="BZ114" s="1354">
        <v>10.488070740953717</v>
      </c>
      <c r="CA114" s="1354">
        <v>10.502986472297041</v>
      </c>
      <c r="CB114" s="1354">
        <v>10.518122507207959</v>
      </c>
      <c r="CC114" s="1354">
        <v>10.533482715950438</v>
      </c>
      <c r="CD114" s="1529">
        <v>10.549071050361352</v>
      </c>
      <c r="CE114" s="1354">
        <v>10.564891546050099</v>
      </c>
      <c r="CF114" s="1354">
        <v>10.580948324668423</v>
      </c>
      <c r="CG114" s="1354">
        <v>10.597245596252629</v>
      </c>
      <c r="CH114" s="1354">
        <v>10.613787661641112</v>
      </c>
      <c r="CI114" s="1365">
        <v>10.630578914969693</v>
      </c>
      <c r="CJ114" s="1685"/>
      <c r="CK114" s="1724"/>
      <c r="CL114" s="1377">
        <f t="shared" si="60"/>
        <v>-7.5000000000000011E-2</v>
      </c>
      <c r="CM114" s="1354">
        <v>10.30504770238678</v>
      </c>
      <c r="CN114" s="1354">
        <v>10.337817918395478</v>
      </c>
      <c r="CO114" s="1354">
        <v>10.371183502964739</v>
      </c>
      <c r="CP114" s="1354">
        <v>10.405157240363838</v>
      </c>
      <c r="CQ114" s="1354">
        <v>10.439752199911224</v>
      </c>
      <c r="CR114" s="1529">
        <v>10.474981743936084</v>
      </c>
      <c r="CS114" s="1354">
        <v>10.510859536009436</v>
      </c>
      <c r="CT114" s="1354">
        <v>10.54739954945398</v>
      </c>
      <c r="CU114" s="1354">
        <v>10.584616076142321</v>
      </c>
      <c r="CV114" s="1354">
        <v>10.622523735593566</v>
      </c>
      <c r="CW114" s="1365">
        <v>10.661137484378816</v>
      </c>
    </row>
    <row r="115" spans="74:101" x14ac:dyDescent="0.8">
      <c r="BV115" s="1685"/>
      <c r="BW115" s="1722"/>
      <c r="BX115" s="1377">
        <f t="shared" si="59"/>
        <v>-0.05</v>
      </c>
      <c r="BY115" s="1354">
        <v>10.489732100763913</v>
      </c>
      <c r="BZ115" s="1354">
        <v>10.521886325781846</v>
      </c>
      <c r="CA115" s="1354">
        <v>10.536983501390448</v>
      </c>
      <c r="CB115" s="1354">
        <v>10.552303464675168</v>
      </c>
      <c r="CC115" s="1354">
        <v>10.567850128849363</v>
      </c>
      <c r="CD115" s="1529">
        <v>10.583627489662494</v>
      </c>
      <c r="CE115" s="1354">
        <v>10.599639627626328</v>
      </c>
      <c r="CF115" s="1354">
        <v>10.615890710312145</v>
      </c>
      <c r="CG115" s="1354">
        <v>10.632384994721322</v>
      </c>
      <c r="CH115" s="1354">
        <v>10.649126829731857</v>
      </c>
      <c r="CI115" s="1365">
        <v>10.666120658623859</v>
      </c>
      <c r="CJ115" s="1685"/>
      <c r="CK115" s="1724"/>
      <c r="CL115" s="1377">
        <f t="shared" si="60"/>
        <v>-0.05</v>
      </c>
      <c r="CM115" s="1354">
        <v>10.360565311073101</v>
      </c>
      <c r="CN115" s="1354">
        <v>10.393954834309653</v>
      </c>
      <c r="CO115" s="1354">
        <v>10.427950992327224</v>
      </c>
      <c r="CP115" s="1354">
        <v>10.462566797669643</v>
      </c>
      <c r="CQ115" s="1354">
        <v>10.497815553138516</v>
      </c>
      <c r="CR115" s="1529">
        <v>10.53371085990824</v>
      </c>
      <c r="CS115" s="1354">
        <v>10.570266625915256</v>
      </c>
      <c r="CT115" s="1354">
        <v>10.607497074530741</v>
      </c>
      <c r="CU115" s="1354">
        <v>10.645416753526671</v>
      </c>
      <c r="CV115" s="1354">
        <v>10.684040544345375</v>
      </c>
      <c r="CW115" s="1365">
        <v>10.723383671683193</v>
      </c>
    </row>
    <row r="116" spans="74:101" x14ac:dyDescent="0.8">
      <c r="BV116" s="1685"/>
      <c r="BW116" s="1722"/>
      <c r="BX116" s="1377">
        <f>BX117-2.5%</f>
        <v>-2.5000000000000001E-2</v>
      </c>
      <c r="BY116" s="1354">
        <v>10.523444796218284</v>
      </c>
      <c r="BZ116" s="1354">
        <v>10.555999297730962</v>
      </c>
      <c r="CA116" s="1354">
        <v>10.571279761154511</v>
      </c>
      <c r="CB116" s="1354">
        <v>10.586785519510677</v>
      </c>
      <c r="CC116" s="1354">
        <v>10.602520529368258</v>
      </c>
      <c r="CD116" s="1529">
        <v>10.618488830804626</v>
      </c>
      <c r="CE116" s="1354">
        <v>10.634694549658848</v>
      </c>
      <c r="CF116" s="1354">
        <v>10.651141899856434</v>
      </c>
      <c r="CG116" s="1354">
        <v>10.667835185808499</v>
      </c>
      <c r="CH116" s="1354">
        <v>10.684778804887703</v>
      </c>
      <c r="CI116" s="1365">
        <v>10.701977249984033</v>
      </c>
      <c r="CJ116" s="1685"/>
      <c r="CK116" s="1724"/>
      <c r="CL116" s="1377">
        <f>CL117-2.5%</f>
        <v>-2.5000000000000001E-2</v>
      </c>
      <c r="CM116" s="1354">
        <v>10.416858513494104</v>
      </c>
      <c r="CN116" s="1354">
        <v>10.450877079050391</v>
      </c>
      <c r="CO116" s="1354">
        <v>10.485513717147825</v>
      </c>
      <c r="CP116" s="1354">
        <v>10.520781671929626</v>
      </c>
      <c r="CQ116" s="1354">
        <v>10.556694483086945</v>
      </c>
      <c r="CR116" s="1529">
        <v>10.593265994129508</v>
      </c>
      <c r="CS116" s="1354">
        <v>10.630510360935224</v>
      </c>
      <c r="CT116" s="1354">
        <v>10.668442060587983</v>
      </c>
      <c r="CU116" s="1354">
        <v>10.707075900513898</v>
      </c>
      <c r="CV116" s="1354">
        <v>10.746427027926138</v>
      </c>
      <c r="CW116" s="1365">
        <v>10.786510939589309</v>
      </c>
    </row>
    <row r="117" spans="74:101" x14ac:dyDescent="0.8">
      <c r="BV117" s="1685"/>
      <c r="BW117" s="1722"/>
      <c r="BX117" s="1528">
        <v>0</v>
      </c>
      <c r="BY117" s="1529">
        <v>10.55745363429126</v>
      </c>
      <c r="BZ117" s="1529">
        <v>10.590411976486774</v>
      </c>
      <c r="CA117" s="1529">
        <v>10.605877585961798</v>
      </c>
      <c r="CB117" s="1529">
        <v>10.621571020948222</v>
      </c>
      <c r="CC117" s="1529">
        <v>10.637496281779445</v>
      </c>
      <c r="CD117" s="1356">
        <v>10.653657453279301</v>
      </c>
      <c r="CE117" s="1529">
        <v>10.670058707042266</v>
      </c>
      <c r="CF117" s="1529">
        <v>10.686704303786083</v>
      </c>
      <c r="CG117" s="1529">
        <v>10.703598595779672</v>
      </c>
      <c r="CH117" s="1529">
        <v>10.72074602934878</v>
      </c>
      <c r="CI117" s="1531">
        <v>10.738151147462368</v>
      </c>
      <c r="CJ117" s="1685"/>
      <c r="CK117" s="1724"/>
      <c r="CL117" s="1528">
        <v>0</v>
      </c>
      <c r="CM117" s="1529">
        <v>10.473936996031229</v>
      </c>
      <c r="CN117" s="1529">
        <v>10.508594459044556</v>
      </c>
      <c r="CO117" s="1529">
        <v>10.543881605865295</v>
      </c>
      <c r="CP117" s="1529">
        <v>10.579811915601045</v>
      </c>
      <c r="CQ117" s="1529">
        <v>10.616399168279974</v>
      </c>
      <c r="CR117" s="1356">
        <v>10.653657453279301</v>
      </c>
      <c r="CS117" s="1529">
        <v>10.691601178037423</v>
      </c>
      <c r="CT117" s="1529">
        <v>10.730245077059132</v>
      </c>
      <c r="CU117" s="1529">
        <v>10.769604221224428</v>
      </c>
      <c r="CV117" s="1529">
        <v>10.809694027410979</v>
      </c>
      <c r="CW117" s="1531">
        <v>10.85053026844172</v>
      </c>
    </row>
    <row r="118" spans="74:101" x14ac:dyDescent="0.8">
      <c r="BV118" s="1685"/>
      <c r="BW118" s="1722"/>
      <c r="BX118" s="1377">
        <f>BX117+2.5%</f>
        <v>2.5000000000000001E-2</v>
      </c>
      <c r="BY118" s="1354">
        <v>10.591760922673716</v>
      </c>
      <c r="BZ118" s="1354">
        <v>10.625126694654927</v>
      </c>
      <c r="CA118" s="1354">
        <v>10.640779323186505</v>
      </c>
      <c r="CB118" s="1354">
        <v>10.656662331305894</v>
      </c>
      <c r="CC118" s="1354">
        <v>10.672779763523362</v>
      </c>
      <c r="CD118" s="1529">
        <v>10.689135749830946</v>
      </c>
      <c r="CE118" s="1354">
        <v>10.705734508009892</v>
      </c>
      <c r="CF118" s="1354">
        <v>10.722580346011483</v>
      </c>
      <c r="CG118" s="1354">
        <v>10.739677664413904</v>
      </c>
      <c r="CH118" s="1354">
        <v>10.757030958957872</v>
      </c>
      <c r="CI118" s="1365">
        <v>10.774644823163861</v>
      </c>
      <c r="CJ118" s="1685"/>
      <c r="CK118" s="1724"/>
      <c r="CL118" s="1377">
        <f>CL117+2.5%</f>
        <v>2.5000000000000001E-2</v>
      </c>
      <c r="CM118" s="1354">
        <v>10.531810529597077</v>
      </c>
      <c r="CN118" s="1354">
        <v>10.567116866288899</v>
      </c>
      <c r="CO118" s="1354">
        <v>10.603064673544292</v>
      </c>
      <c r="CP118" s="1354">
        <v>10.639667668840737</v>
      </c>
      <c r="CQ118" s="1354">
        <v>10.676939876032355</v>
      </c>
      <c r="CR118" s="1529">
        <v>10.714895633938392</v>
      </c>
      <c r="CS118" s="1354">
        <v>10.753549605220131</v>
      </c>
      <c r="CT118" s="1354">
        <v>10.792916785555905</v>
      </c>
      <c r="CU118" s="1354">
        <v>10.833012513124634</v>
      </c>
      <c r="CV118" s="1354">
        <v>10.873852478408567</v>
      </c>
      <c r="CW118" s="1365">
        <v>10.915452734326438</v>
      </c>
    </row>
    <row r="119" spans="74:101" x14ac:dyDescent="0.8">
      <c r="BV119" s="1685"/>
      <c r="BW119" s="1722"/>
      <c r="BX119" s="1377">
        <f t="shared" ref="BX119:BX122" si="61">BX118+2.5%</f>
        <v>0.05</v>
      </c>
      <c r="BY119" s="1354">
        <v>10.626368981873544</v>
      </c>
      <c r="BZ119" s="1354">
        <v>10.642604489925974</v>
      </c>
      <c r="CA119" s="1354">
        <v>10.675987333235819</v>
      </c>
      <c r="CB119" s="1354">
        <v>10.692061826017722</v>
      </c>
      <c r="CC119" s="1354">
        <v>10.708373365240409</v>
      </c>
      <c r="CD119" s="1529">
        <v>10.724926126489008</v>
      </c>
      <c r="CE119" s="1354">
        <v>10.741724374166193</v>
      </c>
      <c r="CF119" s="1354">
        <v>10.758772463901389</v>
      </c>
      <c r="CG119" s="1354">
        <v>10.776074845036909</v>
      </c>
      <c r="CH119" s="1354">
        <v>10.793636063193754</v>
      </c>
      <c r="CI119" s="1365">
        <v>10.811460762920026</v>
      </c>
      <c r="CJ119" s="1685"/>
      <c r="CK119" s="1724"/>
      <c r="CL119" s="1377">
        <f t="shared" ref="CL119:CL122" si="62">CL118+2.5%</f>
        <v>0.05</v>
      </c>
      <c r="CM119" s="1354">
        <v>10.590488969977471</v>
      </c>
      <c r="CN119" s="1354">
        <v>10.626454278697945</v>
      </c>
      <c r="CO119" s="1354">
        <v>10.663073022229213</v>
      </c>
      <c r="CP119" s="1354">
        <v>10.70035915986503</v>
      </c>
      <c r="CQ119" s="1354">
        <v>10.738326962816219</v>
      </c>
      <c r="CR119" s="1529">
        <v>10.776991022961417</v>
      </c>
      <c r="CS119" s="1354">
        <v>10.816366261890952</v>
      </c>
      <c r="CT119" s="1354">
        <v>10.856467940253991</v>
      </c>
      <c r="CU119" s="1354">
        <v>10.897311667419251</v>
      </c>
      <c r="CV119" s="1354">
        <v>10.938913411460392</v>
      </c>
      <c r="CW119" s="1365">
        <v>10.981289509477298</v>
      </c>
    </row>
    <row r="120" spans="74:101" x14ac:dyDescent="0.8">
      <c r="BV120" s="1685"/>
      <c r="BW120" s="1722"/>
      <c r="BX120" s="1377">
        <f t="shared" si="61"/>
        <v>7.5000000000000011E-2</v>
      </c>
      <c r="BY120" s="1354">
        <v>10.661280145246305</v>
      </c>
      <c r="BZ120" s="1354">
        <v>10.677709765904376</v>
      </c>
      <c r="CA120" s="1354">
        <v>10.711503989581427</v>
      </c>
      <c r="CB120" s="1354">
        <v>10.727771893665516</v>
      </c>
      <c r="CC120" s="1354">
        <v>10.744279490803027</v>
      </c>
      <c r="CD120" s="1529">
        <v>10.761031002600321</v>
      </c>
      <c r="CE120" s="1354">
        <v>10.778030740519405</v>
      </c>
      <c r="CF120" s="1354">
        <v>10.7952831083158</v>
      </c>
      <c r="CG120" s="1354">
        <v>10.812792604554183</v>
      </c>
      <c r="CH120" s="1354">
        <v>10.830563825204665</v>
      </c>
      <c r="CI120" s="1365">
        <v>10.848601466322599</v>
      </c>
      <c r="CJ120" s="1685"/>
      <c r="CK120" s="1724"/>
      <c r="CL120" s="1377">
        <f t="shared" si="62"/>
        <v>7.5000000000000011E-2</v>
      </c>
      <c r="CM120" s="1354">
        <v>10.649982258176008</v>
      </c>
      <c r="CN120" s="1354">
        <v>10.686616760454399</v>
      </c>
      <c r="CO120" s="1354">
        <v>10.723916841300586</v>
      </c>
      <c r="CP120" s="1354">
        <v>10.761896705312253</v>
      </c>
      <c r="CQ120" s="1354">
        <v>10.80057087462991</v>
      </c>
      <c r="CR120" s="1529">
        <v>10.839954197852036</v>
      </c>
      <c r="CS120" s="1354">
        <v>10.880061859248372</v>
      </c>
      <c r="CT120" s="1354">
        <v>10.920909388281347</v>
      </c>
      <c r="CU120" s="1354">
        <v>10.962512669446488</v>
      </c>
      <c r="CV120" s="1354">
        <v>11.004887952442857</v>
      </c>
      <c r="CW120" s="1365">
        <v>11.048051862685051</v>
      </c>
    </row>
    <row r="121" spans="74:101" x14ac:dyDescent="0.8">
      <c r="BV121" s="1685"/>
      <c r="BW121" s="1722"/>
      <c r="BX121" s="1377">
        <f t="shared" si="61"/>
        <v>0.1</v>
      </c>
      <c r="BY121" s="1354">
        <v>10.696496759025958</v>
      </c>
      <c r="BZ121" s="1354">
        <v>10.713122425232369</v>
      </c>
      <c r="CA121" s="1354">
        <v>10.747331678791227</v>
      </c>
      <c r="CB121" s="1354">
        <v>10.763794936010829</v>
      </c>
      <c r="CC121" s="1354">
        <v>10.780500557347972</v>
      </c>
      <c r="CD121" s="1529">
        <v>10.797452810861632</v>
      </c>
      <c r="CE121" s="1354">
        <v>10.814656055514343</v>
      </c>
      <c r="CF121" s="1354">
        <v>10.832114743639041</v>
      </c>
      <c r="CG121" s="1354">
        <v>10.849833423484423</v>
      </c>
      <c r="CH121" s="1354">
        <v>10.867816741841992</v>
      </c>
      <c r="CI121" s="1365">
        <v>10.886069446757526</v>
      </c>
      <c r="CJ121" s="1685"/>
      <c r="CK121" s="1724"/>
      <c r="CL121" s="1377">
        <f t="shared" si="62"/>
        <v>0.1</v>
      </c>
      <c r="CM121" s="1354">
        <v>10.69248620807916</v>
      </c>
      <c r="CN121" s="1354">
        <v>10.747614462362048</v>
      </c>
      <c r="CO121" s="1354">
        <v>10.785606407833997</v>
      </c>
      <c r="CP121" s="1354">
        <v>10.824290710607842</v>
      </c>
      <c r="CQ121" s="1354">
        <v>10.863682147369309</v>
      </c>
      <c r="CR121" s="1529">
        <v>10.903795827140794</v>
      </c>
      <c r="CS121" s="1354">
        <v>10.944647200666234</v>
      </c>
      <c r="CT121" s="1354">
        <v>10.986252070109321</v>
      </c>
      <c r="CU121" s="1354">
        <v>11.028626599075924</v>
      </c>
      <c r="CV121" s="1354">
        <v>11.07178732297208</v>
      </c>
      <c r="CW121" s="1365">
        <v>11.115751159709296</v>
      </c>
    </row>
    <row r="122" spans="74:101" ht="16.75" thickBot="1" x14ac:dyDescent="0.95">
      <c r="BV122" s="1686"/>
      <c r="BW122" s="1723"/>
      <c r="BX122" s="1379">
        <f t="shared" si="61"/>
        <v>0.125</v>
      </c>
      <c r="BY122" s="1367">
        <v>10.732021182355831</v>
      </c>
      <c r="BZ122" s="1367">
        <v>10.748844842109051</v>
      </c>
      <c r="CA122" s="1367">
        <v>10.783472800561125</v>
      </c>
      <c r="CB122" s="1367">
        <v>10.800133368027007</v>
      </c>
      <c r="CC122" s="1367">
        <v>10.817038995308673</v>
      </c>
      <c r="CD122" s="1530">
        <v>10.834193997352262</v>
      </c>
      <c r="CE122" s="1367">
        <v>10.851602781065401</v>
      </c>
      <c r="CF122" s="1367">
        <v>10.869269847813053</v>
      </c>
      <c r="CG122" s="1367">
        <v>10.88719979599305</v>
      </c>
      <c r="CH122" s="1367">
        <v>10.905397323694048</v>
      </c>
      <c r="CI122" s="1369">
        <v>10.923867231439012</v>
      </c>
      <c r="CJ122" s="1686"/>
      <c r="CK122" s="1725"/>
      <c r="CL122" s="1379">
        <f t="shared" si="62"/>
        <v>0.125</v>
      </c>
      <c r="CM122" s="1367">
        <v>10.75328173293944</v>
      </c>
      <c r="CN122" s="1367">
        <v>10.809457622201354</v>
      </c>
      <c r="CO122" s="1367">
        <v>10.848152086961704</v>
      </c>
      <c r="CP122" s="1367">
        <v>10.88755167033209</v>
      </c>
      <c r="CQ122" s="1367">
        <v>10.927671407201952</v>
      </c>
      <c r="CR122" s="1530">
        <v>10.968526670765568</v>
      </c>
      <c r="CS122" s="1367">
        <v>11.010133182080791</v>
      </c>
      <c r="CT122" s="1367">
        <v>11.052507019946439</v>
      </c>
      <c r="CU122" s="1367">
        <v>11.095664631109173</v>
      </c>
      <c r="CV122" s="1367">
        <v>11.139622840811549</v>
      </c>
      <c r="CW122" s="1369">
        <v>11.184398863693207</v>
      </c>
    </row>
    <row r="123" spans="74:101" x14ac:dyDescent="0.8">
      <c r="BV123" s="77"/>
      <c r="BW123" s="77"/>
      <c r="BX123" s="1370"/>
      <c r="BY123" s="1371"/>
      <c r="BZ123" s="1371"/>
      <c r="CA123" s="1371"/>
      <c r="CB123" s="1371"/>
      <c r="CC123" s="1371"/>
      <c r="CD123" s="1371"/>
      <c r="CE123" s="1371"/>
      <c r="CF123" s="1371"/>
      <c r="CG123" s="1371"/>
      <c r="CH123" s="1371"/>
      <c r="CI123" s="1371"/>
    </row>
    <row r="124" spans="74:101" x14ac:dyDescent="0.8">
      <c r="BV124" s="77"/>
      <c r="BW124" s="77"/>
      <c r="BX124" s="1370"/>
      <c r="BY124" s="1371"/>
      <c r="BZ124" s="1371"/>
      <c r="CA124" s="1371"/>
      <c r="CB124" s="1371"/>
      <c r="CC124" s="1371"/>
      <c r="CD124" s="1371"/>
      <c r="CE124" s="1371"/>
      <c r="CF124" s="1371"/>
      <c r="CG124" s="1371"/>
      <c r="CH124" s="1371"/>
      <c r="CI124" s="1371"/>
    </row>
    <row r="125" spans="74:101" ht="16.75" thickBot="1" x14ac:dyDescent="0.95">
      <c r="BV125" s="77"/>
      <c r="BW125" s="77"/>
      <c r="BX125" s="1370"/>
      <c r="BY125" s="1371"/>
      <c r="BZ125" s="1371"/>
      <c r="CA125" s="1371"/>
      <c r="CB125" s="1371"/>
      <c r="CC125" s="1371"/>
      <c r="CD125" s="1371"/>
      <c r="CE125" s="1371"/>
      <c r="CF125" s="1371"/>
      <c r="CG125" s="1371"/>
      <c r="CH125" s="1371"/>
      <c r="CI125" s="1371"/>
    </row>
    <row r="126" spans="74:101" x14ac:dyDescent="0.8">
      <c r="BV126" s="36" t="s">
        <v>707</v>
      </c>
      <c r="BW126" s="1380"/>
      <c r="BX126" s="1381"/>
      <c r="BY126" s="21"/>
      <c r="BZ126" s="21"/>
      <c r="CA126" s="21"/>
      <c r="CB126" s="21"/>
      <c r="CC126" s="21"/>
      <c r="CD126" s="21"/>
      <c r="CE126" s="21"/>
      <c r="CF126" s="21"/>
      <c r="CG126" s="21"/>
      <c r="CH126" s="21"/>
      <c r="CI126" s="171"/>
      <c r="CJ126" s="36" t="s">
        <v>710</v>
      </c>
      <c r="CK126" s="21"/>
      <c r="CL126" s="21"/>
      <c r="CM126" s="21"/>
      <c r="CN126" s="21"/>
      <c r="CO126" s="21"/>
      <c r="CP126" s="21"/>
      <c r="CQ126" s="21"/>
      <c r="CR126" s="21"/>
      <c r="CS126" s="21"/>
      <c r="CT126" s="21"/>
      <c r="CU126" s="21"/>
      <c r="CV126" s="21"/>
      <c r="CW126" s="171"/>
    </row>
    <row r="127" spans="74:101" x14ac:dyDescent="0.8">
      <c r="BV127" s="366"/>
      <c r="BW127" s="156"/>
      <c r="BX127" s="156"/>
      <c r="BY127" s="1717" t="s">
        <v>693</v>
      </c>
      <c r="BZ127" s="1717"/>
      <c r="CA127" s="1717"/>
      <c r="CB127" s="1717"/>
      <c r="CC127" s="1717"/>
      <c r="CD127" s="1717"/>
      <c r="CE127" s="1717"/>
      <c r="CF127" s="1717"/>
      <c r="CG127" s="1717"/>
      <c r="CH127" s="1717"/>
      <c r="CI127" s="1718"/>
      <c r="CJ127" s="366"/>
      <c r="CK127" s="156"/>
      <c r="CL127" s="156"/>
      <c r="CM127" s="1717" t="s">
        <v>693</v>
      </c>
      <c r="CN127" s="1717"/>
      <c r="CO127" s="1717"/>
      <c r="CP127" s="1717"/>
      <c r="CQ127" s="1717"/>
      <c r="CR127" s="1717"/>
      <c r="CS127" s="1717"/>
      <c r="CT127" s="1717"/>
      <c r="CU127" s="1717"/>
      <c r="CV127" s="1717"/>
      <c r="CW127" s="1718"/>
    </row>
    <row r="128" spans="74:101" x14ac:dyDescent="0.8">
      <c r="BV128" s="22"/>
      <c r="BW128" s="185"/>
      <c r="BX128" s="156"/>
      <c r="BY128" s="1689" t="s">
        <v>696</v>
      </c>
      <c r="BZ128" s="1689"/>
      <c r="CA128" s="1689"/>
      <c r="CB128" s="1689"/>
      <c r="CC128" s="1689"/>
      <c r="CD128" s="1689"/>
      <c r="CE128" s="1689"/>
      <c r="CF128" s="1689"/>
      <c r="CG128" s="1689"/>
      <c r="CH128" s="1689"/>
      <c r="CI128" s="1690"/>
      <c r="CJ128" s="22"/>
      <c r="CK128" s="185"/>
      <c r="CL128" s="156"/>
      <c r="CM128" s="1689" t="s">
        <v>702</v>
      </c>
      <c r="CN128" s="1689"/>
      <c r="CO128" s="1689"/>
      <c r="CP128" s="1689"/>
      <c r="CQ128" s="1689"/>
      <c r="CR128" s="1689"/>
      <c r="CS128" s="1689"/>
      <c r="CT128" s="1689"/>
      <c r="CU128" s="1689"/>
      <c r="CV128" s="1689"/>
      <c r="CW128" s="1690"/>
    </row>
    <row r="129" spans="74:101" x14ac:dyDescent="0.8">
      <c r="BV129" s="22"/>
      <c r="BW129" s="131"/>
      <c r="BX129" s="1376">
        <f>'APV Valuation'!B36</f>
        <v>10.653657453279301</v>
      </c>
      <c r="BY129" s="1377">
        <f t="shared" ref="BY129" si="63">BZ129-2.5%</f>
        <v>-0.125</v>
      </c>
      <c r="BZ129" s="1377">
        <f t="shared" ref="BZ129" si="64">CA129-2.5%</f>
        <v>-0.1</v>
      </c>
      <c r="CA129" s="1377">
        <f t="shared" ref="CA129" si="65">CB129-2.5%</f>
        <v>-7.5000000000000011E-2</v>
      </c>
      <c r="CB129" s="1377">
        <f t="shared" ref="CB129" si="66">CC129-2.5%</f>
        <v>-0.05</v>
      </c>
      <c r="CC129" s="1377">
        <f>CD129-2.5%</f>
        <v>-2.5000000000000001E-2</v>
      </c>
      <c r="CD129" s="1528">
        <v>0</v>
      </c>
      <c r="CE129" s="1377">
        <f>CD129+2.5%</f>
        <v>2.5000000000000001E-2</v>
      </c>
      <c r="CF129" s="1377">
        <f t="shared" ref="CF129" si="67">CE129+2.5%</f>
        <v>0.05</v>
      </c>
      <c r="CG129" s="1377">
        <f t="shared" ref="CG129" si="68">CF129+2.5%</f>
        <v>7.5000000000000011E-2</v>
      </c>
      <c r="CH129" s="1377">
        <f t="shared" ref="CH129" si="69">CG129+2.5%</f>
        <v>0.1</v>
      </c>
      <c r="CI129" s="1378">
        <f t="shared" ref="CI129" si="70">CH129+2.5%</f>
        <v>0.125</v>
      </c>
      <c r="CJ129" s="22"/>
      <c r="CK129" s="131"/>
      <c r="CL129" s="1376">
        <f>'APV Valuation'!$B$36</f>
        <v>10.653657453279301</v>
      </c>
      <c r="CM129" s="1377">
        <f t="shared" ref="CM129" si="71">CN129-2.5%</f>
        <v>-0.125</v>
      </c>
      <c r="CN129" s="1377">
        <f t="shared" ref="CN129" si="72">CO129-2.5%</f>
        <v>-0.1</v>
      </c>
      <c r="CO129" s="1377">
        <f t="shared" ref="CO129" si="73">CP129-2.5%</f>
        <v>-7.5000000000000011E-2</v>
      </c>
      <c r="CP129" s="1377">
        <f t="shared" ref="CP129" si="74">CQ129-2.5%</f>
        <v>-0.05</v>
      </c>
      <c r="CQ129" s="1377">
        <f>CR129-2.5%</f>
        <v>-2.5000000000000001E-2</v>
      </c>
      <c r="CR129" s="1384">
        <v>0</v>
      </c>
      <c r="CS129" s="1377">
        <f>CR129+2.5%</f>
        <v>2.5000000000000001E-2</v>
      </c>
      <c r="CT129" s="1377">
        <f t="shared" ref="CT129" si="75">CS129+2.5%</f>
        <v>0.05</v>
      </c>
      <c r="CU129" s="1377">
        <f t="shared" ref="CU129" si="76">CT129+2.5%</f>
        <v>7.5000000000000011E-2</v>
      </c>
      <c r="CV129" s="1377">
        <f t="shared" ref="CV129" si="77">CU129+2.5%</f>
        <v>0.1</v>
      </c>
      <c r="CW129" s="1378">
        <f t="shared" ref="CW129" si="78">CV129+2.5%</f>
        <v>0.125</v>
      </c>
    </row>
    <row r="130" spans="74:101" x14ac:dyDescent="0.8">
      <c r="BV130" s="1685" t="s">
        <v>695</v>
      </c>
      <c r="BW130" s="1722" t="s">
        <v>696</v>
      </c>
      <c r="BX130" s="1377">
        <f t="shared" ref="BX130:BX133" si="79">BX131-2.5%</f>
        <v>-0.125</v>
      </c>
      <c r="BY130" s="1354">
        <v>10.528114777030778</v>
      </c>
      <c r="BZ130" s="1354">
        <v>10.535493351663748</v>
      </c>
      <c r="CA130" s="1354">
        <v>10.542943128455759</v>
      </c>
      <c r="CB130" s="1354">
        <v>10.550464993385328</v>
      </c>
      <c r="CC130" s="1354">
        <v>10.558059846448737</v>
      </c>
      <c r="CD130" s="1529">
        <v>10.565728601938369</v>
      </c>
      <c r="CE130" s="1354">
        <v>10.573472188727585</v>
      </c>
      <c r="CF130" s="1354">
        <v>10.581291550562391</v>
      </c>
      <c r="CG130" s="1354">
        <v>10.589187646360221</v>
      </c>
      <c r="CH130" s="1354">
        <v>10.597161450515665</v>
      </c>
      <c r="CI130" s="1365">
        <v>10.605213953213788</v>
      </c>
      <c r="CJ130" s="1685" t="s">
        <v>695</v>
      </c>
      <c r="CK130" s="1722" t="s">
        <v>702</v>
      </c>
      <c r="CL130" s="1377">
        <f t="shared" ref="CL130:CL133" si="80">CL131-2.5%</f>
        <v>-0.125</v>
      </c>
      <c r="CM130" s="1354">
        <v>10.458111473933302</v>
      </c>
      <c r="CN130" s="1354">
        <v>10.470611139961024</v>
      </c>
      <c r="CO130" s="1354">
        <v>10.483240449692763</v>
      </c>
      <c r="CP130" s="1354">
        <v>10.49600085596178</v>
      </c>
      <c r="CQ130" s="1354">
        <v>10.50889382703372</v>
      </c>
      <c r="CR130" s="1355">
        <v>10.521920846752257</v>
      </c>
      <c r="CS130" s="1354">
        <v>10.535083414685579</v>
      </c>
      <c r="CT130" s="1354">
        <v>10.548383046274138</v>
      </c>
      <c r="CU130" s="1354">
        <v>10.561821272979214</v>
      </c>
      <c r="CV130" s="1354">
        <v>10.5753996424327</v>
      </c>
      <c r="CW130" s="1365">
        <v>10.589119718587863</v>
      </c>
    </row>
    <row r="131" spans="74:101" x14ac:dyDescent="0.8">
      <c r="BV131" s="1685"/>
      <c r="BW131" s="1722"/>
      <c r="BX131" s="1377">
        <f t="shared" si="79"/>
        <v>-0.1</v>
      </c>
      <c r="BY131" s="1354">
        <v>10.545029580345222</v>
      </c>
      <c r="BZ131" s="1354">
        <v>10.552497706781878</v>
      </c>
      <c r="CA131" s="1354">
        <v>10.560037944933111</v>
      </c>
      <c r="CB131" s="1354">
        <v>10.567651193091844</v>
      </c>
      <c r="CC131" s="1354">
        <v>10.575338363782873</v>
      </c>
      <c r="CD131" s="1529">
        <v>10.583100384045782</v>
      </c>
      <c r="CE131" s="1354">
        <v>10.590938195724528</v>
      </c>
      <c r="CF131" s="1354">
        <v>10.598852755763916</v>
      </c>
      <c r="CG131" s="1354">
        <v>10.606845036513265</v>
      </c>
      <c r="CH131" s="1354">
        <v>10.614916026037262</v>
      </c>
      <c r="CI131" s="1365">
        <v>10.623066728434443</v>
      </c>
      <c r="CJ131" s="1685"/>
      <c r="CK131" s="1722"/>
      <c r="CL131" s="1377">
        <f t="shared" si="80"/>
        <v>-0.1</v>
      </c>
      <c r="CM131" s="1354">
        <v>10.482733390762835</v>
      </c>
      <c r="CN131" s="1354">
        <v>10.495446209668428</v>
      </c>
      <c r="CO131" s="1354">
        <v>10.508290974635242</v>
      </c>
      <c r="CP131" s="1354">
        <v>10.521269164650622</v>
      </c>
      <c r="CQ131" s="1354">
        <v>10.534382274401477</v>
      </c>
      <c r="CR131" s="1355">
        <v>10.547631814422003</v>
      </c>
      <c r="CS131" s="1354">
        <v>10.561019311242553</v>
      </c>
      <c r="CT131" s="1354">
        <v>10.574546307539414</v>
      </c>
      <c r="CU131" s="1354">
        <v>10.588214362285726</v>
      </c>
      <c r="CV131" s="1354">
        <v>10.602025050903434</v>
      </c>
      <c r="CW131" s="1365">
        <v>10.61597996541637</v>
      </c>
    </row>
    <row r="132" spans="74:101" x14ac:dyDescent="0.8">
      <c r="BV132" s="1685"/>
      <c r="BW132" s="1722"/>
      <c r="BX132" s="1377">
        <f t="shared" si="79"/>
        <v>-7.5000000000000011E-2</v>
      </c>
      <c r="BY132" s="1354">
        <v>10.562047802576151</v>
      </c>
      <c r="BZ132" s="1354">
        <v>10.569606089061935</v>
      </c>
      <c r="CA132" s="1354">
        <v>10.57723740354677</v>
      </c>
      <c r="CB132" s="1354">
        <v>10.584942656738846</v>
      </c>
      <c r="CC132" s="1354">
        <v>10.592722773794293</v>
      </c>
      <c r="CD132" s="1529">
        <v>10.60057869460463</v>
      </c>
      <c r="CE132" s="1354">
        <v>10.608511374091135</v>
      </c>
      <c r="CF132" s="1354">
        <v>10.616521782506215</v>
      </c>
      <c r="CG132" s="1354">
        <v>10.624610905741948</v>
      </c>
      <c r="CH132" s="1354">
        <v>10.632779745646136</v>
      </c>
      <c r="CI132" s="1365">
        <v>10.641029320345954</v>
      </c>
      <c r="CJ132" s="1685"/>
      <c r="CK132" s="1722"/>
      <c r="CL132" s="1377">
        <f t="shared" si="80"/>
        <v>-7.5000000000000011E-2</v>
      </c>
      <c r="CM132" s="1354">
        <v>10.507655553660401</v>
      </c>
      <c r="CN132" s="1354">
        <v>10.52058441889109</v>
      </c>
      <c r="CO132" s="1354">
        <v>10.53364756539135</v>
      </c>
      <c r="CP132" s="1354">
        <v>10.546846498665545</v>
      </c>
      <c r="CQ132" s="1354">
        <v>10.560182740187972</v>
      </c>
      <c r="CR132" s="1355">
        <v>10.573657827552845</v>
      </c>
      <c r="CS132" s="1354">
        <v>10.587273314625286</v>
      </c>
      <c r="CT132" s="1354">
        <v>10.601030771693418</v>
      </c>
      <c r="CU132" s="1354">
        <v>10.614931785621513</v>
      </c>
      <c r="CV132" s="1354">
        <v>10.628977960004228</v>
      </c>
      <c r="CW132" s="1365">
        <v>10.643170915321905</v>
      </c>
    </row>
    <row r="133" spans="74:101" x14ac:dyDescent="0.8">
      <c r="BV133" s="1685"/>
      <c r="BW133" s="1722"/>
      <c r="BX133" s="1377">
        <f t="shared" si="79"/>
        <v>-0.05</v>
      </c>
      <c r="BY133" s="1354">
        <v>10.579169894560344</v>
      </c>
      <c r="BZ133" s="1354">
        <v>10.586818952091516</v>
      </c>
      <c r="CA133" s="1354">
        <v>10.594541960663735</v>
      </c>
      <c r="CB133" s="1354">
        <v>10.602339843501746</v>
      </c>
      <c r="CC133" s="1354">
        <v>10.610213538496135</v>
      </c>
      <c r="CD133" s="1529">
        <v>10.618163998495518</v>
      </c>
      <c r="CE133" s="1354">
        <v>10.626192191605627</v>
      </c>
      <c r="CF133" s="1354">
        <v>10.634299101495582</v>
      </c>
      <c r="CG133" s="1354">
        <v>10.642485727711559</v>
      </c>
      <c r="CH133" s="1354">
        <v>10.650753085997845</v>
      </c>
      <c r="CI133" s="1365">
        <v>10.659102208625905</v>
      </c>
      <c r="CJ133" s="1685"/>
      <c r="CK133" s="1722"/>
      <c r="CL133" s="1377">
        <f t="shared" si="80"/>
        <v>-0.05</v>
      </c>
      <c r="CM133" s="1354">
        <v>10.532880927646191</v>
      </c>
      <c r="CN133" s="1354">
        <v>10.546028762772004</v>
      </c>
      <c r="CO133" s="1354">
        <v>10.559313247574167</v>
      </c>
      <c r="CP133" s="1354">
        <v>10.572735914440255</v>
      </c>
      <c r="CQ133" s="1354">
        <v>10.586298312001377</v>
      </c>
      <c r="CR133" s="1355">
        <v>10.600002005284445</v>
      </c>
      <c r="CS133" s="1354">
        <v>10.613848575865346</v>
      </c>
      <c r="CT133" s="1354">
        <v>10.627839622023343</v>
      </c>
      <c r="CU133" s="1354">
        <v>10.641976758896478</v>
      </c>
      <c r="CV133" s="1354">
        <v>10.656261618638094</v>
      </c>
      <c r="CW133" s="1365">
        <v>10.670695850574445</v>
      </c>
    </row>
    <row r="134" spans="74:101" x14ac:dyDescent="0.8">
      <c r="BV134" s="1685"/>
      <c r="BW134" s="1722"/>
      <c r="BX134" s="1377">
        <f>BX135-2.5%</f>
        <v>-2.5000000000000001E-2</v>
      </c>
      <c r="BY134" s="1354">
        <v>10.59639630859755</v>
      </c>
      <c r="BZ134" s="1354">
        <v>10.604136750927738</v>
      </c>
      <c r="CA134" s="1354">
        <v>10.611952074127153</v>
      </c>
      <c r="CB134" s="1354">
        <v>10.619843214038683</v>
      </c>
      <c r="CC134" s="1354">
        <v>10.627811121390941</v>
      </c>
      <c r="CD134" s="1529">
        <v>10.635856762095106</v>
      </c>
      <c r="CE134" s="1354">
        <v>10.643981117548899</v>
      </c>
      <c r="CF134" s="1354">
        <v>10.652185184947745</v>
      </c>
      <c r="CG134" s="1354">
        <v>10.660469977603496</v>
      </c>
      <c r="CH134" s="1354">
        <v>10.668836525270819</v>
      </c>
      <c r="CI134" s="1365">
        <v>10.677285874481433</v>
      </c>
      <c r="CJ134" s="1685"/>
      <c r="CK134" s="1722"/>
      <c r="CL134" s="1377">
        <f>CL135-2.5%</f>
        <v>-2.5000000000000001E-2</v>
      </c>
      <c r="CM134" s="1354">
        <v>10.558412501037656</v>
      </c>
      <c r="CN134" s="1354">
        <v>10.571782259969551</v>
      </c>
      <c r="CO134" s="1354">
        <v>10.585291070532293</v>
      </c>
      <c r="CP134" s="1354">
        <v>10.59894049236607</v>
      </c>
      <c r="CQ134" s="1354">
        <v>10.612732101631517</v>
      </c>
      <c r="CR134" s="1355">
        <v>10.626667491164227</v>
      </c>
      <c r="CS134" s="1354">
        <v>10.640748270630155</v>
      </c>
      <c r="CT134" s="1354">
        <v>10.654976066682357</v>
      </c>
      <c r="CU134" s="1354">
        <v>10.669352523118636</v>
      </c>
      <c r="CV134" s="1354">
        <v>10.683879301040401</v>
      </c>
      <c r="CW134" s="1365">
        <v>10.698558079012606</v>
      </c>
    </row>
    <row r="135" spans="74:101" x14ac:dyDescent="0.8">
      <c r="BV135" s="1685"/>
      <c r="BW135" s="1722"/>
      <c r="BX135" s="1528">
        <v>0</v>
      </c>
      <c r="BY135" s="1529">
        <v>10.613727498453573</v>
      </c>
      <c r="BZ135" s="1529">
        <v>10.621559942100387</v>
      </c>
      <c r="CA135" s="1529">
        <v>10.629468203259437</v>
      </c>
      <c r="CB135" s="1529">
        <v>10.637453230493728</v>
      </c>
      <c r="CC135" s="1529">
        <v>10.645515987473798</v>
      </c>
      <c r="CD135" s="1356">
        <v>10.653657453279301</v>
      </c>
      <c r="CE135" s="1529">
        <v>10.661878622707807</v>
      </c>
      <c r="CF135" s="1529">
        <v>10.670180506591002</v>
      </c>
      <c r="CG135" s="1529">
        <v>10.678564132118517</v>
      </c>
      <c r="CH135" s="1529">
        <v>10.687030543169563</v>
      </c>
      <c r="CI135" s="1531">
        <v>10.695580800652612</v>
      </c>
      <c r="CJ135" s="1685"/>
      <c r="CK135" s="1722"/>
      <c r="CL135" s="1384">
        <v>0</v>
      </c>
      <c r="CM135" s="1355">
        <v>10.584253285578011</v>
      </c>
      <c r="CN135" s="1355">
        <v>10.597847952786703</v>
      </c>
      <c r="CO135" s="1355">
        <v>10.61158410747967</v>
      </c>
      <c r="CP135" s="1355">
        <v>10.625463336922433</v>
      </c>
      <c r="CQ135" s="1355">
        <v>10.639487245181144</v>
      </c>
      <c r="CR135" s="1356">
        <v>10.653657453279301</v>
      </c>
      <c r="CS135" s="1355">
        <v>10.667975599355639</v>
      </c>
      <c r="CT135" s="1355">
        <v>10.68244333882293</v>
      </c>
      <c r="CU135" s="1355">
        <v>10.69706234452814</v>
      </c>
      <c r="CV135" s="1355">
        <v>10.71183430691352</v>
      </c>
      <c r="CW135" s="1366">
        <v>10.726760934178932</v>
      </c>
    </row>
    <row r="136" spans="74:101" x14ac:dyDescent="0.8">
      <c r="BV136" s="1685"/>
      <c r="BW136" s="1722"/>
      <c r="BX136" s="1377">
        <f>BX135+2.5%</f>
        <v>2.5000000000000001E-2</v>
      </c>
      <c r="BY136" s="1354">
        <v>10.631163919363509</v>
      </c>
      <c r="BZ136" s="1354">
        <v>10.639088983615153</v>
      </c>
      <c r="CA136" s="1354">
        <v>10.647090808865507</v>
      </c>
      <c r="CB136" s="1354">
        <v>10.655170356500079</v>
      </c>
      <c r="CC136" s="1354">
        <v>10.66332860323562</v>
      </c>
      <c r="CD136" s="1529">
        <v>10.671566541426492</v>
      </c>
      <c r="CE136" s="1354">
        <v>10.679885179378394</v>
      </c>
      <c r="CF136" s="1354">
        <v>10.688285541669615</v>
      </c>
      <c r="CG136" s="1354">
        <v>10.696768669480052</v>
      </c>
      <c r="CH136" s="1354">
        <v>10.705335620928066</v>
      </c>
      <c r="CI136" s="1365">
        <v>10.713987471415694</v>
      </c>
      <c r="CJ136" s="1685"/>
      <c r="CK136" s="1722"/>
      <c r="CL136" s="1377">
        <f>CL135+2.5%</f>
        <v>2.5000000000000001E-2</v>
      </c>
      <c r="CM136" s="1354">
        <v>10.610406316564406</v>
      </c>
      <c r="CN136" s="1354">
        <v>10.624228907299898</v>
      </c>
      <c r="CO136" s="1354">
        <v>10.638195455625258</v>
      </c>
      <c r="CP136" s="1354">
        <v>10.652307576807294</v>
      </c>
      <c r="CQ136" s="1354">
        <v>10.666566903196903</v>
      </c>
      <c r="CR136" s="1355">
        <v>10.680975084388201</v>
      </c>
      <c r="CS136" s="1354">
        <v>10.695533787378549</v>
      </c>
      <c r="CT136" s="1354">
        <v>10.710244696729868</v>
      </c>
      <c r="CU136" s="1354">
        <v>10.725109514730995</v>
      </c>
      <c r="CV136" s="1354">
        <v>10.740129961561241</v>
      </c>
      <c r="CW136" s="1365">
        <v>10.755307775454995</v>
      </c>
    </row>
    <row r="137" spans="74:101" x14ac:dyDescent="0.8">
      <c r="BV137" s="1685"/>
      <c r="BW137" s="1722"/>
      <c r="BX137" s="1377">
        <f t="shared" ref="BX137:BX140" si="81">BX136+2.5%</f>
        <v>0.05</v>
      </c>
      <c r="BY137" s="1354">
        <v>10.648706028034898</v>
      </c>
      <c r="BZ137" s="1354">
        <v>10.656724334956746</v>
      </c>
      <c r="CA137" s="1354">
        <v>10.664820353235966</v>
      </c>
      <c r="CB137" s="1354">
        <v>10.672995057183305</v>
      </c>
      <c r="CC137" s="1354">
        <v>10.681249436666347</v>
      </c>
      <c r="CD137" s="1529">
        <v>10.689584497420789</v>
      </c>
      <c r="CE137" s="1354">
        <v>10.698001261369161</v>
      </c>
      <c r="CF137" s="1354">
        <v>10.706500766947061</v>
      </c>
      <c r="CG137" s="1354">
        <v>10.71508406943749</v>
      </c>
      <c r="CH137" s="1354">
        <v>10.723752241313031</v>
      </c>
      <c r="CI137" s="1365">
        <v>10.732506372586506</v>
      </c>
      <c r="CJ137" s="1685"/>
      <c r="CK137" s="1722"/>
      <c r="CL137" s="1377">
        <f t="shared" ref="CL137:CL140" si="82">CL136+2.5%</f>
        <v>0.05</v>
      </c>
      <c r="CM137" s="1354">
        <v>10.636874652975919</v>
      </c>
      <c r="CN137" s="1354">
        <v>10.65092821348771</v>
      </c>
      <c r="CO137" s="1354">
        <v>10.665128236302316</v>
      </c>
      <c r="CP137" s="1354">
        <v>10.679476365067032</v>
      </c>
      <c r="CQ137" s="1354">
        <v>10.693974260800129</v>
      </c>
      <c r="CR137" s="1355">
        <v>10.708623602052198</v>
      </c>
      <c r="CS137" s="1354">
        <v>10.723426085068606</v>
      </c>
      <c r="CT137" s="1354">
        <v>10.738383423953108</v>
      </c>
      <c r="CU137" s="1354">
        <v>10.75349735083258</v>
      </c>
      <c r="CV137" s="1354">
        <v>10.768769616022974</v>
      </c>
      <c r="CW137" s="1365">
        <v>10.784201988196324</v>
      </c>
    </row>
    <row r="138" spans="74:101" x14ac:dyDescent="0.8">
      <c r="BV138" s="1685"/>
      <c r="BW138" s="1722"/>
      <c r="BX138" s="1377">
        <f t="shared" si="81"/>
        <v>7.5000000000000011E-2</v>
      </c>
      <c r="BY138" s="1354">
        <v>10.666354282650849</v>
      </c>
      <c r="BZ138" s="1354">
        <v>10.674466457092089</v>
      </c>
      <c r="CA138" s="1354">
        <v>10.682657300150289</v>
      </c>
      <c r="CB138" s="1354">
        <v>10.690927799164468</v>
      </c>
      <c r="CC138" s="1354">
        <v>10.6992789572581</v>
      </c>
      <c r="CD138" s="1529">
        <v>10.707711793655246</v>
      </c>
      <c r="CE138" s="1354">
        <v>10.71622734400426</v>
      </c>
      <c r="CF138" s="1354">
        <v>10.724826660709228</v>
      </c>
      <c r="CG138" s="1354">
        <v>10.733510813269451</v>
      </c>
      <c r="CH138" s="1354">
        <v>10.742280888627183</v>
      </c>
      <c r="CI138" s="1365">
        <v>10.751137991523729</v>
      </c>
      <c r="CJ138" s="1685"/>
      <c r="CK138" s="1722"/>
      <c r="CL138" s="1377">
        <f t="shared" si="82"/>
        <v>7.5000000000000011E-2</v>
      </c>
      <c r="CM138" s="1354">
        <v>10.663661377601048</v>
      </c>
      <c r="CN138" s="1354">
        <v>10.677948985359123</v>
      </c>
      <c r="CO138" s="1354">
        <v>10.692385595097395</v>
      </c>
      <c r="CP138" s="1354">
        <v>10.706972879226223</v>
      </c>
      <c r="CQ138" s="1354">
        <v>10.721712527817134</v>
      </c>
      <c r="CR138" s="1355">
        <v>10.736606248766448</v>
      </c>
      <c r="CS138" s="1354">
        <v>10.751655767960228</v>
      </c>
      <c r="CT138" s="1354">
        <v>10.766862829440159</v>
      </c>
      <c r="CU138" s="1354">
        <v>10.782229195570734</v>
      </c>
      <c r="CV138" s="1354">
        <v>10.797756647207567</v>
      </c>
      <c r="CW138" s="1365">
        <v>10.813446983866877</v>
      </c>
    </row>
    <row r="139" spans="74:101" x14ac:dyDescent="0.8">
      <c r="BV139" s="1685"/>
      <c r="BW139" s="1722"/>
      <c r="BX139" s="1377">
        <f t="shared" si="81"/>
        <v>0.1</v>
      </c>
      <c r="BY139" s="1354">
        <v>10.68410914287319</v>
      </c>
      <c r="BZ139" s="1354">
        <v>10.692315812473494</v>
      </c>
      <c r="CA139" s="1354">
        <v>10.700602114879981</v>
      </c>
      <c r="CB139" s="1354">
        <v>10.708969050563407</v>
      </c>
      <c r="CC139" s="1354">
        <v>10.717417636008511</v>
      </c>
      <c r="CD139" s="1529">
        <v>10.725948904035109</v>
      </c>
      <c r="CE139" s="1354">
        <v>10.734563904126814</v>
      </c>
      <c r="CF139" s="1354">
        <v>10.743263702767702</v>
      </c>
      <c r="CG139" s="1354">
        <v>10.752049383787066</v>
      </c>
      <c r="CH139" s="1354">
        <v>10.760922048712619</v>
      </c>
      <c r="CI139" s="1365">
        <v>10.769882817132208</v>
      </c>
      <c r="CJ139" s="1685"/>
      <c r="CK139" s="1722"/>
      <c r="CL139" s="1377">
        <f t="shared" si="82"/>
        <v>0.1</v>
      </c>
      <c r="CM139" s="1354">
        <v>10.690769597165158</v>
      </c>
      <c r="CN139" s="1354">
        <v>10.705294361081524</v>
      </c>
      <c r="CO139" s="1354">
        <v>10.719970701979081</v>
      </c>
      <c r="CP139" s="1354">
        <v>10.734800321417055</v>
      </c>
      <c r="CQ139" s="1354">
        <v>10.74978493890938</v>
      </c>
      <c r="CR139" s="1355">
        <v>10.764926292090818</v>
      </c>
      <c r="CS139" s="1354">
        <v>10.780226136884117</v>
      </c>
      <c r="CT139" s="1354">
        <v>10.795686247668396</v>
      </c>
      <c r="CU139" s="1354">
        <v>10.811308417448762</v>
      </c>
      <c r="CV139" s="1354">
        <v>10.827094458026961</v>
      </c>
      <c r="CW139" s="1365">
        <v>10.843046200173408</v>
      </c>
    </row>
    <row r="140" spans="74:101" ht="16.75" thickBot="1" x14ac:dyDescent="0.95">
      <c r="BV140" s="1686"/>
      <c r="BW140" s="1723"/>
      <c r="BX140" s="1379">
        <f t="shared" si="81"/>
        <v>0.125</v>
      </c>
      <c r="BY140" s="1367">
        <v>10.701971069845651</v>
      </c>
      <c r="BZ140" s="1367">
        <v>10.710272865041803</v>
      </c>
      <c r="CA140" s="1367">
        <v>10.718655264191753</v>
      </c>
      <c r="CB140" s="1367">
        <v>10.727119281001826</v>
      </c>
      <c r="CC140" s="1367">
        <v>10.735665945423801</v>
      </c>
      <c r="CD140" s="1530">
        <v>10.744296303980999</v>
      </c>
      <c r="CE140" s="1367">
        <v>10.753011420102107</v>
      </c>
      <c r="CF140" s="1367">
        <v>10.761812374463068</v>
      </c>
      <c r="CG140" s="1367">
        <v>10.770700265337243</v>
      </c>
      <c r="CH140" s="1367">
        <v>10.779676208954021</v>
      </c>
      <c r="CI140" s="1369">
        <v>10.788741339866279</v>
      </c>
      <c r="CJ140" s="1686"/>
      <c r="CK140" s="1723"/>
      <c r="CL140" s="1379">
        <f t="shared" si="82"/>
        <v>0.125</v>
      </c>
      <c r="CM140" s="1367">
        <v>10.718202442457345</v>
      </c>
      <c r="CN140" s="1367">
        <v>10.73296750310846</v>
      </c>
      <c r="CO140" s="1367">
        <v>10.747886751426391</v>
      </c>
      <c r="CP140" s="1367">
        <v>10.762961918508354</v>
      </c>
      <c r="CQ140" s="1367">
        <v>10.778194753703316</v>
      </c>
      <c r="CR140" s="1368">
        <v>10.793587024780363</v>
      </c>
      <c r="CS140" s="1367">
        <v>10.809140518098395</v>
      </c>
      <c r="CT140" s="1367">
        <v>10.824857038776916</v>
      </c>
      <c r="CU140" s="1367">
        <v>10.840738410867978</v>
      </c>
      <c r="CV140" s="1367">
        <v>10.856786477529472</v>
      </c>
      <c r="CW140" s="1369">
        <v>10.873003101199501</v>
      </c>
    </row>
    <row r="141" spans="74:101" x14ac:dyDescent="0.8">
      <c r="BV141" s="1363"/>
      <c r="BW141" s="1363"/>
      <c r="BX141" s="1370"/>
      <c r="BY141" s="1371"/>
      <c r="BZ141" s="1371"/>
      <c r="CA141" s="1371"/>
      <c r="CB141" s="1371"/>
      <c r="CC141" s="1371"/>
      <c r="CD141" s="1371"/>
      <c r="CE141" s="1371"/>
      <c r="CF141" s="1371"/>
      <c r="CG141" s="1371"/>
      <c r="CH141" s="1371"/>
      <c r="CI141" s="1371"/>
    </row>
    <row r="142" spans="74:101" x14ac:dyDescent="0.8">
      <c r="BV142" s="1363"/>
      <c r="BW142" s="1363"/>
      <c r="BX142" s="1370"/>
      <c r="BY142" s="1371"/>
      <c r="BZ142" s="1371"/>
      <c r="CA142" s="1371"/>
      <c r="CB142" s="1371"/>
      <c r="CC142" s="1371"/>
      <c r="CD142" s="1371"/>
      <c r="CE142" s="1371"/>
      <c r="CF142" s="1371"/>
      <c r="CG142" s="1371"/>
      <c r="CH142" s="1371"/>
      <c r="CI142" s="1371"/>
    </row>
    <row r="143" spans="74:101" ht="16.75" thickBot="1" x14ac:dyDescent="0.95">
      <c r="BV143" s="1363"/>
      <c r="BW143" s="1363"/>
      <c r="BX143" s="1370"/>
      <c r="BY143" s="1371"/>
      <c r="BZ143" s="1371"/>
      <c r="CA143" s="1371"/>
      <c r="CB143" s="1371"/>
      <c r="CC143" s="1371"/>
      <c r="CD143" s="1371"/>
      <c r="CE143" s="1371"/>
      <c r="CF143" s="1371"/>
      <c r="CG143" s="1371"/>
      <c r="CH143" s="1371"/>
      <c r="CI143" s="1371"/>
    </row>
    <row r="144" spans="74:101" x14ac:dyDescent="0.8">
      <c r="BV144" s="36" t="s">
        <v>708</v>
      </c>
      <c r="BW144" s="21"/>
      <c r="BX144" s="21"/>
      <c r="BY144" s="21"/>
      <c r="BZ144" s="21"/>
      <c r="CA144" s="21"/>
      <c r="CB144" s="21"/>
      <c r="CC144" s="21"/>
      <c r="CD144" s="21"/>
      <c r="CE144" s="21"/>
      <c r="CF144" s="21"/>
      <c r="CG144" s="21"/>
      <c r="CH144" s="21"/>
      <c r="CI144" s="171"/>
      <c r="CJ144" s="36" t="s">
        <v>709</v>
      </c>
      <c r="CK144" s="21"/>
      <c r="CL144" s="21"/>
      <c r="CM144" s="21"/>
      <c r="CN144" s="21"/>
      <c r="CO144" s="21"/>
      <c r="CP144" s="21"/>
      <c r="CQ144" s="21"/>
      <c r="CR144" s="21"/>
      <c r="CS144" s="21"/>
      <c r="CT144" s="21"/>
      <c r="CU144" s="21"/>
      <c r="CV144" s="21"/>
      <c r="CW144" s="171"/>
    </row>
    <row r="145" spans="74:101" x14ac:dyDescent="0.8">
      <c r="BV145" s="366"/>
      <c r="BW145" s="156"/>
      <c r="BX145" s="156"/>
      <c r="BY145" s="1717" t="s">
        <v>693</v>
      </c>
      <c r="BZ145" s="1717"/>
      <c r="CA145" s="1717"/>
      <c r="CB145" s="1717"/>
      <c r="CC145" s="1717"/>
      <c r="CD145" s="1717"/>
      <c r="CE145" s="1717"/>
      <c r="CF145" s="1717"/>
      <c r="CG145" s="1717"/>
      <c r="CH145" s="1717"/>
      <c r="CI145" s="1718"/>
      <c r="CJ145" s="366"/>
      <c r="CK145" s="156"/>
      <c r="CL145" s="156"/>
      <c r="CM145" s="1717" t="s">
        <v>693</v>
      </c>
      <c r="CN145" s="1717"/>
      <c r="CO145" s="1717"/>
      <c r="CP145" s="1717"/>
      <c r="CQ145" s="1717"/>
      <c r="CR145" s="1717"/>
      <c r="CS145" s="1717"/>
      <c r="CT145" s="1717"/>
      <c r="CU145" s="1717"/>
      <c r="CV145" s="1717"/>
      <c r="CW145" s="1718"/>
    </row>
    <row r="146" spans="74:101" x14ac:dyDescent="0.8">
      <c r="BV146" s="22"/>
      <c r="BW146" s="185"/>
      <c r="BX146" s="156"/>
      <c r="BY146" s="1689" t="s">
        <v>699</v>
      </c>
      <c r="BZ146" s="1689"/>
      <c r="CA146" s="1689"/>
      <c r="CB146" s="1689"/>
      <c r="CC146" s="1689"/>
      <c r="CD146" s="1689"/>
      <c r="CE146" s="1689"/>
      <c r="CF146" s="1689"/>
      <c r="CG146" s="1689"/>
      <c r="CH146" s="1689"/>
      <c r="CI146" s="1690"/>
      <c r="CJ146" s="22"/>
      <c r="CK146" s="185"/>
      <c r="CL146" s="156"/>
      <c r="CM146" s="1689" t="s">
        <v>703</v>
      </c>
      <c r="CN146" s="1689"/>
      <c r="CO146" s="1689"/>
      <c r="CP146" s="1689"/>
      <c r="CQ146" s="1689"/>
      <c r="CR146" s="1689"/>
      <c r="CS146" s="1689"/>
      <c r="CT146" s="1689"/>
      <c r="CU146" s="1689"/>
      <c r="CV146" s="1689"/>
      <c r="CW146" s="1690"/>
    </row>
    <row r="147" spans="74:101" x14ac:dyDescent="0.8">
      <c r="BV147" s="22"/>
      <c r="BW147" s="131"/>
      <c r="BX147" s="1376">
        <f>'APV Valuation'!B36</f>
        <v>10.653657453279301</v>
      </c>
      <c r="BY147" s="1377">
        <f t="shared" ref="BY147" si="83">BZ147-2.5%</f>
        <v>-0.125</v>
      </c>
      <c r="BZ147" s="1377">
        <f t="shared" ref="BZ147" si="84">CA147-2.5%</f>
        <v>-0.1</v>
      </c>
      <c r="CA147" s="1377">
        <f t="shared" ref="CA147" si="85">CB147-2.5%</f>
        <v>-7.5000000000000011E-2</v>
      </c>
      <c r="CB147" s="1377">
        <f t="shared" ref="CB147" si="86">CC147-2.5%</f>
        <v>-0.05</v>
      </c>
      <c r="CC147" s="1377">
        <f>CD147-2.5%</f>
        <v>-2.5000000000000001E-2</v>
      </c>
      <c r="CD147" s="1528">
        <v>0</v>
      </c>
      <c r="CE147" s="1377">
        <f>CD147+2.5%</f>
        <v>2.5000000000000001E-2</v>
      </c>
      <c r="CF147" s="1377">
        <f t="shared" ref="CF147" si="87">CE147+2.5%</f>
        <v>0.05</v>
      </c>
      <c r="CG147" s="1377">
        <f t="shared" ref="CG147" si="88">CF147+2.5%</f>
        <v>7.5000000000000011E-2</v>
      </c>
      <c r="CH147" s="1377">
        <f t="shared" ref="CH147" si="89">CG147+2.5%</f>
        <v>0.1</v>
      </c>
      <c r="CI147" s="1378">
        <f t="shared" ref="CI147" si="90">CH147+2.5%</f>
        <v>0.125</v>
      </c>
      <c r="CJ147" s="22"/>
      <c r="CK147" s="131"/>
      <c r="CL147" s="1376">
        <f>'APV Valuation'!B36</f>
        <v>10.653657453279301</v>
      </c>
      <c r="CM147" s="1377">
        <f t="shared" ref="CM147" si="91">CN147-2.5%</f>
        <v>-0.125</v>
      </c>
      <c r="CN147" s="1377">
        <f t="shared" ref="CN147" si="92">CO147-2.5%</f>
        <v>-0.1</v>
      </c>
      <c r="CO147" s="1377">
        <f t="shared" ref="CO147" si="93">CP147-2.5%</f>
        <v>-7.5000000000000011E-2</v>
      </c>
      <c r="CP147" s="1377">
        <f t="shared" ref="CP147" si="94">CQ147-2.5%</f>
        <v>-0.05</v>
      </c>
      <c r="CQ147" s="1377">
        <f>CR147-2.5%</f>
        <v>-2.5000000000000001E-2</v>
      </c>
      <c r="CR147" s="1528">
        <v>0</v>
      </c>
      <c r="CS147" s="1377">
        <f>CR147+2.5%</f>
        <v>2.5000000000000001E-2</v>
      </c>
      <c r="CT147" s="1377">
        <f t="shared" ref="CT147" si="95">CS147+2.5%</f>
        <v>0.05</v>
      </c>
      <c r="CU147" s="1377">
        <f t="shared" ref="CU147" si="96">CT147+2.5%</f>
        <v>7.5000000000000011E-2</v>
      </c>
      <c r="CV147" s="1377">
        <f t="shared" ref="CV147" si="97">CU147+2.5%</f>
        <v>0.1</v>
      </c>
      <c r="CW147" s="1378">
        <f t="shared" ref="CW147" si="98">CV147+2.5%</f>
        <v>0.125</v>
      </c>
    </row>
    <row r="148" spans="74:101" x14ac:dyDescent="0.8">
      <c r="BV148" s="1685" t="s">
        <v>695</v>
      </c>
      <c r="BW148" s="1722" t="s">
        <v>699</v>
      </c>
      <c r="BX148" s="1377">
        <f t="shared" ref="BX148:BX151" si="99">BX149-2.5%</f>
        <v>-0.125</v>
      </c>
      <c r="BY148" s="1354">
        <v>10.632310336617893</v>
      </c>
      <c r="BZ148" s="1354">
        <v>10.633886190946672</v>
      </c>
      <c r="CA148" s="1354">
        <v>10.635474019474913</v>
      </c>
      <c r="CB148" s="1354">
        <v>10.637073929944743</v>
      </c>
      <c r="CC148" s="1354">
        <v>10.638686031211584</v>
      </c>
      <c r="CD148" s="1529">
        <v>10.640310433258316</v>
      </c>
      <c r="CE148" s="1354">
        <v>10.641947247209508</v>
      </c>
      <c r="CF148" s="1354">
        <v>10.643596585346041</v>
      </c>
      <c r="CG148" s="1354">
        <v>10.645258561119826</v>
      </c>
      <c r="CH148" s="1354">
        <v>10.646933289168848</v>
      </c>
      <c r="CI148" s="1365">
        <v>10.648620885332384</v>
      </c>
      <c r="CJ148" s="1685" t="s">
        <v>695</v>
      </c>
      <c r="CK148" s="1722" t="s">
        <v>703</v>
      </c>
      <c r="CL148" s="1377">
        <f t="shared" ref="CL148:CL151" si="100">CL149-2.5%</f>
        <v>-0.125</v>
      </c>
      <c r="CM148" s="1354">
        <v>10.613215356997733</v>
      </c>
      <c r="CN148" s="1354">
        <v>10.614008971304754</v>
      </c>
      <c r="CO148" s="1354">
        <v>10.614805235148873</v>
      </c>
      <c r="CP148" s="1354">
        <v>10.615604157548031</v>
      </c>
      <c r="CQ148" s="1354">
        <v>10.616405747549587</v>
      </c>
      <c r="CR148" s="1529">
        <v>10.61721001423037</v>
      </c>
      <c r="CS148" s="1354">
        <v>10.618016966696761</v>
      </c>
      <c r="CT148" s="1354">
        <v>10.618826614084803</v>
      </c>
      <c r="CU148" s="1354">
        <v>10.619638965560306</v>
      </c>
      <c r="CV148" s="1354">
        <v>10.620454030318907</v>
      </c>
      <c r="CW148" s="1365">
        <v>10.621271817586212</v>
      </c>
    </row>
    <row r="149" spans="74:101" x14ac:dyDescent="0.8">
      <c r="BV149" s="1685"/>
      <c r="BW149" s="1722"/>
      <c r="BX149" s="1377">
        <f t="shared" si="99"/>
        <v>-0.1</v>
      </c>
      <c r="BY149" s="1354">
        <v>10.634895797296378</v>
      </c>
      <c r="BZ149" s="1354">
        <v>10.636483323635787</v>
      </c>
      <c r="CA149" s="1354">
        <v>10.638082915842219</v>
      </c>
      <c r="CB149" s="1354">
        <v>10.639694682547395</v>
      </c>
      <c r="CC149" s="1354">
        <v>10.641318733506868</v>
      </c>
      <c r="CD149" s="1529">
        <v>10.64295517961436</v>
      </c>
      <c r="CE149" s="1354">
        <v>10.644604132916177</v>
      </c>
      <c r="CF149" s="1354">
        <v>10.646265706625931</v>
      </c>
      <c r="CG149" s="1354">
        <v>10.64794001513949</v>
      </c>
      <c r="CH149" s="1354">
        <v>10.649627174050119</v>
      </c>
      <c r="CI149" s="1365">
        <v>10.651327300163976</v>
      </c>
      <c r="CJ149" s="1685"/>
      <c r="CK149" s="1722"/>
      <c r="CL149" s="1377">
        <f t="shared" si="100"/>
        <v>-0.1</v>
      </c>
      <c r="CM149" s="1354">
        <v>10.620291016421314</v>
      </c>
      <c r="CN149" s="1354">
        <v>10.621100364034932</v>
      </c>
      <c r="CO149" s="1354">
        <v>10.62191241455332</v>
      </c>
      <c r="CP149" s="1354">
        <v>10.622727177180757</v>
      </c>
      <c r="CQ149" s="1354">
        <v>10.623544661151541</v>
      </c>
      <c r="CR149" s="1529">
        <v>10.624364875730043</v>
      </c>
      <c r="CS149" s="1354">
        <v>10.625187830210889</v>
      </c>
      <c r="CT149" s="1354">
        <v>10.626013533918963</v>
      </c>
      <c r="CU149" s="1354">
        <v>10.626841996209553</v>
      </c>
      <c r="CV149" s="1354">
        <v>10.62767322646847</v>
      </c>
      <c r="CW149" s="1365">
        <v>10.62850723411206</v>
      </c>
    </row>
    <row r="150" spans="74:101" x14ac:dyDescent="0.8">
      <c r="BV150" s="1685"/>
      <c r="BW150" s="1722"/>
      <c r="BX150" s="1377">
        <f t="shared" si="99"/>
        <v>-7.5000000000000011E-2</v>
      </c>
      <c r="BY150" s="1354">
        <v>10.637493192666794</v>
      </c>
      <c r="BZ150" s="1354">
        <v>10.639092458688156</v>
      </c>
      <c r="CA150" s="1354">
        <v>10.640703882815316</v>
      </c>
      <c r="CB150" s="1354">
        <v>10.642327574575967</v>
      </c>
      <c r="CC150" s="1354">
        <v>10.643963644632267</v>
      </c>
      <c r="CD150" s="1529">
        <v>10.645612204795336</v>
      </c>
      <c r="CE150" s="1354">
        <v>10.647273368039853</v>
      </c>
      <c r="CF150" s="1354">
        <v>10.64894724851891</v>
      </c>
      <c r="CG150" s="1354">
        <v>10.650633961579159</v>
      </c>
      <c r="CH150" s="1354">
        <v>10.652333623776132</v>
      </c>
      <c r="CI150" s="1365">
        <v>10.654046352889848</v>
      </c>
      <c r="CJ150" s="1685"/>
      <c r="CK150" s="1722"/>
      <c r="CL150" s="1377">
        <f t="shared" si="100"/>
        <v>-7.5000000000000011E-2</v>
      </c>
      <c r="CM150" s="1354">
        <v>10.627432431161871</v>
      </c>
      <c r="CN150" s="1354">
        <v>10.628257709439776</v>
      </c>
      <c r="CO150" s="1354">
        <v>10.629085744688018</v>
      </c>
      <c r="CP150" s="1354">
        <v>10.629916546299745</v>
      </c>
      <c r="CQ150" s="1354">
        <v>10.630750123698782</v>
      </c>
      <c r="CR150" s="1529">
        <v>10.631586486339698</v>
      </c>
      <c r="CS150" s="1354">
        <v>10.632425643707892</v>
      </c>
      <c r="CT150" s="1354">
        <v>10.633267605319757</v>
      </c>
      <c r="CU150" s="1354">
        <v>10.634112380722678</v>
      </c>
      <c r="CV150" s="1354">
        <v>10.634959979495219</v>
      </c>
      <c r="CW150" s="1365">
        <v>10.635810411247192</v>
      </c>
    </row>
    <row r="151" spans="74:101" x14ac:dyDescent="0.8">
      <c r="BV151" s="1685"/>
      <c r="BW151" s="1722"/>
      <c r="BX151" s="1377">
        <f t="shared" si="99"/>
        <v>-0.05</v>
      </c>
      <c r="BY151" s="1354">
        <v>10.640102571066739</v>
      </c>
      <c r="BZ151" s="1354">
        <v>10.641713644752015</v>
      </c>
      <c r="CA151" s="1354">
        <v>10.643336969356167</v>
      </c>
      <c r="CB151" s="1354">
        <v>10.644972655309225</v>
      </c>
      <c r="CC151" s="1354">
        <v>10.646620814186477</v>
      </c>
      <c r="CD151" s="1529">
        <v>10.648281558723033</v>
      </c>
      <c r="CE151" s="1354">
        <v>10.649955002828628</v>
      </c>
      <c r="CF151" s="1354">
        <v>10.651641261602627</v>
      </c>
      <c r="CG151" s="1354">
        <v>10.653340451349376</v>
      </c>
      <c r="CH151" s="1354">
        <v>10.655052689593623</v>
      </c>
      <c r="CI151" s="1365">
        <v>10.656778095096405</v>
      </c>
      <c r="CJ151" s="1685"/>
      <c r="CK151" s="1722"/>
      <c r="CL151" s="1377">
        <f t="shared" si="100"/>
        <v>-0.05</v>
      </c>
      <c r="CM151" s="1354">
        <v>10.634640154565494</v>
      </c>
      <c r="CN151" s="1354">
        <v>10.635481562663138</v>
      </c>
      <c r="CO151" s="1354">
        <v>10.636325782501494</v>
      </c>
      <c r="CP151" s="1354">
        <v>10.637172823665182</v>
      </c>
      <c r="CQ151" s="1354">
        <v>10.638022695770168</v>
      </c>
      <c r="CR151" s="1529">
        <v>10.638875408463816</v>
      </c>
      <c r="CS151" s="1354">
        <v>10.639730971424981</v>
      </c>
      <c r="CT151" s="1354">
        <v>10.640589394364131</v>
      </c>
      <c r="CU151" s="1354">
        <v>10.641450687023463</v>
      </c>
      <c r="CV151" s="1354">
        <v>10.642314859176942</v>
      </c>
      <c r="CW151" s="1365">
        <v>10.643181920630481</v>
      </c>
    </row>
    <row r="152" spans="74:101" x14ac:dyDescent="0.8">
      <c r="BV152" s="1685"/>
      <c r="BW152" s="1722"/>
      <c r="BX152" s="1377">
        <f>BX153-2.5%</f>
        <v>-2.5000000000000001E-2</v>
      </c>
      <c r="BY152" s="1354">
        <v>10.642723980982497</v>
      </c>
      <c r="BZ152" s="1354">
        <v>10.644346930625513</v>
      </c>
      <c r="CA152" s="1354">
        <v>10.645982224577772</v>
      </c>
      <c r="CB152" s="1354">
        <v>10.647629974178159</v>
      </c>
      <c r="CC152" s="1354">
        <v>10.649290291921599</v>
      </c>
      <c r="CD152" s="1529">
        <v>10.650963291473866</v>
      </c>
      <c r="CE152" s="1354">
        <v>10.652649087686454</v>
      </c>
      <c r="CF152" s="1354">
        <v>10.654347796611878</v>
      </c>
      <c r="CG152" s="1354">
        <v>10.656059535519065</v>
      </c>
      <c r="CH152" s="1354">
        <v>10.657784422909065</v>
      </c>
      <c r="CI152" s="1365">
        <v>10.659522578531018</v>
      </c>
      <c r="CJ152" s="1685"/>
      <c r="CK152" s="1722"/>
      <c r="CL152" s="1377">
        <f>CL153-2.5%</f>
        <v>-2.5000000000000001E-2</v>
      </c>
      <c r="CM152" s="1354">
        <v>10.641914743192533</v>
      </c>
      <c r="CN152" s="1354">
        <v>10.642772482075813</v>
      </c>
      <c r="CO152" s="1354">
        <v>10.643633088181923</v>
      </c>
      <c r="CP152" s="1354">
        <v>10.644496571289633</v>
      </c>
      <c r="CQ152" s="1354">
        <v>10.645362941209692</v>
      </c>
      <c r="CR152" s="1529">
        <v>10.646232207784884</v>
      </c>
      <c r="CS152" s="1354">
        <v>10.647104380890186</v>
      </c>
      <c r="CT152" s="1354">
        <v>10.64797947043286</v>
      </c>
      <c r="CU152" s="1354">
        <v>10.648857486352519</v>
      </c>
      <c r="CV152" s="1354">
        <v>10.649738438621272</v>
      </c>
      <c r="CW152" s="1365">
        <v>10.65062233724381</v>
      </c>
    </row>
    <row r="153" spans="74:101" x14ac:dyDescent="0.8">
      <c r="BV153" s="1685"/>
      <c r="BW153" s="1722"/>
      <c r="BX153" s="1528">
        <v>0</v>
      </c>
      <c r="BY153" s="1529">
        <v>10.645357471049467</v>
      </c>
      <c r="BZ153" s="1529">
        <v>10.64699236525699</v>
      </c>
      <c r="CA153" s="1529">
        <v>10.648639697744565</v>
      </c>
      <c r="CB153" s="1529">
        <v>10.650299580766367</v>
      </c>
      <c r="CC153" s="1529">
        <v>10.651972127743592</v>
      </c>
      <c r="CD153" s="1356">
        <v>10.653657453279301</v>
      </c>
      <c r="CE153" s="1529">
        <v>10.655355673173613</v>
      </c>
      <c r="CF153" s="1529">
        <v>10.657066904438992</v>
      </c>
      <c r="CG153" s="1529">
        <v>10.65879126531599</v>
      </c>
      <c r="CH153" s="1529">
        <v>10.660528875288993</v>
      </c>
      <c r="CI153" s="1531">
        <v>10.662279855102463</v>
      </c>
      <c r="CJ153" s="1685"/>
      <c r="CK153" s="1722"/>
      <c r="CL153" s="1528">
        <v>0</v>
      </c>
      <c r="CM153" s="1529">
        <v>10.649256756833312</v>
      </c>
      <c r="CN153" s="1529">
        <v>10.650131029291172</v>
      </c>
      <c r="CO153" s="1529">
        <v>10.651008225172829</v>
      </c>
      <c r="CP153" s="1529">
        <v>10.651888354453821</v>
      </c>
      <c r="CQ153" s="1529">
        <v>10.652771427142339</v>
      </c>
      <c r="CR153" s="1356">
        <v>10.653657453279301</v>
      </c>
      <c r="CS153" s="1529">
        <v>10.654546442938495</v>
      </c>
      <c r="CT153" s="1529">
        <v>10.655438406226622</v>
      </c>
      <c r="CU153" s="1529">
        <v>10.656333353283468</v>
      </c>
      <c r="CV153" s="1529">
        <v>10.65723129428198</v>
      </c>
      <c r="CW153" s="1531">
        <v>10.658132239428364</v>
      </c>
    </row>
    <row r="154" spans="74:101" x14ac:dyDescent="0.8">
      <c r="BV154" s="1685"/>
      <c r="BW154" s="1722"/>
      <c r="BX154" s="1377">
        <f>BX153+2.5%</f>
        <v>2.5000000000000001E-2</v>
      </c>
      <c r="BY154" s="1354">
        <v>10.648003090052457</v>
      </c>
      <c r="BZ154" s="1354">
        <v>10.649649997745437</v>
      </c>
      <c r="CA154" s="1354">
        <v>10.651309438272738</v>
      </c>
      <c r="CB154" s="1354">
        <v>10.65298152481043</v>
      </c>
      <c r="CC154" s="1354">
        <v>10.654666371712558</v>
      </c>
      <c r="CD154" s="1529">
        <v>10.656364094526246</v>
      </c>
      <c r="CE154" s="1354">
        <v>10.658074810006994</v>
      </c>
      <c r="CF154" s="1354">
        <v>10.659798636134225</v>
      </c>
      <c r="CG154" s="1354">
        <v>10.661535692127053</v>
      </c>
      <c r="CH154" s="1354">
        <v>10.66328609846042</v>
      </c>
      <c r="CI154" s="1365">
        <v>10.665049976881303</v>
      </c>
      <c r="CJ154" s="1685"/>
      <c r="CK154" s="1722"/>
      <c r="CL154" s="1377">
        <f>CL153+2.5%</f>
        <v>2.5000000000000001E-2</v>
      </c>
      <c r="CM154" s="1354">
        <v>10.656666758523787</v>
      </c>
      <c r="CN154" s="1354">
        <v>10.657557769181054</v>
      </c>
      <c r="CO154" s="1354">
        <v>10.658451760188958</v>
      </c>
      <c r="CP154" s="1354">
        <v>10.65934874172255</v>
      </c>
      <c r="CQ154" s="1354">
        <v>10.660248723990128</v>
      </c>
      <c r="CR154" s="1529">
        <v>10.661151717233468</v>
      </c>
      <c r="CS154" s="1354">
        <v>10.66205773172784</v>
      </c>
      <c r="CT154" s="1354">
        <v>10.662966777782177</v>
      </c>
      <c r="CU154" s="1354">
        <v>10.663878865739134</v>
      </c>
      <c r="CV154" s="1354">
        <v>10.66479400597524</v>
      </c>
      <c r="CW154" s="1365">
        <v>10.665712208900995</v>
      </c>
    </row>
    <row r="155" spans="74:101" x14ac:dyDescent="0.8">
      <c r="BV155" s="1685"/>
      <c r="BW155" s="1722"/>
      <c r="BX155" s="1377">
        <f t="shared" ref="BX155:BX158" si="101">BX154+2.5%</f>
        <v>0.05</v>
      </c>
      <c r="BY155" s="1354">
        <v>10.650660886926078</v>
      </c>
      <c r="BZ155" s="1354">
        <v>10.65231987734078</v>
      </c>
      <c r="CA155" s="1354">
        <v>10.653991495730688</v>
      </c>
      <c r="CB155" s="1354">
        <v>10.655675856200292</v>
      </c>
      <c r="CC155" s="1354">
        <v>10.657373074043203</v>
      </c>
      <c r="CD155" s="1529">
        <v>10.659083265757376</v>
      </c>
      <c r="CE155" s="1354">
        <v>10.660806549060579</v>
      </c>
      <c r="CF155" s="1354">
        <v>10.662543042906119</v>
      </c>
      <c r="CG155" s="1354">
        <v>10.664292867498819</v>
      </c>
      <c r="CH155" s="1354">
        <v>10.666056144311282</v>
      </c>
      <c r="CI155" s="1365">
        <v>10.667832996100316</v>
      </c>
      <c r="CJ155" s="1685"/>
      <c r="CK155" s="1722"/>
      <c r="CL155" s="1377">
        <f t="shared" ref="CL155:CL158" si="102">CL154+2.5%</f>
        <v>0.05</v>
      </c>
      <c r="CM155" s="1354">
        <v>10.664145314561344</v>
      </c>
      <c r="CN155" s="1354">
        <v>10.665053269891478</v>
      </c>
      <c r="CO155" s="1354">
        <v>10.665964263232185</v>
      </c>
      <c r="CP155" s="1354">
        <v>10.666878304960646</v>
      </c>
      <c r="CQ155" s="1354">
        <v>10.667795405488079</v>
      </c>
      <c r="CR155" s="1529">
        <v>10.668715575259791</v>
      </c>
      <c r="CS155" s="1354">
        <v>10.669638824755316</v>
      </c>
      <c r="CT155" s="1354">
        <v>10.670565164488554</v>
      </c>
      <c r="CU155" s="1354">
        <v>10.671494605007814</v>
      </c>
      <c r="CV155" s="1354">
        <v>10.672427156895978</v>
      </c>
      <c r="CW155" s="1365">
        <v>10.673362830770598</v>
      </c>
    </row>
    <row r="156" spans="74:101" x14ac:dyDescent="0.8">
      <c r="BV156" s="1685"/>
      <c r="BW156" s="1722"/>
      <c r="BX156" s="1377">
        <f t="shared" si="101"/>
        <v>7.5000000000000011E-2</v>
      </c>
      <c r="BY156" s="1354">
        <v>10.653330910755114</v>
      </c>
      <c r="BZ156" s="1354">
        <v>10.655002053444303</v>
      </c>
      <c r="CA156" s="1354">
        <v>10.656685919839274</v>
      </c>
      <c r="CB156" s="1354">
        <v>10.658382624979602</v>
      </c>
      <c r="CC156" s="1354">
        <v>10.660092285105167</v>
      </c>
      <c r="CD156" s="1529">
        <v>10.661815017671561</v>
      </c>
      <c r="CE156" s="1354">
        <v>10.663550941365745</v>
      </c>
      <c r="CF156" s="1354">
        <v>10.665300176121937</v>
      </c>
      <c r="CG156" s="1354">
        <v>10.667062843137771</v>
      </c>
      <c r="CH156" s="1354">
        <v>10.668839064890744</v>
      </c>
      <c r="CI156" s="1365">
        <v>10.670628965154831</v>
      </c>
      <c r="CJ156" s="1685"/>
      <c r="CK156" s="1722"/>
      <c r="CL156" s="1377">
        <f t="shared" si="102"/>
        <v>7.5000000000000011E-2</v>
      </c>
      <c r="CM156" s="1354">
        <v>10.671692994520605</v>
      </c>
      <c r="CN156" s="1354">
        <v>10.672618102858635</v>
      </c>
      <c r="CO156" s="1354">
        <v>10.673546307607385</v>
      </c>
      <c r="CP156" s="1354">
        <v>10.674477619348991</v>
      </c>
      <c r="CQ156" s="1354">
        <v>10.675412048700272</v>
      </c>
      <c r="CR156" s="1529">
        <v>10.676349606312865</v>
      </c>
      <c r="CS156" s="1354">
        <v>10.677290302873358</v>
      </c>
      <c r="CT156" s="1354">
        <v>10.678234149103348</v>
      </c>
      <c r="CU156" s="1354">
        <v>10.679181155759624</v>
      </c>
      <c r="CV156" s="1354">
        <v>10.680131333634222</v>
      </c>
      <c r="CW156" s="1365">
        <v>10.681084693554551</v>
      </c>
    </row>
    <row r="157" spans="74:101" x14ac:dyDescent="0.8">
      <c r="BV157" s="1685"/>
      <c r="BW157" s="1722"/>
      <c r="BX157" s="1377">
        <f t="shared" si="101"/>
        <v>0.1</v>
      </c>
      <c r="BY157" s="1354">
        <v>10.656013210774894</v>
      </c>
      <c r="BZ157" s="1354">
        <v>10.657696575608988</v>
      </c>
      <c r="CA157" s="1354">
        <v>10.659392760472317</v>
      </c>
      <c r="CB157" s="1354">
        <v>10.661101881346166</v>
      </c>
      <c r="CC157" s="1354">
        <v>10.662824055423435</v>
      </c>
      <c r="CD157" s="1529">
        <v>10.664559401124245</v>
      </c>
      <c r="CE157" s="1354">
        <v>10.666308038111705</v>
      </c>
      <c r="CF157" s="1354">
        <v>10.668070087308013</v>
      </c>
      <c r="CG157" s="1354">
        <v>10.669845670910791</v>
      </c>
      <c r="CH157" s="1354">
        <v>10.671634912409676</v>
      </c>
      <c r="CI157" s="1365">
        <v>10.673437936603232</v>
      </c>
      <c r="CJ157" s="1685"/>
      <c r="CK157" s="1722"/>
      <c r="CL157" s="1377">
        <f t="shared" si="102"/>
        <v>0.1</v>
      </c>
      <c r="CM157" s="1354">
        <v>10.679310371269279</v>
      </c>
      <c r="CN157" s="1354">
        <v>10.680252842824704</v>
      </c>
      <c r="CO157" s="1354">
        <v>10.68119846993852</v>
      </c>
      <c r="CP157" s="1354">
        <v>10.682147263400537</v>
      </c>
      <c r="CQ157" s="1354">
        <v>10.683099234035987</v>
      </c>
      <c r="CR157" s="1529">
        <v>10.684054392705661</v>
      </c>
      <c r="CS157" s="1354">
        <v>10.685012750305919</v>
      </c>
      <c r="CT157" s="1354">
        <v>10.685974317768961</v>
      </c>
      <c r="CU157" s="1354">
        <v>10.68693910606282</v>
      </c>
      <c r="CV157" s="1354">
        <v>10.687907126191526</v>
      </c>
      <c r="CW157" s="1365">
        <v>10.688878389195214</v>
      </c>
    </row>
    <row r="158" spans="74:101" ht="16.75" thickBot="1" x14ac:dyDescent="0.95">
      <c r="BV158" s="1686"/>
      <c r="BW158" s="1723"/>
      <c r="BX158" s="1379">
        <f t="shared" si="101"/>
        <v>0.125</v>
      </c>
      <c r="BY158" s="1367">
        <v>10.658707836371601</v>
      </c>
      <c r="BZ158" s="1367">
        <v>10.660403493539908</v>
      </c>
      <c r="CA158" s="1367">
        <v>10.662112067656857</v>
      </c>
      <c r="CB158" s="1367">
        <v>10.663833675652192</v>
      </c>
      <c r="CC158" s="1367">
        <v>10.665568435678672</v>
      </c>
      <c r="CD158" s="1530">
        <v>10.667316467127806</v>
      </c>
      <c r="CE158" s="1367">
        <v>10.669077890645882</v>
      </c>
      <c r="CF158" s="1367">
        <v>10.670852828150178</v>
      </c>
      <c r="CG158" s="1367">
        <v>10.672641402845514</v>
      </c>
      <c r="CH158" s="1367">
        <v>10.674443739241033</v>
      </c>
      <c r="CI158" s="1369">
        <v>10.676259963167258</v>
      </c>
      <c r="CJ158" s="1686"/>
      <c r="CK158" s="1723"/>
      <c r="CL158" s="1379">
        <f t="shared" si="102"/>
        <v>0.125</v>
      </c>
      <c r="CM158" s="1367">
        <v>10.686998020984104</v>
      </c>
      <c r="CN158" s="1367">
        <v>10.687958067853906</v>
      </c>
      <c r="CO158" s="1367">
        <v>10.688921330184563</v>
      </c>
      <c r="CP158" s="1367">
        <v>10.689887818976404</v>
      </c>
      <c r="CQ158" s="1367">
        <v>10.690857545265869</v>
      </c>
      <c r="CR158" s="1530">
        <v>10.691830520125666</v>
      </c>
      <c r="CS158" s="1367">
        <v>10.692806754664838</v>
      </c>
      <c r="CT158" s="1367">
        <v>10.693786260028981</v>
      </c>
      <c r="CU158" s="1367">
        <v>10.69476904740023</v>
      </c>
      <c r="CV158" s="1367">
        <v>10.695755127997494</v>
      </c>
      <c r="CW158" s="1369">
        <v>10.696744513076474</v>
      </c>
    </row>
  </sheetData>
  <mergeCells count="60">
    <mergeCell ref="AM13:AN13"/>
    <mergeCell ref="AM16:AN16"/>
    <mergeCell ref="AM14:AN14"/>
    <mergeCell ref="AM17:AN17"/>
    <mergeCell ref="BE74:BE84"/>
    <mergeCell ref="BF74:BF84"/>
    <mergeCell ref="AP16:AP26"/>
    <mergeCell ref="AR14:BB14"/>
    <mergeCell ref="AM24:AM26"/>
    <mergeCell ref="AM29:AM31"/>
    <mergeCell ref="AM35:AM37"/>
    <mergeCell ref="AM39:AM41"/>
    <mergeCell ref="AS35:BC35"/>
    <mergeCell ref="BH53:BR53"/>
    <mergeCell ref="BH54:BR54"/>
    <mergeCell ref="BE56:BE66"/>
    <mergeCell ref="BF56:BF66"/>
    <mergeCell ref="BH71:BR71"/>
    <mergeCell ref="BH72:BR72"/>
    <mergeCell ref="AP74:AP84"/>
    <mergeCell ref="AQ74:AQ84"/>
    <mergeCell ref="BH35:BR35"/>
    <mergeCell ref="BH36:BR36"/>
    <mergeCell ref="BE38:BE48"/>
    <mergeCell ref="BF38:BF48"/>
    <mergeCell ref="AP56:AP66"/>
    <mergeCell ref="AQ56:AQ66"/>
    <mergeCell ref="AS71:BC71"/>
    <mergeCell ref="AS72:BC72"/>
    <mergeCell ref="AQ38:AQ48"/>
    <mergeCell ref="AP38:AP48"/>
    <mergeCell ref="AS53:BC53"/>
    <mergeCell ref="AS54:BC54"/>
    <mergeCell ref="AS36:BC36"/>
    <mergeCell ref="BX93:CH93"/>
    <mergeCell ref="BV95:BV105"/>
    <mergeCell ref="BY109:CI109"/>
    <mergeCell ref="CM109:CW109"/>
    <mergeCell ref="BY110:CI110"/>
    <mergeCell ref="CM110:CW110"/>
    <mergeCell ref="BV112:BV122"/>
    <mergeCell ref="BW112:BW122"/>
    <mergeCell ref="CJ112:CJ122"/>
    <mergeCell ref="CK112:CK122"/>
    <mergeCell ref="BY127:CI127"/>
    <mergeCell ref="CM127:CW127"/>
    <mergeCell ref="BY128:CI128"/>
    <mergeCell ref="CM128:CW128"/>
    <mergeCell ref="BV130:BV140"/>
    <mergeCell ref="BW130:BW140"/>
    <mergeCell ref="CJ130:CJ140"/>
    <mergeCell ref="CK130:CK140"/>
    <mergeCell ref="BY145:CI145"/>
    <mergeCell ref="CM145:CW145"/>
    <mergeCell ref="BY146:CI146"/>
    <mergeCell ref="CM146:CW146"/>
    <mergeCell ref="BV148:BV158"/>
    <mergeCell ref="BW148:BW158"/>
    <mergeCell ref="CJ148:CJ158"/>
    <mergeCell ref="CK148:CK158"/>
  </mergeCells>
  <hyperlinks>
    <hyperlink ref="A1" location="'Cover Page '!A1" display="Back to cover page "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CC379"/>
  <sheetViews>
    <sheetView showGridLines="0" zoomScale="70" zoomScaleNormal="70" zoomScalePageLayoutView="70" workbookViewId="0">
      <pane xSplit="4" ySplit="3" topLeftCell="E4" activePane="bottomRight" state="frozen"/>
      <selection pane="topRight" activeCell="E1" sqref="E1"/>
      <selection pane="bottomLeft" activeCell="A2" sqref="A2"/>
      <selection pane="bottomRight"/>
    </sheetView>
  </sheetViews>
  <sheetFormatPr defaultColWidth="11" defaultRowHeight="16" x14ac:dyDescent="0.8"/>
  <cols>
    <col min="1" max="1" width="74.5" style="13" bestFit="1" customWidth="1"/>
    <col min="2" max="2" width="14" style="13" bestFit="1" customWidth="1"/>
    <col min="3" max="3" width="11" style="13" customWidth="1"/>
    <col min="4" max="4" width="11.1640625" style="13" customWidth="1"/>
    <col min="5" max="11" width="10.33203125" style="13" bestFit="1" customWidth="1"/>
    <col min="12" max="12" width="12.1640625" style="35" bestFit="1" customWidth="1"/>
    <col min="13" max="13" width="12.6640625" style="13" bestFit="1" customWidth="1"/>
    <col min="14" max="17" width="14" style="13" bestFit="1" customWidth="1"/>
    <col min="18" max="18" width="14" style="35" bestFit="1" customWidth="1"/>
    <col min="19" max="23" width="14" style="40" bestFit="1" customWidth="1"/>
    <col min="24" max="24" width="12.83203125" style="40" bestFit="1" customWidth="1"/>
    <col min="25" max="29" width="14" style="40" bestFit="1" customWidth="1"/>
    <col min="30" max="30" width="12.83203125" style="40" bestFit="1" customWidth="1"/>
    <col min="31" max="35" width="14" style="40" bestFit="1" customWidth="1"/>
    <col min="36" max="36" width="12.83203125" style="40" bestFit="1" customWidth="1"/>
    <col min="37" max="40" width="14" style="40" bestFit="1" customWidth="1"/>
    <col min="41" max="41" width="12.83203125" style="40" bestFit="1" customWidth="1"/>
    <col min="42" max="44" width="14" style="40" bestFit="1" customWidth="1"/>
    <col min="45" max="45" width="11.5" style="40" bestFit="1" customWidth="1"/>
    <col min="46" max="46" width="10.33203125" style="13" bestFit="1" customWidth="1"/>
    <col min="47" max="47" width="10.6640625" style="13" bestFit="1" customWidth="1"/>
    <col min="48" max="48" width="10.33203125" style="13" bestFit="1" customWidth="1"/>
    <col min="49" max="49" width="10.6640625" style="13" bestFit="1" customWidth="1"/>
    <col min="50" max="50" width="10.33203125" style="13" bestFit="1" customWidth="1"/>
    <col min="51" max="52" width="8.1640625" style="13" bestFit="1" customWidth="1"/>
    <col min="53" max="54" width="7.1640625" style="13" bestFit="1" customWidth="1"/>
    <col min="55" max="81" width="6.5" style="13" bestFit="1" customWidth="1"/>
    <col min="82" max="83" width="5.33203125" style="13" bestFit="1" customWidth="1"/>
    <col min="84" max="16384" width="11" style="13"/>
  </cols>
  <sheetData>
    <row r="1" spans="1:55" ht="18.5" x14ac:dyDescent="0.9">
      <c r="A1" s="1310" t="s">
        <v>534</v>
      </c>
      <c r="B1" s="249"/>
      <c r="C1" s="249"/>
      <c r="D1" s="249"/>
      <c r="E1" s="1652" t="s">
        <v>445</v>
      </c>
      <c r="F1" s="1652"/>
      <c r="G1" s="1652"/>
      <c r="H1" s="1652"/>
      <c r="I1" s="1652"/>
      <c r="J1" s="1652"/>
      <c r="K1" s="1653"/>
      <c r="L1" s="1663" t="s">
        <v>443</v>
      </c>
      <c r="M1" s="1664"/>
      <c r="N1" s="1664"/>
      <c r="O1" s="1664"/>
      <c r="P1" s="1664"/>
      <c r="Q1" s="1665"/>
      <c r="R1" s="1666" t="s">
        <v>444</v>
      </c>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c r="AR1" s="1667"/>
      <c r="AS1" s="1667"/>
      <c r="AT1" s="1330"/>
      <c r="AU1" s="1330"/>
      <c r="AV1" s="1330"/>
      <c r="AW1" s="1330"/>
      <c r="AX1" s="1330"/>
      <c r="AY1" s="1330"/>
      <c r="AZ1" s="1330"/>
      <c r="BA1" s="1330"/>
      <c r="BB1" s="1330"/>
      <c r="BC1" s="1330"/>
    </row>
    <row r="2" spans="1:55" x14ac:dyDescent="0.8">
      <c r="A2" s="249"/>
      <c r="B2" s="249"/>
      <c r="C2" s="249"/>
      <c r="D2" s="249"/>
      <c r="E2" s="1652"/>
      <c r="F2" s="1652"/>
      <c r="G2" s="1652"/>
      <c r="H2" s="1652"/>
      <c r="I2" s="1652"/>
      <c r="J2" s="1652"/>
      <c r="K2" s="1653"/>
      <c r="L2" s="1663"/>
      <c r="M2" s="1664"/>
      <c r="N2" s="1664"/>
      <c r="O2" s="1664"/>
      <c r="P2" s="1664"/>
      <c r="Q2" s="1665"/>
      <c r="R2" s="1666"/>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c r="AR2" s="1667"/>
      <c r="AS2" s="1667"/>
      <c r="AT2" s="1330"/>
      <c r="AU2" s="1330"/>
      <c r="AV2" s="1330"/>
      <c r="AW2" s="1330"/>
      <c r="AX2" s="1330"/>
      <c r="AY2" s="1330"/>
      <c r="AZ2" s="1330"/>
      <c r="BA2" s="1330"/>
      <c r="BB2" s="1330"/>
      <c r="BC2" s="1330"/>
    </row>
    <row r="3" spans="1:55" x14ac:dyDescent="0.8">
      <c r="A3" s="249"/>
      <c r="B3" s="249"/>
      <c r="C3" s="249"/>
      <c r="D3" s="249"/>
      <c r="E3" s="250">
        <v>2010</v>
      </c>
      <c r="F3" s="250">
        <v>2011</v>
      </c>
      <c r="G3" s="250">
        <v>2012</v>
      </c>
      <c r="H3" s="250">
        <v>2013</v>
      </c>
      <c r="I3" s="250">
        <v>2014</v>
      </c>
      <c r="J3" s="250">
        <v>2015</v>
      </c>
      <c r="K3" s="250">
        <v>2016</v>
      </c>
      <c r="L3" s="252">
        <v>2017</v>
      </c>
      <c r="M3" s="253">
        <v>2018</v>
      </c>
      <c r="N3" s="253">
        <v>2019</v>
      </c>
      <c r="O3" s="253">
        <v>2020</v>
      </c>
      <c r="P3" s="253">
        <v>2021</v>
      </c>
      <c r="Q3" s="253">
        <v>2022</v>
      </c>
      <c r="R3" s="251">
        <v>2023</v>
      </c>
      <c r="S3" s="254">
        <v>2024</v>
      </c>
      <c r="T3" s="254">
        <v>2025</v>
      </c>
      <c r="U3" s="254">
        <v>2026</v>
      </c>
      <c r="V3" s="254">
        <v>2027</v>
      </c>
      <c r="W3" s="254">
        <v>2028</v>
      </c>
      <c r="X3" s="254">
        <v>2029</v>
      </c>
      <c r="Y3" s="254">
        <v>2030</v>
      </c>
      <c r="Z3" s="254">
        <v>2031</v>
      </c>
      <c r="AA3" s="254">
        <v>2032</v>
      </c>
      <c r="AB3" s="254">
        <v>2033</v>
      </c>
      <c r="AC3" s="254">
        <v>2034</v>
      </c>
      <c r="AD3" s="254">
        <v>2035</v>
      </c>
      <c r="AE3" s="254">
        <v>2036</v>
      </c>
      <c r="AF3" s="254">
        <v>2037</v>
      </c>
      <c r="AG3" s="254">
        <v>2038</v>
      </c>
      <c r="AH3" s="254">
        <v>2039</v>
      </c>
      <c r="AI3" s="254">
        <v>2040</v>
      </c>
      <c r="AJ3" s="254">
        <v>2041</v>
      </c>
      <c r="AK3" s="254">
        <v>2042</v>
      </c>
      <c r="AL3" s="254">
        <v>2043</v>
      </c>
      <c r="AM3" s="254">
        <v>2044</v>
      </c>
      <c r="AN3" s="254">
        <v>2045</v>
      </c>
      <c r="AO3" s="254">
        <v>2046</v>
      </c>
      <c r="AP3" s="254">
        <v>2047</v>
      </c>
      <c r="AQ3" s="254">
        <v>2048</v>
      </c>
      <c r="AR3" s="254">
        <v>2049</v>
      </c>
      <c r="AS3" s="254">
        <v>2050</v>
      </c>
      <c r="AT3" s="1330"/>
      <c r="AU3" s="1330"/>
      <c r="AV3" s="1330"/>
      <c r="AW3" s="1330"/>
      <c r="AX3" s="1330"/>
      <c r="AY3" s="1330"/>
      <c r="AZ3" s="1330"/>
      <c r="BA3" s="1330"/>
      <c r="BB3" s="1330"/>
      <c r="BC3" s="1330"/>
    </row>
    <row r="4" spans="1:55" ht="16.75" thickBot="1" x14ac:dyDescent="0.95">
      <c r="A4" s="13" t="s">
        <v>271</v>
      </c>
      <c r="AT4" s="1330"/>
      <c r="AU4" s="1330"/>
      <c r="AV4" s="1330"/>
      <c r="AW4" s="1330"/>
      <c r="AX4" s="1330"/>
      <c r="AY4" s="1330"/>
      <c r="AZ4" s="1330"/>
      <c r="BA4" s="1330"/>
      <c r="BB4" s="1330"/>
      <c r="BC4" s="1330"/>
    </row>
    <row r="5" spans="1:55" x14ac:dyDescent="0.8">
      <c r="A5" s="36" t="s">
        <v>272</v>
      </c>
      <c r="B5" s="37"/>
      <c r="C5" s="37"/>
      <c r="D5" s="37"/>
      <c r="E5" s="37"/>
      <c r="F5" s="37"/>
      <c r="G5" s="37"/>
      <c r="H5" s="37"/>
      <c r="I5" s="37"/>
      <c r="J5" s="37"/>
      <c r="K5" s="37"/>
      <c r="L5" s="38"/>
      <c r="M5" s="37"/>
      <c r="N5" s="37"/>
      <c r="O5" s="37"/>
      <c r="P5" s="37"/>
      <c r="Q5" s="37"/>
      <c r="R5" s="38"/>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9"/>
      <c r="AT5" s="1330"/>
      <c r="AU5" s="1330"/>
      <c r="AV5" s="1330"/>
      <c r="AW5" s="1330"/>
      <c r="AX5" s="1330"/>
      <c r="AY5" s="1330"/>
      <c r="AZ5" s="1330"/>
      <c r="BA5" s="1330"/>
      <c r="BB5" s="1330"/>
      <c r="BC5" s="1330"/>
    </row>
    <row r="6" spans="1:55" x14ac:dyDescent="0.8">
      <c r="A6" s="230" t="s">
        <v>273</v>
      </c>
      <c r="B6" s="40"/>
      <c r="C6" s="40"/>
      <c r="D6" s="40"/>
      <c r="E6" s="41">
        <v>32328</v>
      </c>
      <c r="F6" s="41">
        <v>33107</v>
      </c>
      <c r="G6" s="41">
        <v>34190</v>
      </c>
      <c r="H6" s="41">
        <v>33996</v>
      </c>
      <c r="I6" s="41">
        <v>34271</v>
      </c>
      <c r="J6" s="41">
        <v>33328</v>
      </c>
      <c r="K6" s="41">
        <v>35290</v>
      </c>
      <c r="L6" s="42">
        <f t="shared" ref="L6:Q9" si="0">L$10*L15</f>
        <v>38841.369599999998</v>
      </c>
      <c r="M6" s="41">
        <f t="shared" si="0"/>
        <v>41226.736319999996</v>
      </c>
      <c r="N6" s="41">
        <f t="shared" si="0"/>
        <v>42556.631039999993</v>
      </c>
      <c r="O6" s="41">
        <f t="shared" si="0"/>
        <v>44258.896281599998</v>
      </c>
      <c r="P6" s="41">
        <f t="shared" si="0"/>
        <v>49791.258316799998</v>
      </c>
      <c r="Q6" s="41">
        <f t="shared" si="0"/>
        <v>51016.123271393277</v>
      </c>
      <c r="R6" s="42">
        <f>$R$10*R15</f>
        <v>50846.069527155305</v>
      </c>
      <c r="S6" s="41">
        <f t="shared" ref="S6:AS6" si="1">S$10*S15</f>
        <v>54552.747995684927</v>
      </c>
      <c r="T6" s="41">
        <f t="shared" si="1"/>
        <v>58131.953791681808</v>
      </c>
      <c r="U6" s="41">
        <f t="shared" si="1"/>
        <v>61564.587531126825</v>
      </c>
      <c r="V6" s="41">
        <f t="shared" si="1"/>
        <v>64836.382127339777</v>
      </c>
      <c r="W6" s="41">
        <f t="shared" si="1"/>
        <v>67937.486185211965</v>
      </c>
      <c r="X6" s="41">
        <f t="shared" si="1"/>
        <v>70861.972198468153</v>
      </c>
      <c r="Y6" s="41">
        <f t="shared" si="1"/>
        <v>73302.272635857924</v>
      </c>
      <c r="Z6" s="41">
        <f t="shared" si="1"/>
        <v>75321.74302230381</v>
      </c>
      <c r="AA6" s="41">
        <f t="shared" si="1"/>
        <v>76981.8282995466</v>
      </c>
      <c r="AB6" s="41">
        <f t="shared" si="1"/>
        <v>78339.167040233646</v>
      </c>
      <c r="AC6" s="41">
        <f t="shared" si="1"/>
        <v>79444.184041628905</v>
      </c>
      <c r="AD6" s="41">
        <f t="shared" si="1"/>
        <v>80340.66714038729</v>
      </c>
      <c r="AE6" s="41">
        <f t="shared" si="1"/>
        <v>80345.085877079997</v>
      </c>
      <c r="AF6" s="41">
        <f t="shared" si="1"/>
        <v>80349.504856803236</v>
      </c>
      <c r="AG6" s="41">
        <f t="shared" si="1"/>
        <v>80353.924079570352</v>
      </c>
      <c r="AH6" s="41">
        <f t="shared" si="1"/>
        <v>80358.343545394731</v>
      </c>
      <c r="AI6" s="41">
        <f t="shared" si="1"/>
        <v>80362.763254289719</v>
      </c>
      <c r="AJ6" s="41">
        <f t="shared" si="1"/>
        <v>80367.183206268703</v>
      </c>
      <c r="AK6" s="41">
        <f t="shared" si="1"/>
        <v>80371.603401345041</v>
      </c>
      <c r="AL6" s="41">
        <f t="shared" si="1"/>
        <v>80376.023839532107</v>
      </c>
      <c r="AM6" s="41">
        <f t="shared" si="1"/>
        <v>80380.444520843273</v>
      </c>
      <c r="AN6" s="41">
        <f t="shared" si="1"/>
        <v>80384.865445291929</v>
      </c>
      <c r="AO6" s="41">
        <f t="shared" si="1"/>
        <v>80389.286612891403</v>
      </c>
      <c r="AP6" s="41">
        <f t="shared" si="1"/>
        <v>80393.708023655112</v>
      </c>
      <c r="AQ6" s="41">
        <f t="shared" si="1"/>
        <v>80398.129677596415</v>
      </c>
      <c r="AR6" s="41">
        <f t="shared" si="1"/>
        <v>80402.551574728684</v>
      </c>
      <c r="AS6" s="43">
        <f t="shared" si="1"/>
        <v>80406.97371506528</v>
      </c>
      <c r="AT6" s="1330"/>
      <c r="AU6" s="1330"/>
      <c r="AV6" s="1330"/>
      <c r="AW6" s="1330"/>
      <c r="AX6" s="1330"/>
      <c r="AY6" s="1330"/>
      <c r="AZ6" s="1330"/>
      <c r="BA6" s="1330"/>
      <c r="BB6" s="1330"/>
      <c r="BC6" s="1330"/>
    </row>
    <row r="7" spans="1:55" x14ac:dyDescent="0.8">
      <c r="A7" s="230" t="s">
        <v>274</v>
      </c>
      <c r="B7" s="40"/>
      <c r="C7" s="40"/>
      <c r="D7" s="40"/>
      <c r="E7" s="41">
        <v>78981</v>
      </c>
      <c r="F7" s="41">
        <v>89836</v>
      </c>
      <c r="G7" s="41">
        <v>93510</v>
      </c>
      <c r="H7" s="41">
        <v>97104</v>
      </c>
      <c r="I7" s="41">
        <v>107378</v>
      </c>
      <c r="J7" s="41">
        <v>98408</v>
      </c>
      <c r="K7" s="41">
        <v>104711</v>
      </c>
      <c r="L7" s="42">
        <f t="shared" si="0"/>
        <v>128767.58399999999</v>
      </c>
      <c r="M7" s="41">
        <f t="shared" si="0"/>
        <v>140525.54207999998</v>
      </c>
      <c r="N7" s="41">
        <f t="shared" si="0"/>
        <v>170226.52415999997</v>
      </c>
      <c r="O7" s="41">
        <f t="shared" si="0"/>
        <v>177035.58512639999</v>
      </c>
      <c r="P7" s="41">
        <f t="shared" si="0"/>
        <v>216923.915400192</v>
      </c>
      <c r="Q7" s="41">
        <f t="shared" si="0"/>
        <v>243502.48908969987</v>
      </c>
      <c r="R7" s="42">
        <f>$R$10*R16</f>
        <v>289431.47269303788</v>
      </c>
      <c r="S7" s="41">
        <f t="shared" ref="S7:AS7" si="2">S$10*S16</f>
        <v>310531.02705236035</v>
      </c>
      <c r="T7" s="41">
        <f t="shared" si="2"/>
        <v>330904.96773726569</v>
      </c>
      <c r="U7" s="41">
        <f t="shared" si="2"/>
        <v>350444.57517718343</v>
      </c>
      <c r="V7" s="41">
        <f t="shared" si="2"/>
        <v>369068.63672485715</v>
      </c>
      <c r="W7" s="41">
        <f t="shared" si="2"/>
        <v>386721.07520812965</v>
      </c>
      <c r="X7" s="41">
        <f t="shared" si="2"/>
        <v>403368.1494374341</v>
      </c>
      <c r="Y7" s="41">
        <f t="shared" si="2"/>
        <v>417259.0903887297</v>
      </c>
      <c r="Z7" s="41">
        <f t="shared" si="2"/>
        <v>428754.53720388323</v>
      </c>
      <c r="AA7" s="41">
        <f t="shared" si="2"/>
        <v>438204.25339741906</v>
      </c>
      <c r="AB7" s="41">
        <f t="shared" si="2"/>
        <v>445930.64315209916</v>
      </c>
      <c r="AC7" s="41">
        <f t="shared" si="2"/>
        <v>452220.73992927221</v>
      </c>
      <c r="AD7" s="41">
        <f t="shared" si="2"/>
        <v>457323.79756835836</v>
      </c>
      <c r="AE7" s="41">
        <f t="shared" si="2"/>
        <v>457348.9503772246</v>
      </c>
      <c r="AF7" s="41">
        <f t="shared" si="2"/>
        <v>457374.10456949531</v>
      </c>
      <c r="AG7" s="41">
        <f t="shared" si="2"/>
        <v>457399.26014524658</v>
      </c>
      <c r="AH7" s="41">
        <f t="shared" si="2"/>
        <v>457424.4171045546</v>
      </c>
      <c r="AI7" s="41">
        <f t="shared" si="2"/>
        <v>457449.57544749527</v>
      </c>
      <c r="AJ7" s="41">
        <f t="shared" si="2"/>
        <v>457474.73517414485</v>
      </c>
      <c r="AK7" s="41">
        <f t="shared" si="2"/>
        <v>457499.89628457942</v>
      </c>
      <c r="AL7" s="41">
        <f t="shared" si="2"/>
        <v>457525.05877887504</v>
      </c>
      <c r="AM7" s="41">
        <f t="shared" si="2"/>
        <v>457550.22265710786</v>
      </c>
      <c r="AN7" s="41">
        <f t="shared" si="2"/>
        <v>457575.38791935402</v>
      </c>
      <c r="AO7" s="41">
        <f t="shared" si="2"/>
        <v>457600.55456568953</v>
      </c>
      <c r="AP7" s="41">
        <f t="shared" si="2"/>
        <v>457625.72259619064</v>
      </c>
      <c r="AQ7" s="41">
        <f t="shared" si="2"/>
        <v>457650.89201093343</v>
      </c>
      <c r="AR7" s="41">
        <f t="shared" si="2"/>
        <v>457676.06280999398</v>
      </c>
      <c r="AS7" s="43">
        <f t="shared" si="2"/>
        <v>457701.23499344848</v>
      </c>
      <c r="AT7" s="1330"/>
      <c r="AU7" s="1330"/>
      <c r="AV7" s="1330"/>
      <c r="AW7" s="1330"/>
      <c r="AX7" s="1330"/>
      <c r="AY7" s="1330"/>
      <c r="AZ7" s="1330"/>
      <c r="BA7" s="1330"/>
      <c r="BB7" s="1330"/>
      <c r="BC7" s="1330"/>
    </row>
    <row r="8" spans="1:55" x14ac:dyDescent="0.8">
      <c r="A8" s="230" t="s">
        <v>275</v>
      </c>
      <c r="B8" s="40"/>
      <c r="C8" s="40"/>
      <c r="D8" s="40"/>
      <c r="E8" s="41">
        <v>32296</v>
      </c>
      <c r="F8" s="41">
        <v>38498</v>
      </c>
      <c r="G8" s="41">
        <v>41599</v>
      </c>
      <c r="H8" s="41">
        <v>40010</v>
      </c>
      <c r="I8" s="41">
        <v>41931</v>
      </c>
      <c r="J8" s="41">
        <v>33222</v>
      </c>
      <c r="K8" s="41">
        <v>34607</v>
      </c>
      <c r="L8" s="42">
        <f t="shared" si="0"/>
        <v>41796.691200000001</v>
      </c>
      <c r="M8" s="41">
        <f t="shared" si="0"/>
        <v>38079.318815999999</v>
      </c>
      <c r="N8" s="41">
        <f t="shared" si="0"/>
        <v>50961.565670399992</v>
      </c>
      <c r="O8" s="41">
        <f t="shared" si="0"/>
        <v>52972.366487040003</v>
      </c>
      <c r="P8" s="41">
        <f t="shared" si="0"/>
        <v>62405.043757055995</v>
      </c>
      <c r="Q8" s="41">
        <f t="shared" si="0"/>
        <v>64222.424685619197</v>
      </c>
      <c r="R8" s="42">
        <f>$R$10*R17</f>
        <v>46934.833409681822</v>
      </c>
      <c r="S8" s="41">
        <f t="shared" ref="S8:AS8" si="3">S$10*S17</f>
        <v>50356.382765247617</v>
      </c>
      <c r="T8" s="41">
        <f t="shared" si="3"/>
        <v>53660.265038475511</v>
      </c>
      <c r="U8" s="41">
        <f t="shared" si="3"/>
        <v>56828.85002873245</v>
      </c>
      <c r="V8" s="41">
        <f t="shared" si="3"/>
        <v>59848.968117544398</v>
      </c>
      <c r="W8" s="41">
        <f t="shared" si="3"/>
        <v>62711.525709426431</v>
      </c>
      <c r="X8" s="41">
        <f t="shared" si="3"/>
        <v>65411.051260124441</v>
      </c>
      <c r="Y8" s="41">
        <f t="shared" si="3"/>
        <v>67663.636279253464</v>
      </c>
      <c r="Z8" s="41">
        <f t="shared" si="3"/>
        <v>69527.762789818909</v>
      </c>
      <c r="AA8" s="41">
        <f t="shared" si="3"/>
        <v>71060.149199581458</v>
      </c>
      <c r="AB8" s="41">
        <f t="shared" si="3"/>
        <v>72313.077267907967</v>
      </c>
      <c r="AC8" s="41">
        <f t="shared" si="3"/>
        <v>73333.0929615036</v>
      </c>
      <c r="AD8" s="41">
        <f t="shared" si="3"/>
        <v>74160.615821895946</v>
      </c>
      <c r="AE8" s="41">
        <f t="shared" si="3"/>
        <v>74164.694655766143</v>
      </c>
      <c r="AF8" s="41">
        <f t="shared" si="3"/>
        <v>74168.773713972201</v>
      </c>
      <c r="AG8" s="41">
        <f t="shared" si="3"/>
        <v>74172.852996526475</v>
      </c>
      <c r="AH8" s="41">
        <f t="shared" si="3"/>
        <v>74176.932503441276</v>
      </c>
      <c r="AI8" s="41">
        <f t="shared" si="3"/>
        <v>74181.012234728958</v>
      </c>
      <c r="AJ8" s="41">
        <f t="shared" si="3"/>
        <v>74185.092190401861</v>
      </c>
      <c r="AK8" s="41">
        <f t="shared" si="3"/>
        <v>74189.172370472326</v>
      </c>
      <c r="AL8" s="41">
        <f t="shared" si="3"/>
        <v>74193.252774952707</v>
      </c>
      <c r="AM8" s="41">
        <f t="shared" si="3"/>
        <v>74197.333403855329</v>
      </c>
      <c r="AN8" s="41">
        <f t="shared" si="3"/>
        <v>74201.414257192533</v>
      </c>
      <c r="AO8" s="41">
        <f t="shared" si="3"/>
        <v>74205.495334976687</v>
      </c>
      <c r="AP8" s="41">
        <f t="shared" si="3"/>
        <v>74209.576637220103</v>
      </c>
      <c r="AQ8" s="41">
        <f t="shared" si="3"/>
        <v>74213.65816393515</v>
      </c>
      <c r="AR8" s="41">
        <f t="shared" si="3"/>
        <v>74217.739915134152</v>
      </c>
      <c r="AS8" s="43">
        <f t="shared" si="3"/>
        <v>74221.82189082948</v>
      </c>
      <c r="AT8" s="1330"/>
      <c r="AU8" s="1330"/>
      <c r="AV8" s="1330"/>
      <c r="AW8" s="1330"/>
      <c r="AX8" s="1330"/>
      <c r="AY8" s="1330"/>
      <c r="AZ8" s="1330"/>
      <c r="BA8" s="1330"/>
      <c r="BB8" s="1330"/>
      <c r="BC8" s="1330"/>
    </row>
    <row r="9" spans="1:55" x14ac:dyDescent="0.8">
      <c r="A9" s="230" t="s">
        <v>276</v>
      </c>
      <c r="B9" s="40"/>
      <c r="C9" s="40"/>
      <c r="D9" s="40"/>
      <c r="E9" s="41">
        <v>1292</v>
      </c>
      <c r="F9" s="41">
        <v>936</v>
      </c>
      <c r="G9" s="41">
        <v>936</v>
      </c>
      <c r="H9" s="41">
        <v>917</v>
      </c>
      <c r="I9" s="41">
        <v>1253</v>
      </c>
      <c r="J9" s="41">
        <v>1304</v>
      </c>
      <c r="K9" s="41">
        <v>1304</v>
      </c>
      <c r="L9" s="225">
        <f t="shared" si="0"/>
        <v>1688.7552000000001</v>
      </c>
      <c r="M9" s="41">
        <f t="shared" si="0"/>
        <v>1817.522784</v>
      </c>
      <c r="N9" s="41">
        <f t="shared" si="0"/>
        <v>2234.2231295999995</v>
      </c>
      <c r="O9" s="41">
        <f t="shared" si="0"/>
        <v>2351.2538649600001</v>
      </c>
      <c r="P9" s="41">
        <f t="shared" si="0"/>
        <v>2821.5046379519999</v>
      </c>
      <c r="Q9" s="41">
        <f t="shared" si="0"/>
        <v>3075.4400553676801</v>
      </c>
      <c r="R9" s="42">
        <f>$R$10*R18</f>
        <v>3911.2361174734851</v>
      </c>
      <c r="S9" s="41">
        <f t="shared" ref="S9:AS9" si="4">S$10*S18</f>
        <v>4196.3652304373018</v>
      </c>
      <c r="T9" s="41">
        <f t="shared" si="4"/>
        <v>4471.6887532062929</v>
      </c>
      <c r="U9" s="41">
        <f t="shared" si="4"/>
        <v>4735.7375023943714</v>
      </c>
      <c r="V9" s="41">
        <f t="shared" si="4"/>
        <v>4987.4140097953668</v>
      </c>
      <c r="W9" s="41">
        <f t="shared" si="4"/>
        <v>5225.9604757855359</v>
      </c>
      <c r="X9" s="41">
        <f t="shared" si="4"/>
        <v>5450.9209383437037</v>
      </c>
      <c r="Y9" s="41">
        <f t="shared" si="4"/>
        <v>5638.6363566044556</v>
      </c>
      <c r="Z9" s="41">
        <f t="shared" si="4"/>
        <v>5793.9802324849088</v>
      </c>
      <c r="AA9" s="41">
        <f t="shared" si="4"/>
        <v>5921.6790999651221</v>
      </c>
      <c r="AB9" s="41">
        <f t="shared" si="4"/>
        <v>6026.0897723256649</v>
      </c>
      <c r="AC9" s="41">
        <f t="shared" si="4"/>
        <v>6111.0910801253003</v>
      </c>
      <c r="AD9" s="41">
        <f t="shared" si="4"/>
        <v>6180.0513184913298</v>
      </c>
      <c r="AE9" s="41">
        <f t="shared" si="4"/>
        <v>6180.3912213138456</v>
      </c>
      <c r="AF9" s="41">
        <f t="shared" si="4"/>
        <v>6180.7311428310177</v>
      </c>
      <c r="AG9" s="41">
        <f t="shared" si="4"/>
        <v>6181.0710830438729</v>
      </c>
      <c r="AH9" s="41">
        <f t="shared" si="4"/>
        <v>6181.4110419534409</v>
      </c>
      <c r="AI9" s="41">
        <f t="shared" si="4"/>
        <v>6181.7510195607474</v>
      </c>
      <c r="AJ9" s="41">
        <f t="shared" si="4"/>
        <v>6182.091015866823</v>
      </c>
      <c r="AK9" s="41">
        <f t="shared" si="4"/>
        <v>6182.4310308726945</v>
      </c>
      <c r="AL9" s="41">
        <f t="shared" si="4"/>
        <v>6182.7710645793923</v>
      </c>
      <c r="AM9" s="41">
        <f t="shared" si="4"/>
        <v>6183.1111169879441</v>
      </c>
      <c r="AN9" s="41">
        <f t="shared" si="4"/>
        <v>6183.4511880993787</v>
      </c>
      <c r="AO9" s="41">
        <f t="shared" si="4"/>
        <v>6183.7912779147237</v>
      </c>
      <c r="AP9" s="41">
        <f t="shared" si="4"/>
        <v>6184.1313864350086</v>
      </c>
      <c r="AQ9" s="41">
        <f t="shared" si="4"/>
        <v>6184.4715136612631</v>
      </c>
      <c r="AR9" s="41">
        <f t="shared" si="4"/>
        <v>6184.8116595945139</v>
      </c>
      <c r="AS9" s="43">
        <f t="shared" si="4"/>
        <v>6185.1518242357906</v>
      </c>
      <c r="AT9" s="1330"/>
      <c r="AU9" s="1330"/>
      <c r="AV9" s="1330"/>
      <c r="AW9" s="1330"/>
      <c r="AX9" s="1330"/>
      <c r="AY9" s="1330"/>
      <c r="AZ9" s="1330"/>
      <c r="BA9" s="1330"/>
      <c r="BB9" s="1330"/>
      <c r="BC9" s="1330"/>
    </row>
    <row r="10" spans="1:55" x14ac:dyDescent="0.8">
      <c r="A10" s="44" t="s">
        <v>277</v>
      </c>
      <c r="B10" s="40"/>
      <c r="C10" s="40"/>
      <c r="D10" s="40"/>
      <c r="E10" s="45">
        <f t="shared" ref="E10:K10" si="5">SUM(E6:E9)</f>
        <v>144897</v>
      </c>
      <c r="F10" s="45">
        <f t="shared" si="5"/>
        <v>162377</v>
      </c>
      <c r="G10" s="45">
        <f t="shared" si="5"/>
        <v>170235</v>
      </c>
      <c r="H10" s="45">
        <f t="shared" si="5"/>
        <v>172027</v>
      </c>
      <c r="I10" s="45">
        <f t="shared" si="5"/>
        <v>184833</v>
      </c>
      <c r="J10" s="45">
        <f t="shared" si="5"/>
        <v>166262</v>
      </c>
      <c r="K10" s="45">
        <f t="shared" si="5"/>
        <v>175912</v>
      </c>
      <c r="L10" s="46">
        <f>K10*(1+'Forecast Drivers '!H17)</f>
        <v>211094.39999999999</v>
      </c>
      <c r="M10" s="46">
        <f>L10*(1+'Forecast Drivers '!I17)</f>
        <v>221649.12</v>
      </c>
      <c r="N10" s="46">
        <f>M10*(1+'Forecast Drivers '!J17)</f>
        <v>265978.94399999996</v>
      </c>
      <c r="O10" s="46">
        <f>N10*(1+'Forecast Drivers '!K17)</f>
        <v>276618.10175999999</v>
      </c>
      <c r="P10" s="46">
        <f>O10*(1+'Forecast Drivers '!L17)</f>
        <v>331941.72211199999</v>
      </c>
      <c r="Q10" s="46">
        <f>P10*(1+'Forecast Drivers '!M17)</f>
        <v>361816.47710208001</v>
      </c>
      <c r="R10" s="46">
        <f>Q10*(1+'Forecast Drivers '!N17)</f>
        <v>391123.61174734851</v>
      </c>
      <c r="S10" s="45">
        <f>R10*(1+'Forecast Drivers '!O17)</f>
        <v>419636.52304373018</v>
      </c>
      <c r="T10" s="45">
        <f>S10*(1+'Forecast Drivers '!P17)</f>
        <v>447168.87532062927</v>
      </c>
      <c r="U10" s="45">
        <f>T10*(1+'Forecast Drivers '!Q17)</f>
        <v>473573.7502394371</v>
      </c>
      <c r="V10" s="45">
        <f>U10*(1+'Forecast Drivers '!R17)</f>
        <v>498741.4009795367</v>
      </c>
      <c r="W10" s="46">
        <f>V10*(1+'Forecast Drivers '!S17)</f>
        <v>522596.04757855361</v>
      </c>
      <c r="X10" s="46">
        <f>W10*(1+'Forecast Drivers '!T17)</f>
        <v>545092.09383437037</v>
      </c>
      <c r="Y10" s="46">
        <f>X10*(1+'Forecast Drivers '!U17)</f>
        <v>563863.63566044555</v>
      </c>
      <c r="Z10" s="46">
        <f>Y10*(1+'Forecast Drivers '!V17)</f>
        <v>579398.02324849088</v>
      </c>
      <c r="AA10" s="45">
        <f>Z10*(1+'Forecast Drivers '!W17)</f>
        <v>592167.90999651223</v>
      </c>
      <c r="AB10" s="46">
        <f>AA10*(1+'Forecast Drivers '!X17)</f>
        <v>602608.97723256645</v>
      </c>
      <c r="AC10" s="46">
        <f>AB10*(1+'Forecast Drivers '!Y17)</f>
        <v>611109.10801253002</v>
      </c>
      <c r="AD10" s="46">
        <f>AC10*(1+'Forecast Drivers '!Z17)</f>
        <v>618005.13184913294</v>
      </c>
      <c r="AE10" s="46">
        <f>AD10*(1+'Forecast Drivers '!AA17)</f>
        <v>618039.12213138456</v>
      </c>
      <c r="AF10" s="46">
        <f>AE10*(1+'Forecast Drivers '!AB17)</f>
        <v>618073.11428310175</v>
      </c>
      <c r="AG10" s="46">
        <f>AF10*(1+'Forecast Drivers '!AC17)</f>
        <v>618107.10830438731</v>
      </c>
      <c r="AH10" s="46">
        <f>AG10*(1+'Forecast Drivers '!AD17)</f>
        <v>618141.10419534403</v>
      </c>
      <c r="AI10" s="46">
        <f>AH10*(1+'Forecast Drivers '!AE17)</f>
        <v>618175.10195607471</v>
      </c>
      <c r="AJ10" s="46">
        <f>AI10*(1+'Forecast Drivers '!AF17)</f>
        <v>618209.10158668226</v>
      </c>
      <c r="AK10" s="46">
        <f>AJ10*(1+'Forecast Drivers '!AG17)</f>
        <v>618243.10308726947</v>
      </c>
      <c r="AL10" s="46">
        <f>AK10*(1+'Forecast Drivers '!AH17)</f>
        <v>618277.10645793926</v>
      </c>
      <c r="AM10" s="46">
        <f>AL10*(1+'Forecast Drivers '!AI17)</f>
        <v>618311.11169879441</v>
      </c>
      <c r="AN10" s="46">
        <f>AM10*(1+'Forecast Drivers '!AJ17)</f>
        <v>618345.11880993785</v>
      </c>
      <c r="AO10" s="46">
        <f>AN10*(1+'Forecast Drivers '!AK17)</f>
        <v>618379.12779147236</v>
      </c>
      <c r="AP10" s="46">
        <f>AO10*(1+'Forecast Drivers '!AL17)</f>
        <v>618413.13864350086</v>
      </c>
      <c r="AQ10" s="46">
        <f>AP10*(1+'Forecast Drivers '!AM17)</f>
        <v>618447.15136612626</v>
      </c>
      <c r="AR10" s="46">
        <f>AQ10*(1+'Forecast Drivers '!AN17)</f>
        <v>618481.16595945135</v>
      </c>
      <c r="AS10" s="47">
        <f>AR10*(1+'Forecast Drivers '!AO17)</f>
        <v>618515.18242357904</v>
      </c>
      <c r="AT10" s="1330"/>
      <c r="AU10" s="1330"/>
      <c r="AV10" s="1330"/>
      <c r="AW10" s="1330"/>
      <c r="AX10" s="1330"/>
      <c r="AY10" s="1330"/>
      <c r="AZ10" s="1330"/>
      <c r="BA10" s="1330"/>
      <c r="BB10" s="1330"/>
      <c r="BC10" s="1330"/>
    </row>
    <row r="11" spans="1:55" x14ac:dyDescent="0.8">
      <c r="A11" s="48" t="s">
        <v>159</v>
      </c>
      <c r="B11" s="40"/>
      <c r="C11" s="40"/>
      <c r="D11" s="40"/>
      <c r="E11" s="40"/>
      <c r="F11" s="51">
        <f t="shared" ref="F11:AS11" si="6">(F10-E10)/E10</f>
        <v>0.12063741830403667</v>
      </c>
      <c r="G11" s="51">
        <f t="shared" si="6"/>
        <v>4.8393553274170602E-2</v>
      </c>
      <c r="H11" s="51">
        <f t="shared" si="6"/>
        <v>1.052662495961465E-2</v>
      </c>
      <c r="I11" s="51">
        <f t="shared" si="6"/>
        <v>7.4441802740267515E-2</v>
      </c>
      <c r="J11" s="51">
        <f t="shared" si="6"/>
        <v>-0.10047448237057235</v>
      </c>
      <c r="K11" s="51">
        <f t="shared" si="6"/>
        <v>5.804092336192275E-2</v>
      </c>
      <c r="L11" s="215">
        <f t="shared" si="6"/>
        <v>0.19999999999999996</v>
      </c>
      <c r="M11" s="51">
        <f t="shared" si="6"/>
        <v>5.000000000000001E-2</v>
      </c>
      <c r="N11" s="51">
        <f t="shared" si="6"/>
        <v>0.19999999999999984</v>
      </c>
      <c r="O11" s="51">
        <f t="shared" si="6"/>
        <v>4.0000000000000126E-2</v>
      </c>
      <c r="P11" s="51">
        <f t="shared" si="6"/>
        <v>0.2</v>
      </c>
      <c r="Q11" s="51">
        <f t="shared" si="6"/>
        <v>9.0000000000000066E-2</v>
      </c>
      <c r="R11" s="215">
        <f t="shared" si="6"/>
        <v>8.1000000000000044E-2</v>
      </c>
      <c r="S11" s="51">
        <f t="shared" si="6"/>
        <v>7.2899999999999909E-2</v>
      </c>
      <c r="T11" s="51">
        <f t="shared" si="6"/>
        <v>6.5609999999999905E-2</v>
      </c>
      <c r="U11" s="51">
        <f t="shared" si="6"/>
        <v>5.9048999999999963E-2</v>
      </c>
      <c r="V11" s="51">
        <f t="shared" si="6"/>
        <v>5.3144099999999868E-2</v>
      </c>
      <c r="W11" s="51">
        <f t="shared" si="6"/>
        <v>4.7829689999999946E-2</v>
      </c>
      <c r="X11" s="51">
        <f t="shared" si="6"/>
        <v>4.3046721000000079E-2</v>
      </c>
      <c r="Y11" s="51">
        <f t="shared" si="6"/>
        <v>3.4437376800000009E-2</v>
      </c>
      <c r="Z11" s="51">
        <f t="shared" si="6"/>
        <v>2.7549901439999969E-2</v>
      </c>
      <c r="AA11" s="51">
        <f t="shared" si="6"/>
        <v>2.2039921151999913E-2</v>
      </c>
      <c r="AB11" s="51">
        <f t="shared" si="6"/>
        <v>1.7631936921600023E-2</v>
      </c>
      <c r="AC11" s="51">
        <f t="shared" si="6"/>
        <v>1.4105549537279945E-2</v>
      </c>
      <c r="AD11" s="51">
        <f t="shared" si="6"/>
        <v>1.1284439629823891E-2</v>
      </c>
      <c r="AE11" s="51">
        <f t="shared" si="6"/>
        <v>5.499999999986035E-5</v>
      </c>
      <c r="AF11" s="51">
        <f t="shared" si="6"/>
        <v>5.4999999999941021E-5</v>
      </c>
      <c r="AG11" s="51">
        <f t="shared" si="6"/>
        <v>5.4999999999979815E-5</v>
      </c>
      <c r="AH11" s="51">
        <f t="shared" si="6"/>
        <v>5.4999999999967591E-5</v>
      </c>
      <c r="AI11" s="51">
        <f t="shared" si="6"/>
        <v>5.4999999999895214E-5</v>
      </c>
      <c r="AJ11" s="51">
        <f t="shared" si="6"/>
        <v>5.4999999999941862E-5</v>
      </c>
      <c r="AK11" s="51">
        <f t="shared" si="6"/>
        <v>5.4999999999910061E-5</v>
      </c>
      <c r="AL11" s="51">
        <f t="shared" si="6"/>
        <v>5.4999999999978968E-5</v>
      </c>
      <c r="AM11" s="51">
        <f t="shared" si="6"/>
        <v>5.4999999999951132E-5</v>
      </c>
      <c r="AN11" s="51">
        <f t="shared" si="6"/>
        <v>5.5000000000005694E-5</v>
      </c>
      <c r="AO11" s="51">
        <f t="shared" si="6"/>
        <v>5.4999999999945229E-5</v>
      </c>
      <c r="AP11" s="51">
        <f t="shared" si="6"/>
        <v>5.4999999999948861E-5</v>
      </c>
      <c r="AQ11" s="51">
        <f t="shared" si="6"/>
        <v>5.5000000000007436E-5</v>
      </c>
      <c r="AR11" s="51">
        <f t="shared" si="6"/>
        <v>5.4999999999923552E-5</v>
      </c>
      <c r="AS11" s="52">
        <f t="shared" si="6"/>
        <v>5.4999999999876315E-5</v>
      </c>
      <c r="AT11" s="1330"/>
      <c r="AU11" s="1330"/>
      <c r="AV11" s="1330"/>
      <c r="AW11" s="1330"/>
      <c r="AX11" s="1330"/>
      <c r="AY11" s="1330"/>
      <c r="AZ11" s="1330"/>
      <c r="BA11" s="1330"/>
      <c r="BB11" s="1330"/>
      <c r="BC11" s="1330"/>
    </row>
    <row r="12" spans="1:55" x14ac:dyDescent="0.8">
      <c r="A12" s="53"/>
      <c r="B12" s="40"/>
      <c r="C12" s="40"/>
      <c r="D12" s="40"/>
      <c r="E12" s="40"/>
      <c r="F12" s="40"/>
      <c r="G12" s="40"/>
      <c r="H12" s="40"/>
      <c r="I12" s="40"/>
      <c r="J12" s="40"/>
      <c r="K12" s="40"/>
      <c r="M12" s="40"/>
      <c r="N12" s="41"/>
      <c r="O12" s="40"/>
      <c r="P12" s="40"/>
      <c r="Q12" s="40"/>
      <c r="AS12" s="54"/>
      <c r="AT12" s="1330"/>
      <c r="AU12" s="1330"/>
      <c r="AV12" s="1330"/>
      <c r="AW12" s="1330"/>
      <c r="AX12" s="1330"/>
      <c r="AY12" s="1330"/>
      <c r="AZ12" s="1330"/>
      <c r="BA12" s="1330"/>
      <c r="BB12" s="1330"/>
      <c r="BC12" s="1330"/>
    </row>
    <row r="13" spans="1:55" x14ac:dyDescent="0.8">
      <c r="A13" s="53"/>
      <c r="B13" s="40"/>
      <c r="C13" s="40"/>
      <c r="D13" s="40"/>
      <c r="E13" s="40"/>
      <c r="F13" s="40"/>
      <c r="G13" s="40"/>
      <c r="H13" s="40"/>
      <c r="I13" s="40"/>
      <c r="J13" s="40"/>
      <c r="K13" s="40"/>
      <c r="M13" s="40"/>
      <c r="N13" s="40"/>
      <c r="O13" s="40"/>
      <c r="P13" s="40"/>
      <c r="Q13" s="40"/>
      <c r="AS13" s="54"/>
      <c r="AT13" s="1330"/>
      <c r="AU13" s="1330"/>
      <c r="AV13" s="1330"/>
      <c r="AW13" s="1330"/>
      <c r="AX13" s="1330"/>
      <c r="AY13" s="1330"/>
      <c r="AZ13" s="1330"/>
      <c r="BA13" s="1330"/>
      <c r="BB13" s="1330"/>
      <c r="BC13" s="1330"/>
    </row>
    <row r="14" spans="1:55" x14ac:dyDescent="0.8">
      <c r="A14" s="55" t="s">
        <v>278</v>
      </c>
      <c r="B14" s="40"/>
      <c r="C14" s="40"/>
      <c r="D14" s="40"/>
      <c r="E14" s="40"/>
      <c r="F14" s="40"/>
      <c r="G14" s="40"/>
      <c r="H14" s="40"/>
      <c r="I14" s="40"/>
      <c r="J14" s="40"/>
      <c r="K14" s="40"/>
      <c r="M14" s="40"/>
      <c r="N14" s="40"/>
      <c r="O14" s="40"/>
      <c r="P14" s="40"/>
      <c r="Q14" s="40"/>
      <c r="AS14" s="54"/>
      <c r="AT14" s="1330"/>
      <c r="AU14" s="1330"/>
      <c r="AV14" s="1330"/>
      <c r="AW14" s="1330"/>
      <c r="AX14" s="1330"/>
      <c r="AY14" s="1330"/>
      <c r="AZ14" s="1330"/>
      <c r="BA14" s="1330"/>
      <c r="BB14" s="1330"/>
      <c r="BC14" s="1330"/>
    </row>
    <row r="15" spans="1:55" x14ac:dyDescent="0.8">
      <c r="A15" s="230" t="s">
        <v>273</v>
      </c>
      <c r="B15" s="40"/>
      <c r="C15" s="40"/>
      <c r="D15" s="40"/>
      <c r="E15" s="25">
        <f>E6/$E$10</f>
        <v>0.22311020932110395</v>
      </c>
      <c r="F15" s="25">
        <f>F6/$F$10</f>
        <v>0.2038897134446381</v>
      </c>
      <c r="G15" s="25">
        <f>G6/$G$10</f>
        <v>0.20084001527300496</v>
      </c>
      <c r="H15" s="25">
        <f>H6/$H$10</f>
        <v>0.19762014102437409</v>
      </c>
      <c r="I15" s="25">
        <f>I6/$I$10</f>
        <v>0.18541602419481371</v>
      </c>
      <c r="J15" s="25">
        <f>J6/$J$10</f>
        <v>0.20045470402136387</v>
      </c>
      <c r="K15" s="25">
        <f>K6/$K$10</f>
        <v>0.20061166947109918</v>
      </c>
      <c r="L15" s="56">
        <f>'Forecast Drivers '!H11</f>
        <v>0.184</v>
      </c>
      <c r="M15" s="25">
        <f>'Forecast Drivers '!I11</f>
        <v>0.186</v>
      </c>
      <c r="N15" s="25">
        <f>'Forecast Drivers '!J11</f>
        <v>0.16</v>
      </c>
      <c r="O15" s="25">
        <f>'Forecast Drivers '!K11</f>
        <v>0.16</v>
      </c>
      <c r="P15" s="25">
        <f>'Forecast Drivers '!L11</f>
        <v>0.15</v>
      </c>
      <c r="Q15" s="25">
        <f>'Forecast Drivers '!M11</f>
        <v>0.14099999999999999</v>
      </c>
      <c r="R15" s="56">
        <f>'Forecast Drivers '!N11</f>
        <v>0.13</v>
      </c>
      <c r="S15" s="25">
        <f>'Forecast Drivers '!O11</f>
        <v>0.13</v>
      </c>
      <c r="T15" s="25">
        <f>'Forecast Drivers '!P11</f>
        <v>0.13</v>
      </c>
      <c r="U15" s="25">
        <f>'Forecast Drivers '!Q11</f>
        <v>0.13</v>
      </c>
      <c r="V15" s="25">
        <f>'Forecast Drivers '!R11</f>
        <v>0.13</v>
      </c>
      <c r="W15" s="25">
        <f>'Forecast Drivers '!S11</f>
        <v>0.13</v>
      </c>
      <c r="X15" s="25">
        <f>'Forecast Drivers '!T11</f>
        <v>0.13</v>
      </c>
      <c r="Y15" s="25">
        <f>'Forecast Drivers '!U11</f>
        <v>0.13</v>
      </c>
      <c r="Z15" s="25">
        <f>'Forecast Drivers '!V11</f>
        <v>0.13</v>
      </c>
      <c r="AA15" s="25">
        <f>'Forecast Drivers '!W11</f>
        <v>0.13</v>
      </c>
      <c r="AB15" s="25">
        <f>'Forecast Drivers '!X11</f>
        <v>0.13</v>
      </c>
      <c r="AC15" s="25">
        <f>'Forecast Drivers '!Y11</f>
        <v>0.13</v>
      </c>
      <c r="AD15" s="25">
        <f>'Forecast Drivers '!Z11</f>
        <v>0.13</v>
      </c>
      <c r="AE15" s="25">
        <f>'Forecast Drivers '!AA11</f>
        <v>0.13</v>
      </c>
      <c r="AF15" s="25">
        <f>'Forecast Drivers '!AB11</f>
        <v>0.13</v>
      </c>
      <c r="AG15" s="25">
        <f>'Forecast Drivers '!AC11</f>
        <v>0.13</v>
      </c>
      <c r="AH15" s="25">
        <f>'Forecast Drivers '!AD11</f>
        <v>0.13</v>
      </c>
      <c r="AI15" s="25">
        <f>'Forecast Drivers '!AE11</f>
        <v>0.13</v>
      </c>
      <c r="AJ15" s="25">
        <f>'Forecast Drivers '!AF11</f>
        <v>0.13</v>
      </c>
      <c r="AK15" s="25">
        <f>'Forecast Drivers '!AG11</f>
        <v>0.13</v>
      </c>
      <c r="AL15" s="25">
        <f>'Forecast Drivers '!AH11</f>
        <v>0.13</v>
      </c>
      <c r="AM15" s="25">
        <f>'Forecast Drivers '!AI11</f>
        <v>0.13</v>
      </c>
      <c r="AN15" s="25">
        <f>'Forecast Drivers '!AJ11</f>
        <v>0.13</v>
      </c>
      <c r="AO15" s="25">
        <f>'Forecast Drivers '!AK11</f>
        <v>0.13</v>
      </c>
      <c r="AP15" s="25">
        <f>'Forecast Drivers '!AL11</f>
        <v>0.13</v>
      </c>
      <c r="AQ15" s="25">
        <f>'Forecast Drivers '!AM11</f>
        <v>0.13</v>
      </c>
      <c r="AR15" s="25">
        <f>'Forecast Drivers '!AN11</f>
        <v>0.13</v>
      </c>
      <c r="AS15" s="57">
        <f>'Forecast Drivers '!AO11</f>
        <v>0.13</v>
      </c>
      <c r="AT15" s="1330"/>
      <c r="AU15" s="1330"/>
      <c r="AV15" s="1330"/>
      <c r="AW15" s="1330"/>
      <c r="AX15" s="1330"/>
      <c r="AY15" s="1330"/>
      <c r="AZ15" s="1330"/>
      <c r="BA15" s="1330"/>
      <c r="BB15" s="1330"/>
      <c r="BC15" s="1330"/>
    </row>
    <row r="16" spans="1:55" x14ac:dyDescent="0.8">
      <c r="A16" s="230" t="s">
        <v>274</v>
      </c>
      <c r="B16" s="40"/>
      <c r="C16" s="40"/>
      <c r="D16" s="40"/>
      <c r="E16" s="25">
        <f>E7/$E$10</f>
        <v>0.54508374914594504</v>
      </c>
      <c r="F16" s="25">
        <f>F7/$F$10</f>
        <v>0.55325569507996819</v>
      </c>
      <c r="G16" s="25">
        <f>G7/$G$10</f>
        <v>0.54929949775310605</v>
      </c>
      <c r="H16" s="25">
        <f>H7/$H$10</f>
        <v>0.56446953094572361</v>
      </c>
      <c r="I16" s="25">
        <f>I7/$I$10</f>
        <v>0.58094604318492915</v>
      </c>
      <c r="J16" s="25">
        <f>J7/$J$10</f>
        <v>0.59188509701555381</v>
      </c>
      <c r="K16" s="25">
        <f>K7/$K$10</f>
        <v>0.59524648687980353</v>
      </c>
      <c r="L16" s="56">
        <f>'Forecast Drivers '!H12</f>
        <v>0.61</v>
      </c>
      <c r="M16" s="25">
        <f>'Forecast Drivers '!I12</f>
        <v>0.63400000000000001</v>
      </c>
      <c r="N16" s="25">
        <f>'Forecast Drivers '!J12</f>
        <v>0.64</v>
      </c>
      <c r="O16" s="25">
        <f>'Forecast Drivers '!K12</f>
        <v>0.64</v>
      </c>
      <c r="P16" s="25">
        <f>'Forecast Drivers '!L12</f>
        <v>0.65349999999999997</v>
      </c>
      <c r="Q16" s="25">
        <f>'Forecast Drivers '!M12</f>
        <v>0.67300000000000004</v>
      </c>
      <c r="R16" s="56">
        <f>'Forecast Drivers '!N12</f>
        <v>0.74</v>
      </c>
      <c r="S16" s="25">
        <f>'Forecast Drivers '!O12</f>
        <v>0.74</v>
      </c>
      <c r="T16" s="25">
        <f>'Forecast Drivers '!P12</f>
        <v>0.74</v>
      </c>
      <c r="U16" s="25">
        <f>'Forecast Drivers '!Q12</f>
        <v>0.74</v>
      </c>
      <c r="V16" s="25">
        <f>'Forecast Drivers '!R12</f>
        <v>0.74</v>
      </c>
      <c r="W16" s="25">
        <f>'Forecast Drivers '!S12</f>
        <v>0.74</v>
      </c>
      <c r="X16" s="25">
        <f>'Forecast Drivers '!T12</f>
        <v>0.74</v>
      </c>
      <c r="Y16" s="25">
        <f>'Forecast Drivers '!U12</f>
        <v>0.74</v>
      </c>
      <c r="Z16" s="25">
        <f>'Forecast Drivers '!V12</f>
        <v>0.74</v>
      </c>
      <c r="AA16" s="25">
        <f>'Forecast Drivers '!W12</f>
        <v>0.74</v>
      </c>
      <c r="AB16" s="25">
        <f>'Forecast Drivers '!X12</f>
        <v>0.74</v>
      </c>
      <c r="AC16" s="25">
        <f>'Forecast Drivers '!Y12</f>
        <v>0.74</v>
      </c>
      <c r="AD16" s="25">
        <f>'Forecast Drivers '!Z12</f>
        <v>0.74</v>
      </c>
      <c r="AE16" s="25">
        <f>'Forecast Drivers '!AA12</f>
        <v>0.74</v>
      </c>
      <c r="AF16" s="25">
        <f>'Forecast Drivers '!AB12</f>
        <v>0.74</v>
      </c>
      <c r="AG16" s="25">
        <f>'Forecast Drivers '!AC12</f>
        <v>0.74</v>
      </c>
      <c r="AH16" s="25">
        <f>'Forecast Drivers '!AD12</f>
        <v>0.74</v>
      </c>
      <c r="AI16" s="25">
        <f>'Forecast Drivers '!AE12</f>
        <v>0.74</v>
      </c>
      <c r="AJ16" s="25">
        <f>'Forecast Drivers '!AF12</f>
        <v>0.74</v>
      </c>
      <c r="AK16" s="25">
        <f>'Forecast Drivers '!AG12</f>
        <v>0.74</v>
      </c>
      <c r="AL16" s="25">
        <f>'Forecast Drivers '!AH12</f>
        <v>0.74</v>
      </c>
      <c r="AM16" s="25">
        <f>'Forecast Drivers '!AI12</f>
        <v>0.74</v>
      </c>
      <c r="AN16" s="25">
        <f>'Forecast Drivers '!AJ12</f>
        <v>0.74</v>
      </c>
      <c r="AO16" s="25">
        <f>'Forecast Drivers '!AK12</f>
        <v>0.74</v>
      </c>
      <c r="AP16" s="25">
        <f>'Forecast Drivers '!AL12</f>
        <v>0.74</v>
      </c>
      <c r="AQ16" s="25">
        <f>'Forecast Drivers '!AM12</f>
        <v>0.74</v>
      </c>
      <c r="AR16" s="25">
        <f>'Forecast Drivers '!AN12</f>
        <v>0.74</v>
      </c>
      <c r="AS16" s="57">
        <f>'Forecast Drivers '!AO12</f>
        <v>0.74</v>
      </c>
      <c r="AT16" s="1330"/>
      <c r="AU16" s="1330"/>
      <c r="AV16" s="1330"/>
      <c r="AW16" s="1330"/>
      <c r="AX16" s="1330"/>
      <c r="AY16" s="1330"/>
      <c r="AZ16" s="1330"/>
      <c r="BA16" s="1330"/>
      <c r="BB16" s="1330"/>
      <c r="BC16" s="1330"/>
    </row>
    <row r="17" spans="1:55" x14ac:dyDescent="0.8">
      <c r="A17" s="230" t="s">
        <v>275</v>
      </c>
      <c r="B17" s="40"/>
      <c r="C17" s="40"/>
      <c r="D17" s="40"/>
      <c r="E17" s="25">
        <f>E8/$E$10</f>
        <v>0.22288936278873958</v>
      </c>
      <c r="F17" s="25">
        <f>F8/$F$10</f>
        <v>0.23709022829587934</v>
      </c>
      <c r="G17" s="25">
        <f>G8/$G$10</f>
        <v>0.24436220518694746</v>
      </c>
      <c r="H17" s="25">
        <f>H8/$H$10</f>
        <v>0.23257976945479489</v>
      </c>
      <c r="I17" s="25">
        <f>I8/$I$10</f>
        <v>0.22685884014218241</v>
      </c>
      <c r="J17" s="25">
        <f>J8/$J$10</f>
        <v>0.1998171560549013</v>
      </c>
      <c r="K17" s="25">
        <f>K8/$K$10</f>
        <v>0.19672904634135249</v>
      </c>
      <c r="L17" s="56">
        <f>'Forecast Drivers '!H13</f>
        <v>0.19800000000000001</v>
      </c>
      <c r="M17" s="25">
        <f>'Forecast Drivers '!I13</f>
        <v>0.17180000000000001</v>
      </c>
      <c r="N17" s="25">
        <f>'Forecast Drivers '!J13</f>
        <v>0.19159999999999999</v>
      </c>
      <c r="O17" s="25">
        <f>'Forecast Drivers '!K13</f>
        <v>0.1915</v>
      </c>
      <c r="P17" s="25">
        <f>'Forecast Drivers '!L13</f>
        <v>0.188</v>
      </c>
      <c r="Q17" s="25">
        <f>'Forecast Drivers '!M13</f>
        <v>0.17749999999999999</v>
      </c>
      <c r="R17" s="56">
        <f>'Forecast Drivers '!N13</f>
        <v>0.12</v>
      </c>
      <c r="S17" s="25">
        <f>'Forecast Drivers '!O13</f>
        <v>0.12</v>
      </c>
      <c r="T17" s="25">
        <f>'Forecast Drivers '!P13</f>
        <v>0.12</v>
      </c>
      <c r="U17" s="25">
        <f>'Forecast Drivers '!Q13</f>
        <v>0.12</v>
      </c>
      <c r="V17" s="25">
        <f>'Forecast Drivers '!R13</f>
        <v>0.12</v>
      </c>
      <c r="W17" s="25">
        <f>'Forecast Drivers '!S13</f>
        <v>0.12</v>
      </c>
      <c r="X17" s="25">
        <f>'Forecast Drivers '!T13</f>
        <v>0.12</v>
      </c>
      <c r="Y17" s="25">
        <f>'Forecast Drivers '!U13</f>
        <v>0.12</v>
      </c>
      <c r="Z17" s="25">
        <f>'Forecast Drivers '!V13</f>
        <v>0.12</v>
      </c>
      <c r="AA17" s="25">
        <f>'Forecast Drivers '!W13</f>
        <v>0.12</v>
      </c>
      <c r="AB17" s="25">
        <f>'Forecast Drivers '!X13</f>
        <v>0.12</v>
      </c>
      <c r="AC17" s="25">
        <f>'Forecast Drivers '!Y13</f>
        <v>0.12</v>
      </c>
      <c r="AD17" s="25">
        <f>'Forecast Drivers '!Z13</f>
        <v>0.12</v>
      </c>
      <c r="AE17" s="25">
        <f>'Forecast Drivers '!AA13</f>
        <v>0.12</v>
      </c>
      <c r="AF17" s="25">
        <f>'Forecast Drivers '!AB13</f>
        <v>0.12</v>
      </c>
      <c r="AG17" s="25">
        <f>'Forecast Drivers '!AC13</f>
        <v>0.12</v>
      </c>
      <c r="AH17" s="25">
        <f>'Forecast Drivers '!AD13</f>
        <v>0.12</v>
      </c>
      <c r="AI17" s="25">
        <f>'Forecast Drivers '!AE13</f>
        <v>0.12</v>
      </c>
      <c r="AJ17" s="25">
        <f>'Forecast Drivers '!AF13</f>
        <v>0.12</v>
      </c>
      <c r="AK17" s="25">
        <f>'Forecast Drivers '!AG13</f>
        <v>0.12</v>
      </c>
      <c r="AL17" s="25">
        <f>'Forecast Drivers '!AH13</f>
        <v>0.12</v>
      </c>
      <c r="AM17" s="25">
        <f>'Forecast Drivers '!AI13</f>
        <v>0.12</v>
      </c>
      <c r="AN17" s="25">
        <f>'Forecast Drivers '!AJ13</f>
        <v>0.12</v>
      </c>
      <c r="AO17" s="25">
        <f>'Forecast Drivers '!AK13</f>
        <v>0.12</v>
      </c>
      <c r="AP17" s="25">
        <f>'Forecast Drivers '!AL13</f>
        <v>0.12</v>
      </c>
      <c r="AQ17" s="25">
        <f>'Forecast Drivers '!AM13</f>
        <v>0.12</v>
      </c>
      <c r="AR17" s="25">
        <f>'Forecast Drivers '!AN13</f>
        <v>0.12</v>
      </c>
      <c r="AS17" s="57">
        <f>'Forecast Drivers '!AO13</f>
        <v>0.12</v>
      </c>
      <c r="AT17" s="1330"/>
      <c r="AU17" s="1330"/>
      <c r="AV17" s="1330"/>
      <c r="AW17" s="1330"/>
      <c r="AX17" s="1330"/>
      <c r="AY17" s="1330"/>
      <c r="AZ17" s="1330"/>
      <c r="BA17" s="1330"/>
      <c r="BB17" s="1330"/>
      <c r="BC17" s="1330"/>
    </row>
    <row r="18" spans="1:55" x14ac:dyDescent="0.8">
      <c r="A18" s="230" t="s">
        <v>276</v>
      </c>
      <c r="B18" s="40"/>
      <c r="C18" s="40"/>
      <c r="D18" s="40"/>
      <c r="E18" s="25">
        <f>E9/$E$10</f>
        <v>8.9166787442114051E-3</v>
      </c>
      <c r="F18" s="25">
        <f>F9/$F$10</f>
        <v>5.7643631795143398E-3</v>
      </c>
      <c r="G18" s="25">
        <f>G9/$G$10</f>
        <v>5.4982817869415812E-3</v>
      </c>
      <c r="H18" s="25">
        <f>H9/$H$10</f>
        <v>5.3305585751073957E-3</v>
      </c>
      <c r="I18" s="25">
        <f>I9/$I$10</f>
        <v>6.7790924780748024E-3</v>
      </c>
      <c r="J18" s="25">
        <f>J9/$J$10</f>
        <v>7.8430429081810631E-3</v>
      </c>
      <c r="K18" s="25">
        <f>K9/$K$10</f>
        <v>7.4127973077447815E-3</v>
      </c>
      <c r="L18" s="56">
        <f>'Forecast Drivers '!H14</f>
        <v>8.0000000000000002E-3</v>
      </c>
      <c r="M18" s="25">
        <f>'Forecast Drivers '!I14</f>
        <v>8.2000000000000007E-3</v>
      </c>
      <c r="N18" s="25">
        <f>'Forecast Drivers '!J14</f>
        <v>8.3999999999999995E-3</v>
      </c>
      <c r="O18" s="25">
        <f>'Forecast Drivers '!K14</f>
        <v>8.5000000000000006E-3</v>
      </c>
      <c r="P18" s="25">
        <f>'Forecast Drivers '!L14</f>
        <v>8.5000000000000006E-3</v>
      </c>
      <c r="Q18" s="25">
        <f>'Forecast Drivers '!M14</f>
        <v>8.5000000000000006E-3</v>
      </c>
      <c r="R18" s="56">
        <f>'Forecast Drivers '!N14</f>
        <v>0.01</v>
      </c>
      <c r="S18" s="25">
        <f>'Forecast Drivers '!O14</f>
        <v>0.01</v>
      </c>
      <c r="T18" s="25">
        <f>'Forecast Drivers '!P14</f>
        <v>0.01</v>
      </c>
      <c r="U18" s="25">
        <f>'Forecast Drivers '!Q14</f>
        <v>0.01</v>
      </c>
      <c r="V18" s="25">
        <f>'Forecast Drivers '!R14</f>
        <v>0.01</v>
      </c>
      <c r="W18" s="25">
        <f>'Forecast Drivers '!S14</f>
        <v>0.01</v>
      </c>
      <c r="X18" s="25">
        <f>'Forecast Drivers '!T14</f>
        <v>0.01</v>
      </c>
      <c r="Y18" s="25">
        <f>'Forecast Drivers '!U14</f>
        <v>0.01</v>
      </c>
      <c r="Z18" s="25">
        <f>'Forecast Drivers '!V14</f>
        <v>0.01</v>
      </c>
      <c r="AA18" s="25">
        <f>'Forecast Drivers '!W14</f>
        <v>0.01</v>
      </c>
      <c r="AB18" s="25">
        <f>'Forecast Drivers '!X14</f>
        <v>0.01</v>
      </c>
      <c r="AC18" s="25">
        <f>'Forecast Drivers '!Y14</f>
        <v>0.01</v>
      </c>
      <c r="AD18" s="25">
        <f>'Forecast Drivers '!Z14</f>
        <v>0.01</v>
      </c>
      <c r="AE18" s="25">
        <f>'Forecast Drivers '!AA14</f>
        <v>0.01</v>
      </c>
      <c r="AF18" s="25">
        <f>'Forecast Drivers '!AB14</f>
        <v>0.01</v>
      </c>
      <c r="AG18" s="25">
        <f>'Forecast Drivers '!AC14</f>
        <v>0.01</v>
      </c>
      <c r="AH18" s="25">
        <f>'Forecast Drivers '!AD14</f>
        <v>0.01</v>
      </c>
      <c r="AI18" s="25">
        <f>'Forecast Drivers '!AE14</f>
        <v>0.01</v>
      </c>
      <c r="AJ18" s="25">
        <f>'Forecast Drivers '!AF14</f>
        <v>0.01</v>
      </c>
      <c r="AK18" s="25">
        <f>'Forecast Drivers '!AG14</f>
        <v>0.01</v>
      </c>
      <c r="AL18" s="25">
        <f>'Forecast Drivers '!AH14</f>
        <v>0.01</v>
      </c>
      <c r="AM18" s="25">
        <f>'Forecast Drivers '!AI14</f>
        <v>0.01</v>
      </c>
      <c r="AN18" s="25">
        <f>'Forecast Drivers '!AJ14</f>
        <v>0.01</v>
      </c>
      <c r="AO18" s="25">
        <f>'Forecast Drivers '!AK14</f>
        <v>0.01</v>
      </c>
      <c r="AP18" s="25">
        <f>'Forecast Drivers '!AL14</f>
        <v>0.01</v>
      </c>
      <c r="AQ18" s="25">
        <f>'Forecast Drivers '!AM14</f>
        <v>0.01</v>
      </c>
      <c r="AR18" s="25">
        <f>'Forecast Drivers '!AN14</f>
        <v>0.01</v>
      </c>
      <c r="AS18" s="57">
        <f>'Forecast Drivers '!AO14</f>
        <v>0.01</v>
      </c>
      <c r="AT18" s="1330"/>
      <c r="AU18" s="1330"/>
      <c r="AV18" s="1330"/>
      <c r="AW18" s="1330"/>
      <c r="AX18" s="1330"/>
      <c r="AY18" s="1330"/>
      <c r="AZ18" s="1330"/>
      <c r="BA18" s="1330"/>
      <c r="BB18" s="1330"/>
      <c r="BC18" s="1330"/>
    </row>
    <row r="19" spans="1:55" x14ac:dyDescent="0.8">
      <c r="A19" s="53"/>
      <c r="B19" s="40"/>
      <c r="C19" s="40"/>
      <c r="D19" s="40"/>
      <c r="E19" s="40"/>
      <c r="F19" s="40"/>
      <c r="G19" s="40"/>
      <c r="H19" s="40"/>
      <c r="I19" s="40"/>
      <c r="J19" s="40"/>
      <c r="K19" s="40"/>
      <c r="M19" s="40"/>
      <c r="N19" s="40"/>
      <c r="O19" s="40"/>
      <c r="P19" s="40"/>
      <c r="Q19" s="40"/>
      <c r="AS19" s="54"/>
      <c r="AT19" s="1330"/>
      <c r="AU19" s="1330"/>
      <c r="AV19" s="1330"/>
      <c r="AW19" s="1330"/>
      <c r="AX19" s="1330"/>
      <c r="AY19" s="1330"/>
      <c r="AZ19" s="1330"/>
      <c r="BA19" s="1330"/>
      <c r="BB19" s="1330"/>
      <c r="BC19" s="1330"/>
    </row>
    <row r="20" spans="1:55" x14ac:dyDescent="0.8">
      <c r="A20" s="55" t="s">
        <v>279</v>
      </c>
      <c r="B20" s="40"/>
      <c r="C20" s="40"/>
      <c r="D20" s="40"/>
      <c r="E20" s="40"/>
      <c r="F20" s="40"/>
      <c r="G20" s="40"/>
      <c r="H20" s="40"/>
      <c r="I20" s="40"/>
      <c r="J20" s="40"/>
      <c r="K20" s="40"/>
      <c r="M20" s="40"/>
      <c r="N20" s="40"/>
      <c r="O20" s="40"/>
      <c r="P20" s="40"/>
      <c r="Q20" s="40"/>
      <c r="AS20" s="54"/>
      <c r="AT20" s="1330"/>
      <c r="AU20" s="1330"/>
      <c r="AV20" s="1330"/>
      <c r="AW20" s="1330"/>
      <c r="AX20" s="1330"/>
      <c r="AY20" s="1330"/>
      <c r="AZ20" s="1330"/>
      <c r="BA20" s="1330"/>
      <c r="BB20" s="1330"/>
      <c r="BC20" s="1330"/>
    </row>
    <row r="21" spans="1:55" x14ac:dyDescent="0.8">
      <c r="A21" s="53" t="s">
        <v>178</v>
      </c>
      <c r="B21" s="40"/>
      <c r="C21" s="40"/>
      <c r="D21" s="40"/>
      <c r="E21" s="41">
        <v>85905</v>
      </c>
      <c r="F21" s="41">
        <f t="shared" ref="F21:AS21" si="7">E24</f>
        <v>97019</v>
      </c>
      <c r="G21" s="41">
        <f t="shared" si="7"/>
        <v>110066</v>
      </c>
      <c r="H21" s="41">
        <f t="shared" si="7"/>
        <v>114164</v>
      </c>
      <c r="I21" s="41">
        <f t="shared" si="7"/>
        <v>120032</v>
      </c>
      <c r="J21" s="41">
        <f t="shared" si="7"/>
        <v>134264</v>
      </c>
      <c r="K21" s="41">
        <f t="shared" si="7"/>
        <v>123717</v>
      </c>
      <c r="L21" s="42">
        <f t="shared" si="7"/>
        <v>133289</v>
      </c>
      <c r="M21" s="41">
        <f t="shared" si="7"/>
        <v>146637.57316216215</v>
      </c>
      <c r="N21" s="41">
        <f t="shared" si="7"/>
        <v>160607.11330713512</v>
      </c>
      <c r="O21" s="41">
        <f t="shared" si="7"/>
        <v>181597.86856944862</v>
      </c>
      <c r="P21" s="41">
        <f t="shared" si="7"/>
        <v>204003.09266733401</v>
      </c>
      <c r="Q21" s="41">
        <f t="shared" si="7"/>
        <v>232163.40921182008</v>
      </c>
      <c r="R21" s="42">
        <f t="shared" si="7"/>
        <v>256694.58218104462</v>
      </c>
      <c r="S21" s="41">
        <f t="shared" si="7"/>
        <v>279524.29702872375</v>
      </c>
      <c r="T21" s="41">
        <f t="shared" si="7"/>
        <v>305479.96494431957</v>
      </c>
      <c r="U21" s="41">
        <f t="shared" si="7"/>
        <v>329526.16002846131</v>
      </c>
      <c r="V21" s="41">
        <f t="shared" si="7"/>
        <v>354992.54632851458</v>
      </c>
      <c r="W21" s="41">
        <f t="shared" si="7"/>
        <v>384219.0438044183</v>
      </c>
      <c r="X21" s="41">
        <f t="shared" si="7"/>
        <v>414760.21861852461</v>
      </c>
      <c r="Y21" s="41">
        <f t="shared" si="7"/>
        <v>442293.52612015372</v>
      </c>
      <c r="Z21" s="41">
        <f t="shared" si="7"/>
        <v>468069.55610270536</v>
      </c>
      <c r="AA21" s="41">
        <f t="shared" si="7"/>
        <v>489221.91984960891</v>
      </c>
      <c r="AB21" s="41">
        <f t="shared" si="7"/>
        <v>508610.699419229</v>
      </c>
      <c r="AC21" s="41">
        <f t="shared" si="7"/>
        <v>526072.20647650643</v>
      </c>
      <c r="AD21" s="41">
        <f t="shared" si="7"/>
        <v>541576.8667637459</v>
      </c>
      <c r="AE21" s="41">
        <f t="shared" si="7"/>
        <v>555133.64038917865</v>
      </c>
      <c r="AF21" s="41">
        <f t="shared" si="7"/>
        <v>566075.27001625753</v>
      </c>
      <c r="AG21" s="41">
        <f t="shared" si="7"/>
        <v>574598.98925043142</v>
      </c>
      <c r="AH21" s="41">
        <f t="shared" si="7"/>
        <v>581112.19871359912</v>
      </c>
      <c r="AI21" s="41">
        <f t="shared" si="7"/>
        <v>585966.5050618177</v>
      </c>
      <c r="AJ21" s="41">
        <f t="shared" si="7"/>
        <v>589626.94149342389</v>
      </c>
      <c r="AK21" s="41">
        <f t="shared" si="7"/>
        <v>592311.83501954773</v>
      </c>
      <c r="AL21" s="41">
        <f t="shared" si="7"/>
        <v>594203.14861484093</v>
      </c>
      <c r="AM21" s="41">
        <f t="shared" si="7"/>
        <v>595451.26748714666</v>
      </c>
      <c r="AN21" s="41">
        <f t="shared" si="7"/>
        <v>596699.50746409839</v>
      </c>
      <c r="AO21" s="41">
        <f t="shared" si="7"/>
        <v>597947.86855235696</v>
      </c>
      <c r="AP21" s="41">
        <f t="shared" si="7"/>
        <v>599196.35075858352</v>
      </c>
      <c r="AQ21" s="41">
        <f t="shared" si="7"/>
        <v>600444.95408943947</v>
      </c>
      <c r="AR21" s="41">
        <f t="shared" si="7"/>
        <v>601693.67855158681</v>
      </c>
      <c r="AS21" s="43">
        <f t="shared" si="7"/>
        <v>602942.52415168763</v>
      </c>
      <c r="AT21" s="1330"/>
      <c r="AU21" s="1330"/>
      <c r="AV21" s="1330"/>
      <c r="AW21" s="1330"/>
      <c r="AX21" s="1330"/>
      <c r="AY21" s="1330"/>
      <c r="AZ21" s="1330"/>
      <c r="BA21" s="1330"/>
      <c r="BB21" s="1330"/>
      <c r="BC21" s="1330"/>
    </row>
    <row r="22" spans="1:55" x14ac:dyDescent="0.8">
      <c r="A22" s="58" t="s">
        <v>280</v>
      </c>
      <c r="B22" s="40"/>
      <c r="C22" s="40"/>
      <c r="D22" s="40"/>
      <c r="E22" s="41">
        <v>11400</v>
      </c>
      <c r="F22" s="41">
        <v>11000</v>
      </c>
      <c r="G22" s="41">
        <v>10900</v>
      </c>
      <c r="H22" s="41">
        <v>10200</v>
      </c>
      <c r="I22" s="41">
        <v>10700</v>
      </c>
      <c r="J22" s="41">
        <v>11300</v>
      </c>
      <c r="K22" s="41">
        <v>8400</v>
      </c>
      <c r="L22" s="42">
        <f t="shared" ref="L22:AS22" si="8">L69</f>
        <v>13348.57316216216</v>
      </c>
      <c r="M22" s="41">
        <f t="shared" si="8"/>
        <v>13969.540144972971</v>
      </c>
      <c r="N22" s="41">
        <f t="shared" si="8"/>
        <v>20990.755262313505</v>
      </c>
      <c r="O22" s="41">
        <f t="shared" si="8"/>
        <v>22405.224097885406</v>
      </c>
      <c r="P22" s="41">
        <f t="shared" si="8"/>
        <v>28160.316544486053</v>
      </c>
      <c r="Q22" s="41">
        <f t="shared" si="8"/>
        <v>24531.172969224546</v>
      </c>
      <c r="R22" s="42">
        <f t="shared" si="8"/>
        <v>22829.714847679115</v>
      </c>
      <c r="S22" s="41">
        <f t="shared" si="8"/>
        <v>25955.667915595797</v>
      </c>
      <c r="T22" s="41">
        <f t="shared" si="8"/>
        <v>24046.195084141767</v>
      </c>
      <c r="U22" s="41">
        <f t="shared" si="8"/>
        <v>25466.386300053291</v>
      </c>
      <c r="V22" s="41">
        <f t="shared" si="8"/>
        <v>29226.497475903692</v>
      </c>
      <c r="W22" s="41">
        <f t="shared" si="8"/>
        <v>30541.174814106318</v>
      </c>
      <c r="X22" s="41">
        <f t="shared" si="8"/>
        <v>27533.307501629111</v>
      </c>
      <c r="Y22" s="41">
        <f t="shared" si="8"/>
        <v>25776.02998255163</v>
      </c>
      <c r="Z22" s="41">
        <f t="shared" si="8"/>
        <v>21152.363746903527</v>
      </c>
      <c r="AA22" s="41">
        <f t="shared" si="8"/>
        <v>19388.779569620092</v>
      </c>
      <c r="AB22" s="41">
        <f t="shared" si="8"/>
        <v>17461.507057277384</v>
      </c>
      <c r="AC22" s="41">
        <f t="shared" si="8"/>
        <v>15504.660287239427</v>
      </c>
      <c r="AD22" s="41">
        <f t="shared" si="8"/>
        <v>13556.773625432752</v>
      </c>
      <c r="AE22" s="41">
        <f t="shared" si="8"/>
        <v>10941.629627078943</v>
      </c>
      <c r="AF22" s="41">
        <f t="shared" si="8"/>
        <v>8523.7192341738992</v>
      </c>
      <c r="AG22" s="41">
        <f t="shared" si="8"/>
        <v>6513.2094631676964</v>
      </c>
      <c r="AH22" s="41">
        <f t="shared" si="8"/>
        <v>4854.3063482185426</v>
      </c>
      <c r="AI22" s="41">
        <f t="shared" si="8"/>
        <v>3660.4364316061619</v>
      </c>
      <c r="AJ22" s="41">
        <f t="shared" si="8"/>
        <v>2684.8935261238444</v>
      </c>
      <c r="AK22" s="41">
        <f t="shared" si="8"/>
        <v>1891.3135952931534</v>
      </c>
      <c r="AL22" s="41">
        <f t="shared" si="8"/>
        <v>1248.1188723056694</v>
      </c>
      <c r="AM22" s="41">
        <f t="shared" si="8"/>
        <v>1248.2399769517574</v>
      </c>
      <c r="AN22" s="41">
        <f t="shared" si="8"/>
        <v>1248.3610882586042</v>
      </c>
      <c r="AO22" s="41">
        <f t="shared" si="8"/>
        <v>1248.4822062265694</v>
      </c>
      <c r="AP22" s="41">
        <f t="shared" si="8"/>
        <v>1248.6033308560125</v>
      </c>
      <c r="AQ22" s="41">
        <f t="shared" si="8"/>
        <v>1248.7244621473274</v>
      </c>
      <c r="AR22" s="41">
        <f t="shared" si="8"/>
        <v>1248.8456001008499</v>
      </c>
      <c r="AS22" s="43">
        <f t="shared" si="8"/>
        <v>1248.9667447169556</v>
      </c>
      <c r="AT22" s="1330"/>
      <c r="AU22" s="1330"/>
      <c r="AV22" s="1330"/>
      <c r="AW22" s="1330"/>
      <c r="AX22" s="1330"/>
      <c r="AY22" s="1330"/>
      <c r="AZ22" s="1330"/>
      <c r="BA22" s="1330"/>
      <c r="BB22" s="1330"/>
      <c r="BC22" s="1330"/>
    </row>
    <row r="23" spans="1:55" x14ac:dyDescent="0.8">
      <c r="A23" s="58" t="s">
        <v>281</v>
      </c>
      <c r="B23" s="40"/>
      <c r="C23" s="40"/>
      <c r="D23" s="40"/>
      <c r="E23" s="41">
        <f t="shared" ref="E23:K23" si="9">E21+E22-E24</f>
        <v>286</v>
      </c>
      <c r="F23" s="41">
        <f t="shared" si="9"/>
        <v>-2047</v>
      </c>
      <c r="G23" s="41">
        <f t="shared" si="9"/>
        <v>6802</v>
      </c>
      <c r="H23" s="41">
        <f t="shared" si="9"/>
        <v>4332</v>
      </c>
      <c r="I23" s="41">
        <f t="shared" si="9"/>
        <v>-3532</v>
      </c>
      <c r="J23" s="41">
        <f t="shared" si="9"/>
        <v>21847</v>
      </c>
      <c r="K23" s="41">
        <f t="shared" si="9"/>
        <v>-1172</v>
      </c>
      <c r="L23" s="42">
        <v>0</v>
      </c>
      <c r="M23" s="41">
        <v>0</v>
      </c>
      <c r="N23" s="41">
        <v>0</v>
      </c>
      <c r="O23" s="41">
        <v>0</v>
      </c>
      <c r="P23" s="41">
        <v>0</v>
      </c>
      <c r="Q23" s="41">
        <v>0</v>
      </c>
      <c r="R23" s="42">
        <v>0</v>
      </c>
      <c r="S23" s="41">
        <v>0</v>
      </c>
      <c r="T23" s="41">
        <v>0</v>
      </c>
      <c r="U23" s="41">
        <v>0</v>
      </c>
      <c r="V23" s="41">
        <v>0</v>
      </c>
      <c r="W23" s="41">
        <v>0</v>
      </c>
      <c r="X23" s="41">
        <v>0</v>
      </c>
      <c r="Y23" s="41">
        <v>0</v>
      </c>
      <c r="Z23" s="41">
        <v>0</v>
      </c>
      <c r="AA23" s="41">
        <v>0</v>
      </c>
      <c r="AB23" s="41">
        <v>0</v>
      </c>
      <c r="AC23" s="41">
        <v>0</v>
      </c>
      <c r="AD23" s="41">
        <v>0</v>
      </c>
      <c r="AE23" s="41">
        <v>0</v>
      </c>
      <c r="AF23" s="41">
        <v>0</v>
      </c>
      <c r="AG23" s="41">
        <v>0</v>
      </c>
      <c r="AH23" s="41">
        <v>0</v>
      </c>
      <c r="AI23" s="41">
        <v>0</v>
      </c>
      <c r="AJ23" s="41">
        <v>0</v>
      </c>
      <c r="AK23" s="41">
        <v>0</v>
      </c>
      <c r="AL23" s="41">
        <v>0</v>
      </c>
      <c r="AM23" s="41">
        <v>0</v>
      </c>
      <c r="AN23" s="41">
        <v>0</v>
      </c>
      <c r="AO23" s="41">
        <v>0</v>
      </c>
      <c r="AP23" s="41">
        <v>0</v>
      </c>
      <c r="AQ23" s="41">
        <v>0</v>
      </c>
      <c r="AR23" s="41">
        <v>0</v>
      </c>
      <c r="AS23" s="43">
        <v>0</v>
      </c>
      <c r="AT23" s="1330"/>
      <c r="AU23" s="1330"/>
      <c r="AV23" s="1330"/>
      <c r="AW23" s="1330"/>
      <c r="AX23" s="1330"/>
      <c r="AY23" s="1330"/>
      <c r="AZ23" s="1330"/>
      <c r="BA23" s="1330"/>
      <c r="BB23" s="1330"/>
      <c r="BC23" s="1330"/>
    </row>
    <row r="24" spans="1:55" x14ac:dyDescent="0.8">
      <c r="A24" s="44" t="s">
        <v>282</v>
      </c>
      <c r="B24" s="40"/>
      <c r="C24" s="40"/>
      <c r="D24" s="40"/>
      <c r="E24" s="45">
        <v>97019</v>
      </c>
      <c r="F24" s="45">
        <v>110066</v>
      </c>
      <c r="G24" s="45">
        <v>114164</v>
      </c>
      <c r="H24" s="45">
        <v>120032</v>
      </c>
      <c r="I24" s="45">
        <v>134264</v>
      </c>
      <c r="J24" s="45">
        <v>123717</v>
      </c>
      <c r="K24" s="59">
        <v>133289</v>
      </c>
      <c r="L24" s="46">
        <f t="shared" ref="L24:AS24" si="10">L21+L22</f>
        <v>146637.57316216215</v>
      </c>
      <c r="M24" s="45">
        <f t="shared" si="10"/>
        <v>160607.11330713512</v>
      </c>
      <c r="N24" s="45">
        <f t="shared" si="10"/>
        <v>181597.86856944862</v>
      </c>
      <c r="O24" s="45">
        <f t="shared" si="10"/>
        <v>204003.09266733401</v>
      </c>
      <c r="P24" s="45">
        <f t="shared" si="10"/>
        <v>232163.40921182008</v>
      </c>
      <c r="Q24" s="45">
        <f t="shared" si="10"/>
        <v>256694.58218104462</v>
      </c>
      <c r="R24" s="46">
        <f t="shared" si="10"/>
        <v>279524.29702872375</v>
      </c>
      <c r="S24" s="45">
        <f t="shared" si="10"/>
        <v>305479.96494431957</v>
      </c>
      <c r="T24" s="45">
        <f t="shared" si="10"/>
        <v>329526.16002846131</v>
      </c>
      <c r="U24" s="45">
        <f t="shared" si="10"/>
        <v>354992.54632851458</v>
      </c>
      <c r="V24" s="45">
        <f t="shared" si="10"/>
        <v>384219.0438044183</v>
      </c>
      <c r="W24" s="45">
        <f t="shared" si="10"/>
        <v>414760.21861852461</v>
      </c>
      <c r="X24" s="45">
        <f t="shared" si="10"/>
        <v>442293.52612015372</v>
      </c>
      <c r="Y24" s="45">
        <f t="shared" si="10"/>
        <v>468069.55610270536</v>
      </c>
      <c r="Z24" s="45">
        <f t="shared" si="10"/>
        <v>489221.91984960891</v>
      </c>
      <c r="AA24" s="45">
        <f t="shared" si="10"/>
        <v>508610.699419229</v>
      </c>
      <c r="AB24" s="45">
        <f t="shared" si="10"/>
        <v>526072.20647650643</v>
      </c>
      <c r="AC24" s="45">
        <f t="shared" si="10"/>
        <v>541576.8667637459</v>
      </c>
      <c r="AD24" s="45">
        <f t="shared" si="10"/>
        <v>555133.64038917865</v>
      </c>
      <c r="AE24" s="45">
        <f t="shared" si="10"/>
        <v>566075.27001625753</v>
      </c>
      <c r="AF24" s="45">
        <f t="shared" si="10"/>
        <v>574598.98925043142</v>
      </c>
      <c r="AG24" s="45">
        <f t="shared" si="10"/>
        <v>581112.19871359912</v>
      </c>
      <c r="AH24" s="45">
        <f t="shared" si="10"/>
        <v>585966.5050618177</v>
      </c>
      <c r="AI24" s="45">
        <f t="shared" si="10"/>
        <v>589626.94149342389</v>
      </c>
      <c r="AJ24" s="45">
        <f t="shared" si="10"/>
        <v>592311.83501954773</v>
      </c>
      <c r="AK24" s="45">
        <f t="shared" si="10"/>
        <v>594203.14861484093</v>
      </c>
      <c r="AL24" s="45">
        <f t="shared" si="10"/>
        <v>595451.26748714666</v>
      </c>
      <c r="AM24" s="45">
        <f t="shared" si="10"/>
        <v>596699.50746409839</v>
      </c>
      <c r="AN24" s="45">
        <f t="shared" si="10"/>
        <v>597947.86855235696</v>
      </c>
      <c r="AO24" s="45">
        <f t="shared" si="10"/>
        <v>599196.35075858352</v>
      </c>
      <c r="AP24" s="45">
        <f t="shared" si="10"/>
        <v>600444.95408943947</v>
      </c>
      <c r="AQ24" s="45">
        <f t="shared" si="10"/>
        <v>601693.67855158681</v>
      </c>
      <c r="AR24" s="45">
        <f t="shared" si="10"/>
        <v>602942.52415168763</v>
      </c>
      <c r="AS24" s="47">
        <f t="shared" si="10"/>
        <v>604191.4908964046</v>
      </c>
      <c r="AT24" s="1330"/>
      <c r="AU24" s="1330"/>
      <c r="AV24" s="1330"/>
      <c r="AW24" s="1330"/>
      <c r="AX24" s="1330"/>
      <c r="AY24" s="1330"/>
      <c r="AZ24" s="1330"/>
      <c r="BA24" s="1330"/>
      <c r="BB24" s="1330"/>
      <c r="BC24" s="1330"/>
    </row>
    <row r="25" spans="1:55" x14ac:dyDescent="0.8">
      <c r="A25" s="53"/>
      <c r="B25" s="40"/>
      <c r="C25" s="40"/>
      <c r="D25" s="40"/>
      <c r="E25" s="40"/>
      <c r="F25" s="40"/>
      <c r="G25" s="40"/>
      <c r="H25" s="40"/>
      <c r="I25" s="40"/>
      <c r="J25" s="40"/>
      <c r="K25" s="40"/>
      <c r="M25" s="40"/>
      <c r="N25" s="40"/>
      <c r="O25" s="40"/>
      <c r="P25" s="40"/>
      <c r="Q25" s="40"/>
      <c r="AS25" s="54"/>
      <c r="AT25" s="1330"/>
      <c r="AU25" s="1330"/>
      <c r="AV25" s="1330"/>
      <c r="AW25" s="1330"/>
      <c r="AX25" s="1330"/>
      <c r="AY25" s="1330"/>
      <c r="AZ25" s="1330"/>
      <c r="BA25" s="1330"/>
      <c r="BB25" s="1330"/>
      <c r="BC25" s="1330"/>
    </row>
    <row r="26" spans="1:55" x14ac:dyDescent="0.8">
      <c r="A26" s="55" t="s">
        <v>283</v>
      </c>
      <c r="B26" s="40"/>
      <c r="C26" s="40"/>
      <c r="D26" s="40"/>
      <c r="E26" s="40"/>
      <c r="F26" s="40"/>
      <c r="G26" s="40"/>
      <c r="H26" s="40"/>
      <c r="I26" s="40"/>
      <c r="J26" s="40"/>
      <c r="K26" s="40"/>
      <c r="M26" s="40"/>
      <c r="N26" s="40"/>
      <c r="O26" s="40"/>
      <c r="P26" s="40"/>
      <c r="Q26" s="40"/>
      <c r="AS26" s="54"/>
      <c r="AT26" s="1330"/>
      <c r="AU26" s="1330"/>
      <c r="AV26" s="1330"/>
      <c r="AW26" s="1330"/>
      <c r="AX26" s="1330"/>
      <c r="AY26" s="1330"/>
      <c r="AZ26" s="1330"/>
      <c r="BA26" s="1330"/>
      <c r="BB26" s="1330"/>
      <c r="BC26" s="1330"/>
    </row>
    <row r="27" spans="1:55" x14ac:dyDescent="0.8">
      <c r="A27" s="53" t="s">
        <v>284</v>
      </c>
      <c r="B27" s="40"/>
      <c r="C27" s="40"/>
      <c r="D27" s="40"/>
      <c r="E27" s="41">
        <f t="shared" ref="E27:AS27" si="11">E10</f>
        <v>144897</v>
      </c>
      <c r="F27" s="41">
        <f t="shared" si="11"/>
        <v>162377</v>
      </c>
      <c r="G27" s="41">
        <f t="shared" si="11"/>
        <v>170235</v>
      </c>
      <c r="H27" s="41">
        <f t="shared" si="11"/>
        <v>172027</v>
      </c>
      <c r="I27" s="41">
        <f t="shared" si="11"/>
        <v>184833</v>
      </c>
      <c r="J27" s="41">
        <f t="shared" si="11"/>
        <v>166262</v>
      </c>
      <c r="K27" s="41">
        <f t="shared" si="11"/>
        <v>175912</v>
      </c>
      <c r="L27" s="42">
        <f t="shared" si="11"/>
        <v>211094.39999999999</v>
      </c>
      <c r="M27" s="41">
        <f t="shared" si="11"/>
        <v>221649.12</v>
      </c>
      <c r="N27" s="41">
        <f t="shared" si="11"/>
        <v>265978.94399999996</v>
      </c>
      <c r="O27" s="41">
        <f t="shared" si="11"/>
        <v>276618.10175999999</v>
      </c>
      <c r="P27" s="41">
        <f t="shared" si="11"/>
        <v>331941.72211199999</v>
      </c>
      <c r="Q27" s="41">
        <f t="shared" si="11"/>
        <v>361816.47710208001</v>
      </c>
      <c r="R27" s="42">
        <f t="shared" si="11"/>
        <v>391123.61174734851</v>
      </c>
      <c r="S27" s="41">
        <f t="shared" si="11"/>
        <v>419636.52304373018</v>
      </c>
      <c r="T27" s="41">
        <f t="shared" si="11"/>
        <v>447168.87532062927</v>
      </c>
      <c r="U27" s="41">
        <f t="shared" si="11"/>
        <v>473573.7502394371</v>
      </c>
      <c r="V27" s="41">
        <f t="shared" si="11"/>
        <v>498741.4009795367</v>
      </c>
      <c r="W27" s="41">
        <f t="shared" si="11"/>
        <v>522596.04757855361</v>
      </c>
      <c r="X27" s="41">
        <f t="shared" si="11"/>
        <v>545092.09383437037</v>
      </c>
      <c r="Y27" s="41">
        <f t="shared" si="11"/>
        <v>563863.63566044555</v>
      </c>
      <c r="Z27" s="41">
        <f t="shared" si="11"/>
        <v>579398.02324849088</v>
      </c>
      <c r="AA27" s="41">
        <f t="shared" si="11"/>
        <v>592167.90999651223</v>
      </c>
      <c r="AB27" s="41">
        <f t="shared" si="11"/>
        <v>602608.97723256645</v>
      </c>
      <c r="AC27" s="41">
        <f t="shared" si="11"/>
        <v>611109.10801253002</v>
      </c>
      <c r="AD27" s="41">
        <f t="shared" si="11"/>
        <v>618005.13184913294</v>
      </c>
      <c r="AE27" s="41">
        <f t="shared" si="11"/>
        <v>618039.12213138456</v>
      </c>
      <c r="AF27" s="41">
        <f t="shared" si="11"/>
        <v>618073.11428310175</v>
      </c>
      <c r="AG27" s="41">
        <f t="shared" si="11"/>
        <v>618107.10830438731</v>
      </c>
      <c r="AH27" s="41">
        <f t="shared" si="11"/>
        <v>618141.10419534403</v>
      </c>
      <c r="AI27" s="41">
        <f t="shared" si="11"/>
        <v>618175.10195607471</v>
      </c>
      <c r="AJ27" s="41">
        <f t="shared" si="11"/>
        <v>618209.10158668226</v>
      </c>
      <c r="AK27" s="41">
        <f t="shared" si="11"/>
        <v>618243.10308726947</v>
      </c>
      <c r="AL27" s="41">
        <f t="shared" si="11"/>
        <v>618277.10645793926</v>
      </c>
      <c r="AM27" s="41">
        <f t="shared" si="11"/>
        <v>618311.11169879441</v>
      </c>
      <c r="AN27" s="41">
        <f t="shared" si="11"/>
        <v>618345.11880993785</v>
      </c>
      <c r="AO27" s="41">
        <f t="shared" si="11"/>
        <v>618379.12779147236</v>
      </c>
      <c r="AP27" s="41">
        <f t="shared" si="11"/>
        <v>618413.13864350086</v>
      </c>
      <c r="AQ27" s="41">
        <f t="shared" si="11"/>
        <v>618447.15136612626</v>
      </c>
      <c r="AR27" s="41">
        <f t="shared" si="11"/>
        <v>618481.16595945135</v>
      </c>
      <c r="AS27" s="43">
        <f t="shared" si="11"/>
        <v>618515.18242357904</v>
      </c>
      <c r="AT27" s="1330"/>
      <c r="AU27" s="1330"/>
      <c r="AV27" s="1330"/>
      <c r="AW27" s="1330"/>
      <c r="AX27" s="1330"/>
      <c r="AY27" s="1330"/>
      <c r="AZ27" s="1330"/>
      <c r="BA27" s="1330"/>
      <c r="BB27" s="1330"/>
      <c r="BC27" s="1330"/>
    </row>
    <row r="28" spans="1:55" x14ac:dyDescent="0.8">
      <c r="A28" s="58" t="s">
        <v>285</v>
      </c>
      <c r="B28" s="40"/>
      <c r="C28" s="40"/>
      <c r="D28" s="40"/>
      <c r="E28" s="41">
        <f t="shared" ref="E28:AS28" si="12">E24</f>
        <v>97019</v>
      </c>
      <c r="F28" s="41">
        <f t="shared" si="12"/>
        <v>110066</v>
      </c>
      <c r="G28" s="41">
        <f t="shared" si="12"/>
        <v>114164</v>
      </c>
      <c r="H28" s="41">
        <f t="shared" si="12"/>
        <v>120032</v>
      </c>
      <c r="I28" s="41">
        <f t="shared" si="12"/>
        <v>134264</v>
      </c>
      <c r="J28" s="41">
        <f t="shared" si="12"/>
        <v>123717</v>
      </c>
      <c r="K28" s="41">
        <f t="shared" si="12"/>
        <v>133289</v>
      </c>
      <c r="L28" s="42">
        <f t="shared" si="12"/>
        <v>146637.57316216215</v>
      </c>
      <c r="M28" s="41">
        <f t="shared" si="12"/>
        <v>160607.11330713512</v>
      </c>
      <c r="N28" s="41">
        <f t="shared" si="12"/>
        <v>181597.86856944862</v>
      </c>
      <c r="O28" s="41">
        <f t="shared" si="12"/>
        <v>204003.09266733401</v>
      </c>
      <c r="P28" s="41">
        <f t="shared" si="12"/>
        <v>232163.40921182008</v>
      </c>
      <c r="Q28" s="41">
        <f t="shared" si="12"/>
        <v>256694.58218104462</v>
      </c>
      <c r="R28" s="42">
        <f t="shared" si="12"/>
        <v>279524.29702872375</v>
      </c>
      <c r="S28" s="41">
        <f t="shared" si="12"/>
        <v>305479.96494431957</v>
      </c>
      <c r="T28" s="41">
        <f t="shared" si="12"/>
        <v>329526.16002846131</v>
      </c>
      <c r="U28" s="41">
        <f t="shared" si="12"/>
        <v>354992.54632851458</v>
      </c>
      <c r="V28" s="41">
        <f t="shared" si="12"/>
        <v>384219.0438044183</v>
      </c>
      <c r="W28" s="41">
        <f t="shared" si="12"/>
        <v>414760.21861852461</v>
      </c>
      <c r="X28" s="41">
        <f t="shared" si="12"/>
        <v>442293.52612015372</v>
      </c>
      <c r="Y28" s="41">
        <f t="shared" si="12"/>
        <v>468069.55610270536</v>
      </c>
      <c r="Z28" s="41">
        <f t="shared" si="12"/>
        <v>489221.91984960891</v>
      </c>
      <c r="AA28" s="41">
        <f t="shared" si="12"/>
        <v>508610.699419229</v>
      </c>
      <c r="AB28" s="41">
        <f t="shared" si="12"/>
        <v>526072.20647650643</v>
      </c>
      <c r="AC28" s="41">
        <f t="shared" si="12"/>
        <v>541576.8667637459</v>
      </c>
      <c r="AD28" s="41">
        <f t="shared" si="12"/>
        <v>555133.64038917865</v>
      </c>
      <c r="AE28" s="41">
        <f t="shared" si="12"/>
        <v>566075.27001625753</v>
      </c>
      <c r="AF28" s="41">
        <f t="shared" si="12"/>
        <v>574598.98925043142</v>
      </c>
      <c r="AG28" s="41">
        <f t="shared" si="12"/>
        <v>581112.19871359912</v>
      </c>
      <c r="AH28" s="41">
        <f t="shared" si="12"/>
        <v>585966.5050618177</v>
      </c>
      <c r="AI28" s="41">
        <f t="shared" si="12"/>
        <v>589626.94149342389</v>
      </c>
      <c r="AJ28" s="41">
        <f t="shared" si="12"/>
        <v>592311.83501954773</v>
      </c>
      <c r="AK28" s="41">
        <f t="shared" si="12"/>
        <v>594203.14861484093</v>
      </c>
      <c r="AL28" s="41">
        <f t="shared" si="12"/>
        <v>595451.26748714666</v>
      </c>
      <c r="AM28" s="41">
        <f t="shared" si="12"/>
        <v>596699.50746409839</v>
      </c>
      <c r="AN28" s="41">
        <f t="shared" si="12"/>
        <v>597947.86855235696</v>
      </c>
      <c r="AO28" s="41">
        <f t="shared" si="12"/>
        <v>599196.35075858352</v>
      </c>
      <c r="AP28" s="41">
        <f t="shared" si="12"/>
        <v>600444.95408943947</v>
      </c>
      <c r="AQ28" s="41">
        <f t="shared" si="12"/>
        <v>601693.67855158681</v>
      </c>
      <c r="AR28" s="41">
        <f t="shared" si="12"/>
        <v>602942.52415168763</v>
      </c>
      <c r="AS28" s="43">
        <f t="shared" si="12"/>
        <v>604191.4908964046</v>
      </c>
      <c r="AT28" s="1330"/>
      <c r="AU28" s="1330"/>
      <c r="AV28" s="1330"/>
      <c r="AW28" s="1330"/>
      <c r="AX28" s="1330"/>
      <c r="AY28" s="1330"/>
      <c r="AZ28" s="1330"/>
      <c r="BA28" s="1330"/>
      <c r="BB28" s="1330"/>
      <c r="BC28" s="1330"/>
    </row>
    <row r="29" spans="1:55" x14ac:dyDescent="0.8">
      <c r="A29" s="60" t="s">
        <v>286</v>
      </c>
      <c r="B29" s="40"/>
      <c r="C29" s="40"/>
      <c r="D29" s="40"/>
      <c r="E29" s="45">
        <f t="shared" ref="E29:AS29" si="13">E27-E28</f>
        <v>47878</v>
      </c>
      <c r="F29" s="45">
        <f t="shared" si="13"/>
        <v>52311</v>
      </c>
      <c r="G29" s="45">
        <f t="shared" si="13"/>
        <v>56071</v>
      </c>
      <c r="H29" s="45">
        <f t="shared" si="13"/>
        <v>51995</v>
      </c>
      <c r="I29" s="45">
        <f t="shared" si="13"/>
        <v>50569</v>
      </c>
      <c r="J29" s="45">
        <f t="shared" si="13"/>
        <v>42545</v>
      </c>
      <c r="K29" s="59">
        <f t="shared" si="13"/>
        <v>42623</v>
      </c>
      <c r="L29" s="46">
        <f t="shared" si="13"/>
        <v>64456.826837837842</v>
      </c>
      <c r="M29" s="45">
        <f t="shared" si="13"/>
        <v>61042.006692864874</v>
      </c>
      <c r="N29" s="45">
        <f t="shared" si="13"/>
        <v>84381.07543055134</v>
      </c>
      <c r="O29" s="45">
        <f t="shared" si="13"/>
        <v>72615.009092665976</v>
      </c>
      <c r="P29" s="45">
        <f t="shared" si="13"/>
        <v>99778.31290017991</v>
      </c>
      <c r="Q29" s="45">
        <f t="shared" si="13"/>
        <v>105121.89492103539</v>
      </c>
      <c r="R29" s="46">
        <f t="shared" si="13"/>
        <v>111599.31471862475</v>
      </c>
      <c r="S29" s="45">
        <f t="shared" si="13"/>
        <v>114156.55809941061</v>
      </c>
      <c r="T29" s="45">
        <f t="shared" si="13"/>
        <v>117642.71529216797</v>
      </c>
      <c r="U29" s="45">
        <f t="shared" si="13"/>
        <v>118581.20391092252</v>
      </c>
      <c r="V29" s="45">
        <f t="shared" si="13"/>
        <v>114522.35717511841</v>
      </c>
      <c r="W29" s="45">
        <f t="shared" si="13"/>
        <v>107835.828960029</v>
      </c>
      <c r="X29" s="45">
        <f t="shared" si="13"/>
        <v>102798.56771421665</v>
      </c>
      <c r="Y29" s="45">
        <f t="shared" si="13"/>
        <v>95794.079557740188</v>
      </c>
      <c r="Z29" s="45">
        <f t="shared" si="13"/>
        <v>90176.103398881969</v>
      </c>
      <c r="AA29" s="45">
        <f t="shared" si="13"/>
        <v>83557.210577283229</v>
      </c>
      <c r="AB29" s="45">
        <f t="shared" si="13"/>
        <v>76536.770756060025</v>
      </c>
      <c r="AC29" s="45">
        <f t="shared" si="13"/>
        <v>69532.241248784121</v>
      </c>
      <c r="AD29" s="45">
        <f t="shared" si="13"/>
        <v>62871.491459954297</v>
      </c>
      <c r="AE29" s="45">
        <f t="shared" si="13"/>
        <v>51963.852115127025</v>
      </c>
      <c r="AF29" s="45">
        <f t="shared" si="13"/>
        <v>43474.12503267033</v>
      </c>
      <c r="AG29" s="45">
        <f t="shared" si="13"/>
        <v>36994.909590788186</v>
      </c>
      <c r="AH29" s="45">
        <f t="shared" si="13"/>
        <v>32174.599133526324</v>
      </c>
      <c r="AI29" s="45">
        <f t="shared" si="13"/>
        <v>28548.16046265082</v>
      </c>
      <c r="AJ29" s="45">
        <f t="shared" si="13"/>
        <v>25897.266567134531</v>
      </c>
      <c r="AK29" s="45">
        <f t="shared" si="13"/>
        <v>24039.954472428537</v>
      </c>
      <c r="AL29" s="45">
        <f t="shared" si="13"/>
        <v>22825.838970792596</v>
      </c>
      <c r="AM29" s="45">
        <f t="shared" si="13"/>
        <v>21611.604234696017</v>
      </c>
      <c r="AN29" s="45">
        <f t="shared" si="13"/>
        <v>20397.25025758089</v>
      </c>
      <c r="AO29" s="45">
        <f t="shared" si="13"/>
        <v>19182.777032888844</v>
      </c>
      <c r="AP29" s="45">
        <f t="shared" si="13"/>
        <v>17968.184554061387</v>
      </c>
      <c r="AQ29" s="45">
        <f t="shared" si="13"/>
        <v>16753.472814539447</v>
      </c>
      <c r="AR29" s="45">
        <f t="shared" si="13"/>
        <v>15538.641807763721</v>
      </c>
      <c r="AS29" s="47">
        <f t="shared" si="13"/>
        <v>14323.691527174436</v>
      </c>
      <c r="AT29" s="1330"/>
      <c r="AU29" s="1330"/>
      <c r="AV29" s="1330"/>
      <c r="AW29" s="1330"/>
      <c r="AX29" s="1330"/>
      <c r="AY29" s="1330"/>
      <c r="AZ29" s="1330"/>
      <c r="BA29" s="1330"/>
      <c r="BB29" s="1330"/>
      <c r="BC29" s="1330"/>
    </row>
    <row r="30" spans="1:55" x14ac:dyDescent="0.8">
      <c r="A30" s="48" t="s">
        <v>287</v>
      </c>
      <c r="B30" s="40"/>
      <c r="C30" s="40"/>
      <c r="D30" s="40"/>
      <c r="E30" s="61"/>
      <c r="F30" s="51">
        <f t="shared" ref="F30:AS30" si="14">(F29-E29)/E29</f>
        <v>9.2589498308200013E-2</v>
      </c>
      <c r="G30" s="51">
        <f t="shared" si="14"/>
        <v>7.1877807726864335E-2</v>
      </c>
      <c r="H30" s="51">
        <f t="shared" si="14"/>
        <v>-7.2693549250057957E-2</v>
      </c>
      <c r="I30" s="51">
        <f t="shared" si="14"/>
        <v>-2.7425714010962592E-2</v>
      </c>
      <c r="J30" s="51">
        <f t="shared" si="14"/>
        <v>-0.15867428661828392</v>
      </c>
      <c r="K30" s="49">
        <f t="shared" si="14"/>
        <v>1.8333529204371841E-3</v>
      </c>
      <c r="L30" s="50">
        <f t="shared" si="14"/>
        <v>0.51225457705552968</v>
      </c>
      <c r="M30" s="51">
        <f t="shared" si="14"/>
        <v>-5.297840915383658E-2</v>
      </c>
      <c r="N30" s="51">
        <f t="shared" si="14"/>
        <v>0.38234438876031479</v>
      </c>
      <c r="O30" s="51">
        <f t="shared" si="14"/>
        <v>-0.13943963475043952</v>
      </c>
      <c r="P30" s="51">
        <f t="shared" si="14"/>
        <v>0.37407285555593761</v>
      </c>
      <c r="Q30" s="51">
        <f t="shared" si="14"/>
        <v>5.3554543723356988E-2</v>
      </c>
      <c r="R30" s="215">
        <f t="shared" si="14"/>
        <v>6.1618179566255135E-2</v>
      </c>
      <c r="S30" s="51">
        <f t="shared" si="14"/>
        <v>2.2914507918202157E-2</v>
      </c>
      <c r="T30" s="51">
        <f t="shared" si="14"/>
        <v>3.0538387376058705E-2</v>
      </c>
      <c r="U30" s="51">
        <f t="shared" si="14"/>
        <v>7.9774477869181629E-3</v>
      </c>
      <c r="V30" s="51">
        <f t="shared" si="14"/>
        <v>-3.4228415650536741E-2</v>
      </c>
      <c r="W30" s="51">
        <f t="shared" si="14"/>
        <v>-5.8386225886574293E-2</v>
      </c>
      <c r="X30" s="51">
        <f t="shared" si="14"/>
        <v>-4.6712315325915334E-2</v>
      </c>
      <c r="Y30" s="51">
        <f t="shared" si="14"/>
        <v>-6.8137993672724786E-2</v>
      </c>
      <c r="Z30" s="51">
        <f t="shared" si="14"/>
        <v>-5.8646381747130473E-2</v>
      </c>
      <c r="AA30" s="51">
        <f t="shared" si="14"/>
        <v>-7.3399632187708869E-2</v>
      </c>
      <c r="AB30" s="51">
        <f t="shared" si="14"/>
        <v>-8.4019557052229521E-2</v>
      </c>
      <c r="AC30" s="51">
        <f t="shared" si="14"/>
        <v>-9.1518487624738201E-2</v>
      </c>
      <c r="AD30" s="51">
        <f t="shared" si="14"/>
        <v>-9.5793687492365956E-2</v>
      </c>
      <c r="AE30" s="51">
        <f t="shared" si="14"/>
        <v>-0.17349102258493171</v>
      </c>
      <c r="AF30" s="51">
        <f t="shared" si="14"/>
        <v>-0.16337755452862737</v>
      </c>
      <c r="AG30" s="51">
        <f t="shared" si="14"/>
        <v>-0.14903613211336825</v>
      </c>
      <c r="AH30" s="51">
        <f t="shared" si="14"/>
        <v>-0.13029658703266919</v>
      </c>
      <c r="AI30" s="51">
        <f t="shared" si="14"/>
        <v>-0.1127112308633773</v>
      </c>
      <c r="AJ30" s="51">
        <f t="shared" si="14"/>
        <v>-9.2856907504930752E-2</v>
      </c>
      <c r="AK30" s="51">
        <f t="shared" si="14"/>
        <v>-7.1718460706700807E-2</v>
      </c>
      <c r="AL30" s="51">
        <f t="shared" si="14"/>
        <v>-5.0504068259713708E-2</v>
      </c>
      <c r="AM30" s="51">
        <f t="shared" si="14"/>
        <v>-5.3195623505899854E-2</v>
      </c>
      <c r="AN30" s="51">
        <f t="shared" si="14"/>
        <v>-5.6189904457234159E-2</v>
      </c>
      <c r="AO30" s="51">
        <f t="shared" si="14"/>
        <v>-5.9541026822508718E-2</v>
      </c>
      <c r="AP30" s="51">
        <f t="shared" si="14"/>
        <v>-6.3316821998454134E-2</v>
      </c>
      <c r="AQ30" s="51">
        <f t="shared" si="14"/>
        <v>-6.7603476348275571E-2</v>
      </c>
      <c r="AR30" s="51">
        <f t="shared" si="14"/>
        <v>-7.2512190172382612E-2</v>
      </c>
      <c r="AS30" s="62">
        <f t="shared" si="14"/>
        <v>-7.8188962434428924E-2</v>
      </c>
      <c r="AT30" s="1330"/>
      <c r="AU30" s="1330"/>
      <c r="AV30" s="1330"/>
      <c r="AW30" s="1330"/>
      <c r="AX30" s="1330"/>
      <c r="AY30" s="1330"/>
      <c r="AZ30" s="1330"/>
      <c r="BA30" s="1330"/>
      <c r="BB30" s="1330"/>
      <c r="BC30" s="1330"/>
    </row>
    <row r="31" spans="1:55" x14ac:dyDescent="0.8">
      <c r="A31" s="53"/>
      <c r="B31" s="40"/>
      <c r="C31" s="40"/>
      <c r="D31" s="40"/>
      <c r="E31" s="40"/>
      <c r="F31" s="40"/>
      <c r="G31" s="40"/>
      <c r="H31" s="40"/>
      <c r="I31" s="40"/>
      <c r="J31" s="40"/>
      <c r="K31" s="40"/>
      <c r="M31" s="40"/>
      <c r="N31" s="40"/>
      <c r="O31" s="40"/>
      <c r="P31" s="40"/>
      <c r="Q31" s="40"/>
      <c r="AS31" s="54"/>
      <c r="AT31" s="1330"/>
      <c r="AU31" s="1330"/>
      <c r="AV31" s="1330"/>
      <c r="AW31" s="1330"/>
      <c r="AX31" s="1330"/>
      <c r="AY31" s="1330"/>
      <c r="AZ31" s="1330"/>
      <c r="BA31" s="1330"/>
      <c r="BB31" s="1330"/>
      <c r="BC31" s="1330"/>
    </row>
    <row r="32" spans="1:55" x14ac:dyDescent="0.8">
      <c r="A32" s="55" t="s">
        <v>288</v>
      </c>
      <c r="B32" s="40"/>
      <c r="C32" s="40"/>
      <c r="D32" s="40"/>
      <c r="E32" s="40"/>
      <c r="F32" s="40"/>
      <c r="G32" s="40"/>
      <c r="H32" s="40"/>
      <c r="I32" s="40"/>
      <c r="J32" s="40"/>
      <c r="K32" s="40"/>
      <c r="M32" s="40"/>
      <c r="N32" s="40"/>
      <c r="O32" s="40"/>
      <c r="P32" s="40"/>
      <c r="Q32" s="40"/>
      <c r="AS32" s="54"/>
      <c r="AT32" s="1330"/>
      <c r="AU32" s="1330"/>
      <c r="AV32" s="1330"/>
      <c r="AW32" s="1330"/>
      <c r="AX32" s="1330"/>
      <c r="AY32" s="1330"/>
      <c r="AZ32" s="1330"/>
      <c r="BA32" s="1330"/>
      <c r="BB32" s="1330"/>
      <c r="BC32" s="1330"/>
    </row>
    <row r="33" spans="1:55" x14ac:dyDescent="0.8">
      <c r="A33" s="230" t="s">
        <v>273</v>
      </c>
      <c r="B33" s="40"/>
      <c r="C33" s="40"/>
      <c r="D33" s="40"/>
      <c r="E33" s="40"/>
      <c r="F33" s="40"/>
      <c r="G33" s="40"/>
      <c r="H33" s="40"/>
      <c r="I33" s="40"/>
      <c r="J33" s="40"/>
      <c r="K33" s="40"/>
      <c r="L33" s="885">
        <f t="shared" ref="L33:AS33" si="15">L6-K6</f>
        <v>3551.3695999999982</v>
      </c>
      <c r="M33" s="886">
        <f t="shared" si="15"/>
        <v>2385.3667199999982</v>
      </c>
      <c r="N33" s="886">
        <f t="shared" si="15"/>
        <v>1329.8947199999966</v>
      </c>
      <c r="O33" s="886">
        <f t="shared" si="15"/>
        <v>1702.2652416000055</v>
      </c>
      <c r="P33" s="886">
        <f t="shared" si="15"/>
        <v>5532.3620351999998</v>
      </c>
      <c r="Q33" s="886">
        <f t="shared" si="15"/>
        <v>1224.8649545932785</v>
      </c>
      <c r="R33" s="885">
        <f t="shared" si="15"/>
        <v>-170.05374423797184</v>
      </c>
      <c r="S33" s="886">
        <f t="shared" si="15"/>
        <v>3706.6784685296225</v>
      </c>
      <c r="T33" s="886">
        <f t="shared" si="15"/>
        <v>3579.2057959968806</v>
      </c>
      <c r="U33" s="886">
        <f t="shared" si="15"/>
        <v>3432.6337394450165</v>
      </c>
      <c r="V33" s="886">
        <f t="shared" si="15"/>
        <v>3271.7945962129525</v>
      </c>
      <c r="W33" s="886">
        <f t="shared" si="15"/>
        <v>3101.1040578721877</v>
      </c>
      <c r="X33" s="886">
        <f t="shared" si="15"/>
        <v>2924.486013256188</v>
      </c>
      <c r="Y33" s="886">
        <f t="shared" si="15"/>
        <v>2440.3004373897711</v>
      </c>
      <c r="Z33" s="886">
        <f t="shared" si="15"/>
        <v>2019.4703864458861</v>
      </c>
      <c r="AA33" s="886">
        <f t="shared" si="15"/>
        <v>1660.0852772427897</v>
      </c>
      <c r="AB33" s="886">
        <f t="shared" si="15"/>
        <v>1357.3387406870461</v>
      </c>
      <c r="AC33" s="886">
        <f t="shared" si="15"/>
        <v>1105.0170013952593</v>
      </c>
      <c r="AD33" s="886">
        <f t="shared" si="15"/>
        <v>896.48309875838459</v>
      </c>
      <c r="AE33" s="886">
        <f t="shared" si="15"/>
        <v>4.4187366927071707</v>
      </c>
      <c r="AF33" s="886">
        <f t="shared" si="15"/>
        <v>4.4189797232393175</v>
      </c>
      <c r="AG33" s="886">
        <f t="shared" si="15"/>
        <v>4.4192227671155706</v>
      </c>
      <c r="AH33" s="886">
        <f t="shared" si="15"/>
        <v>4.4194658243795857</v>
      </c>
      <c r="AI33" s="886">
        <f t="shared" si="15"/>
        <v>4.419708894987707</v>
      </c>
      <c r="AJ33" s="886">
        <f t="shared" si="15"/>
        <v>4.4199519789835904</v>
      </c>
      <c r="AK33" s="886">
        <f t="shared" si="15"/>
        <v>4.4201950763381319</v>
      </c>
      <c r="AL33" s="886">
        <f t="shared" si="15"/>
        <v>4.4204381870658835</v>
      </c>
      <c r="AM33" s="886">
        <f t="shared" si="15"/>
        <v>4.4206813111668453</v>
      </c>
      <c r="AN33" s="886">
        <f t="shared" si="15"/>
        <v>4.420924448655569</v>
      </c>
      <c r="AO33" s="886">
        <f t="shared" si="15"/>
        <v>4.4211675994738471</v>
      </c>
      <c r="AP33" s="886">
        <f t="shared" si="15"/>
        <v>4.421410763708991</v>
      </c>
      <c r="AQ33" s="886">
        <f t="shared" si="15"/>
        <v>4.4216539413027931</v>
      </c>
      <c r="AR33" s="886">
        <f t="shared" si="15"/>
        <v>4.4218971322698053</v>
      </c>
      <c r="AS33" s="887">
        <f t="shared" si="15"/>
        <v>4.4221403365954757</v>
      </c>
      <c r="AT33" s="1330"/>
      <c r="AU33" s="1330"/>
      <c r="AV33" s="1330"/>
      <c r="AW33" s="1330"/>
      <c r="AX33" s="1330"/>
      <c r="AY33" s="1330"/>
      <c r="AZ33" s="1330"/>
      <c r="BA33" s="1330"/>
      <c r="BB33" s="1330"/>
      <c r="BC33" s="1330"/>
    </row>
    <row r="34" spans="1:55" x14ac:dyDescent="0.8">
      <c r="A34" s="48" t="s">
        <v>287</v>
      </c>
      <c r="B34" s="40"/>
      <c r="C34" s="40"/>
      <c r="D34" s="40"/>
      <c r="E34" s="40"/>
      <c r="F34" s="40"/>
      <c r="G34" s="40"/>
      <c r="H34" s="40"/>
      <c r="I34" s="40"/>
      <c r="J34" s="40"/>
      <c r="K34" s="40"/>
      <c r="M34" s="49">
        <f t="shared" ref="M34:AS34" si="16">(M33-L33)/L33</f>
        <v>-0.32832484684218749</v>
      </c>
      <c r="N34" s="49">
        <f t="shared" si="16"/>
        <v>-0.44247787610619571</v>
      </c>
      <c r="O34" s="49">
        <f t="shared" si="16"/>
        <v>0.28000000000000747</v>
      </c>
      <c r="P34" s="49">
        <f t="shared" si="16"/>
        <v>2.2499999999999893</v>
      </c>
      <c r="Q34" s="49">
        <f t="shared" si="16"/>
        <v>-0.77860000000000029</v>
      </c>
      <c r="R34" s="50">
        <f t="shared" si="16"/>
        <v>-1.138834688346879</v>
      </c>
      <c r="S34" s="49">
        <f t="shared" si="16"/>
        <v>-22.797100000000743</v>
      </c>
      <c r="T34" s="49">
        <f t="shared" si="16"/>
        <v>-3.4390000000002197E-2</v>
      </c>
      <c r="U34" s="49">
        <f t="shared" si="16"/>
        <v>-4.0950999999998836E-2</v>
      </c>
      <c r="V34" s="49">
        <f t="shared" si="16"/>
        <v>-4.6855900000000679E-2</v>
      </c>
      <c r="W34" s="49">
        <f t="shared" si="16"/>
        <v>-5.217031000000312E-2</v>
      </c>
      <c r="X34" s="49">
        <f t="shared" si="16"/>
        <v>-5.6953278999991239E-2</v>
      </c>
      <c r="Y34" s="49">
        <f t="shared" si="16"/>
        <v>-0.16556262320000426</v>
      </c>
      <c r="Z34" s="49">
        <f t="shared" si="16"/>
        <v>-0.17245009856000323</v>
      </c>
      <c r="AA34" s="49">
        <f t="shared" si="16"/>
        <v>-0.17796007884799278</v>
      </c>
      <c r="AB34" s="49">
        <f t="shared" si="16"/>
        <v>-0.18236806307840447</v>
      </c>
      <c r="AC34" s="49">
        <f t="shared" si="16"/>
        <v>-0.18589445046272587</v>
      </c>
      <c r="AD34" s="49">
        <f t="shared" si="16"/>
        <v>-0.18871556037017309</v>
      </c>
      <c r="AE34" s="49">
        <f t="shared" si="16"/>
        <v>-0.99507103179209178</v>
      </c>
      <c r="AF34" s="49">
        <f t="shared" si="16"/>
        <v>5.5000003179168756E-5</v>
      </c>
      <c r="AG34" s="49">
        <f t="shared" si="16"/>
        <v>5.4999998070800377E-5</v>
      </c>
      <c r="AH34" s="49">
        <f t="shared" si="16"/>
        <v>5.5000002675520736E-5</v>
      </c>
      <c r="AI34" s="49">
        <f t="shared" si="16"/>
        <v>5.4999997235065338E-5</v>
      </c>
      <c r="AJ34" s="49">
        <f t="shared" si="16"/>
        <v>5.5000001506666918E-5</v>
      </c>
      <c r="AK34" s="49">
        <f t="shared" si="16"/>
        <v>5.499999902655848E-5</v>
      </c>
      <c r="AL34" s="49">
        <f t="shared" si="16"/>
        <v>5.4999999672645742E-5</v>
      </c>
      <c r="AM34" s="49">
        <f t="shared" si="16"/>
        <v>5.5000000152269712E-5</v>
      </c>
      <c r="AN34" s="49">
        <f t="shared" si="16"/>
        <v>5.5000003757238961E-5</v>
      </c>
      <c r="AO34" s="49">
        <f t="shared" si="16"/>
        <v>5.4999994028856433E-5</v>
      </c>
      <c r="AP34" s="49">
        <f t="shared" si="16"/>
        <v>5.5000003884236528E-5</v>
      </c>
      <c r="AQ34" s="49">
        <f t="shared" si="16"/>
        <v>5.5000000406681825E-5</v>
      </c>
      <c r="AR34" s="49">
        <f t="shared" si="16"/>
        <v>5.5000000054401174E-5</v>
      </c>
      <c r="AS34" s="63">
        <f t="shared" si="16"/>
        <v>5.499999624494592E-5</v>
      </c>
      <c r="AT34" s="1330"/>
      <c r="AU34" s="1330"/>
      <c r="AV34" s="1330"/>
      <c r="AW34" s="1330"/>
      <c r="AX34" s="1330"/>
      <c r="AY34" s="1330"/>
      <c r="AZ34" s="1330"/>
      <c r="BA34" s="1330"/>
      <c r="BB34" s="1330"/>
      <c r="BC34" s="1330"/>
    </row>
    <row r="35" spans="1:55" x14ac:dyDescent="0.8">
      <c r="A35" s="230" t="s">
        <v>274</v>
      </c>
      <c r="B35" s="40"/>
      <c r="C35" s="40"/>
      <c r="D35" s="40"/>
      <c r="E35" s="40"/>
      <c r="F35" s="40"/>
      <c r="G35" s="40"/>
      <c r="H35" s="40"/>
      <c r="I35" s="40"/>
      <c r="J35" s="40"/>
      <c r="K35" s="40"/>
      <c r="L35" s="885">
        <f t="shared" ref="L35:AS35" si="17">L7-K7</f>
        <v>24056.583999999988</v>
      </c>
      <c r="M35" s="886">
        <f t="shared" si="17"/>
        <v>11757.958079999997</v>
      </c>
      <c r="N35" s="886">
        <f t="shared" si="17"/>
        <v>29700.982079999987</v>
      </c>
      <c r="O35" s="886">
        <f t="shared" si="17"/>
        <v>6809.0609664000222</v>
      </c>
      <c r="P35" s="886">
        <f t="shared" si="17"/>
        <v>39888.330273792002</v>
      </c>
      <c r="Q35" s="886">
        <f t="shared" si="17"/>
        <v>26578.573689507873</v>
      </c>
      <c r="R35" s="885">
        <f t="shared" si="17"/>
        <v>45928.983603338012</v>
      </c>
      <c r="S35" s="886">
        <f t="shared" si="17"/>
        <v>21099.554359322472</v>
      </c>
      <c r="T35" s="886">
        <f t="shared" si="17"/>
        <v>20373.940684905334</v>
      </c>
      <c r="U35" s="886">
        <f t="shared" si="17"/>
        <v>19539.607439917745</v>
      </c>
      <c r="V35" s="886">
        <f t="shared" si="17"/>
        <v>18624.061547673715</v>
      </c>
      <c r="W35" s="886">
        <f t="shared" si="17"/>
        <v>17652.438483272505</v>
      </c>
      <c r="X35" s="886">
        <f t="shared" si="17"/>
        <v>16647.074229304446</v>
      </c>
      <c r="Y35" s="886">
        <f t="shared" si="17"/>
        <v>13890.940951295604</v>
      </c>
      <c r="Z35" s="886">
        <f t="shared" si="17"/>
        <v>11495.446815153526</v>
      </c>
      <c r="AA35" s="886">
        <f t="shared" si="17"/>
        <v>9449.7161935358308</v>
      </c>
      <c r="AB35" s="886">
        <f t="shared" si="17"/>
        <v>7726.3897546801018</v>
      </c>
      <c r="AC35" s="886">
        <f t="shared" si="17"/>
        <v>6290.0967771730502</v>
      </c>
      <c r="AD35" s="886">
        <f t="shared" si="17"/>
        <v>5103.0576390861534</v>
      </c>
      <c r="AE35" s="886">
        <f t="shared" si="17"/>
        <v>25.152808866230771</v>
      </c>
      <c r="AF35" s="886">
        <f t="shared" si="17"/>
        <v>25.154192270711064</v>
      </c>
      <c r="AG35" s="886">
        <f t="shared" si="17"/>
        <v>25.155575751268771</v>
      </c>
      <c r="AH35" s="886">
        <f t="shared" si="17"/>
        <v>25.156959308020305</v>
      </c>
      <c r="AI35" s="886">
        <f t="shared" si="17"/>
        <v>25.158342940674629</v>
      </c>
      <c r="AJ35" s="886">
        <f t="shared" si="17"/>
        <v>25.159726649580989</v>
      </c>
      <c r="AK35" s="886">
        <f t="shared" si="17"/>
        <v>25.161110434564762</v>
      </c>
      <c r="AL35" s="886">
        <f t="shared" si="17"/>
        <v>25.162494295625947</v>
      </c>
      <c r="AM35" s="886">
        <f t="shared" si="17"/>
        <v>25.163878232822753</v>
      </c>
      <c r="AN35" s="886">
        <f t="shared" si="17"/>
        <v>25.16526224615518</v>
      </c>
      <c r="AO35" s="886">
        <f t="shared" si="17"/>
        <v>25.166646335506812</v>
      </c>
      <c r="AP35" s="886">
        <f t="shared" si="17"/>
        <v>25.168030501110479</v>
      </c>
      <c r="AQ35" s="886">
        <f t="shared" si="17"/>
        <v>25.16941474279156</v>
      </c>
      <c r="AR35" s="886">
        <f t="shared" si="17"/>
        <v>25.170799060550053</v>
      </c>
      <c r="AS35" s="887">
        <f t="shared" si="17"/>
        <v>25.172183454502374</v>
      </c>
      <c r="AT35" s="1330"/>
      <c r="AU35" s="1330"/>
      <c r="AV35" s="1330"/>
      <c r="AW35" s="1330"/>
      <c r="AX35" s="1330"/>
      <c r="AY35" s="1330"/>
      <c r="AZ35" s="1330"/>
      <c r="BA35" s="1330"/>
      <c r="BB35" s="1330"/>
      <c r="BC35" s="1330"/>
    </row>
    <row r="36" spans="1:55" x14ac:dyDescent="0.8">
      <c r="A36" s="48" t="s">
        <v>287</v>
      </c>
      <c r="B36" s="40"/>
      <c r="C36" s="40"/>
      <c r="D36" s="40"/>
      <c r="E36" s="40"/>
      <c r="F36" s="40"/>
      <c r="G36" s="40"/>
      <c r="H36" s="40"/>
      <c r="I36" s="40"/>
      <c r="J36" s="40"/>
      <c r="K36" s="40"/>
      <c r="M36" s="49">
        <f t="shared" ref="M36:AS36" si="18">(M35-L35)/L35</f>
        <v>-0.51123741924456101</v>
      </c>
      <c r="N36" s="49">
        <f t="shared" si="18"/>
        <v>1.5260323159784557</v>
      </c>
      <c r="O36" s="49">
        <f t="shared" si="18"/>
        <v>-0.77074626865671558</v>
      </c>
      <c r="P36" s="49">
        <f t="shared" si="18"/>
        <v>4.8581249999999816</v>
      </c>
      <c r="Q36" s="49">
        <f t="shared" si="18"/>
        <v>-0.33367545076282862</v>
      </c>
      <c r="R36" s="50">
        <f t="shared" si="18"/>
        <v>0.72804546022230243</v>
      </c>
      <c r="S36" s="49">
        <f t="shared" si="18"/>
        <v>-0.54060480541988298</v>
      </c>
      <c r="T36" s="49">
        <f t="shared" si="18"/>
        <v>-3.4390000000001815E-2</v>
      </c>
      <c r="U36" s="49">
        <f t="shared" si="18"/>
        <v>-4.09510000000015E-2</v>
      </c>
      <c r="V36" s="49">
        <f t="shared" si="18"/>
        <v>-4.6855899999999402E-2</v>
      </c>
      <c r="W36" s="49">
        <f t="shared" si="18"/>
        <v>-5.2170309999999616E-2</v>
      </c>
      <c r="X36" s="49">
        <f t="shared" si="18"/>
        <v>-5.6953278999994493E-2</v>
      </c>
      <c r="Y36" s="49">
        <f t="shared" si="18"/>
        <v>-0.16556262320000475</v>
      </c>
      <c r="Z36" s="49">
        <f t="shared" si="18"/>
        <v>-0.17245009856000085</v>
      </c>
      <c r="AA36" s="49">
        <f t="shared" si="18"/>
        <v>-0.17796007884799853</v>
      </c>
      <c r="AB36" s="49">
        <f t="shared" si="18"/>
        <v>-0.18236806307840092</v>
      </c>
      <c r="AC36" s="49">
        <f t="shared" si="18"/>
        <v>-0.18589445046272052</v>
      </c>
      <c r="AD36" s="49">
        <f t="shared" si="18"/>
        <v>-0.18871556037018342</v>
      </c>
      <c r="AE36" s="49">
        <f t="shared" si="18"/>
        <v>-0.99507103179208156</v>
      </c>
      <c r="AF36" s="49">
        <f t="shared" si="18"/>
        <v>5.4999999707813974E-5</v>
      </c>
      <c r="AG36" s="49">
        <f t="shared" si="18"/>
        <v>5.4999999316897109E-5</v>
      </c>
      <c r="AH36" s="49">
        <f t="shared" si="18"/>
        <v>5.500000338750189E-5</v>
      </c>
      <c r="AI36" s="49">
        <f t="shared" si="18"/>
        <v>5.4999995722180035E-5</v>
      </c>
      <c r="AJ36" s="49">
        <f t="shared" si="18"/>
        <v>5.5000001773680644E-5</v>
      </c>
      <c r="AK36" s="49">
        <f t="shared" si="18"/>
        <v>5.5000000717250642E-5</v>
      </c>
      <c r="AL36" s="49">
        <f t="shared" si="18"/>
        <v>5.4999999494638224E-5</v>
      </c>
      <c r="AM36" s="49">
        <f t="shared" si="18"/>
        <v>5.5000000419141517E-5</v>
      </c>
      <c r="AN36" s="49">
        <f t="shared" si="18"/>
        <v>5.5000001177135587E-5</v>
      </c>
      <c r="AO36" s="49">
        <f t="shared" si="18"/>
        <v>5.4999997142615358E-5</v>
      </c>
      <c r="AP36" s="49">
        <f t="shared" si="18"/>
        <v>5.50000021939603E-5</v>
      </c>
      <c r="AQ36" s="49">
        <f t="shared" si="18"/>
        <v>5.5000000139829583E-5</v>
      </c>
      <c r="AR36" s="49">
        <f t="shared" si="18"/>
        <v>5.4999997919681053E-5</v>
      </c>
      <c r="AS36" s="63">
        <f t="shared" si="18"/>
        <v>5.5000000158557075E-5</v>
      </c>
      <c r="AT36" s="1330"/>
      <c r="AU36" s="1330"/>
      <c r="AV36" s="1330"/>
      <c r="AW36" s="1330"/>
      <c r="AX36" s="1330"/>
      <c r="AY36" s="1330"/>
      <c r="AZ36" s="1330"/>
      <c r="BA36" s="1330"/>
      <c r="BB36" s="1330"/>
      <c r="BC36" s="1330"/>
    </row>
    <row r="37" spans="1:55" x14ac:dyDescent="0.8">
      <c r="A37" s="230" t="s">
        <v>275</v>
      </c>
      <c r="B37" s="40"/>
      <c r="C37" s="40"/>
      <c r="D37" s="40"/>
      <c r="E37" s="40"/>
      <c r="F37" s="40"/>
      <c r="G37" s="40"/>
      <c r="H37" s="40"/>
      <c r="I37" s="40"/>
      <c r="J37" s="40"/>
      <c r="K37" s="40"/>
      <c r="L37" s="885">
        <f t="shared" ref="L37:AS37" si="19">L8-K8</f>
        <v>7189.6912000000011</v>
      </c>
      <c r="M37" s="886">
        <f t="shared" si="19"/>
        <v>-3717.3723840000021</v>
      </c>
      <c r="N37" s="886">
        <f t="shared" si="19"/>
        <v>12882.246854399993</v>
      </c>
      <c r="O37" s="886">
        <f t="shared" si="19"/>
        <v>2010.8008166400105</v>
      </c>
      <c r="P37" s="886">
        <f t="shared" si="19"/>
        <v>9432.6772700159927</v>
      </c>
      <c r="Q37" s="886">
        <f t="shared" si="19"/>
        <v>1817.3809285632015</v>
      </c>
      <c r="R37" s="885">
        <f t="shared" si="19"/>
        <v>-17287.591275937375</v>
      </c>
      <c r="S37" s="886">
        <f t="shared" si="19"/>
        <v>3421.5493555657958</v>
      </c>
      <c r="T37" s="886">
        <f t="shared" si="19"/>
        <v>3303.8822732278932</v>
      </c>
      <c r="U37" s="886">
        <f t="shared" si="19"/>
        <v>3168.5849902569389</v>
      </c>
      <c r="V37" s="886">
        <f t="shared" si="19"/>
        <v>3020.1180888119488</v>
      </c>
      <c r="W37" s="886">
        <f t="shared" si="19"/>
        <v>2862.5575918820323</v>
      </c>
      <c r="X37" s="886">
        <f t="shared" si="19"/>
        <v>2699.5255506980102</v>
      </c>
      <c r="Y37" s="886">
        <f t="shared" si="19"/>
        <v>2252.5850191290228</v>
      </c>
      <c r="Z37" s="886">
        <f t="shared" si="19"/>
        <v>1864.1265105654456</v>
      </c>
      <c r="AA37" s="886">
        <f t="shared" si="19"/>
        <v>1532.3864097625483</v>
      </c>
      <c r="AB37" s="886">
        <f t="shared" si="19"/>
        <v>1252.9280683265097</v>
      </c>
      <c r="AC37" s="886">
        <f t="shared" si="19"/>
        <v>1020.0156935956329</v>
      </c>
      <c r="AD37" s="886">
        <f t="shared" si="19"/>
        <v>827.52286039234605</v>
      </c>
      <c r="AE37" s="886">
        <f t="shared" si="19"/>
        <v>4.0788338701968314</v>
      </c>
      <c r="AF37" s="886">
        <f t="shared" si="19"/>
        <v>4.0790582060581073</v>
      </c>
      <c r="AG37" s="886">
        <f t="shared" si="19"/>
        <v>4.0792825542739592</v>
      </c>
      <c r="AH37" s="886">
        <f t="shared" si="19"/>
        <v>4.0795069148007315</v>
      </c>
      <c r="AI37" s="886">
        <f t="shared" si="19"/>
        <v>4.0797312876820797</v>
      </c>
      <c r="AJ37" s="886">
        <f t="shared" si="19"/>
        <v>4.0799556729034521</v>
      </c>
      <c r="AK37" s="886">
        <f t="shared" si="19"/>
        <v>4.0801800704648485</v>
      </c>
      <c r="AL37" s="886">
        <f t="shared" si="19"/>
        <v>4.080404480380821</v>
      </c>
      <c r="AM37" s="886">
        <f t="shared" si="19"/>
        <v>4.0806289026222657</v>
      </c>
      <c r="AN37" s="886">
        <f t="shared" si="19"/>
        <v>4.0808533372037346</v>
      </c>
      <c r="AO37" s="886">
        <f t="shared" si="19"/>
        <v>4.0810777841543313</v>
      </c>
      <c r="AP37" s="886">
        <f t="shared" si="19"/>
        <v>4.0813022434158484</v>
      </c>
      <c r="AQ37" s="886">
        <f t="shared" si="19"/>
        <v>4.0815267150464933</v>
      </c>
      <c r="AR37" s="886">
        <f t="shared" si="19"/>
        <v>4.0817511990026105</v>
      </c>
      <c r="AS37" s="887">
        <f t="shared" si="19"/>
        <v>4.0819756953278556</v>
      </c>
      <c r="AT37" s="1330"/>
      <c r="AU37" s="1330"/>
      <c r="AV37" s="1330"/>
      <c r="AW37" s="1330"/>
      <c r="AX37" s="1330"/>
      <c r="AY37" s="1330"/>
      <c r="AZ37" s="1330"/>
      <c r="BA37" s="1330"/>
      <c r="BB37" s="1330"/>
      <c r="BC37" s="1330"/>
    </row>
    <row r="38" spans="1:55" x14ac:dyDescent="0.8">
      <c r="A38" s="48" t="s">
        <v>287</v>
      </c>
      <c r="B38" s="40"/>
      <c r="C38" s="40"/>
      <c r="D38" s="40"/>
      <c r="E38" s="40"/>
      <c r="F38" s="40"/>
      <c r="G38" s="40"/>
      <c r="H38" s="40"/>
      <c r="I38" s="40"/>
      <c r="J38" s="40"/>
      <c r="K38" s="40"/>
      <c r="M38" s="49">
        <f t="shared" ref="M38:AS38" si="20">(M37-L37)/L37</f>
        <v>-1.5170420092590349</v>
      </c>
      <c r="N38" s="49">
        <f t="shared" si="20"/>
        <v>-4.4654173764906266</v>
      </c>
      <c r="O38" s="49">
        <f t="shared" si="20"/>
        <v>-0.84390915347556694</v>
      </c>
      <c r="P38" s="49">
        <f t="shared" si="20"/>
        <v>3.6910052910052631</v>
      </c>
      <c r="Q38" s="49">
        <f t="shared" si="20"/>
        <v>-0.80733137829911994</v>
      </c>
      <c r="R38" s="50">
        <f t="shared" si="20"/>
        <v>-10.512365296803642</v>
      </c>
      <c r="S38" s="49">
        <f t="shared" si="20"/>
        <v>-1.1979193804939301</v>
      </c>
      <c r="T38" s="49">
        <f t="shared" si="20"/>
        <v>-3.4389999999998526E-2</v>
      </c>
      <c r="U38" s="49">
        <f t="shared" si="20"/>
        <v>-4.095099999999964E-2</v>
      </c>
      <c r="V38" s="49">
        <f t="shared" si="20"/>
        <v>-4.6855900000003149E-2</v>
      </c>
      <c r="W38" s="49">
        <f t="shared" si="20"/>
        <v>-5.2170309999996577E-2</v>
      </c>
      <c r="X38" s="49">
        <f t="shared" si="20"/>
        <v>-5.6953278999998802E-2</v>
      </c>
      <c r="Y38" s="49">
        <f t="shared" si="20"/>
        <v>-0.16556262320000006</v>
      </c>
      <c r="Z38" s="49">
        <f t="shared" si="20"/>
        <v>-0.17245009855999899</v>
      </c>
      <c r="AA38" s="49">
        <f t="shared" si="20"/>
        <v>-0.17796007884801263</v>
      </c>
      <c r="AB38" s="49">
        <f t="shared" si="20"/>
        <v>-0.18236806307838649</v>
      </c>
      <c r="AC38" s="49">
        <f t="shared" si="20"/>
        <v>-0.18589445046272235</v>
      </c>
      <c r="AD38" s="49">
        <f t="shared" si="20"/>
        <v>-0.18871556037018899</v>
      </c>
      <c r="AE38" s="49">
        <f t="shared" si="20"/>
        <v>-0.99507103179208489</v>
      </c>
      <c r="AF38" s="49">
        <f t="shared" si="20"/>
        <v>5.4999999611427703E-5</v>
      </c>
      <c r="AG38" s="49">
        <f t="shared" si="20"/>
        <v>5.5000003559335547E-5</v>
      </c>
      <c r="AH38" s="49">
        <f t="shared" si="20"/>
        <v>5.4999996638415798E-5</v>
      </c>
      <c r="AI38" s="49">
        <f t="shared" si="20"/>
        <v>5.5000000253512159E-5</v>
      </c>
      <c r="AJ38" s="49">
        <f t="shared" si="20"/>
        <v>5.5000000134774592E-5</v>
      </c>
      <c r="AK38" s="49">
        <f t="shared" si="20"/>
        <v>5.4999999849699908E-5</v>
      </c>
      <c r="AL38" s="49">
        <f t="shared" si="20"/>
        <v>5.5000002964804043E-5</v>
      </c>
      <c r="AM38" s="49">
        <f t="shared" si="20"/>
        <v>5.499999878045284E-5</v>
      </c>
      <c r="AN38" s="49">
        <f t="shared" si="20"/>
        <v>5.4999997996531491E-5</v>
      </c>
      <c r="AO38" s="49">
        <f t="shared" si="20"/>
        <v>5.5000004178182948E-5</v>
      </c>
      <c r="AP38" s="49">
        <f t="shared" si="20"/>
        <v>5.4999995929641958E-5</v>
      </c>
      <c r="AQ38" s="49">
        <f t="shared" si="20"/>
        <v>5.50000017781366E-5</v>
      </c>
      <c r="AR38" s="49">
        <f t="shared" si="20"/>
        <v>5.4999996763374326E-5</v>
      </c>
      <c r="AS38" s="63">
        <f t="shared" si="20"/>
        <v>5.5000002278429786E-5</v>
      </c>
      <c r="AT38" s="1330"/>
      <c r="AU38" s="1330"/>
      <c r="AV38" s="1330"/>
      <c r="AW38" s="1330"/>
      <c r="AX38" s="1330"/>
      <c r="AY38" s="1330"/>
      <c r="AZ38" s="1330"/>
      <c r="BA38" s="1330"/>
      <c r="BB38" s="1330"/>
      <c r="BC38" s="1330"/>
    </row>
    <row r="39" spans="1:55" x14ac:dyDescent="0.8">
      <c r="A39" s="230" t="s">
        <v>276</v>
      </c>
      <c r="B39" s="40"/>
      <c r="C39" s="40"/>
      <c r="D39" s="40"/>
      <c r="E39" s="40"/>
      <c r="F39" s="40"/>
      <c r="G39" s="40"/>
      <c r="H39" s="40"/>
      <c r="I39" s="40"/>
      <c r="J39" s="40"/>
      <c r="K39" s="40"/>
      <c r="L39" s="885">
        <f t="shared" ref="L39:AS39" si="21">L9-K9</f>
        <v>384.75520000000006</v>
      </c>
      <c r="M39" s="886">
        <f t="shared" si="21"/>
        <v>128.76758399999994</v>
      </c>
      <c r="N39" s="886">
        <f t="shared" si="21"/>
        <v>416.70034559999954</v>
      </c>
      <c r="O39" s="886">
        <f t="shared" si="21"/>
        <v>117.03073536000056</v>
      </c>
      <c r="P39" s="886">
        <f t="shared" si="21"/>
        <v>470.25077299199984</v>
      </c>
      <c r="Q39" s="886">
        <f t="shared" si="21"/>
        <v>253.93541741568015</v>
      </c>
      <c r="R39" s="885">
        <f t="shared" si="21"/>
        <v>835.79606210580505</v>
      </c>
      <c r="S39" s="886">
        <f t="shared" si="21"/>
        <v>285.12911296381662</v>
      </c>
      <c r="T39" s="886">
        <f t="shared" si="21"/>
        <v>275.3235227689911</v>
      </c>
      <c r="U39" s="886">
        <f t="shared" si="21"/>
        <v>264.04874918807855</v>
      </c>
      <c r="V39" s="886">
        <f t="shared" si="21"/>
        <v>251.67650740099543</v>
      </c>
      <c r="W39" s="886">
        <f t="shared" si="21"/>
        <v>238.54646599016905</v>
      </c>
      <c r="X39" s="886">
        <f t="shared" si="21"/>
        <v>224.96046255816782</v>
      </c>
      <c r="Y39" s="886">
        <f t="shared" si="21"/>
        <v>187.7154182607519</v>
      </c>
      <c r="Z39" s="886">
        <f t="shared" si="21"/>
        <v>155.3438758804532</v>
      </c>
      <c r="AA39" s="886">
        <f t="shared" si="21"/>
        <v>127.69886748021327</v>
      </c>
      <c r="AB39" s="886">
        <f t="shared" si="21"/>
        <v>104.41067236054278</v>
      </c>
      <c r="AC39" s="886">
        <f t="shared" si="21"/>
        <v>85.00130779963547</v>
      </c>
      <c r="AD39" s="886">
        <f t="shared" si="21"/>
        <v>68.960238366029444</v>
      </c>
      <c r="AE39" s="886">
        <f t="shared" si="21"/>
        <v>0.33990282251579629</v>
      </c>
      <c r="AF39" s="886">
        <f t="shared" si="21"/>
        <v>0.33992151717211527</v>
      </c>
      <c r="AG39" s="886">
        <f t="shared" si="21"/>
        <v>0.33994021285525378</v>
      </c>
      <c r="AH39" s="886">
        <f t="shared" si="21"/>
        <v>0.33995890956794028</v>
      </c>
      <c r="AI39" s="886">
        <f t="shared" si="21"/>
        <v>0.33997760730653681</v>
      </c>
      <c r="AJ39" s="886">
        <f t="shared" si="21"/>
        <v>0.33999630607559084</v>
      </c>
      <c r="AK39" s="886">
        <f t="shared" si="21"/>
        <v>0.34001500587146438</v>
      </c>
      <c r="AL39" s="886">
        <f t="shared" si="21"/>
        <v>0.34003370669779542</v>
      </c>
      <c r="AM39" s="886">
        <f t="shared" si="21"/>
        <v>0.34005240855185548</v>
      </c>
      <c r="AN39" s="886">
        <f t="shared" si="21"/>
        <v>0.34007111143455404</v>
      </c>
      <c r="AO39" s="886">
        <f t="shared" si="21"/>
        <v>0.34008981534498162</v>
      </c>
      <c r="AP39" s="886">
        <f t="shared" si="21"/>
        <v>0.34010852028495719</v>
      </c>
      <c r="AQ39" s="886">
        <f t="shared" si="21"/>
        <v>0.34012722625448077</v>
      </c>
      <c r="AR39" s="886">
        <f t="shared" si="21"/>
        <v>0.34014593325082387</v>
      </c>
      <c r="AS39" s="887">
        <f t="shared" si="21"/>
        <v>0.34016464127671497</v>
      </c>
      <c r="AT39" s="1330"/>
      <c r="AU39" s="1330"/>
      <c r="AV39" s="1330"/>
      <c r="AW39" s="1330"/>
      <c r="AX39" s="1330"/>
      <c r="AY39" s="1330"/>
      <c r="AZ39" s="1330"/>
      <c r="BA39" s="1330"/>
      <c r="BB39" s="1330"/>
      <c r="BC39" s="1330"/>
    </row>
    <row r="40" spans="1:55" x14ac:dyDescent="0.8">
      <c r="A40" s="48" t="s">
        <v>287</v>
      </c>
      <c r="B40" s="40"/>
      <c r="C40" s="40"/>
      <c r="D40" s="40"/>
      <c r="E40" s="40"/>
      <c r="F40" s="41"/>
      <c r="G40" s="40"/>
      <c r="H40" s="40"/>
      <c r="I40" s="40"/>
      <c r="J40" s="40"/>
      <c r="K40" s="40"/>
      <c r="M40" s="49">
        <f t="shared" ref="M40:AS40" si="22">(M39-L39)/L39</f>
        <v>-0.66532594231345044</v>
      </c>
      <c r="N40" s="49">
        <f t="shared" si="22"/>
        <v>2.2360655737704898</v>
      </c>
      <c r="O40" s="49">
        <f t="shared" si="22"/>
        <v>-0.71914893617021114</v>
      </c>
      <c r="P40" s="49">
        <f t="shared" si="22"/>
        <v>3.0181818181817976</v>
      </c>
      <c r="Q40" s="49">
        <f t="shared" si="22"/>
        <v>-0.45999999999999952</v>
      </c>
      <c r="R40" s="50">
        <f t="shared" si="22"/>
        <v>2.2913725490196071</v>
      </c>
      <c r="S40" s="49">
        <f t="shared" si="22"/>
        <v>-0.6588532467532473</v>
      </c>
      <c r="T40" s="49">
        <f t="shared" si="22"/>
        <v>-3.4389999999999553E-2</v>
      </c>
      <c r="U40" s="49">
        <f t="shared" si="22"/>
        <v>-4.0950999999998537E-2</v>
      </c>
      <c r="V40" s="49">
        <f t="shared" si="22"/>
        <v>-4.685590000000539E-2</v>
      </c>
      <c r="W40" s="49">
        <f t="shared" si="22"/>
        <v>-5.2170309999996639E-2</v>
      </c>
      <c r="X40" s="49">
        <f t="shared" si="22"/>
        <v>-5.6953278999996332E-2</v>
      </c>
      <c r="Y40" s="49">
        <f t="shared" si="22"/>
        <v>-0.1655626232000012</v>
      </c>
      <c r="Z40" s="49">
        <f t="shared" si="22"/>
        <v>-0.17245009856000221</v>
      </c>
      <c r="AA40" s="49">
        <f t="shared" si="22"/>
        <v>-0.17796007884800358</v>
      </c>
      <c r="AB40" s="49">
        <f t="shared" si="22"/>
        <v>-0.18236806307838993</v>
      </c>
      <c r="AC40" s="49">
        <f t="shared" si="22"/>
        <v>-0.18589445046273054</v>
      </c>
      <c r="AD40" s="49">
        <f t="shared" si="22"/>
        <v>-0.18871556037017609</v>
      </c>
      <c r="AE40" s="49">
        <f t="shared" si="22"/>
        <v>-0.99507103179209377</v>
      </c>
      <c r="AF40" s="49">
        <f t="shared" si="22"/>
        <v>5.5000003179191402E-5</v>
      </c>
      <c r="AG40" s="49">
        <f t="shared" si="22"/>
        <v>5.4999999099900718E-5</v>
      </c>
      <c r="AH40" s="49">
        <f t="shared" si="22"/>
        <v>5.5000002881290999E-5</v>
      </c>
      <c r="AI40" s="49">
        <f t="shared" si="22"/>
        <v>5.4999995794469743E-5</v>
      </c>
      <c r="AJ40" s="49">
        <f t="shared" si="22"/>
        <v>5.5000001918264039E-5</v>
      </c>
      <c r="AK40" s="49">
        <f t="shared" si="22"/>
        <v>5.4999997174637391E-5</v>
      </c>
      <c r="AL40" s="49">
        <f t="shared" si="22"/>
        <v>5.5000002964902123E-5</v>
      </c>
      <c r="AM40" s="49">
        <f t="shared" si="22"/>
        <v>5.5000000563697081E-5</v>
      </c>
      <c r="AN40" s="49">
        <f t="shared" si="22"/>
        <v>5.5000000671103644E-5</v>
      </c>
      <c r="AO40" s="49">
        <f t="shared" si="22"/>
        <v>5.4999997937710725E-5</v>
      </c>
      <c r="AP40" s="49">
        <f t="shared" si="22"/>
        <v>5.500000038696802E-5</v>
      </c>
      <c r="AQ40" s="49">
        <f t="shared" si="22"/>
        <v>5.5000002669464539E-5</v>
      </c>
      <c r="AR40" s="49">
        <f t="shared" si="22"/>
        <v>5.4999996763276281E-5</v>
      </c>
      <c r="AS40" s="63">
        <f t="shared" si="22"/>
        <v>5.4999998713216056E-5</v>
      </c>
      <c r="AT40" s="1330"/>
      <c r="AU40" s="1330"/>
      <c r="AV40" s="1330"/>
      <c r="AW40" s="1330"/>
      <c r="AX40" s="1330"/>
      <c r="AY40" s="1330"/>
      <c r="AZ40" s="1330"/>
      <c r="BA40" s="1330"/>
      <c r="BB40" s="1330"/>
      <c r="BC40" s="1330"/>
    </row>
    <row r="41" spans="1:55" x14ac:dyDescent="0.8">
      <c r="A41" s="64" t="s">
        <v>289</v>
      </c>
      <c r="B41" s="65"/>
      <c r="C41" s="65"/>
      <c r="D41" s="65"/>
      <c r="E41" s="65">
        <v>5760</v>
      </c>
      <c r="F41" s="65">
        <f>-SUM('Statement of Cash Flows '!B33)</f>
        <v>8855</v>
      </c>
      <c r="G41" s="65">
        <f>-SUM('Statement of Cash Flows '!C33)</f>
        <v>11842</v>
      </c>
      <c r="H41" s="65">
        <f>-SUM('Statement of Cash Flows '!D33)</f>
        <v>7192</v>
      </c>
      <c r="I41" s="65">
        <f>-SUM('Statement of Cash Flows '!E33)</f>
        <v>7623</v>
      </c>
      <c r="J41" s="65">
        <f>-SUM('Statement of Cash Flows '!F33)</f>
        <v>7018</v>
      </c>
      <c r="K41" s="65">
        <f>-SUM('Statement of Cash Flows '!G33)</f>
        <v>7110</v>
      </c>
      <c r="L41" s="66">
        <f t="shared" ref="L41:AS41" si="23">SUM(L39,L37,L35,L33)</f>
        <v>35182.399999999987</v>
      </c>
      <c r="M41" s="65">
        <f t="shared" si="23"/>
        <v>10554.719999999994</v>
      </c>
      <c r="N41" s="65">
        <f t="shared" si="23"/>
        <v>44329.823999999979</v>
      </c>
      <c r="O41" s="65">
        <f t="shared" si="23"/>
        <v>10639.157760000038</v>
      </c>
      <c r="P41" s="65">
        <f t="shared" si="23"/>
        <v>55323.620351999998</v>
      </c>
      <c r="Q41" s="65">
        <f t="shared" si="23"/>
        <v>29874.754990080033</v>
      </c>
      <c r="R41" s="66">
        <f t="shared" si="23"/>
        <v>29307.13464526847</v>
      </c>
      <c r="S41" s="65">
        <f t="shared" si="23"/>
        <v>28512.911296381706</v>
      </c>
      <c r="T41" s="65">
        <f t="shared" si="23"/>
        <v>27532.352276899099</v>
      </c>
      <c r="U41" s="65">
        <f t="shared" si="23"/>
        <v>26404.874918807778</v>
      </c>
      <c r="V41" s="65">
        <f t="shared" si="23"/>
        <v>25167.650740099612</v>
      </c>
      <c r="W41" s="65">
        <f t="shared" si="23"/>
        <v>23854.646599016894</v>
      </c>
      <c r="X41" s="65">
        <f t="shared" si="23"/>
        <v>22496.046255816811</v>
      </c>
      <c r="Y41" s="65">
        <f t="shared" si="23"/>
        <v>18771.54182607515</v>
      </c>
      <c r="Z41" s="65">
        <f t="shared" si="23"/>
        <v>15534.387588045311</v>
      </c>
      <c r="AA41" s="65">
        <f t="shared" si="23"/>
        <v>12769.886748021381</v>
      </c>
      <c r="AB41" s="65">
        <f t="shared" si="23"/>
        <v>10441.067236054201</v>
      </c>
      <c r="AC41" s="65">
        <f t="shared" si="23"/>
        <v>8500.1307799635779</v>
      </c>
      <c r="AD41" s="65">
        <f t="shared" si="23"/>
        <v>6896.0238366029134</v>
      </c>
      <c r="AE41" s="65">
        <f t="shared" si="23"/>
        <v>33.990282251650569</v>
      </c>
      <c r="AF41" s="65">
        <f t="shared" si="23"/>
        <v>33.992151717180604</v>
      </c>
      <c r="AG41" s="65">
        <f t="shared" si="23"/>
        <v>33.994021285513554</v>
      </c>
      <c r="AH41" s="65">
        <f t="shared" si="23"/>
        <v>33.995890956768562</v>
      </c>
      <c r="AI41" s="65">
        <f t="shared" si="23"/>
        <v>33.997760730650953</v>
      </c>
      <c r="AJ41" s="65">
        <f t="shared" si="23"/>
        <v>33.999630607543622</v>
      </c>
      <c r="AK41" s="65">
        <f t="shared" si="23"/>
        <v>34.001500587239207</v>
      </c>
      <c r="AL41" s="65">
        <f t="shared" si="23"/>
        <v>34.003370669770447</v>
      </c>
      <c r="AM41" s="65">
        <f t="shared" si="23"/>
        <v>34.00524085516372</v>
      </c>
      <c r="AN41" s="65">
        <f t="shared" si="23"/>
        <v>34.007111143449038</v>
      </c>
      <c r="AO41" s="65">
        <f t="shared" si="23"/>
        <v>34.008981534479972</v>
      </c>
      <c r="AP41" s="65">
        <f t="shared" si="23"/>
        <v>34.010852028520276</v>
      </c>
      <c r="AQ41" s="65">
        <f t="shared" si="23"/>
        <v>34.012722625395327</v>
      </c>
      <c r="AR41" s="65">
        <f t="shared" si="23"/>
        <v>34.014593325073292</v>
      </c>
      <c r="AS41" s="67">
        <f t="shared" si="23"/>
        <v>34.01646412770242</v>
      </c>
      <c r="AT41" s="1330"/>
      <c r="AU41" s="1330"/>
      <c r="AV41" s="1330"/>
      <c r="AW41" s="1330"/>
      <c r="AX41" s="1330"/>
      <c r="AY41" s="1330"/>
      <c r="AZ41" s="1330"/>
      <c r="BA41" s="1330"/>
      <c r="BB41" s="1330"/>
      <c r="BC41" s="1330"/>
    </row>
    <row r="42" spans="1:55" ht="16.75" thickBot="1" x14ac:dyDescent="0.95">
      <c r="A42" s="68" t="s">
        <v>287</v>
      </c>
      <c r="B42" s="69"/>
      <c r="C42" s="69"/>
      <c r="D42" s="69"/>
      <c r="E42" s="69"/>
      <c r="F42" s="70">
        <f t="shared" ref="F42:AS42" si="24">(F41-E41)/E41</f>
        <v>0.53732638888888884</v>
      </c>
      <c r="G42" s="70">
        <f t="shared" si="24"/>
        <v>0.33732354601919817</v>
      </c>
      <c r="H42" s="70">
        <f t="shared" si="24"/>
        <v>-0.39267015706806285</v>
      </c>
      <c r="I42" s="70">
        <f t="shared" si="24"/>
        <v>5.9927697441601778E-2</v>
      </c>
      <c r="J42" s="70">
        <f t="shared" si="24"/>
        <v>-7.9365079365079361E-2</v>
      </c>
      <c r="K42" s="70">
        <f t="shared" si="24"/>
        <v>1.310914790538615E-2</v>
      </c>
      <c r="L42" s="71">
        <f t="shared" si="24"/>
        <v>3.9482981715893088</v>
      </c>
      <c r="M42" s="70">
        <f t="shared" si="24"/>
        <v>-0.70000000000000007</v>
      </c>
      <c r="N42" s="70">
        <f t="shared" si="24"/>
        <v>3.2000000000000006</v>
      </c>
      <c r="O42" s="70">
        <f t="shared" si="24"/>
        <v>-0.75999999999999901</v>
      </c>
      <c r="P42" s="70">
        <f t="shared" si="24"/>
        <v>4.1999999999999815</v>
      </c>
      <c r="Q42" s="70">
        <f t="shared" si="24"/>
        <v>-0.45999999999999941</v>
      </c>
      <c r="R42" s="71">
        <f t="shared" si="24"/>
        <v>-1.9000000000001419E-2</v>
      </c>
      <c r="S42" s="70">
        <f t="shared" si="24"/>
        <v>-2.7099999999999611E-2</v>
      </c>
      <c r="T42" s="70">
        <f t="shared" si="24"/>
        <v>-3.4390000000001419E-2</v>
      </c>
      <c r="U42" s="70">
        <f t="shared" si="24"/>
        <v>-4.0951000000000931E-2</v>
      </c>
      <c r="V42" s="70">
        <f t="shared" si="24"/>
        <v>-4.6855900000000013E-2</v>
      </c>
      <c r="W42" s="70">
        <f t="shared" si="24"/>
        <v>-5.2170309999999671E-2</v>
      </c>
      <c r="X42" s="70">
        <f t="shared" si="24"/>
        <v>-5.695327899999468E-2</v>
      </c>
      <c r="Y42" s="70">
        <f t="shared" si="24"/>
        <v>-0.16556262320000406</v>
      </c>
      <c r="Z42" s="70">
        <f t="shared" si="24"/>
        <v>-0.17245009856000093</v>
      </c>
      <c r="AA42" s="70">
        <f t="shared" si="24"/>
        <v>-0.17796007884799958</v>
      </c>
      <c r="AB42" s="70">
        <f t="shared" si="24"/>
        <v>-0.18236806307839942</v>
      </c>
      <c r="AC42" s="70">
        <f t="shared" si="24"/>
        <v>-0.1858944504627216</v>
      </c>
      <c r="AD42" s="70">
        <f t="shared" si="24"/>
        <v>-0.18871556037018267</v>
      </c>
      <c r="AE42" s="70">
        <f t="shared" si="24"/>
        <v>-0.99507103179208345</v>
      </c>
      <c r="AF42" s="70">
        <f t="shared" si="24"/>
        <v>5.5000000182237514E-5</v>
      </c>
      <c r="AG42" s="70">
        <f t="shared" si="24"/>
        <v>5.499999966182718E-5</v>
      </c>
      <c r="AH42" s="70">
        <f t="shared" si="24"/>
        <v>5.5000002479991901E-5</v>
      </c>
      <c r="AI42" s="70">
        <f t="shared" si="24"/>
        <v>5.4999996463337875E-5</v>
      </c>
      <c r="AJ42" s="70">
        <f t="shared" si="24"/>
        <v>5.5000001543745968E-5</v>
      </c>
      <c r="AK42" s="70">
        <f t="shared" si="24"/>
        <v>5.5000000357928438E-5</v>
      </c>
      <c r="AL42" s="70">
        <f t="shared" si="24"/>
        <v>5.4999999968901736E-5</v>
      </c>
      <c r="AM42" s="70">
        <f t="shared" si="24"/>
        <v>5.5000000189251096E-5</v>
      </c>
      <c r="AN42" s="70">
        <f t="shared" si="24"/>
        <v>5.5000001125816212E-5</v>
      </c>
      <c r="AO42" s="70">
        <f t="shared" si="24"/>
        <v>5.499999759004576E-5</v>
      </c>
      <c r="AP42" s="70">
        <f t="shared" si="24"/>
        <v>5.5000001643908088E-5</v>
      </c>
      <c r="AQ42" s="70">
        <f t="shared" si="24"/>
        <v>5.5000000396413563E-5</v>
      </c>
      <c r="AR42" s="70">
        <f t="shared" si="24"/>
        <v>5.4999998046873817E-5</v>
      </c>
      <c r="AS42" s="72">
        <f t="shared" si="24"/>
        <v>5.4999999889718941E-5</v>
      </c>
      <c r="AT42" s="1330"/>
      <c r="AU42" s="1330"/>
      <c r="AV42" s="1330"/>
      <c r="AW42" s="1330"/>
      <c r="AX42" s="1330"/>
      <c r="AY42" s="1330"/>
      <c r="AZ42" s="1330"/>
      <c r="BA42" s="1330"/>
      <c r="BB42" s="1330"/>
      <c r="BC42" s="1330"/>
    </row>
    <row r="43" spans="1:55" x14ac:dyDescent="0.8">
      <c r="K43" s="37"/>
      <c r="L43" s="40"/>
      <c r="Q43" s="37"/>
      <c r="R43" s="40"/>
    </row>
    <row r="44" spans="1:55" x14ac:dyDescent="0.8">
      <c r="K44" s="80"/>
      <c r="L44" s="40"/>
      <c r="Q44" s="80"/>
      <c r="R44" s="40"/>
    </row>
    <row r="45" spans="1:55" x14ac:dyDescent="0.8">
      <c r="A45" s="73" t="s">
        <v>290</v>
      </c>
      <c r="B45" s="74" t="s">
        <v>291</v>
      </c>
      <c r="C45" s="65"/>
      <c r="D45" s="65"/>
      <c r="E45" s="65"/>
      <c r="F45" s="65"/>
      <c r="G45" s="65"/>
      <c r="H45" s="65"/>
      <c r="I45" s="65"/>
      <c r="J45" s="65"/>
      <c r="K45" s="65"/>
      <c r="L45" s="65"/>
      <c r="M45" s="65"/>
      <c r="N45" s="65"/>
      <c r="O45" s="65"/>
      <c r="P45" s="65"/>
      <c r="Q45" s="65"/>
      <c r="R45" s="65"/>
      <c r="S45" s="65"/>
      <c r="T45" s="75"/>
    </row>
    <row r="46" spans="1:55" x14ac:dyDescent="0.8">
      <c r="A46" s="227" t="s">
        <v>273</v>
      </c>
      <c r="B46" s="40">
        <v>37</v>
      </c>
      <c r="C46" s="40"/>
      <c r="D46" s="40"/>
      <c r="E46" s="40"/>
      <c r="F46" s="40"/>
      <c r="G46" s="40"/>
      <c r="H46" s="40"/>
      <c r="I46" s="40"/>
      <c r="J46" s="40"/>
      <c r="K46" s="40"/>
      <c r="L46" s="40"/>
      <c r="M46" s="40"/>
      <c r="N46" s="40"/>
      <c r="O46" s="40"/>
      <c r="P46" s="40"/>
      <c r="Q46" s="40"/>
      <c r="R46" s="40"/>
      <c r="T46" s="76"/>
    </row>
    <row r="47" spans="1:55" x14ac:dyDescent="0.8">
      <c r="A47" s="227" t="s">
        <v>274</v>
      </c>
      <c r="B47" s="40">
        <v>8</v>
      </c>
      <c r="C47" s="40"/>
      <c r="D47" s="40"/>
      <c r="E47" s="40"/>
      <c r="F47" s="40"/>
      <c r="G47" s="40"/>
      <c r="H47" s="40"/>
      <c r="I47" s="40"/>
      <c r="J47" s="40"/>
      <c r="K47" s="40"/>
      <c r="L47" s="40"/>
      <c r="M47" s="40"/>
      <c r="N47" s="40"/>
      <c r="O47" s="40"/>
      <c r="P47" s="40"/>
      <c r="Q47" s="40"/>
      <c r="R47" s="40"/>
      <c r="T47" s="76"/>
    </row>
    <row r="48" spans="1:55" x14ac:dyDescent="0.8">
      <c r="A48" s="227" t="s">
        <v>275</v>
      </c>
      <c r="B48" s="40">
        <v>4</v>
      </c>
      <c r="C48" s="40"/>
      <c r="D48" s="40"/>
      <c r="E48" s="40"/>
      <c r="F48" s="40"/>
      <c r="G48" s="40"/>
      <c r="H48" s="40"/>
      <c r="I48" s="40"/>
      <c r="J48" s="40"/>
      <c r="K48" s="40"/>
      <c r="L48" s="40"/>
      <c r="M48" s="40"/>
      <c r="N48" s="40"/>
      <c r="O48" s="40"/>
      <c r="P48" s="40"/>
      <c r="Q48" s="40"/>
      <c r="R48" s="40"/>
      <c r="T48" s="76"/>
    </row>
    <row r="49" spans="1:23" x14ac:dyDescent="0.8">
      <c r="A49" s="227" t="s">
        <v>276</v>
      </c>
      <c r="B49" s="40">
        <v>8</v>
      </c>
      <c r="C49" s="40"/>
      <c r="D49" s="40"/>
      <c r="E49" s="40"/>
      <c r="F49" s="40"/>
      <c r="G49" s="40"/>
      <c r="H49" s="40"/>
      <c r="I49" s="40"/>
      <c r="J49" s="40"/>
      <c r="K49" s="40"/>
      <c r="L49" s="40"/>
      <c r="M49" s="40"/>
      <c r="N49" s="40"/>
      <c r="O49" s="40"/>
      <c r="P49" s="40"/>
      <c r="Q49" s="40"/>
      <c r="R49" s="40"/>
      <c r="T49" s="76"/>
    </row>
    <row r="50" spans="1:23" x14ac:dyDescent="0.8">
      <c r="A50" s="227" t="s">
        <v>292</v>
      </c>
      <c r="B50" s="40">
        <f>B61</f>
        <v>5.0741666666666667</v>
      </c>
      <c r="C50" s="40"/>
      <c r="D50" s="40"/>
      <c r="E50" s="40"/>
      <c r="F50" s="40"/>
      <c r="G50" s="40"/>
      <c r="H50" s="40"/>
      <c r="I50" s="40"/>
      <c r="J50" s="40"/>
      <c r="K50" s="40"/>
      <c r="L50" s="40"/>
      <c r="M50" s="40"/>
      <c r="N50" s="40"/>
      <c r="O50" s="40"/>
      <c r="P50" s="40"/>
      <c r="Q50" s="40"/>
      <c r="R50" s="40"/>
      <c r="T50" s="76"/>
    </row>
    <row r="51" spans="1:23" x14ac:dyDescent="0.8">
      <c r="A51" s="35"/>
      <c r="B51" s="40"/>
      <c r="C51" s="40"/>
      <c r="D51" s="40"/>
      <c r="E51" s="40"/>
      <c r="F51" s="40"/>
      <c r="G51" s="40"/>
      <c r="H51" s="40"/>
      <c r="I51" s="40"/>
      <c r="J51" s="40"/>
      <c r="K51" s="40"/>
      <c r="L51" s="40"/>
      <c r="M51" s="40"/>
      <c r="N51" s="40"/>
      <c r="O51" s="40"/>
      <c r="P51" s="40"/>
      <c r="Q51" s="40"/>
      <c r="R51" s="40"/>
      <c r="T51" s="76"/>
    </row>
    <row r="52" spans="1:23" x14ac:dyDescent="0.8">
      <c r="A52" s="227" t="s">
        <v>293</v>
      </c>
      <c r="B52" s="40" t="s">
        <v>294</v>
      </c>
      <c r="C52" s="40"/>
      <c r="D52" s="40"/>
      <c r="E52" s="77">
        <v>1</v>
      </c>
      <c r="F52" s="77">
        <v>2</v>
      </c>
      <c r="G52" s="77">
        <v>3</v>
      </c>
      <c r="H52" s="77">
        <v>4</v>
      </c>
      <c r="I52" s="77">
        <v>5</v>
      </c>
      <c r="J52" s="77">
        <v>6</v>
      </c>
      <c r="K52" s="77">
        <v>7</v>
      </c>
      <c r="L52" s="77">
        <v>8</v>
      </c>
      <c r="M52" s="77">
        <v>9</v>
      </c>
      <c r="N52" s="77">
        <v>10</v>
      </c>
      <c r="O52" s="77">
        <v>11</v>
      </c>
      <c r="P52" s="77">
        <v>12</v>
      </c>
      <c r="Q52" s="77">
        <v>13</v>
      </c>
      <c r="R52" s="77">
        <v>14</v>
      </c>
      <c r="S52" s="77">
        <v>15</v>
      </c>
      <c r="T52" s="78">
        <v>16</v>
      </c>
    </row>
    <row r="53" spans="1:23" x14ac:dyDescent="0.8">
      <c r="A53" s="227" t="s">
        <v>273</v>
      </c>
      <c r="B53" s="40">
        <v>7</v>
      </c>
      <c r="C53" s="40"/>
      <c r="D53" s="40"/>
      <c r="E53" s="25">
        <v>0.1429</v>
      </c>
      <c r="F53" s="25">
        <v>0.24490000000000001</v>
      </c>
      <c r="G53" s="25">
        <v>0.1749</v>
      </c>
      <c r="H53" s="25">
        <v>0.1249</v>
      </c>
      <c r="I53" s="25">
        <v>8.9300000000000004E-2</v>
      </c>
      <c r="J53" s="25">
        <v>8.9200000000000002E-2</v>
      </c>
      <c r="K53" s="25">
        <v>8.9300000000000004E-2</v>
      </c>
      <c r="L53" s="25">
        <v>4.4600000000000001E-2</v>
      </c>
      <c r="M53" s="25"/>
      <c r="N53" s="25"/>
      <c r="O53" s="25"/>
      <c r="P53" s="25"/>
      <c r="Q53" s="25"/>
      <c r="R53" s="25"/>
      <c r="S53" s="25"/>
      <c r="T53" s="79"/>
    </row>
    <row r="54" spans="1:23" x14ac:dyDescent="0.8">
      <c r="A54" s="227" t="s">
        <v>274</v>
      </c>
      <c r="B54" s="40">
        <v>5</v>
      </c>
      <c r="C54" s="40"/>
      <c r="D54" s="40"/>
      <c r="E54" s="25">
        <v>0.2</v>
      </c>
      <c r="F54" s="25">
        <v>0.32</v>
      </c>
      <c r="G54" s="25">
        <v>0.192</v>
      </c>
      <c r="H54" s="25">
        <v>0.1152</v>
      </c>
      <c r="I54" s="25">
        <v>0.1152</v>
      </c>
      <c r="J54" s="25">
        <v>5.7599999999999998E-2</v>
      </c>
      <c r="K54" s="25"/>
      <c r="L54" s="25"/>
      <c r="M54" s="25"/>
      <c r="N54" s="25"/>
      <c r="O54" s="25"/>
      <c r="P54" s="25"/>
      <c r="Q54" s="25"/>
      <c r="R54" s="25"/>
      <c r="S54" s="25"/>
      <c r="T54" s="79"/>
    </row>
    <row r="55" spans="1:23" x14ac:dyDescent="0.8">
      <c r="A55" s="227" t="s">
        <v>275</v>
      </c>
      <c r="B55" s="40">
        <v>5</v>
      </c>
      <c r="C55" s="40"/>
      <c r="D55" s="40"/>
      <c r="E55" s="25">
        <v>0.2</v>
      </c>
      <c r="F55" s="25">
        <v>0.32</v>
      </c>
      <c r="G55" s="25">
        <v>0.192</v>
      </c>
      <c r="H55" s="25">
        <v>0.1152</v>
      </c>
      <c r="I55" s="25">
        <v>0.1152</v>
      </c>
      <c r="J55" s="25">
        <v>5.7599999999999998E-2</v>
      </c>
      <c r="K55" s="25"/>
      <c r="L55" s="25"/>
      <c r="M55" s="25"/>
      <c r="N55" s="25"/>
      <c r="O55" s="25"/>
      <c r="P55" s="25"/>
      <c r="Q55" s="25"/>
      <c r="R55" s="25"/>
      <c r="S55" s="25"/>
      <c r="T55" s="79"/>
    </row>
    <row r="56" spans="1:23" x14ac:dyDescent="0.8">
      <c r="A56" s="229" t="s">
        <v>276</v>
      </c>
      <c r="B56" s="80">
        <v>15</v>
      </c>
      <c r="C56" s="80"/>
      <c r="D56" s="80"/>
      <c r="E56" s="81">
        <v>0.05</v>
      </c>
      <c r="F56" s="81">
        <v>9.5000000000000001E-2</v>
      </c>
      <c r="G56" s="81">
        <v>8.5500000000000007E-2</v>
      </c>
      <c r="H56" s="81">
        <v>7.6999999999999999E-2</v>
      </c>
      <c r="I56" s="81">
        <v>6.93E-2</v>
      </c>
      <c r="J56" s="81">
        <v>6.2300000000000001E-2</v>
      </c>
      <c r="K56" s="81">
        <v>5.8999999999999997E-2</v>
      </c>
      <c r="L56" s="81">
        <v>5.8999999999999997E-2</v>
      </c>
      <c r="M56" s="81">
        <v>5.91E-2</v>
      </c>
      <c r="N56" s="81">
        <v>5.8999999999999997E-2</v>
      </c>
      <c r="O56" s="81">
        <v>5.91E-2</v>
      </c>
      <c r="P56" s="81">
        <v>5.8999999999999997E-2</v>
      </c>
      <c r="Q56" s="81">
        <v>5.91E-2</v>
      </c>
      <c r="R56" s="81">
        <v>5.8999999999999997E-2</v>
      </c>
      <c r="S56" s="81">
        <v>5.91E-2</v>
      </c>
      <c r="T56" s="83">
        <v>2.9499999999999998E-2</v>
      </c>
    </row>
    <row r="57" spans="1:23" x14ac:dyDescent="0.8">
      <c r="A57" s="228"/>
      <c r="B57" s="40"/>
      <c r="E57" s="25"/>
      <c r="F57" s="25"/>
      <c r="G57" s="25"/>
      <c r="H57" s="25"/>
      <c r="I57" s="25"/>
      <c r="J57" s="25"/>
      <c r="K57" s="198"/>
      <c r="L57" s="25"/>
      <c r="Q57" s="65"/>
      <c r="R57" s="40"/>
    </row>
    <row r="58" spans="1:23" x14ac:dyDescent="0.8">
      <c r="A58" s="84" t="s">
        <v>295</v>
      </c>
      <c r="B58" s="40"/>
      <c r="E58" s="25"/>
      <c r="F58" s="25"/>
      <c r="G58" s="25"/>
      <c r="H58" s="25"/>
      <c r="I58" s="25"/>
      <c r="J58" s="25"/>
      <c r="K58" s="25"/>
      <c r="L58" s="25"/>
      <c r="Q58" s="40"/>
      <c r="R58" s="40"/>
    </row>
    <row r="59" spans="1:23" x14ac:dyDescent="0.8">
      <c r="A59" s="228" t="s">
        <v>296</v>
      </c>
      <c r="B59" s="40">
        <f>K10/K22</f>
        <v>20.941904761904762</v>
      </c>
      <c r="E59" s="25"/>
      <c r="F59" s="25"/>
      <c r="G59" s="25"/>
      <c r="H59" s="25"/>
      <c r="I59" s="25"/>
      <c r="J59" s="25"/>
      <c r="K59" s="25"/>
      <c r="L59" s="25"/>
      <c r="Q59" s="40"/>
      <c r="R59" s="40"/>
    </row>
    <row r="60" spans="1:23" x14ac:dyDescent="0.8">
      <c r="A60" s="228" t="s">
        <v>297</v>
      </c>
      <c r="B60" s="40">
        <f>K24/K22</f>
        <v>15.867738095238096</v>
      </c>
      <c r="E60" s="25"/>
      <c r="F60" s="25"/>
      <c r="G60" s="25"/>
      <c r="H60" s="25"/>
      <c r="I60" s="25"/>
      <c r="J60" s="25"/>
      <c r="K60" s="25"/>
      <c r="L60" s="25"/>
      <c r="Q60" s="40"/>
      <c r="R60" s="40"/>
    </row>
    <row r="61" spans="1:23" x14ac:dyDescent="0.8">
      <c r="A61" s="228" t="s">
        <v>298</v>
      </c>
      <c r="B61" s="40">
        <f>B59-B60</f>
        <v>5.0741666666666667</v>
      </c>
      <c r="E61" s="25"/>
      <c r="F61" s="25"/>
      <c r="G61" s="25"/>
      <c r="H61" s="25"/>
      <c r="I61" s="25"/>
      <c r="J61" s="25"/>
      <c r="K61" s="25"/>
      <c r="L61" s="25"/>
      <c r="Q61" s="40"/>
      <c r="R61" s="40"/>
    </row>
    <row r="62" spans="1:23" x14ac:dyDescent="0.8">
      <c r="K62" s="40"/>
      <c r="L62" s="40"/>
      <c r="Q62" s="40"/>
      <c r="R62" s="40"/>
    </row>
    <row r="63" spans="1:23" x14ac:dyDescent="0.8">
      <c r="A63" s="85" t="s">
        <v>299</v>
      </c>
      <c r="B63" s="86"/>
      <c r="C63" s="86"/>
      <c r="D63" s="86"/>
      <c r="E63" s="86"/>
      <c r="F63" s="86"/>
      <c r="G63" s="86"/>
      <c r="H63" s="86"/>
      <c r="I63" s="86"/>
      <c r="J63" s="86"/>
      <c r="K63" s="86"/>
      <c r="L63" s="87">
        <f>$K$29/$B$50</f>
        <v>8400</v>
      </c>
      <c r="M63" s="87">
        <f>$K$29/$B$50</f>
        <v>8400</v>
      </c>
      <c r="N63" s="87">
        <f>$K$29/$B$50</f>
        <v>8400</v>
      </c>
      <c r="O63" s="87">
        <f>$K$29/$B$50</f>
        <v>8400</v>
      </c>
      <c r="P63" s="88">
        <f>$K$29/$B$50</f>
        <v>8400</v>
      </c>
      <c r="Q63" s="41"/>
      <c r="R63" s="41"/>
      <c r="S63" s="41"/>
      <c r="T63" s="41"/>
      <c r="U63" s="41"/>
      <c r="V63" s="41"/>
      <c r="W63" s="41"/>
    </row>
    <row r="64" spans="1:23" x14ac:dyDescent="0.8">
      <c r="K64" s="65"/>
      <c r="L64" s="40"/>
      <c r="Q64" s="40"/>
      <c r="R64" s="40"/>
    </row>
    <row r="65" spans="1:81" x14ac:dyDescent="0.8">
      <c r="A65" s="89" t="s">
        <v>300</v>
      </c>
      <c r="K65" s="80"/>
      <c r="L65" s="40"/>
      <c r="Q65" s="80"/>
      <c r="R65" s="40"/>
    </row>
    <row r="66" spans="1:81" x14ac:dyDescent="0.8">
      <c r="A66" s="66"/>
      <c r="B66" s="65"/>
      <c r="C66" s="65"/>
      <c r="D66" s="65"/>
      <c r="E66" s="65"/>
      <c r="F66" s="65"/>
      <c r="G66" s="65"/>
      <c r="H66" s="65"/>
      <c r="I66" s="65"/>
      <c r="J66" s="65"/>
      <c r="K66" s="65"/>
      <c r="L66" s="66"/>
      <c r="M66" s="65"/>
      <c r="N66" s="65"/>
      <c r="O66" s="65"/>
      <c r="P66" s="65"/>
      <c r="Q66" s="65"/>
      <c r="R66" s="66"/>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75"/>
      <c r="AT66" s="1330"/>
      <c r="AU66" s="1330"/>
      <c r="AV66" s="1330"/>
      <c r="AW66" s="1330"/>
      <c r="AX66" s="1330"/>
      <c r="AY66" s="1330"/>
    </row>
    <row r="67" spans="1:81" x14ac:dyDescent="0.8">
      <c r="A67" s="227" t="s">
        <v>301</v>
      </c>
      <c r="B67" s="40"/>
      <c r="C67" s="40"/>
      <c r="D67" s="40"/>
      <c r="E67" s="40"/>
      <c r="F67" s="40"/>
      <c r="G67" s="40"/>
      <c r="H67" s="40"/>
      <c r="I67" s="40"/>
      <c r="J67" s="40"/>
      <c r="K67" s="40"/>
      <c r="L67" s="42">
        <f>L63</f>
        <v>8400</v>
      </c>
      <c r="M67" s="41">
        <f>M63</f>
        <v>8400</v>
      </c>
      <c r="N67" s="41">
        <f>N63</f>
        <v>8400</v>
      </c>
      <c r="O67" s="41">
        <f>O63</f>
        <v>8400</v>
      </c>
      <c r="P67" s="41">
        <f>P63</f>
        <v>8400</v>
      </c>
      <c r="Q67" s="41"/>
      <c r="R67" s="42"/>
      <c r="S67" s="41"/>
      <c r="T67" s="41"/>
      <c r="U67" s="41"/>
      <c r="V67" s="41"/>
      <c r="W67" s="41"/>
      <c r="AS67" s="76"/>
      <c r="AT67" s="1330"/>
      <c r="AU67" s="1330"/>
      <c r="AV67" s="1330"/>
      <c r="AW67" s="1330"/>
      <c r="AX67" s="1330"/>
      <c r="AY67" s="1330"/>
    </row>
    <row r="68" spans="1:81" x14ac:dyDescent="0.8">
      <c r="A68" s="226" t="s">
        <v>302</v>
      </c>
      <c r="B68" s="40"/>
      <c r="C68" s="40"/>
      <c r="D68" s="40"/>
      <c r="E68" s="40"/>
      <c r="F68" s="40"/>
      <c r="G68" s="40"/>
      <c r="H68" s="40"/>
      <c r="I68" s="40"/>
      <c r="J68" s="40"/>
      <c r="K68" s="40"/>
      <c r="L68" s="90">
        <f t="shared" ref="L68:AS68" si="25">L111+L149+L187+L225</f>
        <v>4948.5731621621608</v>
      </c>
      <c r="M68" s="91">
        <f t="shared" si="25"/>
        <v>5569.5401449729707</v>
      </c>
      <c r="N68" s="91">
        <f t="shared" si="25"/>
        <v>12590.755262313507</v>
      </c>
      <c r="O68" s="91">
        <f t="shared" si="25"/>
        <v>14005.224097885406</v>
      </c>
      <c r="P68" s="91">
        <f t="shared" si="25"/>
        <v>19760.316544486053</v>
      </c>
      <c r="Q68" s="91">
        <f t="shared" si="25"/>
        <v>24531.172969224546</v>
      </c>
      <c r="R68" s="90">
        <f t="shared" si="25"/>
        <v>22829.714847679115</v>
      </c>
      <c r="S68" s="91">
        <f t="shared" si="25"/>
        <v>25955.667915595797</v>
      </c>
      <c r="T68" s="91">
        <f t="shared" si="25"/>
        <v>24046.195084141767</v>
      </c>
      <c r="U68" s="91">
        <f t="shared" si="25"/>
        <v>25466.386300053291</v>
      </c>
      <c r="V68" s="91">
        <f t="shared" si="25"/>
        <v>29226.497475903692</v>
      </c>
      <c r="W68" s="91">
        <f t="shared" si="25"/>
        <v>30541.174814106318</v>
      </c>
      <c r="X68" s="91">
        <f t="shared" si="25"/>
        <v>27533.307501629111</v>
      </c>
      <c r="Y68" s="91">
        <f t="shared" si="25"/>
        <v>25776.02998255163</v>
      </c>
      <c r="Z68" s="91">
        <f t="shared" si="25"/>
        <v>21152.363746903527</v>
      </c>
      <c r="AA68" s="91">
        <f t="shared" si="25"/>
        <v>19388.779569620092</v>
      </c>
      <c r="AB68" s="91">
        <f t="shared" si="25"/>
        <v>17461.507057277384</v>
      </c>
      <c r="AC68" s="91">
        <f t="shared" si="25"/>
        <v>15504.660287239427</v>
      </c>
      <c r="AD68" s="91">
        <f t="shared" si="25"/>
        <v>13556.773625432752</v>
      </c>
      <c r="AE68" s="91">
        <f t="shared" si="25"/>
        <v>10941.629627078943</v>
      </c>
      <c r="AF68" s="91">
        <f t="shared" si="25"/>
        <v>8523.7192341738992</v>
      </c>
      <c r="AG68" s="91">
        <f t="shared" si="25"/>
        <v>6513.2094631676964</v>
      </c>
      <c r="AH68" s="91">
        <f t="shared" si="25"/>
        <v>4854.3063482185426</v>
      </c>
      <c r="AI68" s="91">
        <f t="shared" si="25"/>
        <v>3660.4364316061619</v>
      </c>
      <c r="AJ68" s="91">
        <f t="shared" si="25"/>
        <v>2684.8935261238444</v>
      </c>
      <c r="AK68" s="91">
        <f t="shared" si="25"/>
        <v>1891.3135952931534</v>
      </c>
      <c r="AL68" s="91">
        <f t="shared" si="25"/>
        <v>1248.1188723056694</v>
      </c>
      <c r="AM68" s="91">
        <f t="shared" si="25"/>
        <v>1248.2399769517574</v>
      </c>
      <c r="AN68" s="91">
        <f t="shared" si="25"/>
        <v>1248.3610882586042</v>
      </c>
      <c r="AO68" s="91">
        <f t="shared" si="25"/>
        <v>1248.4822062265694</v>
      </c>
      <c r="AP68" s="91">
        <f t="shared" si="25"/>
        <v>1248.6033308560125</v>
      </c>
      <c r="AQ68" s="91">
        <f t="shared" si="25"/>
        <v>1248.7244621473274</v>
      </c>
      <c r="AR68" s="91">
        <f t="shared" si="25"/>
        <v>1248.8456001008499</v>
      </c>
      <c r="AS68" s="92">
        <f t="shared" si="25"/>
        <v>1248.9667447169556</v>
      </c>
      <c r="AT68" s="1330"/>
      <c r="AU68" s="1330"/>
      <c r="AV68" s="1330"/>
      <c r="AW68" s="1330"/>
      <c r="AX68" s="1330"/>
      <c r="AY68" s="1330"/>
    </row>
    <row r="69" spans="1:81" x14ac:dyDescent="0.8">
      <c r="A69" s="93" t="s">
        <v>303</v>
      </c>
      <c r="B69" s="40"/>
      <c r="C69" s="40"/>
      <c r="D69" s="40"/>
      <c r="E69" s="40"/>
      <c r="F69" s="40"/>
      <c r="G69" s="40"/>
      <c r="H69" s="40"/>
      <c r="I69" s="40"/>
      <c r="J69" s="40"/>
      <c r="K69" s="40"/>
      <c r="L69" s="94">
        <f t="shared" ref="L69:AS69" si="26">SUM(L67:L68)</f>
        <v>13348.57316216216</v>
      </c>
      <c r="M69" s="95">
        <f t="shared" si="26"/>
        <v>13969.540144972971</v>
      </c>
      <c r="N69" s="95">
        <f t="shared" si="26"/>
        <v>20990.755262313505</v>
      </c>
      <c r="O69" s="95">
        <f t="shared" si="26"/>
        <v>22405.224097885406</v>
      </c>
      <c r="P69" s="95">
        <f t="shared" si="26"/>
        <v>28160.316544486053</v>
      </c>
      <c r="Q69" s="95">
        <f t="shared" si="26"/>
        <v>24531.172969224546</v>
      </c>
      <c r="R69" s="94">
        <f t="shared" si="26"/>
        <v>22829.714847679115</v>
      </c>
      <c r="S69" s="95">
        <f t="shared" si="26"/>
        <v>25955.667915595797</v>
      </c>
      <c r="T69" s="95">
        <f t="shared" si="26"/>
        <v>24046.195084141767</v>
      </c>
      <c r="U69" s="95">
        <f t="shared" si="26"/>
        <v>25466.386300053291</v>
      </c>
      <c r="V69" s="95">
        <f t="shared" si="26"/>
        <v>29226.497475903692</v>
      </c>
      <c r="W69" s="95">
        <f t="shared" si="26"/>
        <v>30541.174814106318</v>
      </c>
      <c r="X69" s="95">
        <f t="shared" si="26"/>
        <v>27533.307501629111</v>
      </c>
      <c r="Y69" s="95">
        <f t="shared" si="26"/>
        <v>25776.02998255163</v>
      </c>
      <c r="Z69" s="95">
        <f t="shared" si="26"/>
        <v>21152.363746903527</v>
      </c>
      <c r="AA69" s="95">
        <f t="shared" si="26"/>
        <v>19388.779569620092</v>
      </c>
      <c r="AB69" s="95">
        <f t="shared" si="26"/>
        <v>17461.507057277384</v>
      </c>
      <c r="AC69" s="95">
        <f t="shared" si="26"/>
        <v>15504.660287239427</v>
      </c>
      <c r="AD69" s="95">
        <f t="shared" si="26"/>
        <v>13556.773625432752</v>
      </c>
      <c r="AE69" s="95">
        <f t="shared" si="26"/>
        <v>10941.629627078943</v>
      </c>
      <c r="AF69" s="95">
        <f t="shared" si="26"/>
        <v>8523.7192341738992</v>
      </c>
      <c r="AG69" s="95">
        <f t="shared" si="26"/>
        <v>6513.2094631676964</v>
      </c>
      <c r="AH69" s="95">
        <f t="shared" si="26"/>
        <v>4854.3063482185426</v>
      </c>
      <c r="AI69" s="95">
        <f t="shared" si="26"/>
        <v>3660.4364316061619</v>
      </c>
      <c r="AJ69" s="95">
        <f t="shared" si="26"/>
        <v>2684.8935261238444</v>
      </c>
      <c r="AK69" s="95">
        <f t="shared" si="26"/>
        <v>1891.3135952931534</v>
      </c>
      <c r="AL69" s="95">
        <f t="shared" si="26"/>
        <v>1248.1188723056694</v>
      </c>
      <c r="AM69" s="95">
        <f t="shared" si="26"/>
        <v>1248.2399769517574</v>
      </c>
      <c r="AN69" s="95">
        <f t="shared" si="26"/>
        <v>1248.3610882586042</v>
      </c>
      <c r="AO69" s="95">
        <f t="shared" si="26"/>
        <v>1248.4822062265694</v>
      </c>
      <c r="AP69" s="95">
        <f t="shared" si="26"/>
        <v>1248.6033308560125</v>
      </c>
      <c r="AQ69" s="95">
        <f t="shared" si="26"/>
        <v>1248.7244621473274</v>
      </c>
      <c r="AR69" s="95">
        <f t="shared" si="26"/>
        <v>1248.8456001008499</v>
      </c>
      <c r="AS69" s="96">
        <f t="shared" si="26"/>
        <v>1248.9667447169556</v>
      </c>
      <c r="AT69" s="1330"/>
      <c r="AU69" s="1330"/>
      <c r="AV69" s="1330"/>
      <c r="AW69" s="1330"/>
      <c r="AX69" s="1330"/>
      <c r="AY69" s="1330"/>
    </row>
    <row r="70" spans="1:81" x14ac:dyDescent="0.8">
      <c r="A70" s="97" t="s">
        <v>159</v>
      </c>
      <c r="B70" s="40"/>
      <c r="C70" s="40"/>
      <c r="D70" s="40"/>
      <c r="E70" s="40"/>
      <c r="F70" s="40"/>
      <c r="G70" s="40"/>
      <c r="H70" s="40"/>
      <c r="I70" s="40"/>
      <c r="J70" s="40"/>
      <c r="K70" s="40"/>
      <c r="M70" s="98">
        <f t="shared" ref="M70:AS70" si="27">(M69-L69)/L69</f>
        <v>4.6519352687896462E-2</v>
      </c>
      <c r="N70" s="98">
        <f t="shared" si="27"/>
        <v>0.50260889366978656</v>
      </c>
      <c r="O70" s="98">
        <f t="shared" si="27"/>
        <v>6.7385323581539605E-2</v>
      </c>
      <c r="P70" s="98">
        <f t="shared" si="27"/>
        <v>0.25686386449238013</v>
      </c>
      <c r="Q70" s="98">
        <f t="shared" si="27"/>
        <v>-0.12887438852217425</v>
      </c>
      <c r="R70" s="216">
        <f t="shared" si="27"/>
        <v>-6.9359020201764765E-2</v>
      </c>
      <c r="S70" s="98">
        <f t="shared" si="27"/>
        <v>0.13692475305859847</v>
      </c>
      <c r="T70" s="98">
        <f t="shared" si="27"/>
        <v>-7.3566699869306709E-2</v>
      </c>
      <c r="U70" s="98">
        <f t="shared" si="27"/>
        <v>5.9060953757633199E-2</v>
      </c>
      <c r="V70" s="98">
        <f t="shared" si="27"/>
        <v>0.14764997010363157</v>
      </c>
      <c r="W70" s="98">
        <f t="shared" si="27"/>
        <v>4.4982377354198362E-2</v>
      </c>
      <c r="X70" s="98">
        <f t="shared" si="27"/>
        <v>-9.8485645388072529E-2</v>
      </c>
      <c r="Y70" s="98">
        <f t="shared" si="27"/>
        <v>-6.3823698586648367E-2</v>
      </c>
      <c r="Z70" s="98">
        <f t="shared" si="27"/>
        <v>-0.17937852488447467</v>
      </c>
      <c r="AA70" s="98">
        <f t="shared" si="27"/>
        <v>-8.3375276559415484E-2</v>
      </c>
      <c r="AB70" s="98">
        <f t="shared" si="27"/>
        <v>-9.9401435011542166E-2</v>
      </c>
      <c r="AC70" s="98">
        <f t="shared" si="27"/>
        <v>-0.11206631613291404</v>
      </c>
      <c r="AD70" s="98">
        <f t="shared" si="27"/>
        <v>-0.12563233413181038</v>
      </c>
      <c r="AE70" s="98">
        <f t="shared" si="27"/>
        <v>-0.19290312508042121</v>
      </c>
      <c r="AF70" s="98">
        <f t="shared" si="27"/>
        <v>-0.22098265754865862</v>
      </c>
      <c r="AG70" s="98">
        <f t="shared" si="27"/>
        <v>-0.23587235991367764</v>
      </c>
      <c r="AH70" s="98">
        <f t="shared" si="27"/>
        <v>-0.25469825964146825</v>
      </c>
      <c r="AI70" s="98">
        <f t="shared" si="27"/>
        <v>-0.24594037355110746</v>
      </c>
      <c r="AJ70" s="98">
        <f t="shared" si="27"/>
        <v>-0.26650999784041035</v>
      </c>
      <c r="AK70" s="98">
        <f t="shared" si="27"/>
        <v>-0.29557221659228133</v>
      </c>
      <c r="AL70" s="98">
        <f t="shared" si="27"/>
        <v>-0.34007830567505065</v>
      </c>
      <c r="AM70" s="98">
        <f t="shared" si="27"/>
        <v>9.7029737130986576E-5</v>
      </c>
      <c r="AN70" s="98">
        <f t="shared" si="27"/>
        <v>9.7025659394918496E-5</v>
      </c>
      <c r="AO70" s="98">
        <f t="shared" si="27"/>
        <v>9.7021582220311356E-5</v>
      </c>
      <c r="AP70" s="98">
        <f t="shared" si="27"/>
        <v>9.7017505607221207E-5</v>
      </c>
      <c r="AQ70" s="98">
        <f t="shared" si="27"/>
        <v>9.7013429582837294E-5</v>
      </c>
      <c r="AR70" s="98">
        <f t="shared" si="27"/>
        <v>9.7009354100591343E-5</v>
      </c>
      <c r="AS70" s="99">
        <f t="shared" si="27"/>
        <v>9.7005279192226464E-5</v>
      </c>
      <c r="AT70" s="1330"/>
      <c r="AU70" s="1330"/>
      <c r="AV70" s="1330"/>
      <c r="AW70" s="1330"/>
      <c r="AX70" s="1330"/>
      <c r="AY70" s="1330"/>
    </row>
    <row r="71" spans="1:81" x14ac:dyDescent="0.8">
      <c r="A71" s="100" t="s">
        <v>304</v>
      </c>
      <c r="B71" s="40"/>
      <c r="C71" s="40"/>
      <c r="D71" s="40"/>
      <c r="E71" s="40"/>
      <c r="F71" s="40"/>
      <c r="G71" s="40"/>
      <c r="H71" s="40"/>
      <c r="I71" s="40"/>
      <c r="J71" s="40"/>
      <c r="K71" s="40"/>
      <c r="L71" s="90">
        <f>L265+L303+L341+L379</f>
        <v>6775.9835158399983</v>
      </c>
      <c r="M71" s="91">
        <f t="shared" ref="M71:AR71" si="28">M379++M341+M303+M265</f>
        <v>12860.514645727995</v>
      </c>
      <c r="N71" s="91">
        <f t="shared" si="28"/>
        <v>18550.23536361599</v>
      </c>
      <c r="O71" s="91">
        <f t="shared" si="28"/>
        <v>22049.754443040638</v>
      </c>
      <c r="P71" s="91">
        <f t="shared" si="28"/>
        <v>27550.348074977923</v>
      </c>
      <c r="Q71" s="91">
        <f t="shared" si="28"/>
        <v>33442.86631037094</v>
      </c>
      <c r="R71" s="90">
        <f t="shared" si="28"/>
        <v>32948.686176279902</v>
      </c>
      <c r="S71" s="91">
        <f t="shared" si="28"/>
        <v>30923.360399793553</v>
      </c>
      <c r="T71" s="91">
        <f t="shared" si="28"/>
        <v>30182.657494526546</v>
      </c>
      <c r="U71" s="91">
        <f t="shared" si="28"/>
        <v>29283.296295844895</v>
      </c>
      <c r="V71" s="91">
        <f t="shared" si="28"/>
        <v>27209.235164363832</v>
      </c>
      <c r="W71" s="91">
        <f t="shared" si="28"/>
        <v>25811.134044098024</v>
      </c>
      <c r="X71" s="91">
        <f t="shared" si="28"/>
        <v>24480.487573452705</v>
      </c>
      <c r="Y71" s="91">
        <f t="shared" si="28"/>
        <v>23073.591961228274</v>
      </c>
      <c r="Z71" s="91">
        <f t="shared" si="28"/>
        <v>20869.65274123834</v>
      </c>
      <c r="AA71" s="91">
        <f t="shared" si="28"/>
        <v>18246.538008376148</v>
      </c>
      <c r="AB71" s="91">
        <f t="shared" si="28"/>
        <v>15653.421180029538</v>
      </c>
      <c r="AC71" s="91">
        <f t="shared" si="28"/>
        <v>13144.592353945034</v>
      </c>
      <c r="AD71" s="91">
        <f t="shared" si="28"/>
        <v>10863.617048603444</v>
      </c>
      <c r="AE71" s="91">
        <f t="shared" si="28"/>
        <v>7856.5434905703623</v>
      </c>
      <c r="AF71" s="91">
        <f t="shared" si="28"/>
        <v>4713.7004389026297</v>
      </c>
      <c r="AG71" s="91">
        <f t="shared" si="28"/>
        <v>2797.0278724266209</v>
      </c>
      <c r="AH71" s="91">
        <f t="shared" si="28"/>
        <v>1631.9951096419018</v>
      </c>
      <c r="AI71" s="91">
        <f t="shared" si="28"/>
        <v>721.12083126338939</v>
      </c>
      <c r="AJ71" s="91">
        <f t="shared" si="28"/>
        <v>255.63104349252376</v>
      </c>
      <c r="AK71" s="91">
        <f t="shared" si="28"/>
        <v>151.46732691010965</v>
      </c>
      <c r="AL71" s="91">
        <f t="shared" si="28"/>
        <v>97.233053894890332</v>
      </c>
      <c r="AM71" s="91">
        <f t="shared" si="28"/>
        <v>83.566223500288359</v>
      </c>
      <c r="AN71" s="91">
        <f t="shared" si="28"/>
        <v>71.407032115547025</v>
      </c>
      <c r="AO71" s="91">
        <f t="shared" si="28"/>
        <v>61.297133853078464</v>
      </c>
      <c r="AP71" s="91">
        <f t="shared" si="28"/>
        <v>52.965359590404574</v>
      </c>
      <c r="AQ71" s="91">
        <f t="shared" si="28"/>
        <v>46.131245993605035</v>
      </c>
      <c r="AR71" s="91">
        <f t="shared" si="28"/>
        <v>40.56391047794979</v>
      </c>
      <c r="AS71" s="92">
        <f>AS265+AS303+AS341+AS379</f>
        <v>36.037106044218696</v>
      </c>
      <c r="AT71" s="1330"/>
      <c r="AU71" s="1330"/>
      <c r="AV71" s="1330"/>
      <c r="AW71" s="1330"/>
      <c r="AX71" s="1330"/>
      <c r="AY71" s="1330"/>
    </row>
    <row r="72" spans="1:81" x14ac:dyDescent="0.8">
      <c r="A72" s="101"/>
      <c r="B72" s="80"/>
      <c r="C72" s="80"/>
      <c r="D72" s="80"/>
      <c r="E72" s="80"/>
      <c r="F72" s="80"/>
      <c r="G72" s="80"/>
      <c r="H72" s="80"/>
      <c r="I72" s="80"/>
      <c r="J72" s="80"/>
      <c r="K72" s="80"/>
      <c r="L72" s="101"/>
      <c r="M72" s="80"/>
      <c r="N72" s="80"/>
      <c r="O72" s="80"/>
      <c r="P72" s="80"/>
      <c r="Q72" s="80"/>
      <c r="R72" s="101"/>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102"/>
      <c r="AT72" s="1330"/>
      <c r="AU72" s="1330"/>
      <c r="AV72" s="1330"/>
      <c r="AW72" s="1330"/>
      <c r="AX72" s="1330"/>
      <c r="AY72" s="1330"/>
    </row>
    <row r="73" spans="1:81" ht="16.75" thickBot="1" x14ac:dyDescent="0.95">
      <c r="K73" s="65"/>
      <c r="L73" s="40"/>
      <c r="Q73" s="65"/>
      <c r="R73" s="40"/>
      <c r="AT73" s="1330"/>
      <c r="AU73" s="1330"/>
      <c r="AV73" s="1330"/>
      <c r="AW73" s="1330"/>
      <c r="AX73" s="1330"/>
      <c r="AY73" s="1330"/>
    </row>
    <row r="74" spans="1:81" ht="16.75" thickBot="1" x14ac:dyDescent="0.95">
      <c r="A74" s="103" t="s">
        <v>305</v>
      </c>
      <c r="K74" s="40"/>
      <c r="L74" s="40"/>
      <c r="Q74" s="40"/>
      <c r="R74" s="40"/>
      <c r="AT74" s="1330"/>
      <c r="AU74" s="1330"/>
      <c r="AV74" s="1330"/>
      <c r="AW74" s="1330"/>
      <c r="AX74" s="1330"/>
      <c r="AY74" s="1330"/>
    </row>
    <row r="75" spans="1:81" x14ac:dyDescent="0.8">
      <c r="K75" s="40"/>
      <c r="L75" s="40"/>
      <c r="Q75" s="40"/>
      <c r="R75" s="40"/>
    </row>
    <row r="76" spans="1:81" x14ac:dyDescent="0.8">
      <c r="A76" s="89" t="s">
        <v>306</v>
      </c>
      <c r="K76" s="80"/>
      <c r="L76" s="40"/>
      <c r="Q76" s="40"/>
      <c r="R76" s="40"/>
    </row>
    <row r="77" spans="1:81" x14ac:dyDescent="0.8">
      <c r="A77" s="66" t="s">
        <v>307</v>
      </c>
      <c r="B77" s="65">
        <v>1</v>
      </c>
      <c r="C77" s="65"/>
      <c r="D77" s="65"/>
      <c r="E77" s="65"/>
      <c r="F77" s="65"/>
      <c r="G77" s="65"/>
      <c r="H77" s="65"/>
      <c r="I77" s="65"/>
      <c r="J77" s="65"/>
      <c r="K77" s="65"/>
      <c r="L77" s="104">
        <f>L33/B46</f>
        <v>95.98296216216211</v>
      </c>
      <c r="M77" s="105">
        <f t="shared" ref="M77:AV77" si="29">L77</f>
        <v>95.98296216216211</v>
      </c>
      <c r="N77" s="105">
        <f t="shared" si="29"/>
        <v>95.98296216216211</v>
      </c>
      <c r="O77" s="105">
        <f t="shared" si="29"/>
        <v>95.98296216216211</v>
      </c>
      <c r="P77" s="105">
        <f t="shared" si="29"/>
        <v>95.98296216216211</v>
      </c>
      <c r="Q77" s="105">
        <f t="shared" si="29"/>
        <v>95.98296216216211</v>
      </c>
      <c r="R77" s="105">
        <f t="shared" si="29"/>
        <v>95.98296216216211</v>
      </c>
      <c r="S77" s="105">
        <f t="shared" si="29"/>
        <v>95.98296216216211</v>
      </c>
      <c r="T77" s="105">
        <f t="shared" si="29"/>
        <v>95.98296216216211</v>
      </c>
      <c r="U77" s="105">
        <f t="shared" si="29"/>
        <v>95.98296216216211</v>
      </c>
      <c r="V77" s="105">
        <f t="shared" si="29"/>
        <v>95.98296216216211</v>
      </c>
      <c r="W77" s="105">
        <f t="shared" si="29"/>
        <v>95.98296216216211</v>
      </c>
      <c r="X77" s="105">
        <f t="shared" si="29"/>
        <v>95.98296216216211</v>
      </c>
      <c r="Y77" s="105">
        <f t="shared" si="29"/>
        <v>95.98296216216211</v>
      </c>
      <c r="Z77" s="105">
        <f t="shared" si="29"/>
        <v>95.98296216216211</v>
      </c>
      <c r="AA77" s="105">
        <f t="shared" si="29"/>
        <v>95.98296216216211</v>
      </c>
      <c r="AB77" s="105">
        <f t="shared" si="29"/>
        <v>95.98296216216211</v>
      </c>
      <c r="AC77" s="105">
        <f t="shared" si="29"/>
        <v>95.98296216216211</v>
      </c>
      <c r="AD77" s="105">
        <f t="shared" si="29"/>
        <v>95.98296216216211</v>
      </c>
      <c r="AE77" s="105">
        <f t="shared" si="29"/>
        <v>95.98296216216211</v>
      </c>
      <c r="AF77" s="105">
        <f t="shared" si="29"/>
        <v>95.98296216216211</v>
      </c>
      <c r="AG77" s="105">
        <f t="shared" si="29"/>
        <v>95.98296216216211</v>
      </c>
      <c r="AH77" s="105">
        <f t="shared" si="29"/>
        <v>95.98296216216211</v>
      </c>
      <c r="AI77" s="105">
        <f t="shared" si="29"/>
        <v>95.98296216216211</v>
      </c>
      <c r="AJ77" s="105">
        <f t="shared" si="29"/>
        <v>95.98296216216211</v>
      </c>
      <c r="AK77" s="105">
        <f t="shared" si="29"/>
        <v>95.98296216216211</v>
      </c>
      <c r="AL77" s="105">
        <f t="shared" si="29"/>
        <v>95.98296216216211</v>
      </c>
      <c r="AM77" s="105">
        <f t="shared" si="29"/>
        <v>95.98296216216211</v>
      </c>
      <c r="AN77" s="105">
        <f t="shared" si="29"/>
        <v>95.98296216216211</v>
      </c>
      <c r="AO77" s="105">
        <f t="shared" si="29"/>
        <v>95.98296216216211</v>
      </c>
      <c r="AP77" s="105">
        <f t="shared" si="29"/>
        <v>95.98296216216211</v>
      </c>
      <c r="AQ77" s="105">
        <f t="shared" si="29"/>
        <v>95.98296216216211</v>
      </c>
      <c r="AR77" s="105">
        <f t="shared" si="29"/>
        <v>95.98296216216211</v>
      </c>
      <c r="AS77" s="106">
        <f t="shared" si="29"/>
        <v>95.98296216216211</v>
      </c>
      <c r="AT77" s="107">
        <f t="shared" si="29"/>
        <v>95.98296216216211</v>
      </c>
      <c r="AU77" s="107">
        <f t="shared" si="29"/>
        <v>95.98296216216211</v>
      </c>
      <c r="AV77" s="107">
        <f t="shared" si="29"/>
        <v>95.98296216216211</v>
      </c>
      <c r="AW77" s="107"/>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row>
    <row r="78" spans="1:81" x14ac:dyDescent="0.8">
      <c r="A78" s="35" t="s">
        <v>307</v>
      </c>
      <c r="B78" s="40">
        <v>2</v>
      </c>
      <c r="C78" s="40"/>
      <c r="D78" s="40"/>
      <c r="E78" s="40"/>
      <c r="F78" s="40"/>
      <c r="G78" s="40"/>
      <c r="H78" s="40"/>
      <c r="I78" s="40"/>
      <c r="J78" s="40"/>
      <c r="K78" s="40"/>
      <c r="L78" s="90"/>
      <c r="M78" s="91">
        <f>M33/$B$46</f>
        <v>64.469370810810759</v>
      </c>
      <c r="N78" s="91">
        <f t="shared" ref="N78:AW78" si="30">M78</f>
        <v>64.469370810810759</v>
      </c>
      <c r="O78" s="91">
        <f t="shared" si="30"/>
        <v>64.469370810810759</v>
      </c>
      <c r="P78" s="91">
        <f t="shared" si="30"/>
        <v>64.469370810810759</v>
      </c>
      <c r="Q78" s="91">
        <f t="shared" si="30"/>
        <v>64.469370810810759</v>
      </c>
      <c r="R78" s="90">
        <f t="shared" si="30"/>
        <v>64.469370810810759</v>
      </c>
      <c r="S78" s="91">
        <f t="shared" si="30"/>
        <v>64.469370810810759</v>
      </c>
      <c r="T78" s="91">
        <f t="shared" si="30"/>
        <v>64.469370810810759</v>
      </c>
      <c r="U78" s="91">
        <f t="shared" si="30"/>
        <v>64.469370810810759</v>
      </c>
      <c r="V78" s="91">
        <f t="shared" si="30"/>
        <v>64.469370810810759</v>
      </c>
      <c r="W78" s="91">
        <f t="shared" si="30"/>
        <v>64.469370810810759</v>
      </c>
      <c r="X78" s="91">
        <f t="shared" si="30"/>
        <v>64.469370810810759</v>
      </c>
      <c r="Y78" s="91">
        <f t="shared" si="30"/>
        <v>64.469370810810759</v>
      </c>
      <c r="Z78" s="91">
        <f t="shared" si="30"/>
        <v>64.469370810810759</v>
      </c>
      <c r="AA78" s="91">
        <f t="shared" si="30"/>
        <v>64.469370810810759</v>
      </c>
      <c r="AB78" s="91">
        <f t="shared" si="30"/>
        <v>64.469370810810759</v>
      </c>
      <c r="AC78" s="91">
        <f t="shared" si="30"/>
        <v>64.469370810810759</v>
      </c>
      <c r="AD78" s="91">
        <f t="shared" si="30"/>
        <v>64.469370810810759</v>
      </c>
      <c r="AE78" s="91">
        <f t="shared" si="30"/>
        <v>64.469370810810759</v>
      </c>
      <c r="AF78" s="91">
        <f t="shared" si="30"/>
        <v>64.469370810810759</v>
      </c>
      <c r="AG78" s="91">
        <f t="shared" si="30"/>
        <v>64.469370810810759</v>
      </c>
      <c r="AH78" s="91">
        <f t="shared" si="30"/>
        <v>64.469370810810759</v>
      </c>
      <c r="AI78" s="91">
        <f t="shared" si="30"/>
        <v>64.469370810810759</v>
      </c>
      <c r="AJ78" s="91">
        <f t="shared" si="30"/>
        <v>64.469370810810759</v>
      </c>
      <c r="AK78" s="91">
        <f t="shared" si="30"/>
        <v>64.469370810810759</v>
      </c>
      <c r="AL78" s="91">
        <f t="shared" si="30"/>
        <v>64.469370810810759</v>
      </c>
      <c r="AM78" s="91">
        <f t="shared" si="30"/>
        <v>64.469370810810759</v>
      </c>
      <c r="AN78" s="91">
        <f t="shared" si="30"/>
        <v>64.469370810810759</v>
      </c>
      <c r="AO78" s="91">
        <f t="shared" si="30"/>
        <v>64.469370810810759</v>
      </c>
      <c r="AP78" s="91">
        <f t="shared" si="30"/>
        <v>64.469370810810759</v>
      </c>
      <c r="AQ78" s="91">
        <f t="shared" si="30"/>
        <v>64.469370810810759</v>
      </c>
      <c r="AR78" s="91">
        <f t="shared" si="30"/>
        <v>64.469370810810759</v>
      </c>
      <c r="AS78" s="92">
        <f t="shared" si="30"/>
        <v>64.469370810810759</v>
      </c>
      <c r="AT78" s="109">
        <f t="shared" si="30"/>
        <v>64.469370810810759</v>
      </c>
      <c r="AU78" s="109">
        <f t="shared" si="30"/>
        <v>64.469370810810759</v>
      </c>
      <c r="AV78" s="109">
        <f t="shared" si="30"/>
        <v>64.469370810810759</v>
      </c>
      <c r="AW78" s="109">
        <f t="shared" si="30"/>
        <v>64.469370810810759</v>
      </c>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row>
    <row r="79" spans="1:81" x14ac:dyDescent="0.8">
      <c r="A79" s="35" t="s">
        <v>307</v>
      </c>
      <c r="B79" s="40">
        <v>3</v>
      </c>
      <c r="C79" s="40"/>
      <c r="D79" s="40"/>
      <c r="E79" s="40"/>
      <c r="F79" s="40"/>
      <c r="G79" s="40"/>
      <c r="H79" s="40"/>
      <c r="I79" s="40"/>
      <c r="J79" s="40"/>
      <c r="K79" s="40"/>
      <c r="L79" s="90"/>
      <c r="M79" s="91"/>
      <c r="N79" s="91">
        <f>N33/B46</f>
        <v>35.943100540540449</v>
      </c>
      <c r="O79" s="91">
        <f t="shared" ref="O79:AX79" si="31">N79</f>
        <v>35.943100540540449</v>
      </c>
      <c r="P79" s="91">
        <f t="shared" si="31"/>
        <v>35.943100540540449</v>
      </c>
      <c r="Q79" s="91">
        <f t="shared" si="31"/>
        <v>35.943100540540449</v>
      </c>
      <c r="R79" s="90">
        <f t="shared" si="31"/>
        <v>35.943100540540449</v>
      </c>
      <c r="S79" s="91">
        <f t="shared" si="31"/>
        <v>35.943100540540449</v>
      </c>
      <c r="T79" s="91">
        <f t="shared" si="31"/>
        <v>35.943100540540449</v>
      </c>
      <c r="U79" s="91">
        <f t="shared" si="31"/>
        <v>35.943100540540449</v>
      </c>
      <c r="V79" s="91">
        <f t="shared" si="31"/>
        <v>35.943100540540449</v>
      </c>
      <c r="W79" s="91">
        <f t="shared" si="31"/>
        <v>35.943100540540449</v>
      </c>
      <c r="X79" s="91">
        <f t="shared" si="31"/>
        <v>35.943100540540449</v>
      </c>
      <c r="Y79" s="91">
        <f t="shared" si="31"/>
        <v>35.943100540540449</v>
      </c>
      <c r="Z79" s="91">
        <f t="shared" si="31"/>
        <v>35.943100540540449</v>
      </c>
      <c r="AA79" s="91">
        <f t="shared" si="31"/>
        <v>35.943100540540449</v>
      </c>
      <c r="AB79" s="91">
        <f t="shared" si="31"/>
        <v>35.943100540540449</v>
      </c>
      <c r="AC79" s="91">
        <f t="shared" si="31"/>
        <v>35.943100540540449</v>
      </c>
      <c r="AD79" s="91">
        <f t="shared" si="31"/>
        <v>35.943100540540449</v>
      </c>
      <c r="AE79" s="91">
        <f t="shared" si="31"/>
        <v>35.943100540540449</v>
      </c>
      <c r="AF79" s="91">
        <f t="shared" si="31"/>
        <v>35.943100540540449</v>
      </c>
      <c r="AG79" s="91">
        <f t="shared" si="31"/>
        <v>35.943100540540449</v>
      </c>
      <c r="AH79" s="91">
        <f t="shared" si="31"/>
        <v>35.943100540540449</v>
      </c>
      <c r="AI79" s="91">
        <f t="shared" si="31"/>
        <v>35.943100540540449</v>
      </c>
      <c r="AJ79" s="91">
        <f t="shared" si="31"/>
        <v>35.943100540540449</v>
      </c>
      <c r="AK79" s="91">
        <f t="shared" si="31"/>
        <v>35.943100540540449</v>
      </c>
      <c r="AL79" s="91">
        <f t="shared" si="31"/>
        <v>35.943100540540449</v>
      </c>
      <c r="AM79" s="91">
        <f t="shared" si="31"/>
        <v>35.943100540540449</v>
      </c>
      <c r="AN79" s="91">
        <f t="shared" si="31"/>
        <v>35.943100540540449</v>
      </c>
      <c r="AO79" s="91">
        <f t="shared" si="31"/>
        <v>35.943100540540449</v>
      </c>
      <c r="AP79" s="91">
        <f t="shared" si="31"/>
        <v>35.943100540540449</v>
      </c>
      <c r="AQ79" s="91">
        <f t="shared" si="31"/>
        <v>35.943100540540449</v>
      </c>
      <c r="AR79" s="91">
        <f t="shared" si="31"/>
        <v>35.943100540540449</v>
      </c>
      <c r="AS79" s="92">
        <f t="shared" si="31"/>
        <v>35.943100540540449</v>
      </c>
      <c r="AT79" s="109">
        <f t="shared" si="31"/>
        <v>35.943100540540449</v>
      </c>
      <c r="AU79" s="109">
        <f t="shared" si="31"/>
        <v>35.943100540540449</v>
      </c>
      <c r="AV79" s="109">
        <f t="shared" si="31"/>
        <v>35.943100540540449</v>
      </c>
      <c r="AW79" s="109">
        <f t="shared" si="31"/>
        <v>35.943100540540449</v>
      </c>
      <c r="AX79" s="109">
        <f t="shared" si="31"/>
        <v>35.943100540540449</v>
      </c>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row>
    <row r="80" spans="1:81" x14ac:dyDescent="0.8">
      <c r="A80" s="35" t="s">
        <v>307</v>
      </c>
      <c r="B80" s="40">
        <v>4</v>
      </c>
      <c r="C80" s="40"/>
      <c r="D80" s="40"/>
      <c r="E80" s="40"/>
      <c r="F80" s="40"/>
      <c r="G80" s="40"/>
      <c r="H80" s="40"/>
      <c r="I80" s="40"/>
      <c r="J80" s="40"/>
      <c r="K80" s="40"/>
      <c r="L80" s="90"/>
      <c r="M80" s="91"/>
      <c r="N80" s="91"/>
      <c r="O80" s="91">
        <f>O33/B46</f>
        <v>46.007168691892041</v>
      </c>
      <c r="P80" s="91">
        <f t="shared" ref="P80:AY80" si="32">O80</f>
        <v>46.007168691892041</v>
      </c>
      <c r="Q80" s="91">
        <f t="shared" si="32"/>
        <v>46.007168691892041</v>
      </c>
      <c r="R80" s="90">
        <f t="shared" si="32"/>
        <v>46.007168691892041</v>
      </c>
      <c r="S80" s="91">
        <f t="shared" si="32"/>
        <v>46.007168691892041</v>
      </c>
      <c r="T80" s="91">
        <f t="shared" si="32"/>
        <v>46.007168691892041</v>
      </c>
      <c r="U80" s="91">
        <f t="shared" si="32"/>
        <v>46.007168691892041</v>
      </c>
      <c r="V80" s="91">
        <f t="shared" si="32"/>
        <v>46.007168691892041</v>
      </c>
      <c r="W80" s="91">
        <f t="shared" si="32"/>
        <v>46.007168691892041</v>
      </c>
      <c r="X80" s="91">
        <f t="shared" si="32"/>
        <v>46.007168691892041</v>
      </c>
      <c r="Y80" s="91">
        <f t="shared" si="32"/>
        <v>46.007168691892041</v>
      </c>
      <c r="Z80" s="91">
        <f t="shared" si="32"/>
        <v>46.007168691892041</v>
      </c>
      <c r="AA80" s="91">
        <f t="shared" si="32"/>
        <v>46.007168691892041</v>
      </c>
      <c r="AB80" s="91">
        <f t="shared" si="32"/>
        <v>46.007168691892041</v>
      </c>
      <c r="AC80" s="91">
        <f t="shared" si="32"/>
        <v>46.007168691892041</v>
      </c>
      <c r="AD80" s="91">
        <f t="shared" si="32"/>
        <v>46.007168691892041</v>
      </c>
      <c r="AE80" s="91">
        <f t="shared" si="32"/>
        <v>46.007168691892041</v>
      </c>
      <c r="AF80" s="91">
        <f t="shared" si="32"/>
        <v>46.007168691892041</v>
      </c>
      <c r="AG80" s="91">
        <f t="shared" si="32"/>
        <v>46.007168691892041</v>
      </c>
      <c r="AH80" s="91">
        <f t="shared" si="32"/>
        <v>46.007168691892041</v>
      </c>
      <c r="AI80" s="91">
        <f t="shared" si="32"/>
        <v>46.007168691892041</v>
      </c>
      <c r="AJ80" s="91">
        <f t="shared" si="32"/>
        <v>46.007168691892041</v>
      </c>
      <c r="AK80" s="91">
        <f t="shared" si="32"/>
        <v>46.007168691892041</v>
      </c>
      <c r="AL80" s="91">
        <f t="shared" si="32"/>
        <v>46.007168691892041</v>
      </c>
      <c r="AM80" s="91">
        <f t="shared" si="32"/>
        <v>46.007168691892041</v>
      </c>
      <c r="AN80" s="91">
        <f t="shared" si="32"/>
        <v>46.007168691892041</v>
      </c>
      <c r="AO80" s="91">
        <f t="shared" si="32"/>
        <v>46.007168691892041</v>
      </c>
      <c r="AP80" s="91">
        <f t="shared" si="32"/>
        <v>46.007168691892041</v>
      </c>
      <c r="AQ80" s="91">
        <f t="shared" si="32"/>
        <v>46.007168691892041</v>
      </c>
      <c r="AR80" s="91">
        <f t="shared" si="32"/>
        <v>46.007168691892041</v>
      </c>
      <c r="AS80" s="92">
        <f t="shared" si="32"/>
        <v>46.007168691892041</v>
      </c>
      <c r="AT80" s="109">
        <f t="shared" si="32"/>
        <v>46.007168691892041</v>
      </c>
      <c r="AU80" s="109">
        <f t="shared" si="32"/>
        <v>46.007168691892041</v>
      </c>
      <c r="AV80" s="109">
        <f t="shared" si="32"/>
        <v>46.007168691892041</v>
      </c>
      <c r="AW80" s="109">
        <f t="shared" si="32"/>
        <v>46.007168691892041</v>
      </c>
      <c r="AX80" s="109">
        <f t="shared" si="32"/>
        <v>46.007168691892041</v>
      </c>
      <c r="AY80" s="109">
        <f t="shared" si="32"/>
        <v>46.007168691892041</v>
      </c>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row>
    <row r="81" spans="1:81" x14ac:dyDescent="0.8">
      <c r="A81" s="35" t="s">
        <v>307</v>
      </c>
      <c r="B81" s="40">
        <v>5</v>
      </c>
      <c r="C81" s="40"/>
      <c r="D81" s="40"/>
      <c r="E81" s="40"/>
      <c r="F81" s="40"/>
      <c r="G81" s="40"/>
      <c r="H81" s="40"/>
      <c r="I81" s="40"/>
      <c r="J81" s="40"/>
      <c r="K81" s="40"/>
      <c r="L81" s="90"/>
      <c r="M81" s="91"/>
      <c r="N81" s="91"/>
      <c r="O81" s="91"/>
      <c r="P81" s="110">
        <f>P33/B46</f>
        <v>149.52329824864864</v>
      </c>
      <c r="Q81" s="110">
        <f t="shared" ref="Q81:AZ81" si="33">P81</f>
        <v>149.52329824864864</v>
      </c>
      <c r="R81" s="217">
        <f t="shared" si="33"/>
        <v>149.52329824864864</v>
      </c>
      <c r="S81" s="110">
        <f t="shared" si="33"/>
        <v>149.52329824864864</v>
      </c>
      <c r="T81" s="110">
        <f t="shared" si="33"/>
        <v>149.52329824864864</v>
      </c>
      <c r="U81" s="110">
        <f t="shared" si="33"/>
        <v>149.52329824864864</v>
      </c>
      <c r="V81" s="110">
        <f t="shared" si="33"/>
        <v>149.52329824864864</v>
      </c>
      <c r="W81" s="110">
        <f t="shared" si="33"/>
        <v>149.52329824864864</v>
      </c>
      <c r="X81" s="110">
        <f t="shared" si="33"/>
        <v>149.52329824864864</v>
      </c>
      <c r="Y81" s="110">
        <f t="shared" si="33"/>
        <v>149.52329824864864</v>
      </c>
      <c r="Z81" s="110">
        <f t="shared" si="33"/>
        <v>149.52329824864864</v>
      </c>
      <c r="AA81" s="110">
        <f t="shared" si="33"/>
        <v>149.52329824864864</v>
      </c>
      <c r="AB81" s="110">
        <f t="shared" si="33"/>
        <v>149.52329824864864</v>
      </c>
      <c r="AC81" s="110">
        <f t="shared" si="33"/>
        <v>149.52329824864864</v>
      </c>
      <c r="AD81" s="110">
        <f t="shared" si="33"/>
        <v>149.52329824864864</v>
      </c>
      <c r="AE81" s="110">
        <f t="shared" si="33"/>
        <v>149.52329824864864</v>
      </c>
      <c r="AF81" s="110">
        <f t="shared" si="33"/>
        <v>149.52329824864864</v>
      </c>
      <c r="AG81" s="110">
        <f t="shared" si="33"/>
        <v>149.52329824864864</v>
      </c>
      <c r="AH81" s="110">
        <f t="shared" si="33"/>
        <v>149.52329824864864</v>
      </c>
      <c r="AI81" s="110">
        <f t="shared" si="33"/>
        <v>149.52329824864864</v>
      </c>
      <c r="AJ81" s="110">
        <f t="shared" si="33"/>
        <v>149.52329824864864</v>
      </c>
      <c r="AK81" s="110">
        <f t="shared" si="33"/>
        <v>149.52329824864864</v>
      </c>
      <c r="AL81" s="110">
        <f t="shared" si="33"/>
        <v>149.52329824864864</v>
      </c>
      <c r="AM81" s="110">
        <f t="shared" si="33"/>
        <v>149.52329824864864</v>
      </c>
      <c r="AN81" s="110">
        <f t="shared" si="33"/>
        <v>149.52329824864864</v>
      </c>
      <c r="AO81" s="110">
        <f t="shared" si="33"/>
        <v>149.52329824864864</v>
      </c>
      <c r="AP81" s="110">
        <f t="shared" si="33"/>
        <v>149.52329824864864</v>
      </c>
      <c r="AQ81" s="110">
        <f t="shared" si="33"/>
        <v>149.52329824864864</v>
      </c>
      <c r="AR81" s="110">
        <f t="shared" si="33"/>
        <v>149.52329824864864</v>
      </c>
      <c r="AS81" s="92">
        <f t="shared" si="33"/>
        <v>149.52329824864864</v>
      </c>
      <c r="AT81" s="107">
        <f t="shared" si="33"/>
        <v>149.52329824864864</v>
      </c>
      <c r="AU81" s="107">
        <f t="shared" si="33"/>
        <v>149.52329824864864</v>
      </c>
      <c r="AV81" s="107">
        <f t="shared" si="33"/>
        <v>149.52329824864864</v>
      </c>
      <c r="AW81" s="107">
        <f t="shared" si="33"/>
        <v>149.52329824864864</v>
      </c>
      <c r="AX81" s="107">
        <f t="shared" si="33"/>
        <v>149.52329824864864</v>
      </c>
      <c r="AY81" s="107">
        <f t="shared" si="33"/>
        <v>149.52329824864864</v>
      </c>
      <c r="AZ81" s="107">
        <f t="shared" si="33"/>
        <v>149.52329824864864</v>
      </c>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row>
    <row r="82" spans="1:81" x14ac:dyDescent="0.8">
      <c r="A82" s="35" t="s">
        <v>307</v>
      </c>
      <c r="B82" s="40">
        <v>6</v>
      </c>
      <c r="C82" s="40"/>
      <c r="D82" s="40"/>
      <c r="E82" s="40"/>
      <c r="F82" s="40"/>
      <c r="G82" s="40"/>
      <c r="H82" s="40"/>
      <c r="I82" s="40"/>
      <c r="J82" s="40"/>
      <c r="K82" s="40"/>
      <c r="L82" s="90"/>
      <c r="M82" s="91"/>
      <c r="N82" s="91"/>
      <c r="O82" s="91"/>
      <c r="P82" s="91"/>
      <c r="Q82" s="110">
        <f>Q33/B46</f>
        <v>33.104458232250771</v>
      </c>
      <c r="R82" s="217">
        <f t="shared" ref="R82:BA82" si="34">Q82</f>
        <v>33.104458232250771</v>
      </c>
      <c r="S82" s="110">
        <f t="shared" si="34"/>
        <v>33.104458232250771</v>
      </c>
      <c r="T82" s="110">
        <f t="shared" si="34"/>
        <v>33.104458232250771</v>
      </c>
      <c r="U82" s="110">
        <f t="shared" si="34"/>
        <v>33.104458232250771</v>
      </c>
      <c r="V82" s="110">
        <f t="shared" si="34"/>
        <v>33.104458232250771</v>
      </c>
      <c r="W82" s="110">
        <f t="shared" si="34"/>
        <v>33.104458232250771</v>
      </c>
      <c r="X82" s="110">
        <f t="shared" si="34"/>
        <v>33.104458232250771</v>
      </c>
      <c r="Y82" s="110">
        <f t="shared" si="34"/>
        <v>33.104458232250771</v>
      </c>
      <c r="Z82" s="110">
        <f t="shared" si="34"/>
        <v>33.104458232250771</v>
      </c>
      <c r="AA82" s="110">
        <f t="shared" si="34"/>
        <v>33.104458232250771</v>
      </c>
      <c r="AB82" s="110">
        <f t="shared" si="34"/>
        <v>33.104458232250771</v>
      </c>
      <c r="AC82" s="110">
        <f t="shared" si="34"/>
        <v>33.104458232250771</v>
      </c>
      <c r="AD82" s="110">
        <f t="shared" si="34"/>
        <v>33.104458232250771</v>
      </c>
      <c r="AE82" s="110">
        <f t="shared" si="34"/>
        <v>33.104458232250771</v>
      </c>
      <c r="AF82" s="110">
        <f t="shared" si="34"/>
        <v>33.104458232250771</v>
      </c>
      <c r="AG82" s="110">
        <f t="shared" si="34"/>
        <v>33.104458232250771</v>
      </c>
      <c r="AH82" s="110">
        <f t="shared" si="34"/>
        <v>33.104458232250771</v>
      </c>
      <c r="AI82" s="110">
        <f t="shared" si="34"/>
        <v>33.104458232250771</v>
      </c>
      <c r="AJ82" s="110">
        <f t="shared" si="34"/>
        <v>33.104458232250771</v>
      </c>
      <c r="AK82" s="110">
        <f t="shared" si="34"/>
        <v>33.104458232250771</v>
      </c>
      <c r="AL82" s="110">
        <f t="shared" si="34"/>
        <v>33.104458232250771</v>
      </c>
      <c r="AM82" s="110">
        <f t="shared" si="34"/>
        <v>33.104458232250771</v>
      </c>
      <c r="AN82" s="110">
        <f t="shared" si="34"/>
        <v>33.104458232250771</v>
      </c>
      <c r="AO82" s="110">
        <f t="shared" si="34"/>
        <v>33.104458232250771</v>
      </c>
      <c r="AP82" s="110">
        <f t="shared" si="34"/>
        <v>33.104458232250771</v>
      </c>
      <c r="AQ82" s="110">
        <f t="shared" si="34"/>
        <v>33.104458232250771</v>
      </c>
      <c r="AR82" s="110">
        <f t="shared" si="34"/>
        <v>33.104458232250771</v>
      </c>
      <c r="AS82" s="92">
        <f t="shared" si="34"/>
        <v>33.104458232250771</v>
      </c>
      <c r="AT82" s="107">
        <f t="shared" si="34"/>
        <v>33.104458232250771</v>
      </c>
      <c r="AU82" s="107">
        <f t="shared" si="34"/>
        <v>33.104458232250771</v>
      </c>
      <c r="AV82" s="107">
        <f t="shared" si="34"/>
        <v>33.104458232250771</v>
      </c>
      <c r="AW82" s="107">
        <f t="shared" si="34"/>
        <v>33.104458232250771</v>
      </c>
      <c r="AX82" s="107">
        <f t="shared" si="34"/>
        <v>33.104458232250771</v>
      </c>
      <c r="AY82" s="107">
        <f t="shared" si="34"/>
        <v>33.104458232250771</v>
      </c>
      <c r="AZ82" s="107">
        <f t="shared" si="34"/>
        <v>33.104458232250771</v>
      </c>
      <c r="BA82" s="107">
        <f t="shared" si="34"/>
        <v>33.104458232250771</v>
      </c>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row>
    <row r="83" spans="1:81" x14ac:dyDescent="0.8">
      <c r="A83" s="35" t="s">
        <v>307</v>
      </c>
      <c r="B83" s="40">
        <v>7</v>
      </c>
      <c r="C83" s="40"/>
      <c r="D83" s="40"/>
      <c r="E83" s="40"/>
      <c r="F83" s="40"/>
      <c r="G83" s="40"/>
      <c r="H83" s="40"/>
      <c r="I83" s="40"/>
      <c r="J83" s="40"/>
      <c r="K83" s="40"/>
      <c r="L83" s="90"/>
      <c r="M83" s="91"/>
      <c r="N83" s="91"/>
      <c r="O83" s="91"/>
      <c r="P83" s="91"/>
      <c r="Q83" s="91"/>
      <c r="R83" s="217">
        <f>R33/B46</f>
        <v>-4.5960471415668067</v>
      </c>
      <c r="S83" s="110">
        <f t="shared" ref="S83:BB83" si="35">R83</f>
        <v>-4.5960471415668067</v>
      </c>
      <c r="T83" s="110">
        <f t="shared" si="35"/>
        <v>-4.5960471415668067</v>
      </c>
      <c r="U83" s="110">
        <f t="shared" si="35"/>
        <v>-4.5960471415668067</v>
      </c>
      <c r="V83" s="110">
        <f t="shared" si="35"/>
        <v>-4.5960471415668067</v>
      </c>
      <c r="W83" s="110">
        <f t="shared" si="35"/>
        <v>-4.5960471415668067</v>
      </c>
      <c r="X83" s="110">
        <f t="shared" si="35"/>
        <v>-4.5960471415668067</v>
      </c>
      <c r="Y83" s="110">
        <f t="shared" si="35"/>
        <v>-4.5960471415668067</v>
      </c>
      <c r="Z83" s="110">
        <f t="shared" si="35"/>
        <v>-4.5960471415668067</v>
      </c>
      <c r="AA83" s="110">
        <f t="shared" si="35"/>
        <v>-4.5960471415668067</v>
      </c>
      <c r="AB83" s="110">
        <f t="shared" si="35"/>
        <v>-4.5960471415668067</v>
      </c>
      <c r="AC83" s="110">
        <f t="shared" si="35"/>
        <v>-4.5960471415668067</v>
      </c>
      <c r="AD83" s="110">
        <f t="shared" si="35"/>
        <v>-4.5960471415668067</v>
      </c>
      <c r="AE83" s="110">
        <f t="shared" si="35"/>
        <v>-4.5960471415668067</v>
      </c>
      <c r="AF83" s="110">
        <f t="shared" si="35"/>
        <v>-4.5960471415668067</v>
      </c>
      <c r="AG83" s="110">
        <f t="shared" si="35"/>
        <v>-4.5960471415668067</v>
      </c>
      <c r="AH83" s="110">
        <f t="shared" si="35"/>
        <v>-4.5960471415668067</v>
      </c>
      <c r="AI83" s="110">
        <f t="shared" si="35"/>
        <v>-4.5960471415668067</v>
      </c>
      <c r="AJ83" s="110">
        <f t="shared" si="35"/>
        <v>-4.5960471415668067</v>
      </c>
      <c r="AK83" s="110">
        <f t="shared" si="35"/>
        <v>-4.5960471415668067</v>
      </c>
      <c r="AL83" s="110">
        <f t="shared" si="35"/>
        <v>-4.5960471415668067</v>
      </c>
      <c r="AM83" s="110">
        <f t="shared" si="35"/>
        <v>-4.5960471415668067</v>
      </c>
      <c r="AN83" s="110">
        <f t="shared" si="35"/>
        <v>-4.5960471415668067</v>
      </c>
      <c r="AO83" s="110">
        <f t="shared" si="35"/>
        <v>-4.5960471415668067</v>
      </c>
      <c r="AP83" s="110">
        <f t="shared" si="35"/>
        <v>-4.5960471415668067</v>
      </c>
      <c r="AQ83" s="110">
        <f t="shared" si="35"/>
        <v>-4.5960471415668067</v>
      </c>
      <c r="AR83" s="110">
        <f t="shared" si="35"/>
        <v>-4.5960471415668067</v>
      </c>
      <c r="AS83" s="92">
        <f t="shared" si="35"/>
        <v>-4.5960471415668067</v>
      </c>
      <c r="AT83" s="107">
        <f t="shared" si="35"/>
        <v>-4.5960471415668067</v>
      </c>
      <c r="AU83" s="107">
        <f t="shared" si="35"/>
        <v>-4.5960471415668067</v>
      </c>
      <c r="AV83" s="107">
        <f t="shared" si="35"/>
        <v>-4.5960471415668067</v>
      </c>
      <c r="AW83" s="107">
        <f t="shared" si="35"/>
        <v>-4.5960471415668067</v>
      </c>
      <c r="AX83" s="107">
        <f t="shared" si="35"/>
        <v>-4.5960471415668067</v>
      </c>
      <c r="AY83" s="107">
        <f t="shared" si="35"/>
        <v>-4.5960471415668067</v>
      </c>
      <c r="AZ83" s="107">
        <f t="shared" si="35"/>
        <v>-4.5960471415668067</v>
      </c>
      <c r="BA83" s="107">
        <f t="shared" si="35"/>
        <v>-4.5960471415668067</v>
      </c>
      <c r="BB83" s="107">
        <f t="shared" si="35"/>
        <v>-4.5960471415668067</v>
      </c>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row>
    <row r="84" spans="1:81" x14ac:dyDescent="0.8">
      <c r="A84" s="35" t="s">
        <v>307</v>
      </c>
      <c r="B84" s="40">
        <v>8</v>
      </c>
      <c r="C84" s="40"/>
      <c r="D84" s="40"/>
      <c r="E84" s="40"/>
      <c r="F84" s="40"/>
      <c r="G84" s="40"/>
      <c r="H84" s="40"/>
      <c r="I84" s="40"/>
      <c r="J84" s="40"/>
      <c r="K84" s="40"/>
      <c r="L84" s="90"/>
      <c r="M84" s="91"/>
      <c r="N84" s="91"/>
      <c r="O84" s="91"/>
      <c r="P84" s="91"/>
      <c r="Q84" s="91"/>
      <c r="R84" s="90"/>
      <c r="S84" s="110">
        <f>S33/B46</f>
        <v>100.18049914944926</v>
      </c>
      <c r="T84" s="110">
        <f t="shared" ref="T84:BC84" si="36">S84</f>
        <v>100.18049914944926</v>
      </c>
      <c r="U84" s="110">
        <f t="shared" si="36"/>
        <v>100.18049914944926</v>
      </c>
      <c r="V84" s="110">
        <f t="shared" si="36"/>
        <v>100.18049914944926</v>
      </c>
      <c r="W84" s="110">
        <f t="shared" si="36"/>
        <v>100.18049914944926</v>
      </c>
      <c r="X84" s="110">
        <f t="shared" si="36"/>
        <v>100.18049914944926</v>
      </c>
      <c r="Y84" s="110">
        <f t="shared" si="36"/>
        <v>100.18049914944926</v>
      </c>
      <c r="Z84" s="110">
        <f t="shared" si="36"/>
        <v>100.18049914944926</v>
      </c>
      <c r="AA84" s="110">
        <f t="shared" si="36"/>
        <v>100.18049914944926</v>
      </c>
      <c r="AB84" s="110">
        <f t="shared" si="36"/>
        <v>100.18049914944926</v>
      </c>
      <c r="AC84" s="110">
        <f t="shared" si="36"/>
        <v>100.18049914944926</v>
      </c>
      <c r="AD84" s="110">
        <f t="shared" si="36"/>
        <v>100.18049914944926</v>
      </c>
      <c r="AE84" s="110">
        <f t="shared" si="36"/>
        <v>100.18049914944926</v>
      </c>
      <c r="AF84" s="110">
        <f t="shared" si="36"/>
        <v>100.18049914944926</v>
      </c>
      <c r="AG84" s="110">
        <f t="shared" si="36"/>
        <v>100.18049914944926</v>
      </c>
      <c r="AH84" s="110">
        <f t="shared" si="36"/>
        <v>100.18049914944926</v>
      </c>
      <c r="AI84" s="110">
        <f t="shared" si="36"/>
        <v>100.18049914944926</v>
      </c>
      <c r="AJ84" s="110">
        <f t="shared" si="36"/>
        <v>100.18049914944926</v>
      </c>
      <c r="AK84" s="110">
        <f t="shared" si="36"/>
        <v>100.18049914944926</v>
      </c>
      <c r="AL84" s="110">
        <f t="shared" si="36"/>
        <v>100.18049914944926</v>
      </c>
      <c r="AM84" s="110">
        <f t="shared" si="36"/>
        <v>100.18049914944926</v>
      </c>
      <c r="AN84" s="110">
        <f t="shared" si="36"/>
        <v>100.18049914944926</v>
      </c>
      <c r="AO84" s="110">
        <f t="shared" si="36"/>
        <v>100.18049914944926</v>
      </c>
      <c r="AP84" s="110">
        <f t="shared" si="36"/>
        <v>100.18049914944926</v>
      </c>
      <c r="AQ84" s="110">
        <f t="shared" si="36"/>
        <v>100.18049914944926</v>
      </c>
      <c r="AR84" s="110">
        <f t="shared" si="36"/>
        <v>100.18049914944926</v>
      </c>
      <c r="AS84" s="92">
        <f t="shared" si="36"/>
        <v>100.18049914944926</v>
      </c>
      <c r="AT84" s="107">
        <f t="shared" si="36"/>
        <v>100.18049914944926</v>
      </c>
      <c r="AU84" s="107">
        <f t="shared" si="36"/>
        <v>100.18049914944926</v>
      </c>
      <c r="AV84" s="107">
        <f t="shared" si="36"/>
        <v>100.18049914944926</v>
      </c>
      <c r="AW84" s="107">
        <f t="shared" si="36"/>
        <v>100.18049914944926</v>
      </c>
      <c r="AX84" s="107">
        <f t="shared" si="36"/>
        <v>100.18049914944926</v>
      </c>
      <c r="AY84" s="107">
        <f t="shared" si="36"/>
        <v>100.18049914944926</v>
      </c>
      <c r="AZ84" s="107">
        <f t="shared" si="36"/>
        <v>100.18049914944926</v>
      </c>
      <c r="BA84" s="107">
        <f t="shared" si="36"/>
        <v>100.18049914944926</v>
      </c>
      <c r="BB84" s="107">
        <f t="shared" si="36"/>
        <v>100.18049914944926</v>
      </c>
      <c r="BC84" s="107">
        <f t="shared" si="36"/>
        <v>100.18049914944926</v>
      </c>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row>
    <row r="85" spans="1:81" x14ac:dyDescent="0.8">
      <c r="A85" s="35" t="s">
        <v>307</v>
      </c>
      <c r="B85" s="40">
        <v>9</v>
      </c>
      <c r="C85" s="40"/>
      <c r="D85" s="40"/>
      <c r="E85" s="40"/>
      <c r="F85" s="40"/>
      <c r="G85" s="40"/>
      <c r="H85" s="40"/>
      <c r="I85" s="40"/>
      <c r="J85" s="40"/>
      <c r="K85" s="40"/>
      <c r="L85" s="90"/>
      <c r="M85" s="91"/>
      <c r="N85" s="91"/>
      <c r="O85" s="91"/>
      <c r="P85" s="91"/>
      <c r="Q85" s="91"/>
      <c r="R85" s="90"/>
      <c r="S85" s="91"/>
      <c r="T85" s="110">
        <f>T33/B46</f>
        <v>96.735291783699481</v>
      </c>
      <c r="U85" s="110">
        <f t="shared" ref="U85:BD85" si="37">T85</f>
        <v>96.735291783699481</v>
      </c>
      <c r="V85" s="110">
        <f t="shared" si="37"/>
        <v>96.735291783699481</v>
      </c>
      <c r="W85" s="110">
        <f t="shared" si="37"/>
        <v>96.735291783699481</v>
      </c>
      <c r="X85" s="110">
        <f t="shared" si="37"/>
        <v>96.735291783699481</v>
      </c>
      <c r="Y85" s="110">
        <f t="shared" si="37"/>
        <v>96.735291783699481</v>
      </c>
      <c r="Z85" s="110">
        <f t="shared" si="37"/>
        <v>96.735291783699481</v>
      </c>
      <c r="AA85" s="110">
        <f t="shared" si="37"/>
        <v>96.735291783699481</v>
      </c>
      <c r="AB85" s="110">
        <f t="shared" si="37"/>
        <v>96.735291783699481</v>
      </c>
      <c r="AC85" s="110">
        <f t="shared" si="37"/>
        <v>96.735291783699481</v>
      </c>
      <c r="AD85" s="110">
        <f t="shared" si="37"/>
        <v>96.735291783699481</v>
      </c>
      <c r="AE85" s="110">
        <f t="shared" si="37"/>
        <v>96.735291783699481</v>
      </c>
      <c r="AF85" s="110">
        <f t="shared" si="37"/>
        <v>96.735291783699481</v>
      </c>
      <c r="AG85" s="110">
        <f t="shared" si="37"/>
        <v>96.735291783699481</v>
      </c>
      <c r="AH85" s="110">
        <f t="shared" si="37"/>
        <v>96.735291783699481</v>
      </c>
      <c r="AI85" s="110">
        <f t="shared" si="37"/>
        <v>96.735291783699481</v>
      </c>
      <c r="AJ85" s="110">
        <f t="shared" si="37"/>
        <v>96.735291783699481</v>
      </c>
      <c r="AK85" s="110">
        <f t="shared" si="37"/>
        <v>96.735291783699481</v>
      </c>
      <c r="AL85" s="110">
        <f t="shared" si="37"/>
        <v>96.735291783699481</v>
      </c>
      <c r="AM85" s="110">
        <f t="shared" si="37"/>
        <v>96.735291783699481</v>
      </c>
      <c r="AN85" s="110">
        <f t="shared" si="37"/>
        <v>96.735291783699481</v>
      </c>
      <c r="AO85" s="110">
        <f t="shared" si="37"/>
        <v>96.735291783699481</v>
      </c>
      <c r="AP85" s="110">
        <f t="shared" si="37"/>
        <v>96.735291783699481</v>
      </c>
      <c r="AQ85" s="110">
        <f t="shared" si="37"/>
        <v>96.735291783699481</v>
      </c>
      <c r="AR85" s="110">
        <f t="shared" si="37"/>
        <v>96.735291783699481</v>
      </c>
      <c r="AS85" s="92">
        <f t="shared" si="37"/>
        <v>96.735291783699481</v>
      </c>
      <c r="AT85" s="107">
        <f t="shared" si="37"/>
        <v>96.735291783699481</v>
      </c>
      <c r="AU85" s="107">
        <f t="shared" si="37"/>
        <v>96.735291783699481</v>
      </c>
      <c r="AV85" s="107">
        <f t="shared" si="37"/>
        <v>96.735291783699481</v>
      </c>
      <c r="AW85" s="107">
        <f t="shared" si="37"/>
        <v>96.735291783699481</v>
      </c>
      <c r="AX85" s="107">
        <f t="shared" si="37"/>
        <v>96.735291783699481</v>
      </c>
      <c r="AY85" s="107">
        <f t="shared" si="37"/>
        <v>96.735291783699481</v>
      </c>
      <c r="AZ85" s="107">
        <f t="shared" si="37"/>
        <v>96.735291783699481</v>
      </c>
      <c r="BA85" s="107">
        <f t="shared" si="37"/>
        <v>96.735291783699481</v>
      </c>
      <c r="BB85" s="107">
        <f t="shared" si="37"/>
        <v>96.735291783699481</v>
      </c>
      <c r="BC85" s="107">
        <f t="shared" si="37"/>
        <v>96.735291783699481</v>
      </c>
      <c r="BD85" s="107">
        <f t="shared" si="37"/>
        <v>96.735291783699481</v>
      </c>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row>
    <row r="86" spans="1:81" x14ac:dyDescent="0.8">
      <c r="A86" s="35" t="s">
        <v>307</v>
      </c>
      <c r="B86" s="40">
        <v>10</v>
      </c>
      <c r="C86" s="40"/>
      <c r="D86" s="40"/>
      <c r="E86" s="40"/>
      <c r="F86" s="40"/>
      <c r="G86" s="40"/>
      <c r="H86" s="40"/>
      <c r="I86" s="40"/>
      <c r="J86" s="40"/>
      <c r="K86" s="40"/>
      <c r="L86" s="90"/>
      <c r="M86" s="91"/>
      <c r="N86" s="91"/>
      <c r="O86" s="91"/>
      <c r="P86" s="91"/>
      <c r="Q86" s="91"/>
      <c r="R86" s="90"/>
      <c r="S86" s="91"/>
      <c r="T86" s="91"/>
      <c r="U86" s="110">
        <f>U33/B46</f>
        <v>92.773884849865311</v>
      </c>
      <c r="V86" s="110">
        <f t="shared" ref="V86:BE86" si="38">U86</f>
        <v>92.773884849865311</v>
      </c>
      <c r="W86" s="110">
        <f t="shared" si="38"/>
        <v>92.773884849865311</v>
      </c>
      <c r="X86" s="110">
        <f t="shared" si="38"/>
        <v>92.773884849865311</v>
      </c>
      <c r="Y86" s="110">
        <f t="shared" si="38"/>
        <v>92.773884849865311</v>
      </c>
      <c r="Z86" s="110">
        <f t="shared" si="38"/>
        <v>92.773884849865311</v>
      </c>
      <c r="AA86" s="110">
        <f t="shared" si="38"/>
        <v>92.773884849865311</v>
      </c>
      <c r="AB86" s="110">
        <f t="shared" si="38"/>
        <v>92.773884849865311</v>
      </c>
      <c r="AC86" s="110">
        <f t="shared" si="38"/>
        <v>92.773884849865311</v>
      </c>
      <c r="AD86" s="110">
        <f t="shared" si="38"/>
        <v>92.773884849865311</v>
      </c>
      <c r="AE86" s="110">
        <f t="shared" si="38"/>
        <v>92.773884849865311</v>
      </c>
      <c r="AF86" s="110">
        <f t="shared" si="38"/>
        <v>92.773884849865311</v>
      </c>
      <c r="AG86" s="110">
        <f t="shared" si="38"/>
        <v>92.773884849865311</v>
      </c>
      <c r="AH86" s="110">
        <f t="shared" si="38"/>
        <v>92.773884849865311</v>
      </c>
      <c r="AI86" s="110">
        <f t="shared" si="38"/>
        <v>92.773884849865311</v>
      </c>
      <c r="AJ86" s="110">
        <f t="shared" si="38"/>
        <v>92.773884849865311</v>
      </c>
      <c r="AK86" s="110">
        <f t="shared" si="38"/>
        <v>92.773884849865311</v>
      </c>
      <c r="AL86" s="110">
        <f t="shared" si="38"/>
        <v>92.773884849865311</v>
      </c>
      <c r="AM86" s="110">
        <f t="shared" si="38"/>
        <v>92.773884849865311</v>
      </c>
      <c r="AN86" s="110">
        <f t="shared" si="38"/>
        <v>92.773884849865311</v>
      </c>
      <c r="AO86" s="110">
        <f t="shared" si="38"/>
        <v>92.773884849865311</v>
      </c>
      <c r="AP86" s="110">
        <f t="shared" si="38"/>
        <v>92.773884849865311</v>
      </c>
      <c r="AQ86" s="110">
        <f t="shared" si="38"/>
        <v>92.773884849865311</v>
      </c>
      <c r="AR86" s="110">
        <f t="shared" si="38"/>
        <v>92.773884849865311</v>
      </c>
      <c r="AS86" s="92">
        <f t="shared" si="38"/>
        <v>92.773884849865311</v>
      </c>
      <c r="AT86" s="107">
        <f t="shared" si="38"/>
        <v>92.773884849865311</v>
      </c>
      <c r="AU86" s="107">
        <f t="shared" si="38"/>
        <v>92.773884849865311</v>
      </c>
      <c r="AV86" s="107">
        <f t="shared" si="38"/>
        <v>92.773884849865311</v>
      </c>
      <c r="AW86" s="107">
        <f t="shared" si="38"/>
        <v>92.773884849865311</v>
      </c>
      <c r="AX86" s="107">
        <f t="shared" si="38"/>
        <v>92.773884849865311</v>
      </c>
      <c r="AY86" s="107">
        <f t="shared" si="38"/>
        <v>92.773884849865311</v>
      </c>
      <c r="AZ86" s="107">
        <f t="shared" si="38"/>
        <v>92.773884849865311</v>
      </c>
      <c r="BA86" s="107">
        <f t="shared" si="38"/>
        <v>92.773884849865311</v>
      </c>
      <c r="BB86" s="107">
        <f t="shared" si="38"/>
        <v>92.773884849865311</v>
      </c>
      <c r="BC86" s="107">
        <f t="shared" si="38"/>
        <v>92.773884849865311</v>
      </c>
      <c r="BD86" s="107">
        <f t="shared" si="38"/>
        <v>92.773884849865311</v>
      </c>
      <c r="BE86" s="107">
        <f t="shared" si="38"/>
        <v>92.773884849865311</v>
      </c>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row>
    <row r="87" spans="1:81" x14ac:dyDescent="0.8">
      <c r="A87" s="35" t="s">
        <v>307</v>
      </c>
      <c r="B87" s="40">
        <v>11</v>
      </c>
      <c r="C87" s="40"/>
      <c r="D87" s="40"/>
      <c r="E87" s="40"/>
      <c r="F87" s="40"/>
      <c r="G87" s="40"/>
      <c r="H87" s="40"/>
      <c r="I87" s="40"/>
      <c r="J87" s="40"/>
      <c r="K87" s="40"/>
      <c r="L87" s="90"/>
      <c r="M87" s="91"/>
      <c r="N87" s="91"/>
      <c r="O87" s="91"/>
      <c r="P87" s="91"/>
      <c r="Q87" s="91"/>
      <c r="R87" s="90"/>
      <c r="S87" s="91"/>
      <c r="T87" s="91"/>
      <c r="U87" s="91"/>
      <c r="V87" s="110">
        <f>V33/B46</f>
        <v>88.426880978728448</v>
      </c>
      <c r="W87" s="110">
        <f t="shared" ref="W87:BF87" si="39">V87</f>
        <v>88.426880978728448</v>
      </c>
      <c r="X87" s="110">
        <f t="shared" si="39"/>
        <v>88.426880978728448</v>
      </c>
      <c r="Y87" s="110">
        <f t="shared" si="39"/>
        <v>88.426880978728448</v>
      </c>
      <c r="Z87" s="110">
        <f t="shared" si="39"/>
        <v>88.426880978728448</v>
      </c>
      <c r="AA87" s="110">
        <f t="shared" si="39"/>
        <v>88.426880978728448</v>
      </c>
      <c r="AB87" s="110">
        <f t="shared" si="39"/>
        <v>88.426880978728448</v>
      </c>
      <c r="AC87" s="110">
        <f t="shared" si="39"/>
        <v>88.426880978728448</v>
      </c>
      <c r="AD87" s="110">
        <f t="shared" si="39"/>
        <v>88.426880978728448</v>
      </c>
      <c r="AE87" s="110">
        <f t="shared" si="39"/>
        <v>88.426880978728448</v>
      </c>
      <c r="AF87" s="110">
        <f t="shared" si="39"/>
        <v>88.426880978728448</v>
      </c>
      <c r="AG87" s="110">
        <f t="shared" si="39"/>
        <v>88.426880978728448</v>
      </c>
      <c r="AH87" s="110">
        <f t="shared" si="39"/>
        <v>88.426880978728448</v>
      </c>
      <c r="AI87" s="110">
        <f t="shared" si="39"/>
        <v>88.426880978728448</v>
      </c>
      <c r="AJ87" s="110">
        <f t="shared" si="39"/>
        <v>88.426880978728448</v>
      </c>
      <c r="AK87" s="110">
        <f t="shared" si="39"/>
        <v>88.426880978728448</v>
      </c>
      <c r="AL87" s="110">
        <f t="shared" si="39"/>
        <v>88.426880978728448</v>
      </c>
      <c r="AM87" s="110">
        <f t="shared" si="39"/>
        <v>88.426880978728448</v>
      </c>
      <c r="AN87" s="110">
        <f t="shared" si="39"/>
        <v>88.426880978728448</v>
      </c>
      <c r="AO87" s="110">
        <f t="shared" si="39"/>
        <v>88.426880978728448</v>
      </c>
      <c r="AP87" s="110">
        <f t="shared" si="39"/>
        <v>88.426880978728448</v>
      </c>
      <c r="AQ87" s="110">
        <f t="shared" si="39"/>
        <v>88.426880978728448</v>
      </c>
      <c r="AR87" s="110">
        <f t="shared" si="39"/>
        <v>88.426880978728448</v>
      </c>
      <c r="AS87" s="92">
        <f t="shared" si="39"/>
        <v>88.426880978728448</v>
      </c>
      <c r="AT87" s="107">
        <f t="shared" si="39"/>
        <v>88.426880978728448</v>
      </c>
      <c r="AU87" s="107">
        <f t="shared" si="39"/>
        <v>88.426880978728448</v>
      </c>
      <c r="AV87" s="107">
        <f t="shared" si="39"/>
        <v>88.426880978728448</v>
      </c>
      <c r="AW87" s="107">
        <f t="shared" si="39"/>
        <v>88.426880978728448</v>
      </c>
      <c r="AX87" s="107">
        <f t="shared" si="39"/>
        <v>88.426880978728448</v>
      </c>
      <c r="AY87" s="107">
        <f t="shared" si="39"/>
        <v>88.426880978728448</v>
      </c>
      <c r="AZ87" s="107">
        <f t="shared" si="39"/>
        <v>88.426880978728448</v>
      </c>
      <c r="BA87" s="107">
        <f t="shared" si="39"/>
        <v>88.426880978728448</v>
      </c>
      <c r="BB87" s="107">
        <f t="shared" si="39"/>
        <v>88.426880978728448</v>
      </c>
      <c r="BC87" s="107">
        <f t="shared" si="39"/>
        <v>88.426880978728448</v>
      </c>
      <c r="BD87" s="107">
        <f t="shared" si="39"/>
        <v>88.426880978728448</v>
      </c>
      <c r="BE87" s="107">
        <f t="shared" si="39"/>
        <v>88.426880978728448</v>
      </c>
      <c r="BF87" s="107">
        <f t="shared" si="39"/>
        <v>88.426880978728448</v>
      </c>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row>
    <row r="88" spans="1:81" x14ac:dyDescent="0.8">
      <c r="A88" s="35" t="s">
        <v>307</v>
      </c>
      <c r="B88" s="40">
        <v>12</v>
      </c>
      <c r="C88" s="40"/>
      <c r="D88" s="40"/>
      <c r="E88" s="40"/>
      <c r="F88" s="40"/>
      <c r="G88" s="40"/>
      <c r="H88" s="40"/>
      <c r="I88" s="40"/>
      <c r="J88" s="40"/>
      <c r="K88" s="40"/>
      <c r="L88" s="90"/>
      <c r="M88" s="91"/>
      <c r="N88" s="91"/>
      <c r="O88" s="91"/>
      <c r="P88" s="91"/>
      <c r="Q88" s="91"/>
      <c r="R88" s="90"/>
      <c r="S88" s="91"/>
      <c r="T88" s="91"/>
      <c r="U88" s="91"/>
      <c r="V88" s="91"/>
      <c r="W88" s="110">
        <f>W33/B46</f>
        <v>83.813623185734798</v>
      </c>
      <c r="X88" s="110">
        <f t="shared" ref="X88:BG88" si="40">W88</f>
        <v>83.813623185734798</v>
      </c>
      <c r="Y88" s="110">
        <f t="shared" si="40"/>
        <v>83.813623185734798</v>
      </c>
      <c r="Z88" s="110">
        <f t="shared" si="40"/>
        <v>83.813623185734798</v>
      </c>
      <c r="AA88" s="110">
        <f t="shared" si="40"/>
        <v>83.813623185734798</v>
      </c>
      <c r="AB88" s="110">
        <f t="shared" si="40"/>
        <v>83.813623185734798</v>
      </c>
      <c r="AC88" s="110">
        <f t="shared" si="40"/>
        <v>83.813623185734798</v>
      </c>
      <c r="AD88" s="110">
        <f t="shared" si="40"/>
        <v>83.813623185734798</v>
      </c>
      <c r="AE88" s="110">
        <f t="shared" si="40"/>
        <v>83.813623185734798</v>
      </c>
      <c r="AF88" s="110">
        <f t="shared" si="40"/>
        <v>83.813623185734798</v>
      </c>
      <c r="AG88" s="110">
        <f t="shared" si="40"/>
        <v>83.813623185734798</v>
      </c>
      <c r="AH88" s="110">
        <f t="shared" si="40"/>
        <v>83.813623185734798</v>
      </c>
      <c r="AI88" s="110">
        <f t="shared" si="40"/>
        <v>83.813623185734798</v>
      </c>
      <c r="AJ88" s="110">
        <f t="shared" si="40"/>
        <v>83.813623185734798</v>
      </c>
      <c r="AK88" s="110">
        <f t="shared" si="40"/>
        <v>83.813623185734798</v>
      </c>
      <c r="AL88" s="110">
        <f t="shared" si="40"/>
        <v>83.813623185734798</v>
      </c>
      <c r="AM88" s="110">
        <f t="shared" si="40"/>
        <v>83.813623185734798</v>
      </c>
      <c r="AN88" s="110">
        <f t="shared" si="40"/>
        <v>83.813623185734798</v>
      </c>
      <c r="AO88" s="110">
        <f t="shared" si="40"/>
        <v>83.813623185734798</v>
      </c>
      <c r="AP88" s="110">
        <f t="shared" si="40"/>
        <v>83.813623185734798</v>
      </c>
      <c r="AQ88" s="110">
        <f t="shared" si="40"/>
        <v>83.813623185734798</v>
      </c>
      <c r="AR88" s="110">
        <f t="shared" si="40"/>
        <v>83.813623185734798</v>
      </c>
      <c r="AS88" s="92">
        <f t="shared" si="40"/>
        <v>83.813623185734798</v>
      </c>
      <c r="AT88" s="107">
        <f t="shared" si="40"/>
        <v>83.813623185734798</v>
      </c>
      <c r="AU88" s="107">
        <f t="shared" si="40"/>
        <v>83.813623185734798</v>
      </c>
      <c r="AV88" s="107">
        <f t="shared" si="40"/>
        <v>83.813623185734798</v>
      </c>
      <c r="AW88" s="107">
        <f t="shared" si="40"/>
        <v>83.813623185734798</v>
      </c>
      <c r="AX88" s="107">
        <f t="shared" si="40"/>
        <v>83.813623185734798</v>
      </c>
      <c r="AY88" s="107">
        <f t="shared" si="40"/>
        <v>83.813623185734798</v>
      </c>
      <c r="AZ88" s="107">
        <f t="shared" si="40"/>
        <v>83.813623185734798</v>
      </c>
      <c r="BA88" s="107">
        <f t="shared" si="40"/>
        <v>83.813623185734798</v>
      </c>
      <c r="BB88" s="107">
        <f t="shared" si="40"/>
        <v>83.813623185734798</v>
      </c>
      <c r="BC88" s="107">
        <f t="shared" si="40"/>
        <v>83.813623185734798</v>
      </c>
      <c r="BD88" s="107">
        <f t="shared" si="40"/>
        <v>83.813623185734798</v>
      </c>
      <c r="BE88" s="107">
        <f t="shared" si="40"/>
        <v>83.813623185734798</v>
      </c>
      <c r="BF88" s="107">
        <f t="shared" si="40"/>
        <v>83.813623185734798</v>
      </c>
      <c r="BG88" s="107">
        <f t="shared" si="40"/>
        <v>83.813623185734798</v>
      </c>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row>
    <row r="89" spans="1:81" x14ac:dyDescent="0.8">
      <c r="A89" s="35" t="s">
        <v>307</v>
      </c>
      <c r="B89" s="40">
        <v>13</v>
      </c>
      <c r="C89" s="40"/>
      <c r="D89" s="40"/>
      <c r="E89" s="40"/>
      <c r="F89" s="40"/>
      <c r="G89" s="40"/>
      <c r="H89" s="40"/>
      <c r="I89" s="40"/>
      <c r="J89" s="40"/>
      <c r="K89" s="40"/>
      <c r="L89" s="90"/>
      <c r="M89" s="91"/>
      <c r="N89" s="91"/>
      <c r="O89" s="91"/>
      <c r="P89" s="91"/>
      <c r="Q89" s="91"/>
      <c r="R89" s="90"/>
      <c r="S89" s="91"/>
      <c r="T89" s="91"/>
      <c r="U89" s="91"/>
      <c r="V89" s="91"/>
      <c r="W89" s="91"/>
      <c r="X89" s="110">
        <f>X33/B46</f>
        <v>79.040162520437519</v>
      </c>
      <c r="Y89" s="110">
        <f t="shared" ref="Y89:BH89" si="41">X89</f>
        <v>79.040162520437519</v>
      </c>
      <c r="Z89" s="110">
        <f t="shared" si="41"/>
        <v>79.040162520437519</v>
      </c>
      <c r="AA89" s="110">
        <f t="shared" si="41"/>
        <v>79.040162520437519</v>
      </c>
      <c r="AB89" s="110">
        <f t="shared" si="41"/>
        <v>79.040162520437519</v>
      </c>
      <c r="AC89" s="110">
        <f t="shared" si="41"/>
        <v>79.040162520437519</v>
      </c>
      <c r="AD89" s="110">
        <f t="shared" si="41"/>
        <v>79.040162520437519</v>
      </c>
      <c r="AE89" s="110">
        <f t="shared" si="41"/>
        <v>79.040162520437519</v>
      </c>
      <c r="AF89" s="110">
        <f t="shared" si="41"/>
        <v>79.040162520437519</v>
      </c>
      <c r="AG89" s="110">
        <f t="shared" si="41"/>
        <v>79.040162520437519</v>
      </c>
      <c r="AH89" s="110">
        <f t="shared" si="41"/>
        <v>79.040162520437519</v>
      </c>
      <c r="AI89" s="110">
        <f t="shared" si="41"/>
        <v>79.040162520437519</v>
      </c>
      <c r="AJ89" s="110">
        <f t="shared" si="41"/>
        <v>79.040162520437519</v>
      </c>
      <c r="AK89" s="110">
        <f t="shared" si="41"/>
        <v>79.040162520437519</v>
      </c>
      <c r="AL89" s="110">
        <f t="shared" si="41"/>
        <v>79.040162520437519</v>
      </c>
      <c r="AM89" s="110">
        <f t="shared" si="41"/>
        <v>79.040162520437519</v>
      </c>
      <c r="AN89" s="110">
        <f t="shared" si="41"/>
        <v>79.040162520437519</v>
      </c>
      <c r="AO89" s="110">
        <f t="shared" si="41"/>
        <v>79.040162520437519</v>
      </c>
      <c r="AP89" s="110">
        <f t="shared" si="41"/>
        <v>79.040162520437519</v>
      </c>
      <c r="AQ89" s="110">
        <f t="shared" si="41"/>
        <v>79.040162520437519</v>
      </c>
      <c r="AR89" s="110">
        <f t="shared" si="41"/>
        <v>79.040162520437519</v>
      </c>
      <c r="AS89" s="92">
        <f t="shared" si="41"/>
        <v>79.040162520437519</v>
      </c>
      <c r="AT89" s="107">
        <f t="shared" si="41"/>
        <v>79.040162520437519</v>
      </c>
      <c r="AU89" s="107">
        <f t="shared" si="41"/>
        <v>79.040162520437519</v>
      </c>
      <c r="AV89" s="107">
        <f t="shared" si="41"/>
        <v>79.040162520437519</v>
      </c>
      <c r="AW89" s="107">
        <f t="shared" si="41"/>
        <v>79.040162520437519</v>
      </c>
      <c r="AX89" s="107">
        <f t="shared" si="41"/>
        <v>79.040162520437519</v>
      </c>
      <c r="AY89" s="107">
        <f t="shared" si="41"/>
        <v>79.040162520437519</v>
      </c>
      <c r="AZ89" s="107">
        <f t="shared" si="41"/>
        <v>79.040162520437519</v>
      </c>
      <c r="BA89" s="107">
        <f t="shared" si="41"/>
        <v>79.040162520437519</v>
      </c>
      <c r="BB89" s="107">
        <f t="shared" si="41"/>
        <v>79.040162520437519</v>
      </c>
      <c r="BC89" s="107">
        <f t="shared" si="41"/>
        <v>79.040162520437519</v>
      </c>
      <c r="BD89" s="107">
        <f t="shared" si="41"/>
        <v>79.040162520437519</v>
      </c>
      <c r="BE89" s="107">
        <f t="shared" si="41"/>
        <v>79.040162520437519</v>
      </c>
      <c r="BF89" s="107">
        <f t="shared" si="41"/>
        <v>79.040162520437519</v>
      </c>
      <c r="BG89" s="107">
        <f t="shared" si="41"/>
        <v>79.040162520437519</v>
      </c>
      <c r="BH89" s="107">
        <f t="shared" si="41"/>
        <v>79.040162520437519</v>
      </c>
      <c r="BI89" s="108"/>
      <c r="BJ89" s="108"/>
      <c r="BK89" s="108"/>
      <c r="BL89" s="108"/>
      <c r="BM89" s="108"/>
      <c r="BN89" s="108"/>
      <c r="BO89" s="108"/>
      <c r="BP89" s="108"/>
      <c r="BQ89" s="108"/>
      <c r="BR89" s="108"/>
      <c r="BS89" s="108"/>
      <c r="BT89" s="108"/>
      <c r="BU89" s="108"/>
      <c r="BV89" s="108"/>
      <c r="BW89" s="108"/>
      <c r="BX89" s="108"/>
      <c r="BY89" s="108"/>
      <c r="BZ89" s="108"/>
      <c r="CA89" s="108"/>
      <c r="CB89" s="108"/>
      <c r="CC89" s="108"/>
    </row>
    <row r="90" spans="1:81" x14ac:dyDescent="0.8">
      <c r="A90" s="35" t="s">
        <v>307</v>
      </c>
      <c r="B90" s="40">
        <v>14</v>
      </c>
      <c r="C90" s="40"/>
      <c r="D90" s="40"/>
      <c r="E90" s="40"/>
      <c r="F90" s="40"/>
      <c r="G90" s="40"/>
      <c r="H90" s="40"/>
      <c r="I90" s="40"/>
      <c r="J90" s="40"/>
      <c r="K90" s="40"/>
      <c r="L90" s="90"/>
      <c r="M90" s="91"/>
      <c r="N90" s="91"/>
      <c r="O90" s="91"/>
      <c r="P90" s="91"/>
      <c r="Q90" s="91"/>
      <c r="R90" s="90"/>
      <c r="S90" s="91"/>
      <c r="T90" s="91"/>
      <c r="U90" s="91"/>
      <c r="V90" s="91"/>
      <c r="W90" s="91"/>
      <c r="X90" s="91"/>
      <c r="Y90" s="110">
        <f>Y33/B46</f>
        <v>65.954065875399223</v>
      </c>
      <c r="Z90" s="110">
        <f t="shared" ref="Z90:BI90" si="42">Y90</f>
        <v>65.954065875399223</v>
      </c>
      <c r="AA90" s="110">
        <f t="shared" si="42"/>
        <v>65.954065875399223</v>
      </c>
      <c r="AB90" s="110">
        <f t="shared" si="42"/>
        <v>65.954065875399223</v>
      </c>
      <c r="AC90" s="110">
        <f t="shared" si="42"/>
        <v>65.954065875399223</v>
      </c>
      <c r="AD90" s="110">
        <f t="shared" si="42"/>
        <v>65.954065875399223</v>
      </c>
      <c r="AE90" s="110">
        <f t="shared" si="42"/>
        <v>65.954065875399223</v>
      </c>
      <c r="AF90" s="110">
        <f t="shared" si="42"/>
        <v>65.954065875399223</v>
      </c>
      <c r="AG90" s="110">
        <f t="shared" si="42"/>
        <v>65.954065875399223</v>
      </c>
      <c r="AH90" s="110">
        <f t="shared" si="42"/>
        <v>65.954065875399223</v>
      </c>
      <c r="AI90" s="110">
        <f t="shared" si="42"/>
        <v>65.954065875399223</v>
      </c>
      <c r="AJ90" s="110">
        <f t="shared" si="42"/>
        <v>65.954065875399223</v>
      </c>
      <c r="AK90" s="110">
        <f t="shared" si="42"/>
        <v>65.954065875399223</v>
      </c>
      <c r="AL90" s="110">
        <f t="shared" si="42"/>
        <v>65.954065875399223</v>
      </c>
      <c r="AM90" s="110">
        <f t="shared" si="42"/>
        <v>65.954065875399223</v>
      </c>
      <c r="AN90" s="110">
        <f t="shared" si="42"/>
        <v>65.954065875399223</v>
      </c>
      <c r="AO90" s="110">
        <f t="shared" si="42"/>
        <v>65.954065875399223</v>
      </c>
      <c r="AP90" s="110">
        <f t="shared" si="42"/>
        <v>65.954065875399223</v>
      </c>
      <c r="AQ90" s="110">
        <f t="shared" si="42"/>
        <v>65.954065875399223</v>
      </c>
      <c r="AR90" s="110">
        <f t="shared" si="42"/>
        <v>65.954065875399223</v>
      </c>
      <c r="AS90" s="92">
        <f t="shared" si="42"/>
        <v>65.954065875399223</v>
      </c>
      <c r="AT90" s="107">
        <f t="shared" si="42"/>
        <v>65.954065875399223</v>
      </c>
      <c r="AU90" s="107">
        <f t="shared" si="42"/>
        <v>65.954065875399223</v>
      </c>
      <c r="AV90" s="107">
        <f t="shared" si="42"/>
        <v>65.954065875399223</v>
      </c>
      <c r="AW90" s="107">
        <f t="shared" si="42"/>
        <v>65.954065875399223</v>
      </c>
      <c r="AX90" s="107">
        <f t="shared" si="42"/>
        <v>65.954065875399223</v>
      </c>
      <c r="AY90" s="107">
        <f t="shared" si="42"/>
        <v>65.954065875399223</v>
      </c>
      <c r="AZ90" s="107">
        <f t="shared" si="42"/>
        <v>65.954065875399223</v>
      </c>
      <c r="BA90" s="107">
        <f t="shared" si="42"/>
        <v>65.954065875399223</v>
      </c>
      <c r="BB90" s="107">
        <f t="shared" si="42"/>
        <v>65.954065875399223</v>
      </c>
      <c r="BC90" s="107">
        <f t="shared" si="42"/>
        <v>65.954065875399223</v>
      </c>
      <c r="BD90" s="107">
        <f t="shared" si="42"/>
        <v>65.954065875399223</v>
      </c>
      <c r="BE90" s="107">
        <f t="shared" si="42"/>
        <v>65.954065875399223</v>
      </c>
      <c r="BF90" s="107">
        <f t="shared" si="42"/>
        <v>65.954065875399223</v>
      </c>
      <c r="BG90" s="107">
        <f t="shared" si="42"/>
        <v>65.954065875399223</v>
      </c>
      <c r="BH90" s="107">
        <f t="shared" si="42"/>
        <v>65.954065875399223</v>
      </c>
      <c r="BI90" s="107">
        <f t="shared" si="42"/>
        <v>65.954065875399223</v>
      </c>
      <c r="BJ90" s="108"/>
      <c r="BK90" s="108"/>
      <c r="BL90" s="108"/>
      <c r="BM90" s="108"/>
      <c r="BN90" s="108"/>
      <c r="BO90" s="108"/>
      <c r="BP90" s="108"/>
      <c r="BQ90" s="108"/>
      <c r="BR90" s="108"/>
      <c r="BS90" s="108"/>
      <c r="BT90" s="108"/>
      <c r="BU90" s="108"/>
      <c r="BV90" s="108"/>
      <c r="BW90" s="108"/>
      <c r="BX90" s="108"/>
      <c r="BY90" s="108"/>
      <c r="BZ90" s="108"/>
      <c r="CA90" s="108"/>
      <c r="CB90" s="108"/>
      <c r="CC90" s="108"/>
    </row>
    <row r="91" spans="1:81" x14ac:dyDescent="0.8">
      <c r="A91" s="35" t="s">
        <v>307</v>
      </c>
      <c r="B91" s="40">
        <v>15</v>
      </c>
      <c r="C91" s="40"/>
      <c r="D91" s="40"/>
      <c r="E91" s="40"/>
      <c r="F91" s="40"/>
      <c r="G91" s="40"/>
      <c r="H91" s="40"/>
      <c r="I91" s="40"/>
      <c r="J91" s="40"/>
      <c r="K91" s="40"/>
      <c r="L91" s="90"/>
      <c r="M91" s="91"/>
      <c r="N91" s="91"/>
      <c r="O91" s="91"/>
      <c r="P91" s="91"/>
      <c r="Q91" s="91"/>
      <c r="R91" s="90"/>
      <c r="S91" s="91"/>
      <c r="T91" s="91"/>
      <c r="U91" s="91"/>
      <c r="V91" s="91"/>
      <c r="W91" s="91"/>
      <c r="X91" s="91"/>
      <c r="Y91" s="91"/>
      <c r="Z91" s="110">
        <f>Z33/B46</f>
        <v>54.580280714753677</v>
      </c>
      <c r="AA91" s="110">
        <f t="shared" ref="AA91:BJ91" si="43">Z91</f>
        <v>54.580280714753677</v>
      </c>
      <c r="AB91" s="110">
        <f t="shared" si="43"/>
        <v>54.580280714753677</v>
      </c>
      <c r="AC91" s="110">
        <f t="shared" si="43"/>
        <v>54.580280714753677</v>
      </c>
      <c r="AD91" s="110">
        <f t="shared" si="43"/>
        <v>54.580280714753677</v>
      </c>
      <c r="AE91" s="110">
        <f t="shared" si="43"/>
        <v>54.580280714753677</v>
      </c>
      <c r="AF91" s="110">
        <f t="shared" si="43"/>
        <v>54.580280714753677</v>
      </c>
      <c r="AG91" s="110">
        <f t="shared" si="43"/>
        <v>54.580280714753677</v>
      </c>
      <c r="AH91" s="110">
        <f t="shared" si="43"/>
        <v>54.580280714753677</v>
      </c>
      <c r="AI91" s="110">
        <f t="shared" si="43"/>
        <v>54.580280714753677</v>
      </c>
      <c r="AJ91" s="110">
        <f t="shared" si="43"/>
        <v>54.580280714753677</v>
      </c>
      <c r="AK91" s="110">
        <f t="shared" si="43"/>
        <v>54.580280714753677</v>
      </c>
      <c r="AL91" s="110">
        <f t="shared" si="43"/>
        <v>54.580280714753677</v>
      </c>
      <c r="AM91" s="110">
        <f t="shared" si="43"/>
        <v>54.580280714753677</v>
      </c>
      <c r="AN91" s="110">
        <f t="shared" si="43"/>
        <v>54.580280714753677</v>
      </c>
      <c r="AO91" s="110">
        <f t="shared" si="43"/>
        <v>54.580280714753677</v>
      </c>
      <c r="AP91" s="110">
        <f t="shared" si="43"/>
        <v>54.580280714753677</v>
      </c>
      <c r="AQ91" s="110">
        <f t="shared" si="43"/>
        <v>54.580280714753677</v>
      </c>
      <c r="AR91" s="110">
        <f t="shared" si="43"/>
        <v>54.580280714753677</v>
      </c>
      <c r="AS91" s="92">
        <f t="shared" si="43"/>
        <v>54.580280714753677</v>
      </c>
      <c r="AT91" s="107">
        <f t="shared" si="43"/>
        <v>54.580280714753677</v>
      </c>
      <c r="AU91" s="107">
        <f t="shared" si="43"/>
        <v>54.580280714753677</v>
      </c>
      <c r="AV91" s="107">
        <f t="shared" si="43"/>
        <v>54.580280714753677</v>
      </c>
      <c r="AW91" s="107">
        <f t="shared" si="43"/>
        <v>54.580280714753677</v>
      </c>
      <c r="AX91" s="107">
        <f t="shared" si="43"/>
        <v>54.580280714753677</v>
      </c>
      <c r="AY91" s="107">
        <f t="shared" si="43"/>
        <v>54.580280714753677</v>
      </c>
      <c r="AZ91" s="107">
        <f t="shared" si="43"/>
        <v>54.580280714753677</v>
      </c>
      <c r="BA91" s="107">
        <f t="shared" si="43"/>
        <v>54.580280714753677</v>
      </c>
      <c r="BB91" s="107">
        <f t="shared" si="43"/>
        <v>54.580280714753677</v>
      </c>
      <c r="BC91" s="107">
        <f t="shared" si="43"/>
        <v>54.580280714753677</v>
      </c>
      <c r="BD91" s="107">
        <f t="shared" si="43"/>
        <v>54.580280714753677</v>
      </c>
      <c r="BE91" s="107">
        <f t="shared" si="43"/>
        <v>54.580280714753677</v>
      </c>
      <c r="BF91" s="107">
        <f t="shared" si="43"/>
        <v>54.580280714753677</v>
      </c>
      <c r="BG91" s="107">
        <f t="shared" si="43"/>
        <v>54.580280714753677</v>
      </c>
      <c r="BH91" s="107">
        <f t="shared" si="43"/>
        <v>54.580280714753677</v>
      </c>
      <c r="BI91" s="107">
        <f t="shared" si="43"/>
        <v>54.580280714753677</v>
      </c>
      <c r="BJ91" s="107">
        <f t="shared" si="43"/>
        <v>54.580280714753677</v>
      </c>
      <c r="BK91" s="108"/>
      <c r="BL91" s="108"/>
      <c r="BM91" s="108"/>
      <c r="BN91" s="108"/>
      <c r="BO91" s="108"/>
      <c r="BP91" s="108"/>
      <c r="BQ91" s="108"/>
      <c r="BR91" s="108"/>
      <c r="BS91" s="108"/>
      <c r="BT91" s="108"/>
      <c r="BU91" s="108"/>
      <c r="BV91" s="108"/>
      <c r="BW91" s="108"/>
      <c r="BX91" s="108"/>
      <c r="BY91" s="108"/>
      <c r="BZ91" s="108"/>
      <c r="CA91" s="108"/>
      <c r="CB91" s="108"/>
      <c r="CC91" s="108"/>
    </row>
    <row r="92" spans="1:81" x14ac:dyDescent="0.8">
      <c r="A92" s="35" t="s">
        <v>307</v>
      </c>
      <c r="B92" s="40">
        <v>16</v>
      </c>
      <c r="C92" s="40"/>
      <c r="D92" s="40"/>
      <c r="E92" s="40"/>
      <c r="F92" s="40"/>
      <c r="G92" s="40"/>
      <c r="H92" s="40"/>
      <c r="I92" s="40"/>
      <c r="J92" s="40"/>
      <c r="K92" s="40"/>
      <c r="L92" s="90"/>
      <c r="M92" s="91"/>
      <c r="N92" s="91"/>
      <c r="O92" s="91"/>
      <c r="P92" s="91"/>
      <c r="Q92" s="91"/>
      <c r="R92" s="90"/>
      <c r="S92" s="91"/>
      <c r="T92" s="91"/>
      <c r="U92" s="91"/>
      <c r="V92" s="91"/>
      <c r="W92" s="91"/>
      <c r="X92" s="91"/>
      <c r="Y92" s="91"/>
      <c r="Z92" s="91"/>
      <c r="AA92" s="110">
        <f>AA33/B46</f>
        <v>44.867169655210532</v>
      </c>
      <c r="AB92" s="110">
        <f t="shared" ref="AB92:BK92" si="44">AA92</f>
        <v>44.867169655210532</v>
      </c>
      <c r="AC92" s="110">
        <f t="shared" si="44"/>
        <v>44.867169655210532</v>
      </c>
      <c r="AD92" s="110">
        <f t="shared" si="44"/>
        <v>44.867169655210532</v>
      </c>
      <c r="AE92" s="110">
        <f t="shared" si="44"/>
        <v>44.867169655210532</v>
      </c>
      <c r="AF92" s="110">
        <f t="shared" si="44"/>
        <v>44.867169655210532</v>
      </c>
      <c r="AG92" s="110">
        <f t="shared" si="44"/>
        <v>44.867169655210532</v>
      </c>
      <c r="AH92" s="110">
        <f t="shared" si="44"/>
        <v>44.867169655210532</v>
      </c>
      <c r="AI92" s="110">
        <f t="shared" si="44"/>
        <v>44.867169655210532</v>
      </c>
      <c r="AJ92" s="110">
        <f t="shared" si="44"/>
        <v>44.867169655210532</v>
      </c>
      <c r="AK92" s="110">
        <f t="shared" si="44"/>
        <v>44.867169655210532</v>
      </c>
      <c r="AL92" s="110">
        <f t="shared" si="44"/>
        <v>44.867169655210532</v>
      </c>
      <c r="AM92" s="110">
        <f t="shared" si="44"/>
        <v>44.867169655210532</v>
      </c>
      <c r="AN92" s="110">
        <f t="shared" si="44"/>
        <v>44.867169655210532</v>
      </c>
      <c r="AO92" s="110">
        <f t="shared" si="44"/>
        <v>44.867169655210532</v>
      </c>
      <c r="AP92" s="110">
        <f t="shared" si="44"/>
        <v>44.867169655210532</v>
      </c>
      <c r="AQ92" s="110">
        <f t="shared" si="44"/>
        <v>44.867169655210532</v>
      </c>
      <c r="AR92" s="110">
        <f t="shared" si="44"/>
        <v>44.867169655210532</v>
      </c>
      <c r="AS92" s="92">
        <f t="shared" si="44"/>
        <v>44.867169655210532</v>
      </c>
      <c r="AT92" s="107">
        <f t="shared" si="44"/>
        <v>44.867169655210532</v>
      </c>
      <c r="AU92" s="107">
        <f t="shared" si="44"/>
        <v>44.867169655210532</v>
      </c>
      <c r="AV92" s="107">
        <f t="shared" si="44"/>
        <v>44.867169655210532</v>
      </c>
      <c r="AW92" s="107">
        <f t="shared" si="44"/>
        <v>44.867169655210532</v>
      </c>
      <c r="AX92" s="107">
        <f t="shared" si="44"/>
        <v>44.867169655210532</v>
      </c>
      <c r="AY92" s="107">
        <f t="shared" si="44"/>
        <v>44.867169655210532</v>
      </c>
      <c r="AZ92" s="107">
        <f t="shared" si="44"/>
        <v>44.867169655210532</v>
      </c>
      <c r="BA92" s="107">
        <f t="shared" si="44"/>
        <v>44.867169655210532</v>
      </c>
      <c r="BB92" s="107">
        <f t="shared" si="44"/>
        <v>44.867169655210532</v>
      </c>
      <c r="BC92" s="107">
        <f t="shared" si="44"/>
        <v>44.867169655210532</v>
      </c>
      <c r="BD92" s="107">
        <f t="shared" si="44"/>
        <v>44.867169655210532</v>
      </c>
      <c r="BE92" s="107">
        <f t="shared" si="44"/>
        <v>44.867169655210532</v>
      </c>
      <c r="BF92" s="107">
        <f t="shared" si="44"/>
        <v>44.867169655210532</v>
      </c>
      <c r="BG92" s="107">
        <f t="shared" si="44"/>
        <v>44.867169655210532</v>
      </c>
      <c r="BH92" s="107">
        <f t="shared" si="44"/>
        <v>44.867169655210532</v>
      </c>
      <c r="BI92" s="107">
        <f t="shared" si="44"/>
        <v>44.867169655210532</v>
      </c>
      <c r="BJ92" s="107">
        <f t="shared" si="44"/>
        <v>44.867169655210532</v>
      </c>
      <c r="BK92" s="107">
        <f t="shared" si="44"/>
        <v>44.867169655210532</v>
      </c>
      <c r="BL92" s="108"/>
      <c r="BM92" s="108"/>
      <c r="BN92" s="108"/>
      <c r="BO92" s="108"/>
      <c r="BP92" s="108"/>
      <c r="BQ92" s="108"/>
      <c r="BR92" s="108"/>
      <c r="BS92" s="108"/>
      <c r="BT92" s="108"/>
      <c r="BU92" s="108"/>
      <c r="BV92" s="108"/>
      <c r="BW92" s="108"/>
      <c r="BX92" s="108"/>
      <c r="BY92" s="108"/>
      <c r="BZ92" s="108"/>
      <c r="CA92" s="108"/>
      <c r="CB92" s="108"/>
      <c r="CC92" s="108"/>
    </row>
    <row r="93" spans="1:81" x14ac:dyDescent="0.8">
      <c r="A93" s="35" t="s">
        <v>307</v>
      </c>
      <c r="B93" s="40">
        <v>17</v>
      </c>
      <c r="C93" s="40"/>
      <c r="D93" s="40"/>
      <c r="E93" s="40"/>
      <c r="F93" s="40"/>
      <c r="G93" s="40"/>
      <c r="H93" s="40"/>
      <c r="I93" s="40"/>
      <c r="J93" s="40"/>
      <c r="K93" s="40"/>
      <c r="L93" s="90"/>
      <c r="M93" s="91"/>
      <c r="N93" s="91"/>
      <c r="O93" s="91"/>
      <c r="P93" s="91"/>
      <c r="Q93" s="91"/>
      <c r="R93" s="90"/>
      <c r="S93" s="91"/>
      <c r="T93" s="91"/>
      <c r="U93" s="91"/>
      <c r="V93" s="91"/>
      <c r="W93" s="91"/>
      <c r="X93" s="91"/>
      <c r="Y93" s="91"/>
      <c r="Z93" s="91"/>
      <c r="AA93" s="91"/>
      <c r="AB93" s="110">
        <f>AB33/B46</f>
        <v>36.684830829379621</v>
      </c>
      <c r="AC93" s="110">
        <f t="shared" ref="AC93:BL93" si="45">AB93</f>
        <v>36.684830829379621</v>
      </c>
      <c r="AD93" s="110">
        <f t="shared" si="45"/>
        <v>36.684830829379621</v>
      </c>
      <c r="AE93" s="110">
        <f t="shared" si="45"/>
        <v>36.684830829379621</v>
      </c>
      <c r="AF93" s="110">
        <f t="shared" si="45"/>
        <v>36.684830829379621</v>
      </c>
      <c r="AG93" s="110">
        <f t="shared" si="45"/>
        <v>36.684830829379621</v>
      </c>
      <c r="AH93" s="110">
        <f t="shared" si="45"/>
        <v>36.684830829379621</v>
      </c>
      <c r="AI93" s="110">
        <f t="shared" si="45"/>
        <v>36.684830829379621</v>
      </c>
      <c r="AJ93" s="110">
        <f t="shared" si="45"/>
        <v>36.684830829379621</v>
      </c>
      <c r="AK93" s="110">
        <f t="shared" si="45"/>
        <v>36.684830829379621</v>
      </c>
      <c r="AL93" s="110">
        <f t="shared" si="45"/>
        <v>36.684830829379621</v>
      </c>
      <c r="AM93" s="110">
        <f t="shared" si="45"/>
        <v>36.684830829379621</v>
      </c>
      <c r="AN93" s="110">
        <f t="shared" si="45"/>
        <v>36.684830829379621</v>
      </c>
      <c r="AO93" s="110">
        <f t="shared" si="45"/>
        <v>36.684830829379621</v>
      </c>
      <c r="AP93" s="110">
        <f t="shared" si="45"/>
        <v>36.684830829379621</v>
      </c>
      <c r="AQ93" s="110">
        <f t="shared" si="45"/>
        <v>36.684830829379621</v>
      </c>
      <c r="AR93" s="110">
        <f t="shared" si="45"/>
        <v>36.684830829379621</v>
      </c>
      <c r="AS93" s="92">
        <f t="shared" si="45"/>
        <v>36.684830829379621</v>
      </c>
      <c r="AT93" s="107">
        <f t="shared" si="45"/>
        <v>36.684830829379621</v>
      </c>
      <c r="AU93" s="107">
        <f t="shared" si="45"/>
        <v>36.684830829379621</v>
      </c>
      <c r="AV93" s="107">
        <f t="shared" si="45"/>
        <v>36.684830829379621</v>
      </c>
      <c r="AW93" s="107">
        <f t="shared" si="45"/>
        <v>36.684830829379621</v>
      </c>
      <c r="AX93" s="107">
        <f t="shared" si="45"/>
        <v>36.684830829379621</v>
      </c>
      <c r="AY93" s="107">
        <f t="shared" si="45"/>
        <v>36.684830829379621</v>
      </c>
      <c r="AZ93" s="107">
        <f t="shared" si="45"/>
        <v>36.684830829379621</v>
      </c>
      <c r="BA93" s="107">
        <f t="shared" si="45"/>
        <v>36.684830829379621</v>
      </c>
      <c r="BB93" s="107">
        <f t="shared" si="45"/>
        <v>36.684830829379621</v>
      </c>
      <c r="BC93" s="107">
        <f t="shared" si="45"/>
        <v>36.684830829379621</v>
      </c>
      <c r="BD93" s="107">
        <f t="shared" si="45"/>
        <v>36.684830829379621</v>
      </c>
      <c r="BE93" s="107">
        <f t="shared" si="45"/>
        <v>36.684830829379621</v>
      </c>
      <c r="BF93" s="107">
        <f t="shared" si="45"/>
        <v>36.684830829379621</v>
      </c>
      <c r="BG93" s="107">
        <f t="shared" si="45"/>
        <v>36.684830829379621</v>
      </c>
      <c r="BH93" s="107">
        <f t="shared" si="45"/>
        <v>36.684830829379621</v>
      </c>
      <c r="BI93" s="107">
        <f t="shared" si="45"/>
        <v>36.684830829379621</v>
      </c>
      <c r="BJ93" s="107">
        <f t="shared" si="45"/>
        <v>36.684830829379621</v>
      </c>
      <c r="BK93" s="107">
        <f t="shared" si="45"/>
        <v>36.684830829379621</v>
      </c>
      <c r="BL93" s="107">
        <f t="shared" si="45"/>
        <v>36.684830829379621</v>
      </c>
      <c r="BM93" s="108"/>
      <c r="BN93" s="108"/>
      <c r="BO93" s="108"/>
      <c r="BP93" s="108"/>
      <c r="BQ93" s="108"/>
      <c r="BR93" s="108"/>
      <c r="BS93" s="108"/>
      <c r="BT93" s="108"/>
      <c r="BU93" s="108"/>
      <c r="BV93" s="108"/>
      <c r="BW93" s="108"/>
      <c r="BX93" s="108"/>
      <c r="BY93" s="108"/>
      <c r="BZ93" s="108"/>
      <c r="CA93" s="108"/>
      <c r="CB93" s="108"/>
      <c r="CC93" s="108"/>
    </row>
    <row r="94" spans="1:81" x14ac:dyDescent="0.8">
      <c r="A94" s="35" t="s">
        <v>307</v>
      </c>
      <c r="B94" s="40">
        <v>18</v>
      </c>
      <c r="C94" s="40"/>
      <c r="D94" s="40"/>
      <c r="E94" s="40"/>
      <c r="F94" s="40"/>
      <c r="G94" s="40"/>
      <c r="H94" s="40"/>
      <c r="I94" s="40"/>
      <c r="J94" s="40"/>
      <c r="K94" s="40"/>
      <c r="L94" s="90"/>
      <c r="M94" s="91"/>
      <c r="N94" s="91"/>
      <c r="O94" s="91"/>
      <c r="P94" s="91"/>
      <c r="Q94" s="91"/>
      <c r="R94" s="90"/>
      <c r="S94" s="91"/>
      <c r="T94" s="91"/>
      <c r="U94" s="91"/>
      <c r="V94" s="91"/>
      <c r="W94" s="91"/>
      <c r="X94" s="91"/>
      <c r="Y94" s="91"/>
      <c r="Z94" s="91"/>
      <c r="AA94" s="91"/>
      <c r="AB94" s="91"/>
      <c r="AC94" s="110">
        <f>AC33/B46</f>
        <v>29.865324362034034</v>
      </c>
      <c r="AD94" s="110">
        <f t="shared" ref="AD94:BM94" si="46">AC94</f>
        <v>29.865324362034034</v>
      </c>
      <c r="AE94" s="110">
        <f t="shared" si="46"/>
        <v>29.865324362034034</v>
      </c>
      <c r="AF94" s="110">
        <f t="shared" si="46"/>
        <v>29.865324362034034</v>
      </c>
      <c r="AG94" s="110">
        <f t="shared" si="46"/>
        <v>29.865324362034034</v>
      </c>
      <c r="AH94" s="110">
        <f t="shared" si="46"/>
        <v>29.865324362034034</v>
      </c>
      <c r="AI94" s="110">
        <f t="shared" si="46"/>
        <v>29.865324362034034</v>
      </c>
      <c r="AJ94" s="110">
        <f t="shared" si="46"/>
        <v>29.865324362034034</v>
      </c>
      <c r="AK94" s="110">
        <f t="shared" si="46"/>
        <v>29.865324362034034</v>
      </c>
      <c r="AL94" s="110">
        <f t="shared" si="46"/>
        <v>29.865324362034034</v>
      </c>
      <c r="AM94" s="110">
        <f t="shared" si="46"/>
        <v>29.865324362034034</v>
      </c>
      <c r="AN94" s="110">
        <f t="shared" si="46"/>
        <v>29.865324362034034</v>
      </c>
      <c r="AO94" s="110">
        <f t="shared" si="46"/>
        <v>29.865324362034034</v>
      </c>
      <c r="AP94" s="110">
        <f t="shared" si="46"/>
        <v>29.865324362034034</v>
      </c>
      <c r="AQ94" s="110">
        <f t="shared" si="46"/>
        <v>29.865324362034034</v>
      </c>
      <c r="AR94" s="110">
        <f t="shared" si="46"/>
        <v>29.865324362034034</v>
      </c>
      <c r="AS94" s="92">
        <f t="shared" si="46"/>
        <v>29.865324362034034</v>
      </c>
      <c r="AT94" s="107">
        <f t="shared" si="46"/>
        <v>29.865324362034034</v>
      </c>
      <c r="AU94" s="107">
        <f t="shared" si="46"/>
        <v>29.865324362034034</v>
      </c>
      <c r="AV94" s="107">
        <f t="shared" si="46"/>
        <v>29.865324362034034</v>
      </c>
      <c r="AW94" s="107">
        <f t="shared" si="46"/>
        <v>29.865324362034034</v>
      </c>
      <c r="AX94" s="107">
        <f t="shared" si="46"/>
        <v>29.865324362034034</v>
      </c>
      <c r="AY94" s="107">
        <f t="shared" si="46"/>
        <v>29.865324362034034</v>
      </c>
      <c r="AZ94" s="107">
        <f t="shared" si="46"/>
        <v>29.865324362034034</v>
      </c>
      <c r="BA94" s="107">
        <f t="shared" si="46"/>
        <v>29.865324362034034</v>
      </c>
      <c r="BB94" s="107">
        <f t="shared" si="46"/>
        <v>29.865324362034034</v>
      </c>
      <c r="BC94" s="107">
        <f t="shared" si="46"/>
        <v>29.865324362034034</v>
      </c>
      <c r="BD94" s="107">
        <f t="shared" si="46"/>
        <v>29.865324362034034</v>
      </c>
      <c r="BE94" s="107">
        <f t="shared" si="46"/>
        <v>29.865324362034034</v>
      </c>
      <c r="BF94" s="107">
        <f t="shared" si="46"/>
        <v>29.865324362034034</v>
      </c>
      <c r="BG94" s="107">
        <f t="shared" si="46"/>
        <v>29.865324362034034</v>
      </c>
      <c r="BH94" s="107">
        <f t="shared" si="46"/>
        <v>29.865324362034034</v>
      </c>
      <c r="BI94" s="107">
        <f t="shared" si="46"/>
        <v>29.865324362034034</v>
      </c>
      <c r="BJ94" s="107">
        <f t="shared" si="46"/>
        <v>29.865324362034034</v>
      </c>
      <c r="BK94" s="107">
        <f t="shared" si="46"/>
        <v>29.865324362034034</v>
      </c>
      <c r="BL94" s="107">
        <f t="shared" si="46"/>
        <v>29.865324362034034</v>
      </c>
      <c r="BM94" s="107">
        <f t="shared" si="46"/>
        <v>29.865324362034034</v>
      </c>
      <c r="BN94" s="108"/>
      <c r="BO94" s="108"/>
      <c r="BP94" s="108"/>
      <c r="BQ94" s="108"/>
      <c r="BR94" s="108"/>
      <c r="BS94" s="108"/>
      <c r="BT94" s="108"/>
      <c r="BU94" s="108"/>
      <c r="BV94" s="108"/>
      <c r="BW94" s="108"/>
      <c r="BX94" s="108"/>
      <c r="BY94" s="108"/>
      <c r="BZ94" s="108"/>
      <c r="CA94" s="108"/>
      <c r="CB94" s="108"/>
      <c r="CC94" s="108"/>
    </row>
    <row r="95" spans="1:81" x14ac:dyDescent="0.8">
      <c r="A95" s="35" t="s">
        <v>307</v>
      </c>
      <c r="B95" s="40">
        <v>19</v>
      </c>
      <c r="C95" s="40"/>
      <c r="D95" s="40"/>
      <c r="E95" s="40"/>
      <c r="F95" s="40"/>
      <c r="G95" s="40"/>
      <c r="H95" s="40"/>
      <c r="I95" s="40"/>
      <c r="J95" s="40"/>
      <c r="K95" s="40"/>
      <c r="L95" s="90"/>
      <c r="M95" s="91"/>
      <c r="N95" s="91"/>
      <c r="O95" s="91"/>
      <c r="P95" s="91"/>
      <c r="Q95" s="91"/>
      <c r="R95" s="90"/>
      <c r="S95" s="91"/>
      <c r="T95" s="91"/>
      <c r="U95" s="91"/>
      <c r="V95" s="91"/>
      <c r="W95" s="91"/>
      <c r="X95" s="91"/>
      <c r="Y95" s="91"/>
      <c r="Z95" s="91"/>
      <c r="AA95" s="91"/>
      <c r="AB95" s="91"/>
      <c r="AC95" s="91"/>
      <c r="AD95" s="110">
        <f>AD33/B46</f>
        <v>24.2292729394158</v>
      </c>
      <c r="AE95" s="110">
        <f t="shared" ref="AE95:BN95" si="47">AD95</f>
        <v>24.2292729394158</v>
      </c>
      <c r="AF95" s="110">
        <f t="shared" si="47"/>
        <v>24.2292729394158</v>
      </c>
      <c r="AG95" s="110">
        <f t="shared" si="47"/>
        <v>24.2292729394158</v>
      </c>
      <c r="AH95" s="110">
        <f t="shared" si="47"/>
        <v>24.2292729394158</v>
      </c>
      <c r="AI95" s="110">
        <f t="shared" si="47"/>
        <v>24.2292729394158</v>
      </c>
      <c r="AJ95" s="110">
        <f t="shared" si="47"/>
        <v>24.2292729394158</v>
      </c>
      <c r="AK95" s="110">
        <f t="shared" si="47"/>
        <v>24.2292729394158</v>
      </c>
      <c r="AL95" s="110">
        <f t="shared" si="47"/>
        <v>24.2292729394158</v>
      </c>
      <c r="AM95" s="110">
        <f t="shared" si="47"/>
        <v>24.2292729394158</v>
      </c>
      <c r="AN95" s="110">
        <f t="shared" si="47"/>
        <v>24.2292729394158</v>
      </c>
      <c r="AO95" s="110">
        <f t="shared" si="47"/>
        <v>24.2292729394158</v>
      </c>
      <c r="AP95" s="110">
        <f t="shared" si="47"/>
        <v>24.2292729394158</v>
      </c>
      <c r="AQ95" s="110">
        <f t="shared" si="47"/>
        <v>24.2292729394158</v>
      </c>
      <c r="AR95" s="110">
        <f t="shared" si="47"/>
        <v>24.2292729394158</v>
      </c>
      <c r="AS95" s="92">
        <f t="shared" si="47"/>
        <v>24.2292729394158</v>
      </c>
      <c r="AT95" s="107">
        <f t="shared" si="47"/>
        <v>24.2292729394158</v>
      </c>
      <c r="AU95" s="107">
        <f t="shared" si="47"/>
        <v>24.2292729394158</v>
      </c>
      <c r="AV95" s="107">
        <f t="shared" si="47"/>
        <v>24.2292729394158</v>
      </c>
      <c r="AW95" s="107">
        <f t="shared" si="47"/>
        <v>24.2292729394158</v>
      </c>
      <c r="AX95" s="107">
        <f t="shared" si="47"/>
        <v>24.2292729394158</v>
      </c>
      <c r="AY95" s="107">
        <f t="shared" si="47"/>
        <v>24.2292729394158</v>
      </c>
      <c r="AZ95" s="107">
        <f t="shared" si="47"/>
        <v>24.2292729394158</v>
      </c>
      <c r="BA95" s="107">
        <f t="shared" si="47"/>
        <v>24.2292729394158</v>
      </c>
      <c r="BB95" s="107">
        <f t="shared" si="47"/>
        <v>24.2292729394158</v>
      </c>
      <c r="BC95" s="107">
        <f t="shared" si="47"/>
        <v>24.2292729394158</v>
      </c>
      <c r="BD95" s="107">
        <f t="shared" si="47"/>
        <v>24.2292729394158</v>
      </c>
      <c r="BE95" s="107">
        <f t="shared" si="47"/>
        <v>24.2292729394158</v>
      </c>
      <c r="BF95" s="107">
        <f t="shared" si="47"/>
        <v>24.2292729394158</v>
      </c>
      <c r="BG95" s="107">
        <f t="shared" si="47"/>
        <v>24.2292729394158</v>
      </c>
      <c r="BH95" s="107">
        <f t="shared" si="47"/>
        <v>24.2292729394158</v>
      </c>
      <c r="BI95" s="107">
        <f t="shared" si="47"/>
        <v>24.2292729394158</v>
      </c>
      <c r="BJ95" s="107">
        <f t="shared" si="47"/>
        <v>24.2292729394158</v>
      </c>
      <c r="BK95" s="107">
        <f t="shared" si="47"/>
        <v>24.2292729394158</v>
      </c>
      <c r="BL95" s="107">
        <f t="shared" si="47"/>
        <v>24.2292729394158</v>
      </c>
      <c r="BM95" s="107">
        <f t="shared" si="47"/>
        <v>24.2292729394158</v>
      </c>
      <c r="BN95" s="107">
        <f t="shared" si="47"/>
        <v>24.2292729394158</v>
      </c>
      <c r="BO95" s="108"/>
      <c r="BP95" s="108"/>
      <c r="BQ95" s="108"/>
      <c r="BR95" s="108"/>
      <c r="BS95" s="108"/>
      <c r="BT95" s="108"/>
      <c r="BU95" s="108"/>
      <c r="BV95" s="108"/>
      <c r="BW95" s="108"/>
      <c r="BX95" s="108"/>
      <c r="BY95" s="108"/>
      <c r="BZ95" s="108"/>
      <c r="CA95" s="108"/>
      <c r="CB95" s="108"/>
      <c r="CC95" s="108"/>
    </row>
    <row r="96" spans="1:81" x14ac:dyDescent="0.8">
      <c r="A96" s="35" t="s">
        <v>307</v>
      </c>
      <c r="B96" s="40">
        <v>20</v>
      </c>
      <c r="C96" s="40"/>
      <c r="D96" s="40"/>
      <c r="E96" s="40"/>
      <c r="F96" s="40"/>
      <c r="G96" s="40"/>
      <c r="H96" s="40"/>
      <c r="I96" s="40"/>
      <c r="J96" s="40"/>
      <c r="K96" s="40"/>
      <c r="L96" s="90"/>
      <c r="M96" s="91"/>
      <c r="N96" s="91"/>
      <c r="O96" s="91"/>
      <c r="P96" s="91"/>
      <c r="Q96" s="91"/>
      <c r="R96" s="90"/>
      <c r="S96" s="91"/>
      <c r="T96" s="91"/>
      <c r="U96" s="91"/>
      <c r="V96" s="91"/>
      <c r="W96" s="91"/>
      <c r="X96" s="91"/>
      <c r="Y96" s="91"/>
      <c r="Z96" s="91"/>
      <c r="AA96" s="91"/>
      <c r="AB96" s="91"/>
      <c r="AC96" s="91"/>
      <c r="AD96" s="91"/>
      <c r="AE96" s="110">
        <f>AE33/B46</f>
        <v>0.11942531601911273</v>
      </c>
      <c r="AF96" s="110">
        <f t="shared" ref="AF96:BO96" si="48">AE96</f>
        <v>0.11942531601911273</v>
      </c>
      <c r="AG96" s="110">
        <f t="shared" si="48"/>
        <v>0.11942531601911273</v>
      </c>
      <c r="AH96" s="110">
        <f t="shared" si="48"/>
        <v>0.11942531601911273</v>
      </c>
      <c r="AI96" s="110">
        <f t="shared" si="48"/>
        <v>0.11942531601911273</v>
      </c>
      <c r="AJ96" s="110">
        <f t="shared" si="48"/>
        <v>0.11942531601911273</v>
      </c>
      <c r="AK96" s="110">
        <f t="shared" si="48"/>
        <v>0.11942531601911273</v>
      </c>
      <c r="AL96" s="110">
        <f t="shared" si="48"/>
        <v>0.11942531601911273</v>
      </c>
      <c r="AM96" s="110">
        <f t="shared" si="48"/>
        <v>0.11942531601911273</v>
      </c>
      <c r="AN96" s="110">
        <f t="shared" si="48"/>
        <v>0.11942531601911273</v>
      </c>
      <c r="AO96" s="110">
        <f t="shared" si="48"/>
        <v>0.11942531601911273</v>
      </c>
      <c r="AP96" s="110">
        <f t="shared" si="48"/>
        <v>0.11942531601911273</v>
      </c>
      <c r="AQ96" s="110">
        <f t="shared" si="48"/>
        <v>0.11942531601911273</v>
      </c>
      <c r="AR96" s="110">
        <f t="shared" si="48"/>
        <v>0.11942531601911273</v>
      </c>
      <c r="AS96" s="92">
        <f t="shared" si="48"/>
        <v>0.11942531601911273</v>
      </c>
      <c r="AT96" s="107">
        <f t="shared" si="48"/>
        <v>0.11942531601911273</v>
      </c>
      <c r="AU96" s="107">
        <f t="shared" si="48"/>
        <v>0.11942531601911273</v>
      </c>
      <c r="AV96" s="107">
        <f t="shared" si="48"/>
        <v>0.11942531601911273</v>
      </c>
      <c r="AW96" s="107">
        <f t="shared" si="48"/>
        <v>0.11942531601911273</v>
      </c>
      <c r="AX96" s="107">
        <f t="shared" si="48"/>
        <v>0.11942531601911273</v>
      </c>
      <c r="AY96" s="107">
        <f t="shared" si="48"/>
        <v>0.11942531601911273</v>
      </c>
      <c r="AZ96" s="107">
        <f t="shared" si="48"/>
        <v>0.11942531601911273</v>
      </c>
      <c r="BA96" s="107">
        <f t="shared" si="48"/>
        <v>0.11942531601911273</v>
      </c>
      <c r="BB96" s="107">
        <f t="shared" si="48"/>
        <v>0.11942531601911273</v>
      </c>
      <c r="BC96" s="107">
        <f t="shared" si="48"/>
        <v>0.11942531601911273</v>
      </c>
      <c r="BD96" s="107">
        <f t="shared" si="48"/>
        <v>0.11942531601911273</v>
      </c>
      <c r="BE96" s="107">
        <f t="shared" si="48"/>
        <v>0.11942531601911273</v>
      </c>
      <c r="BF96" s="107">
        <f t="shared" si="48"/>
        <v>0.11942531601911273</v>
      </c>
      <c r="BG96" s="107">
        <f t="shared" si="48"/>
        <v>0.11942531601911273</v>
      </c>
      <c r="BH96" s="107">
        <f t="shared" si="48"/>
        <v>0.11942531601911273</v>
      </c>
      <c r="BI96" s="107">
        <f t="shared" si="48"/>
        <v>0.11942531601911273</v>
      </c>
      <c r="BJ96" s="107">
        <f t="shared" si="48"/>
        <v>0.11942531601911273</v>
      </c>
      <c r="BK96" s="107">
        <f t="shared" si="48"/>
        <v>0.11942531601911273</v>
      </c>
      <c r="BL96" s="107">
        <f t="shared" si="48"/>
        <v>0.11942531601911273</v>
      </c>
      <c r="BM96" s="107">
        <f t="shared" si="48"/>
        <v>0.11942531601911273</v>
      </c>
      <c r="BN96" s="107">
        <f t="shared" si="48"/>
        <v>0.11942531601911273</v>
      </c>
      <c r="BO96" s="107">
        <f t="shared" si="48"/>
        <v>0.11942531601911273</v>
      </c>
      <c r="BP96" s="108"/>
      <c r="BQ96" s="108"/>
      <c r="BR96" s="108"/>
      <c r="BS96" s="108"/>
      <c r="BT96" s="108"/>
      <c r="BU96" s="108"/>
      <c r="BV96" s="108"/>
      <c r="BW96" s="108"/>
      <c r="BX96" s="108"/>
      <c r="BY96" s="108"/>
      <c r="BZ96" s="108"/>
      <c r="CA96" s="108"/>
      <c r="CB96" s="108"/>
      <c r="CC96" s="108"/>
    </row>
    <row r="97" spans="1:81" x14ac:dyDescent="0.8">
      <c r="A97" s="35" t="s">
        <v>307</v>
      </c>
      <c r="B97" s="40">
        <v>21</v>
      </c>
      <c r="C97" s="40"/>
      <c r="D97" s="40"/>
      <c r="E97" s="40"/>
      <c r="F97" s="40"/>
      <c r="G97" s="40"/>
      <c r="H97" s="40"/>
      <c r="I97" s="40"/>
      <c r="J97" s="40"/>
      <c r="K97" s="40"/>
      <c r="L97" s="90"/>
      <c r="M97" s="91"/>
      <c r="N97" s="91"/>
      <c r="O97" s="91"/>
      <c r="P97" s="91"/>
      <c r="Q97" s="91"/>
      <c r="R97" s="90"/>
      <c r="S97" s="91"/>
      <c r="T97" s="91"/>
      <c r="U97" s="91"/>
      <c r="V97" s="91"/>
      <c r="W97" s="91"/>
      <c r="X97" s="91"/>
      <c r="Y97" s="91"/>
      <c r="Z97" s="91"/>
      <c r="AA97" s="91"/>
      <c r="AB97" s="91"/>
      <c r="AC97" s="91"/>
      <c r="AD97" s="91"/>
      <c r="AE97" s="91"/>
      <c r="AF97" s="110">
        <f>AF33/B46</f>
        <v>0.11943188441187344</v>
      </c>
      <c r="AG97" s="110">
        <f t="shared" ref="AG97:BP97" si="49">AF97</f>
        <v>0.11943188441187344</v>
      </c>
      <c r="AH97" s="110">
        <f t="shared" si="49"/>
        <v>0.11943188441187344</v>
      </c>
      <c r="AI97" s="110">
        <f t="shared" si="49"/>
        <v>0.11943188441187344</v>
      </c>
      <c r="AJ97" s="110">
        <f t="shared" si="49"/>
        <v>0.11943188441187344</v>
      </c>
      <c r="AK97" s="110">
        <f t="shared" si="49"/>
        <v>0.11943188441187344</v>
      </c>
      <c r="AL97" s="110">
        <f t="shared" si="49"/>
        <v>0.11943188441187344</v>
      </c>
      <c r="AM97" s="110">
        <f t="shared" si="49"/>
        <v>0.11943188441187344</v>
      </c>
      <c r="AN97" s="110">
        <f t="shared" si="49"/>
        <v>0.11943188441187344</v>
      </c>
      <c r="AO97" s="110">
        <f t="shared" si="49"/>
        <v>0.11943188441187344</v>
      </c>
      <c r="AP97" s="110">
        <f t="shared" si="49"/>
        <v>0.11943188441187344</v>
      </c>
      <c r="AQ97" s="110">
        <f t="shared" si="49"/>
        <v>0.11943188441187344</v>
      </c>
      <c r="AR97" s="110">
        <f t="shared" si="49"/>
        <v>0.11943188441187344</v>
      </c>
      <c r="AS97" s="92">
        <f t="shared" si="49"/>
        <v>0.11943188441187344</v>
      </c>
      <c r="AT97" s="107">
        <f t="shared" si="49"/>
        <v>0.11943188441187344</v>
      </c>
      <c r="AU97" s="107">
        <f t="shared" si="49"/>
        <v>0.11943188441187344</v>
      </c>
      <c r="AV97" s="107">
        <f t="shared" si="49"/>
        <v>0.11943188441187344</v>
      </c>
      <c r="AW97" s="107">
        <f t="shared" si="49"/>
        <v>0.11943188441187344</v>
      </c>
      <c r="AX97" s="107">
        <f t="shared" si="49"/>
        <v>0.11943188441187344</v>
      </c>
      <c r="AY97" s="107">
        <f t="shared" si="49"/>
        <v>0.11943188441187344</v>
      </c>
      <c r="AZ97" s="107">
        <f t="shared" si="49"/>
        <v>0.11943188441187344</v>
      </c>
      <c r="BA97" s="107">
        <f t="shared" si="49"/>
        <v>0.11943188441187344</v>
      </c>
      <c r="BB97" s="107">
        <f t="shared" si="49"/>
        <v>0.11943188441187344</v>
      </c>
      <c r="BC97" s="107">
        <f t="shared" si="49"/>
        <v>0.11943188441187344</v>
      </c>
      <c r="BD97" s="107">
        <f t="shared" si="49"/>
        <v>0.11943188441187344</v>
      </c>
      <c r="BE97" s="107">
        <f t="shared" si="49"/>
        <v>0.11943188441187344</v>
      </c>
      <c r="BF97" s="107">
        <f t="shared" si="49"/>
        <v>0.11943188441187344</v>
      </c>
      <c r="BG97" s="107">
        <f t="shared" si="49"/>
        <v>0.11943188441187344</v>
      </c>
      <c r="BH97" s="107">
        <f t="shared" si="49"/>
        <v>0.11943188441187344</v>
      </c>
      <c r="BI97" s="107">
        <f t="shared" si="49"/>
        <v>0.11943188441187344</v>
      </c>
      <c r="BJ97" s="107">
        <f t="shared" si="49"/>
        <v>0.11943188441187344</v>
      </c>
      <c r="BK97" s="107">
        <f t="shared" si="49"/>
        <v>0.11943188441187344</v>
      </c>
      <c r="BL97" s="107">
        <f t="shared" si="49"/>
        <v>0.11943188441187344</v>
      </c>
      <c r="BM97" s="107">
        <f t="shared" si="49"/>
        <v>0.11943188441187344</v>
      </c>
      <c r="BN97" s="107">
        <f t="shared" si="49"/>
        <v>0.11943188441187344</v>
      </c>
      <c r="BO97" s="107">
        <f t="shared" si="49"/>
        <v>0.11943188441187344</v>
      </c>
      <c r="BP97" s="107">
        <f t="shared" si="49"/>
        <v>0.11943188441187344</v>
      </c>
      <c r="BQ97" s="108"/>
      <c r="BR97" s="108"/>
      <c r="BS97" s="108"/>
      <c r="BT97" s="108"/>
      <c r="BU97" s="108"/>
      <c r="BV97" s="108"/>
      <c r="BW97" s="108"/>
      <c r="BX97" s="108"/>
      <c r="BY97" s="108"/>
      <c r="BZ97" s="108"/>
      <c r="CA97" s="108"/>
      <c r="CB97" s="108"/>
      <c r="CC97" s="108"/>
    </row>
    <row r="98" spans="1:81" x14ac:dyDescent="0.8">
      <c r="A98" s="35" t="s">
        <v>307</v>
      </c>
      <c r="B98" s="40">
        <v>22</v>
      </c>
      <c r="C98" s="40"/>
      <c r="D98" s="40"/>
      <c r="E98" s="40"/>
      <c r="F98" s="40"/>
      <c r="G98" s="40"/>
      <c r="H98" s="40"/>
      <c r="I98" s="40"/>
      <c r="J98" s="40"/>
      <c r="K98" s="40"/>
      <c r="L98" s="90"/>
      <c r="M98" s="91"/>
      <c r="N98" s="91"/>
      <c r="O98" s="91"/>
      <c r="P98" s="91"/>
      <c r="Q98" s="91"/>
      <c r="R98" s="90"/>
      <c r="S98" s="91"/>
      <c r="T98" s="91"/>
      <c r="U98" s="91"/>
      <c r="V98" s="91"/>
      <c r="W98" s="91"/>
      <c r="X98" s="91"/>
      <c r="Y98" s="91"/>
      <c r="Z98" s="91"/>
      <c r="AA98" s="91"/>
      <c r="AB98" s="91"/>
      <c r="AC98" s="91"/>
      <c r="AD98" s="91"/>
      <c r="AE98" s="91"/>
      <c r="AF98" s="91"/>
      <c r="AG98" s="110">
        <f>AG33/B46</f>
        <v>0.11943845316528569</v>
      </c>
      <c r="AH98" s="110">
        <f t="shared" ref="AH98:BQ98" si="50">AG98</f>
        <v>0.11943845316528569</v>
      </c>
      <c r="AI98" s="110">
        <f t="shared" si="50"/>
        <v>0.11943845316528569</v>
      </c>
      <c r="AJ98" s="110">
        <f t="shared" si="50"/>
        <v>0.11943845316528569</v>
      </c>
      <c r="AK98" s="110">
        <f t="shared" si="50"/>
        <v>0.11943845316528569</v>
      </c>
      <c r="AL98" s="110">
        <f t="shared" si="50"/>
        <v>0.11943845316528569</v>
      </c>
      <c r="AM98" s="110">
        <f t="shared" si="50"/>
        <v>0.11943845316528569</v>
      </c>
      <c r="AN98" s="110">
        <f t="shared" si="50"/>
        <v>0.11943845316528569</v>
      </c>
      <c r="AO98" s="110">
        <f t="shared" si="50"/>
        <v>0.11943845316528569</v>
      </c>
      <c r="AP98" s="110">
        <f t="shared" si="50"/>
        <v>0.11943845316528569</v>
      </c>
      <c r="AQ98" s="110">
        <f t="shared" si="50"/>
        <v>0.11943845316528569</v>
      </c>
      <c r="AR98" s="110">
        <f t="shared" si="50"/>
        <v>0.11943845316528569</v>
      </c>
      <c r="AS98" s="92">
        <f t="shared" si="50"/>
        <v>0.11943845316528569</v>
      </c>
      <c r="AT98" s="107">
        <f t="shared" si="50"/>
        <v>0.11943845316528569</v>
      </c>
      <c r="AU98" s="107">
        <f t="shared" si="50"/>
        <v>0.11943845316528569</v>
      </c>
      <c r="AV98" s="107">
        <f t="shared" si="50"/>
        <v>0.11943845316528569</v>
      </c>
      <c r="AW98" s="107">
        <f t="shared" si="50"/>
        <v>0.11943845316528569</v>
      </c>
      <c r="AX98" s="107">
        <f t="shared" si="50"/>
        <v>0.11943845316528569</v>
      </c>
      <c r="AY98" s="107">
        <f t="shared" si="50"/>
        <v>0.11943845316528569</v>
      </c>
      <c r="AZ98" s="107">
        <f t="shared" si="50"/>
        <v>0.11943845316528569</v>
      </c>
      <c r="BA98" s="107">
        <f t="shared" si="50"/>
        <v>0.11943845316528569</v>
      </c>
      <c r="BB98" s="107">
        <f t="shared" si="50"/>
        <v>0.11943845316528569</v>
      </c>
      <c r="BC98" s="107">
        <f t="shared" si="50"/>
        <v>0.11943845316528569</v>
      </c>
      <c r="BD98" s="107">
        <f t="shared" si="50"/>
        <v>0.11943845316528569</v>
      </c>
      <c r="BE98" s="107">
        <f t="shared" si="50"/>
        <v>0.11943845316528569</v>
      </c>
      <c r="BF98" s="107">
        <f t="shared" si="50"/>
        <v>0.11943845316528569</v>
      </c>
      <c r="BG98" s="107">
        <f t="shared" si="50"/>
        <v>0.11943845316528569</v>
      </c>
      <c r="BH98" s="107">
        <f t="shared" si="50"/>
        <v>0.11943845316528569</v>
      </c>
      <c r="BI98" s="107">
        <f t="shared" si="50"/>
        <v>0.11943845316528569</v>
      </c>
      <c r="BJ98" s="107">
        <f t="shared" si="50"/>
        <v>0.11943845316528569</v>
      </c>
      <c r="BK98" s="107">
        <f t="shared" si="50"/>
        <v>0.11943845316528569</v>
      </c>
      <c r="BL98" s="107">
        <f t="shared" si="50"/>
        <v>0.11943845316528569</v>
      </c>
      <c r="BM98" s="107">
        <f t="shared" si="50"/>
        <v>0.11943845316528569</v>
      </c>
      <c r="BN98" s="107">
        <f t="shared" si="50"/>
        <v>0.11943845316528569</v>
      </c>
      <c r="BO98" s="107">
        <f t="shared" si="50"/>
        <v>0.11943845316528569</v>
      </c>
      <c r="BP98" s="107">
        <f t="shared" si="50"/>
        <v>0.11943845316528569</v>
      </c>
      <c r="BQ98" s="107">
        <f t="shared" si="50"/>
        <v>0.11943845316528569</v>
      </c>
      <c r="BR98" s="108"/>
      <c r="BS98" s="108"/>
      <c r="BT98" s="108"/>
      <c r="BU98" s="108"/>
      <c r="BV98" s="108"/>
      <c r="BW98" s="108"/>
      <c r="BX98" s="108"/>
      <c r="BY98" s="108"/>
      <c r="BZ98" s="108"/>
      <c r="CA98" s="108"/>
      <c r="CB98" s="108"/>
      <c r="CC98" s="108"/>
    </row>
    <row r="99" spans="1:81" x14ac:dyDescent="0.8">
      <c r="A99" s="35" t="s">
        <v>307</v>
      </c>
      <c r="B99" s="40">
        <v>23</v>
      </c>
      <c r="C99" s="40"/>
      <c r="D99" s="40"/>
      <c r="E99" s="40"/>
      <c r="F99" s="40"/>
      <c r="G99" s="40"/>
      <c r="H99" s="40"/>
      <c r="I99" s="40"/>
      <c r="J99" s="40"/>
      <c r="K99" s="40"/>
      <c r="L99" s="90"/>
      <c r="M99" s="91"/>
      <c r="N99" s="91"/>
      <c r="O99" s="91"/>
      <c r="P99" s="91"/>
      <c r="Q99" s="91"/>
      <c r="R99" s="90"/>
      <c r="S99" s="91"/>
      <c r="T99" s="91"/>
      <c r="U99" s="91"/>
      <c r="V99" s="91"/>
      <c r="W99" s="91"/>
      <c r="X99" s="91"/>
      <c r="Y99" s="91"/>
      <c r="Z99" s="91"/>
      <c r="AA99" s="91"/>
      <c r="AB99" s="91"/>
      <c r="AC99" s="91"/>
      <c r="AD99" s="91"/>
      <c r="AE99" s="91"/>
      <c r="AF99" s="91"/>
      <c r="AG99" s="91"/>
      <c r="AH99" s="110">
        <f>AH33/B46</f>
        <v>0.11944502228052935</v>
      </c>
      <c r="AI99" s="110">
        <f t="shared" ref="AI99:BR99" si="51">AH99</f>
        <v>0.11944502228052935</v>
      </c>
      <c r="AJ99" s="110">
        <f t="shared" si="51"/>
        <v>0.11944502228052935</v>
      </c>
      <c r="AK99" s="110">
        <f t="shared" si="51"/>
        <v>0.11944502228052935</v>
      </c>
      <c r="AL99" s="110">
        <f t="shared" si="51"/>
        <v>0.11944502228052935</v>
      </c>
      <c r="AM99" s="110">
        <f t="shared" si="51"/>
        <v>0.11944502228052935</v>
      </c>
      <c r="AN99" s="110">
        <f t="shared" si="51"/>
        <v>0.11944502228052935</v>
      </c>
      <c r="AO99" s="110">
        <f t="shared" si="51"/>
        <v>0.11944502228052935</v>
      </c>
      <c r="AP99" s="110">
        <f t="shared" si="51"/>
        <v>0.11944502228052935</v>
      </c>
      <c r="AQ99" s="110">
        <f t="shared" si="51"/>
        <v>0.11944502228052935</v>
      </c>
      <c r="AR99" s="110">
        <f t="shared" si="51"/>
        <v>0.11944502228052935</v>
      </c>
      <c r="AS99" s="92">
        <f t="shared" si="51"/>
        <v>0.11944502228052935</v>
      </c>
      <c r="AT99" s="107">
        <f t="shared" si="51"/>
        <v>0.11944502228052935</v>
      </c>
      <c r="AU99" s="107">
        <f t="shared" si="51"/>
        <v>0.11944502228052935</v>
      </c>
      <c r="AV99" s="107">
        <f t="shared" si="51"/>
        <v>0.11944502228052935</v>
      </c>
      <c r="AW99" s="107">
        <f t="shared" si="51"/>
        <v>0.11944502228052935</v>
      </c>
      <c r="AX99" s="107">
        <f t="shared" si="51"/>
        <v>0.11944502228052935</v>
      </c>
      <c r="AY99" s="107">
        <f t="shared" si="51"/>
        <v>0.11944502228052935</v>
      </c>
      <c r="AZ99" s="107">
        <f t="shared" si="51"/>
        <v>0.11944502228052935</v>
      </c>
      <c r="BA99" s="107">
        <f t="shared" si="51"/>
        <v>0.11944502228052935</v>
      </c>
      <c r="BB99" s="107">
        <f t="shared" si="51"/>
        <v>0.11944502228052935</v>
      </c>
      <c r="BC99" s="107">
        <f t="shared" si="51"/>
        <v>0.11944502228052935</v>
      </c>
      <c r="BD99" s="107">
        <f t="shared" si="51"/>
        <v>0.11944502228052935</v>
      </c>
      <c r="BE99" s="107">
        <f t="shared" si="51"/>
        <v>0.11944502228052935</v>
      </c>
      <c r="BF99" s="107">
        <f t="shared" si="51"/>
        <v>0.11944502228052935</v>
      </c>
      <c r="BG99" s="107">
        <f t="shared" si="51"/>
        <v>0.11944502228052935</v>
      </c>
      <c r="BH99" s="107">
        <f t="shared" si="51"/>
        <v>0.11944502228052935</v>
      </c>
      <c r="BI99" s="107">
        <f t="shared" si="51"/>
        <v>0.11944502228052935</v>
      </c>
      <c r="BJ99" s="107">
        <f t="shared" si="51"/>
        <v>0.11944502228052935</v>
      </c>
      <c r="BK99" s="107">
        <f t="shared" si="51"/>
        <v>0.11944502228052935</v>
      </c>
      <c r="BL99" s="107">
        <f t="shared" si="51"/>
        <v>0.11944502228052935</v>
      </c>
      <c r="BM99" s="107">
        <f t="shared" si="51"/>
        <v>0.11944502228052935</v>
      </c>
      <c r="BN99" s="107">
        <f t="shared" si="51"/>
        <v>0.11944502228052935</v>
      </c>
      <c r="BO99" s="107">
        <f t="shared" si="51"/>
        <v>0.11944502228052935</v>
      </c>
      <c r="BP99" s="107">
        <f t="shared" si="51"/>
        <v>0.11944502228052935</v>
      </c>
      <c r="BQ99" s="107">
        <f t="shared" si="51"/>
        <v>0.11944502228052935</v>
      </c>
      <c r="BR99" s="107">
        <f t="shared" si="51"/>
        <v>0.11944502228052935</v>
      </c>
      <c r="BS99" s="108"/>
      <c r="BT99" s="108"/>
      <c r="BU99" s="108"/>
      <c r="BV99" s="108"/>
      <c r="BW99" s="108"/>
      <c r="BX99" s="108"/>
      <c r="BY99" s="108"/>
      <c r="BZ99" s="108"/>
      <c r="CA99" s="108"/>
      <c r="CB99" s="108"/>
      <c r="CC99" s="108"/>
    </row>
    <row r="100" spans="1:81" x14ac:dyDescent="0.8">
      <c r="A100" s="35" t="s">
        <v>307</v>
      </c>
      <c r="B100" s="40">
        <v>24</v>
      </c>
      <c r="C100" s="40"/>
      <c r="D100" s="40"/>
      <c r="E100" s="40"/>
      <c r="F100" s="40"/>
      <c r="G100" s="40"/>
      <c r="H100" s="40"/>
      <c r="I100" s="40"/>
      <c r="J100" s="40"/>
      <c r="K100" s="40"/>
      <c r="L100" s="90"/>
      <c r="M100" s="91"/>
      <c r="N100" s="91"/>
      <c r="O100" s="91"/>
      <c r="P100" s="91"/>
      <c r="Q100" s="91"/>
      <c r="R100" s="90"/>
      <c r="S100" s="91"/>
      <c r="T100" s="91"/>
      <c r="U100" s="91"/>
      <c r="V100" s="91"/>
      <c r="W100" s="91"/>
      <c r="X100" s="91"/>
      <c r="Y100" s="91"/>
      <c r="Z100" s="91"/>
      <c r="AA100" s="91"/>
      <c r="AB100" s="91"/>
      <c r="AC100" s="91"/>
      <c r="AD100" s="91"/>
      <c r="AE100" s="91"/>
      <c r="AF100" s="91"/>
      <c r="AG100" s="91"/>
      <c r="AH100" s="91"/>
      <c r="AI100" s="110">
        <f>AI33/B46</f>
        <v>0.11945159175642452</v>
      </c>
      <c r="AJ100" s="110">
        <f t="shared" ref="AJ100:BS100" si="52">AI100</f>
        <v>0.11945159175642452</v>
      </c>
      <c r="AK100" s="110">
        <f t="shared" si="52"/>
        <v>0.11945159175642452</v>
      </c>
      <c r="AL100" s="110">
        <f t="shared" si="52"/>
        <v>0.11945159175642452</v>
      </c>
      <c r="AM100" s="110">
        <f t="shared" si="52"/>
        <v>0.11945159175642452</v>
      </c>
      <c r="AN100" s="110">
        <f t="shared" si="52"/>
        <v>0.11945159175642452</v>
      </c>
      <c r="AO100" s="110">
        <f t="shared" si="52"/>
        <v>0.11945159175642452</v>
      </c>
      <c r="AP100" s="110">
        <f t="shared" si="52"/>
        <v>0.11945159175642452</v>
      </c>
      <c r="AQ100" s="110">
        <f t="shared" si="52"/>
        <v>0.11945159175642452</v>
      </c>
      <c r="AR100" s="110">
        <f t="shared" si="52"/>
        <v>0.11945159175642452</v>
      </c>
      <c r="AS100" s="92">
        <f t="shared" si="52"/>
        <v>0.11945159175642452</v>
      </c>
      <c r="AT100" s="107">
        <f t="shared" si="52"/>
        <v>0.11945159175642452</v>
      </c>
      <c r="AU100" s="107">
        <f t="shared" si="52"/>
        <v>0.11945159175642452</v>
      </c>
      <c r="AV100" s="107">
        <f t="shared" si="52"/>
        <v>0.11945159175642452</v>
      </c>
      <c r="AW100" s="107">
        <f t="shared" si="52"/>
        <v>0.11945159175642452</v>
      </c>
      <c r="AX100" s="107">
        <f t="shared" si="52"/>
        <v>0.11945159175642452</v>
      </c>
      <c r="AY100" s="107">
        <f t="shared" si="52"/>
        <v>0.11945159175642452</v>
      </c>
      <c r="AZ100" s="107">
        <f t="shared" si="52"/>
        <v>0.11945159175642452</v>
      </c>
      <c r="BA100" s="107">
        <f t="shared" si="52"/>
        <v>0.11945159175642452</v>
      </c>
      <c r="BB100" s="107">
        <f t="shared" si="52"/>
        <v>0.11945159175642452</v>
      </c>
      <c r="BC100" s="107">
        <f t="shared" si="52"/>
        <v>0.11945159175642452</v>
      </c>
      <c r="BD100" s="107">
        <f t="shared" si="52"/>
        <v>0.11945159175642452</v>
      </c>
      <c r="BE100" s="107">
        <f t="shared" si="52"/>
        <v>0.11945159175642452</v>
      </c>
      <c r="BF100" s="107">
        <f t="shared" si="52"/>
        <v>0.11945159175642452</v>
      </c>
      <c r="BG100" s="107">
        <f t="shared" si="52"/>
        <v>0.11945159175642452</v>
      </c>
      <c r="BH100" s="107">
        <f t="shared" si="52"/>
        <v>0.11945159175642452</v>
      </c>
      <c r="BI100" s="107">
        <f t="shared" si="52"/>
        <v>0.11945159175642452</v>
      </c>
      <c r="BJ100" s="107">
        <f t="shared" si="52"/>
        <v>0.11945159175642452</v>
      </c>
      <c r="BK100" s="107">
        <f t="shared" si="52"/>
        <v>0.11945159175642452</v>
      </c>
      <c r="BL100" s="107">
        <f t="shared" si="52"/>
        <v>0.11945159175642452</v>
      </c>
      <c r="BM100" s="107">
        <f t="shared" si="52"/>
        <v>0.11945159175642452</v>
      </c>
      <c r="BN100" s="107">
        <f t="shared" si="52"/>
        <v>0.11945159175642452</v>
      </c>
      <c r="BO100" s="107">
        <f t="shared" si="52"/>
        <v>0.11945159175642452</v>
      </c>
      <c r="BP100" s="107">
        <f t="shared" si="52"/>
        <v>0.11945159175642452</v>
      </c>
      <c r="BQ100" s="107">
        <f t="shared" si="52"/>
        <v>0.11945159175642452</v>
      </c>
      <c r="BR100" s="107">
        <f t="shared" si="52"/>
        <v>0.11945159175642452</v>
      </c>
      <c r="BS100" s="107">
        <f t="shared" si="52"/>
        <v>0.11945159175642452</v>
      </c>
      <c r="BT100" s="108"/>
      <c r="BU100" s="108"/>
      <c r="BV100" s="108"/>
      <c r="BW100" s="108"/>
      <c r="BX100" s="108"/>
      <c r="BY100" s="108"/>
      <c r="BZ100" s="108"/>
      <c r="CA100" s="108"/>
      <c r="CB100" s="108"/>
      <c r="CC100" s="108"/>
    </row>
    <row r="101" spans="1:81" x14ac:dyDescent="0.8">
      <c r="A101" s="35" t="s">
        <v>307</v>
      </c>
      <c r="B101" s="40">
        <v>25</v>
      </c>
      <c r="C101" s="40"/>
      <c r="D101" s="40"/>
      <c r="E101" s="40"/>
      <c r="F101" s="40"/>
      <c r="G101" s="40"/>
      <c r="H101" s="40"/>
      <c r="I101" s="40"/>
      <c r="J101" s="40"/>
      <c r="K101" s="40"/>
      <c r="L101" s="90"/>
      <c r="M101" s="91"/>
      <c r="N101" s="91"/>
      <c r="O101" s="91"/>
      <c r="P101" s="91"/>
      <c r="Q101" s="91"/>
      <c r="R101" s="90"/>
      <c r="S101" s="91"/>
      <c r="T101" s="91"/>
      <c r="U101" s="91"/>
      <c r="V101" s="91"/>
      <c r="W101" s="91"/>
      <c r="X101" s="91"/>
      <c r="Y101" s="91"/>
      <c r="Z101" s="91"/>
      <c r="AA101" s="91"/>
      <c r="AB101" s="91"/>
      <c r="AC101" s="91"/>
      <c r="AD101" s="91"/>
      <c r="AE101" s="91"/>
      <c r="AF101" s="91"/>
      <c r="AG101" s="91"/>
      <c r="AH101" s="91"/>
      <c r="AI101" s="91"/>
      <c r="AJ101" s="110">
        <f>AJ33/B46</f>
        <v>0.1194581615941511</v>
      </c>
      <c r="AK101" s="110">
        <f t="shared" ref="AK101:BT101" si="53">AJ101</f>
        <v>0.1194581615941511</v>
      </c>
      <c r="AL101" s="110">
        <f t="shared" si="53"/>
        <v>0.1194581615941511</v>
      </c>
      <c r="AM101" s="110">
        <f t="shared" si="53"/>
        <v>0.1194581615941511</v>
      </c>
      <c r="AN101" s="110">
        <f t="shared" si="53"/>
        <v>0.1194581615941511</v>
      </c>
      <c r="AO101" s="110">
        <f t="shared" si="53"/>
        <v>0.1194581615941511</v>
      </c>
      <c r="AP101" s="110">
        <f t="shared" si="53"/>
        <v>0.1194581615941511</v>
      </c>
      <c r="AQ101" s="110">
        <f t="shared" si="53"/>
        <v>0.1194581615941511</v>
      </c>
      <c r="AR101" s="110">
        <f t="shared" si="53"/>
        <v>0.1194581615941511</v>
      </c>
      <c r="AS101" s="92">
        <f t="shared" si="53"/>
        <v>0.1194581615941511</v>
      </c>
      <c r="AT101" s="107">
        <f t="shared" si="53"/>
        <v>0.1194581615941511</v>
      </c>
      <c r="AU101" s="107">
        <f t="shared" si="53"/>
        <v>0.1194581615941511</v>
      </c>
      <c r="AV101" s="107">
        <f t="shared" si="53"/>
        <v>0.1194581615941511</v>
      </c>
      <c r="AW101" s="107">
        <f t="shared" si="53"/>
        <v>0.1194581615941511</v>
      </c>
      <c r="AX101" s="107">
        <f t="shared" si="53"/>
        <v>0.1194581615941511</v>
      </c>
      <c r="AY101" s="107">
        <f t="shared" si="53"/>
        <v>0.1194581615941511</v>
      </c>
      <c r="AZ101" s="107">
        <f t="shared" si="53"/>
        <v>0.1194581615941511</v>
      </c>
      <c r="BA101" s="107">
        <f t="shared" si="53"/>
        <v>0.1194581615941511</v>
      </c>
      <c r="BB101" s="107">
        <f t="shared" si="53"/>
        <v>0.1194581615941511</v>
      </c>
      <c r="BC101" s="107">
        <f t="shared" si="53"/>
        <v>0.1194581615941511</v>
      </c>
      <c r="BD101" s="107">
        <f t="shared" si="53"/>
        <v>0.1194581615941511</v>
      </c>
      <c r="BE101" s="107">
        <f t="shared" si="53"/>
        <v>0.1194581615941511</v>
      </c>
      <c r="BF101" s="107">
        <f t="shared" si="53"/>
        <v>0.1194581615941511</v>
      </c>
      <c r="BG101" s="107">
        <f t="shared" si="53"/>
        <v>0.1194581615941511</v>
      </c>
      <c r="BH101" s="107">
        <f t="shared" si="53"/>
        <v>0.1194581615941511</v>
      </c>
      <c r="BI101" s="107">
        <f t="shared" si="53"/>
        <v>0.1194581615941511</v>
      </c>
      <c r="BJ101" s="107">
        <f t="shared" si="53"/>
        <v>0.1194581615941511</v>
      </c>
      <c r="BK101" s="107">
        <f t="shared" si="53"/>
        <v>0.1194581615941511</v>
      </c>
      <c r="BL101" s="107">
        <f t="shared" si="53"/>
        <v>0.1194581615941511</v>
      </c>
      <c r="BM101" s="107">
        <f t="shared" si="53"/>
        <v>0.1194581615941511</v>
      </c>
      <c r="BN101" s="107">
        <f t="shared" si="53"/>
        <v>0.1194581615941511</v>
      </c>
      <c r="BO101" s="107">
        <f t="shared" si="53"/>
        <v>0.1194581615941511</v>
      </c>
      <c r="BP101" s="107">
        <f t="shared" si="53"/>
        <v>0.1194581615941511</v>
      </c>
      <c r="BQ101" s="107">
        <f t="shared" si="53"/>
        <v>0.1194581615941511</v>
      </c>
      <c r="BR101" s="107">
        <f t="shared" si="53"/>
        <v>0.1194581615941511</v>
      </c>
      <c r="BS101" s="107">
        <f t="shared" si="53"/>
        <v>0.1194581615941511</v>
      </c>
      <c r="BT101" s="107">
        <f t="shared" si="53"/>
        <v>0.1194581615941511</v>
      </c>
      <c r="BU101" s="108"/>
      <c r="BV101" s="108"/>
      <c r="BW101" s="108"/>
      <c r="BX101" s="108"/>
      <c r="BY101" s="108"/>
      <c r="BZ101" s="108"/>
      <c r="CA101" s="108"/>
      <c r="CB101" s="108"/>
      <c r="CC101" s="108"/>
    </row>
    <row r="102" spans="1:81" x14ac:dyDescent="0.8">
      <c r="A102" s="35" t="s">
        <v>307</v>
      </c>
      <c r="B102" s="40">
        <v>26</v>
      </c>
      <c r="C102" s="40"/>
      <c r="D102" s="40"/>
      <c r="E102" s="40"/>
      <c r="F102" s="40"/>
      <c r="G102" s="40"/>
      <c r="H102" s="40"/>
      <c r="I102" s="40"/>
      <c r="J102" s="40"/>
      <c r="K102" s="40"/>
      <c r="L102" s="90"/>
      <c r="M102" s="91"/>
      <c r="N102" s="91"/>
      <c r="O102" s="91"/>
      <c r="P102" s="91"/>
      <c r="Q102" s="91"/>
      <c r="R102" s="90"/>
      <c r="S102" s="91"/>
      <c r="T102" s="91"/>
      <c r="U102" s="91"/>
      <c r="V102" s="91"/>
      <c r="W102" s="91"/>
      <c r="X102" s="91"/>
      <c r="Y102" s="91"/>
      <c r="Z102" s="91"/>
      <c r="AA102" s="91"/>
      <c r="AB102" s="91"/>
      <c r="AC102" s="91"/>
      <c r="AD102" s="91"/>
      <c r="AE102" s="91"/>
      <c r="AF102" s="91"/>
      <c r="AG102" s="91"/>
      <c r="AH102" s="91"/>
      <c r="AI102" s="91"/>
      <c r="AJ102" s="91"/>
      <c r="AK102" s="110">
        <f>AK33/B46</f>
        <v>0.11946473179292248</v>
      </c>
      <c r="AL102" s="110">
        <f t="shared" ref="AL102:BU102" si="54">AK102</f>
        <v>0.11946473179292248</v>
      </c>
      <c r="AM102" s="110">
        <f t="shared" si="54"/>
        <v>0.11946473179292248</v>
      </c>
      <c r="AN102" s="110">
        <f t="shared" si="54"/>
        <v>0.11946473179292248</v>
      </c>
      <c r="AO102" s="110">
        <f t="shared" si="54"/>
        <v>0.11946473179292248</v>
      </c>
      <c r="AP102" s="110">
        <f t="shared" si="54"/>
        <v>0.11946473179292248</v>
      </c>
      <c r="AQ102" s="110">
        <f t="shared" si="54"/>
        <v>0.11946473179292248</v>
      </c>
      <c r="AR102" s="110">
        <f t="shared" si="54"/>
        <v>0.11946473179292248</v>
      </c>
      <c r="AS102" s="92">
        <f t="shared" si="54"/>
        <v>0.11946473179292248</v>
      </c>
      <c r="AT102" s="107">
        <f t="shared" si="54"/>
        <v>0.11946473179292248</v>
      </c>
      <c r="AU102" s="107">
        <f t="shared" si="54"/>
        <v>0.11946473179292248</v>
      </c>
      <c r="AV102" s="107">
        <f t="shared" si="54"/>
        <v>0.11946473179292248</v>
      </c>
      <c r="AW102" s="107">
        <f t="shared" si="54"/>
        <v>0.11946473179292248</v>
      </c>
      <c r="AX102" s="107">
        <f t="shared" si="54"/>
        <v>0.11946473179292248</v>
      </c>
      <c r="AY102" s="107">
        <f t="shared" si="54"/>
        <v>0.11946473179292248</v>
      </c>
      <c r="AZ102" s="107">
        <f t="shared" si="54"/>
        <v>0.11946473179292248</v>
      </c>
      <c r="BA102" s="107">
        <f t="shared" si="54"/>
        <v>0.11946473179292248</v>
      </c>
      <c r="BB102" s="107">
        <f t="shared" si="54"/>
        <v>0.11946473179292248</v>
      </c>
      <c r="BC102" s="107">
        <f t="shared" si="54"/>
        <v>0.11946473179292248</v>
      </c>
      <c r="BD102" s="107">
        <f t="shared" si="54"/>
        <v>0.11946473179292248</v>
      </c>
      <c r="BE102" s="107">
        <f t="shared" si="54"/>
        <v>0.11946473179292248</v>
      </c>
      <c r="BF102" s="107">
        <f t="shared" si="54"/>
        <v>0.11946473179292248</v>
      </c>
      <c r="BG102" s="107">
        <f t="shared" si="54"/>
        <v>0.11946473179292248</v>
      </c>
      <c r="BH102" s="107">
        <f t="shared" si="54"/>
        <v>0.11946473179292248</v>
      </c>
      <c r="BI102" s="107">
        <f t="shared" si="54"/>
        <v>0.11946473179292248</v>
      </c>
      <c r="BJ102" s="107">
        <f t="shared" si="54"/>
        <v>0.11946473179292248</v>
      </c>
      <c r="BK102" s="107">
        <f t="shared" si="54"/>
        <v>0.11946473179292248</v>
      </c>
      <c r="BL102" s="107">
        <f t="shared" si="54"/>
        <v>0.11946473179292248</v>
      </c>
      <c r="BM102" s="107">
        <f t="shared" si="54"/>
        <v>0.11946473179292248</v>
      </c>
      <c r="BN102" s="107">
        <f t="shared" si="54"/>
        <v>0.11946473179292248</v>
      </c>
      <c r="BO102" s="107">
        <f t="shared" si="54"/>
        <v>0.11946473179292248</v>
      </c>
      <c r="BP102" s="107">
        <f t="shared" si="54"/>
        <v>0.11946473179292248</v>
      </c>
      <c r="BQ102" s="107">
        <f t="shared" si="54"/>
        <v>0.11946473179292248</v>
      </c>
      <c r="BR102" s="107">
        <f t="shared" si="54"/>
        <v>0.11946473179292248</v>
      </c>
      <c r="BS102" s="107">
        <f t="shared" si="54"/>
        <v>0.11946473179292248</v>
      </c>
      <c r="BT102" s="107">
        <f t="shared" si="54"/>
        <v>0.11946473179292248</v>
      </c>
      <c r="BU102" s="107">
        <f t="shared" si="54"/>
        <v>0.11946473179292248</v>
      </c>
      <c r="BV102" s="108"/>
      <c r="BW102" s="108"/>
      <c r="BX102" s="108"/>
      <c r="BY102" s="108"/>
      <c r="BZ102" s="108"/>
      <c r="CA102" s="108"/>
      <c r="CB102" s="108"/>
      <c r="CC102" s="108"/>
    </row>
    <row r="103" spans="1:81" x14ac:dyDescent="0.8">
      <c r="A103" s="35" t="s">
        <v>307</v>
      </c>
      <c r="B103" s="40">
        <v>27</v>
      </c>
      <c r="C103" s="40"/>
      <c r="D103" s="40"/>
      <c r="E103" s="40"/>
      <c r="F103" s="40"/>
      <c r="G103" s="40"/>
      <c r="H103" s="40"/>
      <c r="I103" s="40"/>
      <c r="J103" s="40"/>
      <c r="K103" s="40"/>
      <c r="L103" s="90"/>
      <c r="M103" s="91"/>
      <c r="N103" s="91"/>
      <c r="O103" s="91"/>
      <c r="P103" s="91"/>
      <c r="Q103" s="91"/>
      <c r="R103" s="90"/>
      <c r="S103" s="91"/>
      <c r="T103" s="91"/>
      <c r="U103" s="91"/>
      <c r="V103" s="91"/>
      <c r="W103" s="91"/>
      <c r="X103" s="91"/>
      <c r="Y103" s="91"/>
      <c r="Z103" s="91"/>
      <c r="AA103" s="91"/>
      <c r="AB103" s="91"/>
      <c r="AC103" s="91"/>
      <c r="AD103" s="91"/>
      <c r="AE103" s="91"/>
      <c r="AF103" s="91"/>
      <c r="AG103" s="91"/>
      <c r="AH103" s="91"/>
      <c r="AI103" s="91"/>
      <c r="AJ103" s="91"/>
      <c r="AK103" s="91"/>
      <c r="AL103" s="110">
        <f>AL33/B46</f>
        <v>0.11947130235313198</v>
      </c>
      <c r="AM103" s="110">
        <f t="shared" ref="AM103:BV103" si="55">AL103</f>
        <v>0.11947130235313198</v>
      </c>
      <c r="AN103" s="110">
        <f t="shared" si="55"/>
        <v>0.11947130235313198</v>
      </c>
      <c r="AO103" s="110">
        <f t="shared" si="55"/>
        <v>0.11947130235313198</v>
      </c>
      <c r="AP103" s="110">
        <f t="shared" si="55"/>
        <v>0.11947130235313198</v>
      </c>
      <c r="AQ103" s="110">
        <f t="shared" si="55"/>
        <v>0.11947130235313198</v>
      </c>
      <c r="AR103" s="110">
        <f t="shared" si="55"/>
        <v>0.11947130235313198</v>
      </c>
      <c r="AS103" s="92">
        <f t="shared" si="55"/>
        <v>0.11947130235313198</v>
      </c>
      <c r="AT103" s="107">
        <f t="shared" si="55"/>
        <v>0.11947130235313198</v>
      </c>
      <c r="AU103" s="107">
        <f t="shared" si="55"/>
        <v>0.11947130235313198</v>
      </c>
      <c r="AV103" s="107">
        <f t="shared" si="55"/>
        <v>0.11947130235313198</v>
      </c>
      <c r="AW103" s="107">
        <f t="shared" si="55"/>
        <v>0.11947130235313198</v>
      </c>
      <c r="AX103" s="107">
        <f t="shared" si="55"/>
        <v>0.11947130235313198</v>
      </c>
      <c r="AY103" s="107">
        <f t="shared" si="55"/>
        <v>0.11947130235313198</v>
      </c>
      <c r="AZ103" s="107">
        <f t="shared" si="55"/>
        <v>0.11947130235313198</v>
      </c>
      <c r="BA103" s="107">
        <f t="shared" si="55"/>
        <v>0.11947130235313198</v>
      </c>
      <c r="BB103" s="107">
        <f t="shared" si="55"/>
        <v>0.11947130235313198</v>
      </c>
      <c r="BC103" s="107">
        <f t="shared" si="55"/>
        <v>0.11947130235313198</v>
      </c>
      <c r="BD103" s="107">
        <f t="shared" si="55"/>
        <v>0.11947130235313198</v>
      </c>
      <c r="BE103" s="107">
        <f t="shared" si="55"/>
        <v>0.11947130235313198</v>
      </c>
      <c r="BF103" s="107">
        <f t="shared" si="55"/>
        <v>0.11947130235313198</v>
      </c>
      <c r="BG103" s="107">
        <f t="shared" si="55"/>
        <v>0.11947130235313198</v>
      </c>
      <c r="BH103" s="107">
        <f t="shared" si="55"/>
        <v>0.11947130235313198</v>
      </c>
      <c r="BI103" s="107">
        <f t="shared" si="55"/>
        <v>0.11947130235313198</v>
      </c>
      <c r="BJ103" s="107">
        <f t="shared" si="55"/>
        <v>0.11947130235313198</v>
      </c>
      <c r="BK103" s="107">
        <f t="shared" si="55"/>
        <v>0.11947130235313198</v>
      </c>
      <c r="BL103" s="107">
        <f t="shared" si="55"/>
        <v>0.11947130235313198</v>
      </c>
      <c r="BM103" s="107">
        <f t="shared" si="55"/>
        <v>0.11947130235313198</v>
      </c>
      <c r="BN103" s="107">
        <f t="shared" si="55"/>
        <v>0.11947130235313198</v>
      </c>
      <c r="BO103" s="107">
        <f t="shared" si="55"/>
        <v>0.11947130235313198</v>
      </c>
      <c r="BP103" s="107">
        <f t="shared" si="55"/>
        <v>0.11947130235313198</v>
      </c>
      <c r="BQ103" s="107">
        <f t="shared" si="55"/>
        <v>0.11947130235313198</v>
      </c>
      <c r="BR103" s="107">
        <f t="shared" si="55"/>
        <v>0.11947130235313198</v>
      </c>
      <c r="BS103" s="107">
        <f t="shared" si="55"/>
        <v>0.11947130235313198</v>
      </c>
      <c r="BT103" s="107">
        <f t="shared" si="55"/>
        <v>0.11947130235313198</v>
      </c>
      <c r="BU103" s="107">
        <f t="shared" si="55"/>
        <v>0.11947130235313198</v>
      </c>
      <c r="BV103" s="107">
        <f t="shared" si="55"/>
        <v>0.11947130235313198</v>
      </c>
      <c r="BW103" s="108"/>
      <c r="BX103" s="108"/>
      <c r="BY103" s="108"/>
      <c r="BZ103" s="108"/>
      <c r="CA103" s="108"/>
      <c r="CB103" s="108"/>
      <c r="CC103" s="108"/>
    </row>
    <row r="104" spans="1:81" x14ac:dyDescent="0.8">
      <c r="A104" s="35" t="s">
        <v>307</v>
      </c>
      <c r="B104" s="40">
        <v>28</v>
      </c>
      <c r="C104" s="40"/>
      <c r="D104" s="40"/>
      <c r="E104" s="40"/>
      <c r="F104" s="40"/>
      <c r="G104" s="40"/>
      <c r="H104" s="40"/>
      <c r="I104" s="40"/>
      <c r="J104" s="40"/>
      <c r="K104" s="40"/>
      <c r="L104" s="90"/>
      <c r="M104" s="91"/>
      <c r="N104" s="91"/>
      <c r="O104" s="91"/>
      <c r="P104" s="91"/>
      <c r="Q104" s="91"/>
      <c r="R104" s="90"/>
      <c r="S104" s="91"/>
      <c r="T104" s="91"/>
      <c r="U104" s="91"/>
      <c r="V104" s="91"/>
      <c r="W104" s="91"/>
      <c r="X104" s="91"/>
      <c r="Y104" s="91"/>
      <c r="Z104" s="91"/>
      <c r="AA104" s="91"/>
      <c r="AB104" s="91"/>
      <c r="AC104" s="91"/>
      <c r="AD104" s="91"/>
      <c r="AE104" s="91"/>
      <c r="AF104" s="91"/>
      <c r="AG104" s="91"/>
      <c r="AH104" s="91"/>
      <c r="AI104" s="91"/>
      <c r="AJ104" s="91"/>
      <c r="AK104" s="91"/>
      <c r="AL104" s="91"/>
      <c r="AM104" s="110">
        <f>AM33/B46</f>
        <v>0.1194778732747796</v>
      </c>
      <c r="AN104" s="110">
        <f t="shared" ref="AN104:BW104" si="56">AM104</f>
        <v>0.1194778732747796</v>
      </c>
      <c r="AO104" s="110">
        <f t="shared" si="56"/>
        <v>0.1194778732747796</v>
      </c>
      <c r="AP104" s="110">
        <f t="shared" si="56"/>
        <v>0.1194778732747796</v>
      </c>
      <c r="AQ104" s="110">
        <f t="shared" si="56"/>
        <v>0.1194778732747796</v>
      </c>
      <c r="AR104" s="110">
        <f t="shared" si="56"/>
        <v>0.1194778732747796</v>
      </c>
      <c r="AS104" s="92">
        <f t="shared" si="56"/>
        <v>0.1194778732747796</v>
      </c>
      <c r="AT104" s="107">
        <f t="shared" si="56"/>
        <v>0.1194778732747796</v>
      </c>
      <c r="AU104" s="107">
        <f t="shared" si="56"/>
        <v>0.1194778732747796</v>
      </c>
      <c r="AV104" s="107">
        <f t="shared" si="56"/>
        <v>0.1194778732747796</v>
      </c>
      <c r="AW104" s="107">
        <f t="shared" si="56"/>
        <v>0.1194778732747796</v>
      </c>
      <c r="AX104" s="107">
        <f t="shared" si="56"/>
        <v>0.1194778732747796</v>
      </c>
      <c r="AY104" s="107">
        <f t="shared" si="56"/>
        <v>0.1194778732747796</v>
      </c>
      <c r="AZ104" s="107">
        <f t="shared" si="56"/>
        <v>0.1194778732747796</v>
      </c>
      <c r="BA104" s="107">
        <f t="shared" si="56"/>
        <v>0.1194778732747796</v>
      </c>
      <c r="BB104" s="107">
        <f t="shared" si="56"/>
        <v>0.1194778732747796</v>
      </c>
      <c r="BC104" s="107">
        <f t="shared" si="56"/>
        <v>0.1194778732747796</v>
      </c>
      <c r="BD104" s="107">
        <f t="shared" si="56"/>
        <v>0.1194778732747796</v>
      </c>
      <c r="BE104" s="107">
        <f t="shared" si="56"/>
        <v>0.1194778732747796</v>
      </c>
      <c r="BF104" s="107">
        <f t="shared" si="56"/>
        <v>0.1194778732747796</v>
      </c>
      <c r="BG104" s="107">
        <f t="shared" si="56"/>
        <v>0.1194778732747796</v>
      </c>
      <c r="BH104" s="107">
        <f t="shared" si="56"/>
        <v>0.1194778732747796</v>
      </c>
      <c r="BI104" s="107">
        <f t="shared" si="56"/>
        <v>0.1194778732747796</v>
      </c>
      <c r="BJ104" s="107">
        <f t="shared" si="56"/>
        <v>0.1194778732747796</v>
      </c>
      <c r="BK104" s="107">
        <f t="shared" si="56"/>
        <v>0.1194778732747796</v>
      </c>
      <c r="BL104" s="107">
        <f t="shared" si="56"/>
        <v>0.1194778732747796</v>
      </c>
      <c r="BM104" s="107">
        <f t="shared" si="56"/>
        <v>0.1194778732747796</v>
      </c>
      <c r="BN104" s="107">
        <f t="shared" si="56"/>
        <v>0.1194778732747796</v>
      </c>
      <c r="BO104" s="107">
        <f t="shared" si="56"/>
        <v>0.1194778732747796</v>
      </c>
      <c r="BP104" s="107">
        <f t="shared" si="56"/>
        <v>0.1194778732747796</v>
      </c>
      <c r="BQ104" s="107">
        <f t="shared" si="56"/>
        <v>0.1194778732747796</v>
      </c>
      <c r="BR104" s="107">
        <f t="shared" si="56"/>
        <v>0.1194778732747796</v>
      </c>
      <c r="BS104" s="107">
        <f t="shared" si="56"/>
        <v>0.1194778732747796</v>
      </c>
      <c r="BT104" s="107">
        <f t="shared" si="56"/>
        <v>0.1194778732747796</v>
      </c>
      <c r="BU104" s="107">
        <f t="shared" si="56"/>
        <v>0.1194778732747796</v>
      </c>
      <c r="BV104" s="107">
        <f t="shared" si="56"/>
        <v>0.1194778732747796</v>
      </c>
      <c r="BW104" s="107">
        <f t="shared" si="56"/>
        <v>0.1194778732747796</v>
      </c>
      <c r="BX104" s="108"/>
      <c r="BY104" s="108"/>
      <c r="BZ104" s="108"/>
      <c r="CA104" s="108"/>
      <c r="CB104" s="108"/>
      <c r="CC104" s="108"/>
    </row>
    <row r="105" spans="1:81" x14ac:dyDescent="0.8">
      <c r="A105" s="35" t="s">
        <v>307</v>
      </c>
      <c r="B105" s="40">
        <v>29</v>
      </c>
      <c r="C105" s="40"/>
      <c r="D105" s="40"/>
      <c r="E105" s="40"/>
      <c r="F105" s="40"/>
      <c r="G105" s="40"/>
      <c r="H105" s="40"/>
      <c r="I105" s="40"/>
      <c r="J105" s="40"/>
      <c r="K105" s="40"/>
      <c r="L105" s="90"/>
      <c r="M105" s="91"/>
      <c r="N105" s="91"/>
      <c r="O105" s="91"/>
      <c r="P105" s="91"/>
      <c r="Q105" s="91"/>
      <c r="R105" s="90"/>
      <c r="S105" s="91"/>
      <c r="T105" s="91"/>
      <c r="U105" s="91"/>
      <c r="V105" s="91"/>
      <c r="W105" s="91"/>
      <c r="X105" s="91"/>
      <c r="Y105" s="91"/>
      <c r="Z105" s="91"/>
      <c r="AA105" s="91"/>
      <c r="AB105" s="91"/>
      <c r="AC105" s="91"/>
      <c r="AD105" s="91"/>
      <c r="AE105" s="91"/>
      <c r="AF105" s="91"/>
      <c r="AG105" s="91"/>
      <c r="AH105" s="91"/>
      <c r="AI105" s="91"/>
      <c r="AJ105" s="91"/>
      <c r="AK105" s="91"/>
      <c r="AL105" s="91"/>
      <c r="AM105" s="91"/>
      <c r="AN105" s="110">
        <f>AN33/B46</f>
        <v>0.11948444455825862</v>
      </c>
      <c r="AO105" s="110">
        <f t="shared" ref="AO105:BX105" si="57">AN105</f>
        <v>0.11948444455825862</v>
      </c>
      <c r="AP105" s="110">
        <f t="shared" si="57"/>
        <v>0.11948444455825862</v>
      </c>
      <c r="AQ105" s="110">
        <f t="shared" si="57"/>
        <v>0.11948444455825862</v>
      </c>
      <c r="AR105" s="110">
        <f t="shared" si="57"/>
        <v>0.11948444455825862</v>
      </c>
      <c r="AS105" s="92">
        <f t="shared" si="57"/>
        <v>0.11948444455825862</v>
      </c>
      <c r="AT105" s="107">
        <f t="shared" si="57"/>
        <v>0.11948444455825862</v>
      </c>
      <c r="AU105" s="107">
        <f t="shared" si="57"/>
        <v>0.11948444455825862</v>
      </c>
      <c r="AV105" s="107">
        <f t="shared" si="57"/>
        <v>0.11948444455825862</v>
      </c>
      <c r="AW105" s="107">
        <f t="shared" si="57"/>
        <v>0.11948444455825862</v>
      </c>
      <c r="AX105" s="107">
        <f t="shared" si="57"/>
        <v>0.11948444455825862</v>
      </c>
      <c r="AY105" s="107">
        <f t="shared" si="57"/>
        <v>0.11948444455825862</v>
      </c>
      <c r="AZ105" s="107">
        <f t="shared" si="57"/>
        <v>0.11948444455825862</v>
      </c>
      <c r="BA105" s="107">
        <f t="shared" si="57"/>
        <v>0.11948444455825862</v>
      </c>
      <c r="BB105" s="107">
        <f t="shared" si="57"/>
        <v>0.11948444455825862</v>
      </c>
      <c r="BC105" s="107">
        <f t="shared" si="57"/>
        <v>0.11948444455825862</v>
      </c>
      <c r="BD105" s="107">
        <f t="shared" si="57"/>
        <v>0.11948444455825862</v>
      </c>
      <c r="BE105" s="107">
        <f t="shared" si="57"/>
        <v>0.11948444455825862</v>
      </c>
      <c r="BF105" s="107">
        <f t="shared" si="57"/>
        <v>0.11948444455825862</v>
      </c>
      <c r="BG105" s="107">
        <f t="shared" si="57"/>
        <v>0.11948444455825862</v>
      </c>
      <c r="BH105" s="107">
        <f t="shared" si="57"/>
        <v>0.11948444455825862</v>
      </c>
      <c r="BI105" s="107">
        <f t="shared" si="57"/>
        <v>0.11948444455825862</v>
      </c>
      <c r="BJ105" s="107">
        <f t="shared" si="57"/>
        <v>0.11948444455825862</v>
      </c>
      <c r="BK105" s="107">
        <f t="shared" si="57"/>
        <v>0.11948444455825862</v>
      </c>
      <c r="BL105" s="107">
        <f t="shared" si="57"/>
        <v>0.11948444455825862</v>
      </c>
      <c r="BM105" s="107">
        <f t="shared" si="57"/>
        <v>0.11948444455825862</v>
      </c>
      <c r="BN105" s="107">
        <f t="shared" si="57"/>
        <v>0.11948444455825862</v>
      </c>
      <c r="BO105" s="107">
        <f t="shared" si="57"/>
        <v>0.11948444455825862</v>
      </c>
      <c r="BP105" s="107">
        <f t="shared" si="57"/>
        <v>0.11948444455825862</v>
      </c>
      <c r="BQ105" s="107">
        <f t="shared" si="57"/>
        <v>0.11948444455825862</v>
      </c>
      <c r="BR105" s="107">
        <f t="shared" si="57"/>
        <v>0.11948444455825862</v>
      </c>
      <c r="BS105" s="107">
        <f t="shared" si="57"/>
        <v>0.11948444455825862</v>
      </c>
      <c r="BT105" s="107">
        <f t="shared" si="57"/>
        <v>0.11948444455825862</v>
      </c>
      <c r="BU105" s="107">
        <f t="shared" si="57"/>
        <v>0.11948444455825862</v>
      </c>
      <c r="BV105" s="107">
        <f t="shared" si="57"/>
        <v>0.11948444455825862</v>
      </c>
      <c r="BW105" s="107">
        <f t="shared" si="57"/>
        <v>0.11948444455825862</v>
      </c>
      <c r="BX105" s="107">
        <f t="shared" si="57"/>
        <v>0.11948444455825862</v>
      </c>
      <c r="BY105" s="108"/>
      <c r="BZ105" s="108"/>
      <c r="CA105" s="108"/>
      <c r="CB105" s="108"/>
      <c r="CC105" s="108"/>
    </row>
    <row r="106" spans="1:81" x14ac:dyDescent="0.8">
      <c r="A106" s="35" t="s">
        <v>307</v>
      </c>
      <c r="B106" s="40">
        <v>30</v>
      </c>
      <c r="C106" s="40"/>
      <c r="D106" s="40"/>
      <c r="E106" s="40"/>
      <c r="F106" s="40"/>
      <c r="G106" s="40"/>
      <c r="H106" s="40"/>
      <c r="I106" s="40"/>
      <c r="J106" s="40"/>
      <c r="K106" s="40"/>
      <c r="L106" s="90"/>
      <c r="M106" s="91"/>
      <c r="N106" s="91"/>
      <c r="O106" s="91"/>
      <c r="P106" s="91"/>
      <c r="Q106" s="91"/>
      <c r="R106" s="90"/>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110">
        <f>AO33/B46</f>
        <v>0.11949101620199587</v>
      </c>
      <c r="AP106" s="110">
        <f t="shared" ref="AP106:BY106" si="58">AO106</f>
        <v>0.11949101620199587</v>
      </c>
      <c r="AQ106" s="110">
        <f t="shared" si="58"/>
        <v>0.11949101620199587</v>
      </c>
      <c r="AR106" s="110">
        <f t="shared" si="58"/>
        <v>0.11949101620199587</v>
      </c>
      <c r="AS106" s="92">
        <f t="shared" si="58"/>
        <v>0.11949101620199587</v>
      </c>
      <c r="AT106" s="107">
        <f t="shared" si="58"/>
        <v>0.11949101620199587</v>
      </c>
      <c r="AU106" s="107">
        <f t="shared" si="58"/>
        <v>0.11949101620199587</v>
      </c>
      <c r="AV106" s="107">
        <f t="shared" si="58"/>
        <v>0.11949101620199587</v>
      </c>
      <c r="AW106" s="107">
        <f t="shared" si="58"/>
        <v>0.11949101620199587</v>
      </c>
      <c r="AX106" s="107">
        <f t="shared" si="58"/>
        <v>0.11949101620199587</v>
      </c>
      <c r="AY106" s="107">
        <f t="shared" si="58"/>
        <v>0.11949101620199587</v>
      </c>
      <c r="AZ106" s="107">
        <f t="shared" si="58"/>
        <v>0.11949101620199587</v>
      </c>
      <c r="BA106" s="107">
        <f t="shared" si="58"/>
        <v>0.11949101620199587</v>
      </c>
      <c r="BB106" s="107">
        <f t="shared" si="58"/>
        <v>0.11949101620199587</v>
      </c>
      <c r="BC106" s="107">
        <f t="shared" si="58"/>
        <v>0.11949101620199587</v>
      </c>
      <c r="BD106" s="107">
        <f t="shared" si="58"/>
        <v>0.11949101620199587</v>
      </c>
      <c r="BE106" s="107">
        <f t="shared" si="58"/>
        <v>0.11949101620199587</v>
      </c>
      <c r="BF106" s="107">
        <f t="shared" si="58"/>
        <v>0.11949101620199587</v>
      </c>
      <c r="BG106" s="107">
        <f t="shared" si="58"/>
        <v>0.11949101620199587</v>
      </c>
      <c r="BH106" s="107">
        <f t="shared" si="58"/>
        <v>0.11949101620199587</v>
      </c>
      <c r="BI106" s="107">
        <f t="shared" si="58"/>
        <v>0.11949101620199587</v>
      </c>
      <c r="BJ106" s="107">
        <f t="shared" si="58"/>
        <v>0.11949101620199587</v>
      </c>
      <c r="BK106" s="107">
        <f t="shared" si="58"/>
        <v>0.11949101620199587</v>
      </c>
      <c r="BL106" s="107">
        <f t="shared" si="58"/>
        <v>0.11949101620199587</v>
      </c>
      <c r="BM106" s="107">
        <f t="shared" si="58"/>
        <v>0.11949101620199587</v>
      </c>
      <c r="BN106" s="107">
        <f t="shared" si="58"/>
        <v>0.11949101620199587</v>
      </c>
      <c r="BO106" s="107">
        <f t="shared" si="58"/>
        <v>0.11949101620199587</v>
      </c>
      <c r="BP106" s="107">
        <f t="shared" si="58"/>
        <v>0.11949101620199587</v>
      </c>
      <c r="BQ106" s="107">
        <f t="shared" si="58"/>
        <v>0.11949101620199587</v>
      </c>
      <c r="BR106" s="107">
        <f t="shared" si="58"/>
        <v>0.11949101620199587</v>
      </c>
      <c r="BS106" s="107">
        <f t="shared" si="58"/>
        <v>0.11949101620199587</v>
      </c>
      <c r="BT106" s="107">
        <f t="shared" si="58"/>
        <v>0.11949101620199587</v>
      </c>
      <c r="BU106" s="107">
        <f t="shared" si="58"/>
        <v>0.11949101620199587</v>
      </c>
      <c r="BV106" s="107">
        <f t="shared" si="58"/>
        <v>0.11949101620199587</v>
      </c>
      <c r="BW106" s="107">
        <f t="shared" si="58"/>
        <v>0.11949101620199587</v>
      </c>
      <c r="BX106" s="107">
        <f t="shared" si="58"/>
        <v>0.11949101620199587</v>
      </c>
      <c r="BY106" s="107">
        <f t="shared" si="58"/>
        <v>0.11949101620199587</v>
      </c>
      <c r="BZ106" s="108"/>
      <c r="CA106" s="108"/>
      <c r="CB106" s="108"/>
      <c r="CC106" s="108"/>
    </row>
    <row r="107" spans="1:81" x14ac:dyDescent="0.8">
      <c r="A107" s="35" t="s">
        <v>307</v>
      </c>
      <c r="B107" s="40">
        <v>31</v>
      </c>
      <c r="C107" s="40"/>
      <c r="D107" s="40"/>
      <c r="E107" s="40"/>
      <c r="F107" s="40"/>
      <c r="G107" s="40"/>
      <c r="H107" s="40"/>
      <c r="I107" s="40"/>
      <c r="J107" s="40"/>
      <c r="K107" s="40"/>
      <c r="L107" s="90"/>
      <c r="M107" s="91"/>
      <c r="N107" s="91"/>
      <c r="O107" s="91"/>
      <c r="P107" s="91"/>
      <c r="Q107" s="91"/>
      <c r="R107" s="90"/>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110">
        <f>AP33/B46</f>
        <v>0.1194975882083511</v>
      </c>
      <c r="AQ107" s="110">
        <f t="shared" ref="AQ107:BZ107" si="59">AP107</f>
        <v>0.1194975882083511</v>
      </c>
      <c r="AR107" s="110">
        <f t="shared" si="59"/>
        <v>0.1194975882083511</v>
      </c>
      <c r="AS107" s="92">
        <f t="shared" si="59"/>
        <v>0.1194975882083511</v>
      </c>
      <c r="AT107" s="107">
        <f t="shared" si="59"/>
        <v>0.1194975882083511</v>
      </c>
      <c r="AU107" s="107">
        <f t="shared" si="59"/>
        <v>0.1194975882083511</v>
      </c>
      <c r="AV107" s="107">
        <f t="shared" si="59"/>
        <v>0.1194975882083511</v>
      </c>
      <c r="AW107" s="107">
        <f t="shared" si="59"/>
        <v>0.1194975882083511</v>
      </c>
      <c r="AX107" s="107">
        <f t="shared" si="59"/>
        <v>0.1194975882083511</v>
      </c>
      <c r="AY107" s="107">
        <f t="shared" si="59"/>
        <v>0.1194975882083511</v>
      </c>
      <c r="AZ107" s="107">
        <f t="shared" si="59"/>
        <v>0.1194975882083511</v>
      </c>
      <c r="BA107" s="107">
        <f t="shared" si="59"/>
        <v>0.1194975882083511</v>
      </c>
      <c r="BB107" s="107">
        <f t="shared" si="59"/>
        <v>0.1194975882083511</v>
      </c>
      <c r="BC107" s="107">
        <f t="shared" si="59"/>
        <v>0.1194975882083511</v>
      </c>
      <c r="BD107" s="107">
        <f t="shared" si="59"/>
        <v>0.1194975882083511</v>
      </c>
      <c r="BE107" s="107">
        <f t="shared" si="59"/>
        <v>0.1194975882083511</v>
      </c>
      <c r="BF107" s="107">
        <f t="shared" si="59"/>
        <v>0.1194975882083511</v>
      </c>
      <c r="BG107" s="107">
        <f t="shared" si="59"/>
        <v>0.1194975882083511</v>
      </c>
      <c r="BH107" s="107">
        <f t="shared" si="59"/>
        <v>0.1194975882083511</v>
      </c>
      <c r="BI107" s="107">
        <f t="shared" si="59"/>
        <v>0.1194975882083511</v>
      </c>
      <c r="BJ107" s="107">
        <f t="shared" si="59"/>
        <v>0.1194975882083511</v>
      </c>
      <c r="BK107" s="107">
        <f t="shared" si="59"/>
        <v>0.1194975882083511</v>
      </c>
      <c r="BL107" s="107">
        <f t="shared" si="59"/>
        <v>0.1194975882083511</v>
      </c>
      <c r="BM107" s="107">
        <f t="shared" si="59"/>
        <v>0.1194975882083511</v>
      </c>
      <c r="BN107" s="107">
        <f t="shared" si="59"/>
        <v>0.1194975882083511</v>
      </c>
      <c r="BO107" s="107">
        <f t="shared" si="59"/>
        <v>0.1194975882083511</v>
      </c>
      <c r="BP107" s="107">
        <f t="shared" si="59"/>
        <v>0.1194975882083511</v>
      </c>
      <c r="BQ107" s="107">
        <f t="shared" si="59"/>
        <v>0.1194975882083511</v>
      </c>
      <c r="BR107" s="107">
        <f t="shared" si="59"/>
        <v>0.1194975882083511</v>
      </c>
      <c r="BS107" s="107">
        <f t="shared" si="59"/>
        <v>0.1194975882083511</v>
      </c>
      <c r="BT107" s="107">
        <f t="shared" si="59"/>
        <v>0.1194975882083511</v>
      </c>
      <c r="BU107" s="107">
        <f t="shared" si="59"/>
        <v>0.1194975882083511</v>
      </c>
      <c r="BV107" s="107">
        <f t="shared" si="59"/>
        <v>0.1194975882083511</v>
      </c>
      <c r="BW107" s="107">
        <f t="shared" si="59"/>
        <v>0.1194975882083511</v>
      </c>
      <c r="BX107" s="107">
        <f t="shared" si="59"/>
        <v>0.1194975882083511</v>
      </c>
      <c r="BY107" s="107">
        <f t="shared" si="59"/>
        <v>0.1194975882083511</v>
      </c>
      <c r="BZ107" s="107">
        <f t="shared" si="59"/>
        <v>0.1194975882083511</v>
      </c>
      <c r="CA107" s="108"/>
      <c r="CB107" s="108"/>
      <c r="CC107" s="108"/>
    </row>
    <row r="108" spans="1:81" x14ac:dyDescent="0.8">
      <c r="A108" s="35" t="s">
        <v>307</v>
      </c>
      <c r="B108" s="40">
        <v>32</v>
      </c>
      <c r="C108" s="40"/>
      <c r="D108" s="40"/>
      <c r="E108" s="40"/>
      <c r="F108" s="40"/>
      <c r="G108" s="40"/>
      <c r="H108" s="40"/>
      <c r="I108" s="40"/>
      <c r="J108" s="40"/>
      <c r="K108" s="40"/>
      <c r="L108" s="90"/>
      <c r="M108" s="91"/>
      <c r="N108" s="91"/>
      <c r="O108" s="91"/>
      <c r="P108" s="91"/>
      <c r="Q108" s="91"/>
      <c r="R108" s="90"/>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110">
        <f>AQ33/B46</f>
        <v>0.11950416057575117</v>
      </c>
      <c r="AR108" s="110">
        <f t="shared" ref="AR108:CA108" si="60">AQ108</f>
        <v>0.11950416057575117</v>
      </c>
      <c r="AS108" s="92">
        <f t="shared" si="60"/>
        <v>0.11950416057575117</v>
      </c>
      <c r="AT108" s="107">
        <f t="shared" si="60"/>
        <v>0.11950416057575117</v>
      </c>
      <c r="AU108" s="107">
        <f t="shared" si="60"/>
        <v>0.11950416057575117</v>
      </c>
      <c r="AV108" s="107">
        <f t="shared" si="60"/>
        <v>0.11950416057575117</v>
      </c>
      <c r="AW108" s="107">
        <f t="shared" si="60"/>
        <v>0.11950416057575117</v>
      </c>
      <c r="AX108" s="107">
        <f t="shared" si="60"/>
        <v>0.11950416057575117</v>
      </c>
      <c r="AY108" s="107">
        <f t="shared" si="60"/>
        <v>0.11950416057575117</v>
      </c>
      <c r="AZ108" s="107">
        <f t="shared" si="60"/>
        <v>0.11950416057575117</v>
      </c>
      <c r="BA108" s="107">
        <f t="shared" si="60"/>
        <v>0.11950416057575117</v>
      </c>
      <c r="BB108" s="107">
        <f t="shared" si="60"/>
        <v>0.11950416057575117</v>
      </c>
      <c r="BC108" s="107">
        <f t="shared" si="60"/>
        <v>0.11950416057575117</v>
      </c>
      <c r="BD108" s="107">
        <f t="shared" si="60"/>
        <v>0.11950416057575117</v>
      </c>
      <c r="BE108" s="107">
        <f t="shared" si="60"/>
        <v>0.11950416057575117</v>
      </c>
      <c r="BF108" s="107">
        <f t="shared" si="60"/>
        <v>0.11950416057575117</v>
      </c>
      <c r="BG108" s="107">
        <f t="shared" si="60"/>
        <v>0.11950416057575117</v>
      </c>
      <c r="BH108" s="107">
        <f t="shared" si="60"/>
        <v>0.11950416057575117</v>
      </c>
      <c r="BI108" s="107">
        <f t="shared" si="60"/>
        <v>0.11950416057575117</v>
      </c>
      <c r="BJ108" s="107">
        <f t="shared" si="60"/>
        <v>0.11950416057575117</v>
      </c>
      <c r="BK108" s="107">
        <f t="shared" si="60"/>
        <v>0.11950416057575117</v>
      </c>
      <c r="BL108" s="107">
        <f t="shared" si="60"/>
        <v>0.11950416057575117</v>
      </c>
      <c r="BM108" s="107">
        <f t="shared" si="60"/>
        <v>0.11950416057575117</v>
      </c>
      <c r="BN108" s="107">
        <f t="shared" si="60"/>
        <v>0.11950416057575117</v>
      </c>
      <c r="BO108" s="107">
        <f t="shared" si="60"/>
        <v>0.11950416057575117</v>
      </c>
      <c r="BP108" s="107">
        <f t="shared" si="60"/>
        <v>0.11950416057575117</v>
      </c>
      <c r="BQ108" s="107">
        <f t="shared" si="60"/>
        <v>0.11950416057575117</v>
      </c>
      <c r="BR108" s="107">
        <f t="shared" si="60"/>
        <v>0.11950416057575117</v>
      </c>
      <c r="BS108" s="107">
        <f t="shared" si="60"/>
        <v>0.11950416057575117</v>
      </c>
      <c r="BT108" s="107">
        <f t="shared" si="60"/>
        <v>0.11950416057575117</v>
      </c>
      <c r="BU108" s="107">
        <f t="shared" si="60"/>
        <v>0.11950416057575117</v>
      </c>
      <c r="BV108" s="107">
        <f t="shared" si="60"/>
        <v>0.11950416057575117</v>
      </c>
      <c r="BW108" s="107">
        <f t="shared" si="60"/>
        <v>0.11950416057575117</v>
      </c>
      <c r="BX108" s="107">
        <f t="shared" si="60"/>
        <v>0.11950416057575117</v>
      </c>
      <c r="BY108" s="107">
        <f t="shared" si="60"/>
        <v>0.11950416057575117</v>
      </c>
      <c r="BZ108" s="107">
        <f t="shared" si="60"/>
        <v>0.11950416057575117</v>
      </c>
      <c r="CA108" s="107">
        <f t="shared" si="60"/>
        <v>0.11950416057575117</v>
      </c>
      <c r="CB108" s="108"/>
      <c r="CC108" s="108"/>
    </row>
    <row r="109" spans="1:81" x14ac:dyDescent="0.8">
      <c r="A109" s="35" t="s">
        <v>307</v>
      </c>
      <c r="B109" s="40">
        <v>33</v>
      </c>
      <c r="C109" s="40"/>
      <c r="D109" s="40"/>
      <c r="E109" s="40"/>
      <c r="F109" s="40"/>
      <c r="G109" s="40"/>
      <c r="H109" s="40"/>
      <c r="I109" s="40"/>
      <c r="J109" s="40"/>
      <c r="K109" s="40"/>
      <c r="L109" s="90"/>
      <c r="M109" s="91"/>
      <c r="N109" s="91"/>
      <c r="O109" s="91"/>
      <c r="P109" s="91"/>
      <c r="Q109" s="91"/>
      <c r="R109" s="90"/>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110">
        <f>AR33/B46</f>
        <v>0.11951073330458933</v>
      </c>
      <c r="AS109" s="92">
        <f t="shared" ref="AS109:CB109" si="61">AR109</f>
        <v>0.11951073330458933</v>
      </c>
      <c r="AT109" s="107">
        <f t="shared" si="61"/>
        <v>0.11951073330458933</v>
      </c>
      <c r="AU109" s="107">
        <f t="shared" si="61"/>
        <v>0.11951073330458933</v>
      </c>
      <c r="AV109" s="107">
        <f t="shared" si="61"/>
        <v>0.11951073330458933</v>
      </c>
      <c r="AW109" s="107">
        <f t="shared" si="61"/>
        <v>0.11951073330458933</v>
      </c>
      <c r="AX109" s="107">
        <f t="shared" si="61"/>
        <v>0.11951073330458933</v>
      </c>
      <c r="AY109" s="107">
        <f t="shared" si="61"/>
        <v>0.11951073330458933</v>
      </c>
      <c r="AZ109" s="107">
        <f t="shared" si="61"/>
        <v>0.11951073330458933</v>
      </c>
      <c r="BA109" s="107">
        <f t="shared" si="61"/>
        <v>0.11951073330458933</v>
      </c>
      <c r="BB109" s="107">
        <f t="shared" si="61"/>
        <v>0.11951073330458933</v>
      </c>
      <c r="BC109" s="107">
        <f t="shared" si="61"/>
        <v>0.11951073330458933</v>
      </c>
      <c r="BD109" s="107">
        <f t="shared" si="61"/>
        <v>0.11951073330458933</v>
      </c>
      <c r="BE109" s="107">
        <f t="shared" si="61"/>
        <v>0.11951073330458933</v>
      </c>
      <c r="BF109" s="107">
        <f t="shared" si="61"/>
        <v>0.11951073330458933</v>
      </c>
      <c r="BG109" s="107">
        <f t="shared" si="61"/>
        <v>0.11951073330458933</v>
      </c>
      <c r="BH109" s="107">
        <f t="shared" si="61"/>
        <v>0.11951073330458933</v>
      </c>
      <c r="BI109" s="107">
        <f t="shared" si="61"/>
        <v>0.11951073330458933</v>
      </c>
      <c r="BJ109" s="107">
        <f t="shared" si="61"/>
        <v>0.11951073330458933</v>
      </c>
      <c r="BK109" s="107">
        <f t="shared" si="61"/>
        <v>0.11951073330458933</v>
      </c>
      <c r="BL109" s="107">
        <f t="shared" si="61"/>
        <v>0.11951073330458933</v>
      </c>
      <c r="BM109" s="107">
        <f t="shared" si="61"/>
        <v>0.11951073330458933</v>
      </c>
      <c r="BN109" s="107">
        <f t="shared" si="61"/>
        <v>0.11951073330458933</v>
      </c>
      <c r="BO109" s="107">
        <f t="shared" si="61"/>
        <v>0.11951073330458933</v>
      </c>
      <c r="BP109" s="107">
        <f t="shared" si="61"/>
        <v>0.11951073330458933</v>
      </c>
      <c r="BQ109" s="107">
        <f t="shared" si="61"/>
        <v>0.11951073330458933</v>
      </c>
      <c r="BR109" s="107">
        <f t="shared" si="61"/>
        <v>0.11951073330458933</v>
      </c>
      <c r="BS109" s="107">
        <f t="shared" si="61"/>
        <v>0.11951073330458933</v>
      </c>
      <c r="BT109" s="107">
        <f t="shared" si="61"/>
        <v>0.11951073330458933</v>
      </c>
      <c r="BU109" s="107">
        <f t="shared" si="61"/>
        <v>0.11951073330458933</v>
      </c>
      <c r="BV109" s="107">
        <f t="shared" si="61"/>
        <v>0.11951073330458933</v>
      </c>
      <c r="BW109" s="107">
        <f t="shared" si="61"/>
        <v>0.11951073330458933</v>
      </c>
      <c r="BX109" s="107">
        <f t="shared" si="61"/>
        <v>0.11951073330458933</v>
      </c>
      <c r="BY109" s="107">
        <f t="shared" si="61"/>
        <v>0.11951073330458933</v>
      </c>
      <c r="BZ109" s="107">
        <f t="shared" si="61"/>
        <v>0.11951073330458933</v>
      </c>
      <c r="CA109" s="107">
        <f t="shared" si="61"/>
        <v>0.11951073330458933</v>
      </c>
      <c r="CB109" s="107">
        <f t="shared" si="61"/>
        <v>0.11951073330458933</v>
      </c>
      <c r="CC109" s="108"/>
    </row>
    <row r="110" spans="1:81" x14ac:dyDescent="0.8">
      <c r="A110" s="35" t="s">
        <v>307</v>
      </c>
      <c r="B110" s="40">
        <v>34</v>
      </c>
      <c r="C110" s="40"/>
      <c r="D110" s="40"/>
      <c r="E110" s="40"/>
      <c r="F110" s="40"/>
      <c r="G110" s="40"/>
      <c r="H110" s="40"/>
      <c r="I110" s="40"/>
      <c r="J110" s="40"/>
      <c r="K110" s="40"/>
      <c r="L110" s="90"/>
      <c r="M110" s="91"/>
      <c r="N110" s="91"/>
      <c r="O110" s="91"/>
      <c r="P110" s="91"/>
      <c r="Q110" s="91"/>
      <c r="R110" s="90"/>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2">
        <f>AS33/B46</f>
        <v>0.11951730639447232</v>
      </c>
      <c r="AT110" s="107">
        <f t="shared" ref="AT110:CC110" si="62">AS110</f>
        <v>0.11951730639447232</v>
      </c>
      <c r="AU110" s="107">
        <f t="shared" si="62"/>
        <v>0.11951730639447232</v>
      </c>
      <c r="AV110" s="107">
        <f t="shared" si="62"/>
        <v>0.11951730639447232</v>
      </c>
      <c r="AW110" s="107">
        <f t="shared" si="62"/>
        <v>0.11951730639447232</v>
      </c>
      <c r="AX110" s="107">
        <f t="shared" si="62"/>
        <v>0.11951730639447232</v>
      </c>
      <c r="AY110" s="107">
        <f t="shared" si="62"/>
        <v>0.11951730639447232</v>
      </c>
      <c r="AZ110" s="107">
        <f t="shared" si="62"/>
        <v>0.11951730639447232</v>
      </c>
      <c r="BA110" s="107">
        <f t="shared" si="62"/>
        <v>0.11951730639447232</v>
      </c>
      <c r="BB110" s="107">
        <f t="shared" si="62"/>
        <v>0.11951730639447232</v>
      </c>
      <c r="BC110" s="107">
        <f t="shared" si="62"/>
        <v>0.11951730639447232</v>
      </c>
      <c r="BD110" s="107">
        <f t="shared" si="62"/>
        <v>0.11951730639447232</v>
      </c>
      <c r="BE110" s="107">
        <f t="shared" si="62"/>
        <v>0.11951730639447232</v>
      </c>
      <c r="BF110" s="107">
        <f t="shared" si="62"/>
        <v>0.11951730639447232</v>
      </c>
      <c r="BG110" s="107">
        <f t="shared" si="62"/>
        <v>0.11951730639447232</v>
      </c>
      <c r="BH110" s="107">
        <f t="shared" si="62"/>
        <v>0.11951730639447232</v>
      </c>
      <c r="BI110" s="107">
        <f t="shared" si="62"/>
        <v>0.11951730639447232</v>
      </c>
      <c r="BJ110" s="107">
        <f t="shared" si="62"/>
        <v>0.11951730639447232</v>
      </c>
      <c r="BK110" s="107">
        <f t="shared" si="62"/>
        <v>0.11951730639447232</v>
      </c>
      <c r="BL110" s="107">
        <f t="shared" si="62"/>
        <v>0.11951730639447232</v>
      </c>
      <c r="BM110" s="107">
        <f t="shared" si="62"/>
        <v>0.11951730639447232</v>
      </c>
      <c r="BN110" s="107">
        <f t="shared" si="62"/>
        <v>0.11951730639447232</v>
      </c>
      <c r="BO110" s="107">
        <f t="shared" si="62"/>
        <v>0.11951730639447232</v>
      </c>
      <c r="BP110" s="107">
        <f t="shared" si="62"/>
        <v>0.11951730639447232</v>
      </c>
      <c r="BQ110" s="107">
        <f t="shared" si="62"/>
        <v>0.11951730639447232</v>
      </c>
      <c r="BR110" s="107">
        <f t="shared" si="62"/>
        <v>0.11951730639447232</v>
      </c>
      <c r="BS110" s="107">
        <f t="shared" si="62"/>
        <v>0.11951730639447232</v>
      </c>
      <c r="BT110" s="107">
        <f t="shared" si="62"/>
        <v>0.11951730639447232</v>
      </c>
      <c r="BU110" s="107">
        <f t="shared" si="62"/>
        <v>0.11951730639447232</v>
      </c>
      <c r="BV110" s="107">
        <f t="shared" si="62"/>
        <v>0.11951730639447232</v>
      </c>
      <c r="BW110" s="107">
        <f t="shared" si="62"/>
        <v>0.11951730639447232</v>
      </c>
      <c r="BX110" s="107">
        <f t="shared" si="62"/>
        <v>0.11951730639447232</v>
      </c>
      <c r="BY110" s="107">
        <f t="shared" si="62"/>
        <v>0.11951730639447232</v>
      </c>
      <c r="BZ110" s="107">
        <f t="shared" si="62"/>
        <v>0.11951730639447232</v>
      </c>
      <c r="CA110" s="107">
        <f t="shared" si="62"/>
        <v>0.11951730639447232</v>
      </c>
      <c r="CB110" s="107">
        <f t="shared" si="62"/>
        <v>0.11951730639447232</v>
      </c>
      <c r="CC110" s="107">
        <f t="shared" si="62"/>
        <v>0.11951730639447232</v>
      </c>
    </row>
    <row r="111" spans="1:81" s="40" customFormat="1" x14ac:dyDescent="0.8">
      <c r="A111" s="111" t="s">
        <v>308</v>
      </c>
      <c r="B111" s="86"/>
      <c r="C111" s="86"/>
      <c r="D111" s="86"/>
      <c r="E111" s="86"/>
      <c r="F111" s="86"/>
      <c r="G111" s="86"/>
      <c r="H111" s="86"/>
      <c r="I111" s="86"/>
      <c r="J111" s="86"/>
      <c r="K111" s="86"/>
      <c r="L111" s="112">
        <f t="shared" ref="L111:AS111" si="63">SUM(L77:L110)</f>
        <v>95.98296216216211</v>
      </c>
      <c r="M111" s="113">
        <f t="shared" si="63"/>
        <v>160.45233297297287</v>
      </c>
      <c r="N111" s="113">
        <f t="shared" si="63"/>
        <v>196.39543351351332</v>
      </c>
      <c r="O111" s="113">
        <f t="shared" si="63"/>
        <v>242.40260220540537</v>
      </c>
      <c r="P111" s="113">
        <f t="shared" si="63"/>
        <v>391.92590045405404</v>
      </c>
      <c r="Q111" s="113">
        <f t="shared" si="63"/>
        <v>425.03035868630479</v>
      </c>
      <c r="R111" s="112">
        <f t="shared" si="63"/>
        <v>420.43431154473797</v>
      </c>
      <c r="S111" s="113">
        <f t="shared" si="63"/>
        <v>520.61481069418721</v>
      </c>
      <c r="T111" s="113">
        <f t="shared" si="63"/>
        <v>617.35010247788671</v>
      </c>
      <c r="U111" s="113">
        <f t="shared" si="63"/>
        <v>710.12398732775205</v>
      </c>
      <c r="V111" s="113">
        <f t="shared" si="63"/>
        <v>798.55086830648054</v>
      </c>
      <c r="W111" s="113">
        <f t="shared" si="63"/>
        <v>882.36449149221539</v>
      </c>
      <c r="X111" s="113">
        <f t="shared" si="63"/>
        <v>961.40465401265294</v>
      </c>
      <c r="Y111" s="113">
        <f t="shared" si="63"/>
        <v>1027.3587198880521</v>
      </c>
      <c r="Z111" s="113">
        <f t="shared" si="63"/>
        <v>1081.9390006028057</v>
      </c>
      <c r="AA111" s="113">
        <f t="shared" si="63"/>
        <v>1126.8061702580162</v>
      </c>
      <c r="AB111" s="113">
        <f t="shared" si="63"/>
        <v>1163.4910010873959</v>
      </c>
      <c r="AC111" s="113">
        <f t="shared" si="63"/>
        <v>1193.35632544943</v>
      </c>
      <c r="AD111" s="113">
        <f t="shared" si="63"/>
        <v>1217.5855983888457</v>
      </c>
      <c r="AE111" s="113">
        <f t="shared" si="63"/>
        <v>1217.7050237048647</v>
      </c>
      <c r="AF111" s="113">
        <f t="shared" si="63"/>
        <v>1217.8244555892766</v>
      </c>
      <c r="AG111" s="113">
        <f t="shared" si="63"/>
        <v>1217.9438940424418</v>
      </c>
      <c r="AH111" s="113">
        <f t="shared" si="63"/>
        <v>1218.0633390647224</v>
      </c>
      <c r="AI111" s="113">
        <f t="shared" si="63"/>
        <v>1218.1827906564788</v>
      </c>
      <c r="AJ111" s="113">
        <f t="shared" si="63"/>
        <v>1218.3022488180729</v>
      </c>
      <c r="AK111" s="113">
        <f t="shared" si="63"/>
        <v>1218.4217135498659</v>
      </c>
      <c r="AL111" s="113">
        <f t="shared" si="63"/>
        <v>1218.541184852219</v>
      </c>
      <c r="AM111" s="113">
        <f t="shared" si="63"/>
        <v>1218.6606627254937</v>
      </c>
      <c r="AN111" s="113">
        <f t="shared" si="63"/>
        <v>1218.780147170052</v>
      </c>
      <c r="AO111" s="113">
        <f t="shared" si="63"/>
        <v>1218.8996381862539</v>
      </c>
      <c r="AP111" s="113">
        <f t="shared" si="63"/>
        <v>1219.0191357744623</v>
      </c>
      <c r="AQ111" s="113">
        <f t="shared" si="63"/>
        <v>1219.1386399350381</v>
      </c>
      <c r="AR111" s="113">
        <f t="shared" si="63"/>
        <v>1219.2581506683428</v>
      </c>
      <c r="AS111" s="114">
        <f t="shared" si="63"/>
        <v>1219.3776679747373</v>
      </c>
      <c r="AT111"/>
      <c r="AU111"/>
      <c r="AV111"/>
      <c r="AW111"/>
      <c r="AX111"/>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x14ac:dyDescent="0.8">
      <c r="K112" s="65"/>
      <c r="L112" s="40"/>
      <c r="Q112" s="65"/>
      <c r="R112" s="40"/>
    </row>
    <row r="113" spans="1:52" x14ac:dyDescent="0.8">
      <c r="K113" s="40"/>
      <c r="L113" s="40"/>
      <c r="Q113" s="40"/>
      <c r="R113" s="40"/>
    </row>
    <row r="114" spans="1:52" x14ac:dyDescent="0.8">
      <c r="A114" s="89" t="s">
        <v>309</v>
      </c>
      <c r="K114" s="80"/>
      <c r="L114" s="40"/>
      <c r="Q114" s="80"/>
      <c r="R114" s="40"/>
    </row>
    <row r="115" spans="1:52" x14ac:dyDescent="0.8">
      <c r="A115" s="66" t="s">
        <v>310</v>
      </c>
      <c r="B115" s="65">
        <v>1</v>
      </c>
      <c r="C115" s="65"/>
      <c r="D115" s="65"/>
      <c r="E115" s="65"/>
      <c r="F115" s="65"/>
      <c r="G115" s="65"/>
      <c r="H115" s="65"/>
      <c r="I115" s="65"/>
      <c r="J115" s="65"/>
      <c r="K115" s="65"/>
      <c r="L115" s="104">
        <f>L35/B47</f>
        <v>3007.0729999999985</v>
      </c>
      <c r="M115" s="105">
        <f t="shared" ref="M115:S115" si="64">L115</f>
        <v>3007.0729999999985</v>
      </c>
      <c r="N115" s="105">
        <f t="shared" si="64"/>
        <v>3007.0729999999985</v>
      </c>
      <c r="O115" s="105">
        <f t="shared" si="64"/>
        <v>3007.0729999999985</v>
      </c>
      <c r="P115" s="105">
        <f t="shared" si="64"/>
        <v>3007.0729999999985</v>
      </c>
      <c r="Q115" s="105">
        <f t="shared" si="64"/>
        <v>3007.0729999999985</v>
      </c>
      <c r="R115" s="104">
        <f t="shared" si="64"/>
        <v>3007.0729999999985</v>
      </c>
      <c r="S115" s="105">
        <f t="shared" si="64"/>
        <v>3007.0729999999985</v>
      </c>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6"/>
      <c r="AT115" s="115"/>
      <c r="AU115" s="115"/>
      <c r="AV115" s="115"/>
      <c r="AW115" s="115"/>
      <c r="AX115" s="115"/>
      <c r="AY115" s="115"/>
      <c r="AZ115" s="115"/>
    </row>
    <row r="116" spans="1:52" x14ac:dyDescent="0.8">
      <c r="A116" s="35" t="s">
        <v>310</v>
      </c>
      <c r="B116" s="40">
        <v>2</v>
      </c>
      <c r="C116" s="40"/>
      <c r="D116" s="40"/>
      <c r="E116" s="40"/>
      <c r="F116" s="40"/>
      <c r="G116" s="40"/>
      <c r="H116" s="40"/>
      <c r="I116" s="40"/>
      <c r="J116" s="40"/>
      <c r="K116" s="40"/>
      <c r="L116" s="90"/>
      <c r="M116" s="91">
        <f>M35/B47</f>
        <v>1469.7447599999996</v>
      </c>
      <c r="N116" s="91">
        <f t="shared" ref="N116:T116" si="65">M116</f>
        <v>1469.7447599999996</v>
      </c>
      <c r="O116" s="91">
        <f t="shared" si="65"/>
        <v>1469.7447599999996</v>
      </c>
      <c r="P116" s="91">
        <f t="shared" si="65"/>
        <v>1469.7447599999996</v>
      </c>
      <c r="Q116" s="91">
        <f t="shared" si="65"/>
        <v>1469.7447599999996</v>
      </c>
      <c r="R116" s="90">
        <f t="shared" si="65"/>
        <v>1469.7447599999996</v>
      </c>
      <c r="S116" s="91">
        <f t="shared" si="65"/>
        <v>1469.7447599999996</v>
      </c>
      <c r="T116" s="91">
        <f t="shared" si="65"/>
        <v>1469.7447599999996</v>
      </c>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2"/>
      <c r="AT116" s="115"/>
      <c r="AU116" s="115"/>
      <c r="AV116" s="115"/>
      <c r="AW116" s="115"/>
      <c r="AX116" s="115"/>
      <c r="AY116" s="115"/>
      <c r="AZ116" s="115"/>
    </row>
    <row r="117" spans="1:52" x14ac:dyDescent="0.8">
      <c r="A117" s="35" t="s">
        <v>310</v>
      </c>
      <c r="B117" s="40">
        <v>3</v>
      </c>
      <c r="C117" s="40"/>
      <c r="D117" s="40"/>
      <c r="E117" s="40"/>
      <c r="F117" s="40"/>
      <c r="G117" s="40"/>
      <c r="H117" s="40"/>
      <c r="I117" s="40"/>
      <c r="J117" s="40"/>
      <c r="K117" s="40"/>
      <c r="L117" s="90"/>
      <c r="M117" s="91"/>
      <c r="N117" s="91">
        <f>N35/B47</f>
        <v>3712.6227599999984</v>
      </c>
      <c r="O117" s="91">
        <f t="shared" ref="O117:U117" si="66">N117</f>
        <v>3712.6227599999984</v>
      </c>
      <c r="P117" s="91">
        <f t="shared" si="66"/>
        <v>3712.6227599999984</v>
      </c>
      <c r="Q117" s="91">
        <f t="shared" si="66"/>
        <v>3712.6227599999984</v>
      </c>
      <c r="R117" s="90">
        <f t="shared" si="66"/>
        <v>3712.6227599999984</v>
      </c>
      <c r="S117" s="91">
        <f t="shared" si="66"/>
        <v>3712.6227599999984</v>
      </c>
      <c r="T117" s="91">
        <f t="shared" si="66"/>
        <v>3712.6227599999984</v>
      </c>
      <c r="U117" s="91">
        <f t="shared" si="66"/>
        <v>3712.6227599999984</v>
      </c>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2"/>
      <c r="AT117" s="115"/>
      <c r="AU117" s="115"/>
      <c r="AV117" s="115"/>
      <c r="AW117" s="115"/>
      <c r="AX117" s="115"/>
      <c r="AY117" s="115"/>
      <c r="AZ117" s="115"/>
    </row>
    <row r="118" spans="1:52" x14ac:dyDescent="0.8">
      <c r="A118" s="35" t="s">
        <v>310</v>
      </c>
      <c r="B118" s="40">
        <v>4</v>
      </c>
      <c r="C118" s="40"/>
      <c r="D118" s="40"/>
      <c r="E118" s="40"/>
      <c r="F118" s="40"/>
      <c r="G118" s="40"/>
      <c r="H118" s="40"/>
      <c r="I118" s="40"/>
      <c r="J118" s="40"/>
      <c r="K118" s="40"/>
      <c r="L118" s="90"/>
      <c r="M118" s="91"/>
      <c r="N118" s="91"/>
      <c r="O118" s="91">
        <f>O35/B47</f>
        <v>851.13262080000277</v>
      </c>
      <c r="P118" s="91">
        <f t="shared" ref="P118:V118" si="67">O118</f>
        <v>851.13262080000277</v>
      </c>
      <c r="Q118" s="91">
        <f t="shared" si="67"/>
        <v>851.13262080000277</v>
      </c>
      <c r="R118" s="90">
        <f t="shared" si="67"/>
        <v>851.13262080000277</v>
      </c>
      <c r="S118" s="91">
        <f t="shared" si="67"/>
        <v>851.13262080000277</v>
      </c>
      <c r="T118" s="91">
        <f t="shared" si="67"/>
        <v>851.13262080000277</v>
      </c>
      <c r="U118" s="91">
        <f t="shared" si="67"/>
        <v>851.13262080000277</v>
      </c>
      <c r="V118" s="91">
        <f t="shared" si="67"/>
        <v>851.13262080000277</v>
      </c>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2"/>
      <c r="AT118" s="115"/>
      <c r="AU118" s="115"/>
      <c r="AV118" s="115"/>
      <c r="AW118" s="115"/>
      <c r="AX118" s="115"/>
      <c r="AY118" s="115"/>
      <c r="AZ118" s="115"/>
    </row>
    <row r="119" spans="1:52" x14ac:dyDescent="0.8">
      <c r="A119" s="35" t="s">
        <v>310</v>
      </c>
      <c r="B119" s="40">
        <v>5</v>
      </c>
      <c r="C119" s="40"/>
      <c r="D119" s="40"/>
      <c r="E119" s="40"/>
      <c r="F119" s="40"/>
      <c r="G119" s="40"/>
      <c r="H119" s="40"/>
      <c r="I119" s="40"/>
      <c r="J119" s="40"/>
      <c r="K119" s="40"/>
      <c r="L119" s="90"/>
      <c r="M119" s="91"/>
      <c r="N119" s="91"/>
      <c r="O119" s="91"/>
      <c r="P119" s="110">
        <f>P35/B47</f>
        <v>4986.0412842240003</v>
      </c>
      <c r="Q119" s="110">
        <f t="shared" ref="Q119:W119" si="68">P119</f>
        <v>4986.0412842240003</v>
      </c>
      <c r="R119" s="217">
        <f t="shared" si="68"/>
        <v>4986.0412842240003</v>
      </c>
      <c r="S119" s="110">
        <f t="shared" si="68"/>
        <v>4986.0412842240003</v>
      </c>
      <c r="T119" s="110">
        <f t="shared" si="68"/>
        <v>4986.0412842240003</v>
      </c>
      <c r="U119" s="110">
        <f t="shared" si="68"/>
        <v>4986.0412842240003</v>
      </c>
      <c r="V119" s="110">
        <f t="shared" si="68"/>
        <v>4986.0412842240003</v>
      </c>
      <c r="W119" s="110">
        <f t="shared" si="68"/>
        <v>4986.0412842240003</v>
      </c>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2"/>
      <c r="AT119" s="115"/>
      <c r="AU119" s="115"/>
      <c r="AV119" s="115"/>
      <c r="AW119" s="115"/>
      <c r="AX119" s="115"/>
      <c r="AY119" s="115"/>
      <c r="AZ119" s="115"/>
    </row>
    <row r="120" spans="1:52" x14ac:dyDescent="0.8">
      <c r="A120" s="35" t="s">
        <v>310</v>
      </c>
      <c r="B120" s="40">
        <v>6</v>
      </c>
      <c r="C120" s="40"/>
      <c r="D120" s="40"/>
      <c r="E120" s="40"/>
      <c r="F120" s="40"/>
      <c r="G120" s="40"/>
      <c r="H120" s="40"/>
      <c r="I120" s="40"/>
      <c r="J120" s="40"/>
      <c r="K120" s="40"/>
      <c r="L120" s="90"/>
      <c r="M120" s="91"/>
      <c r="N120" s="91"/>
      <c r="O120" s="91"/>
      <c r="P120" s="91"/>
      <c r="Q120" s="110">
        <f>Q35/B47</f>
        <v>3322.3217111884842</v>
      </c>
      <c r="R120" s="217">
        <f t="shared" ref="R120:X120" si="69">Q120</f>
        <v>3322.3217111884842</v>
      </c>
      <c r="S120" s="110">
        <f t="shared" si="69"/>
        <v>3322.3217111884842</v>
      </c>
      <c r="T120" s="110">
        <f t="shared" si="69"/>
        <v>3322.3217111884842</v>
      </c>
      <c r="U120" s="110">
        <f t="shared" si="69"/>
        <v>3322.3217111884842</v>
      </c>
      <c r="V120" s="110">
        <f t="shared" si="69"/>
        <v>3322.3217111884842</v>
      </c>
      <c r="W120" s="110">
        <f t="shared" si="69"/>
        <v>3322.3217111884842</v>
      </c>
      <c r="X120" s="110">
        <f t="shared" si="69"/>
        <v>3322.3217111884842</v>
      </c>
      <c r="Y120" s="91"/>
      <c r="Z120" s="91"/>
      <c r="AA120" s="91"/>
      <c r="AB120" s="91"/>
      <c r="AC120" s="91"/>
      <c r="AD120" s="91"/>
      <c r="AE120" s="91"/>
      <c r="AF120" s="91"/>
      <c r="AG120" s="91"/>
      <c r="AH120" s="91"/>
      <c r="AI120" s="91"/>
      <c r="AJ120" s="91"/>
      <c r="AK120" s="91"/>
      <c r="AL120" s="91"/>
      <c r="AM120" s="91"/>
      <c r="AN120" s="91"/>
      <c r="AO120" s="91"/>
      <c r="AP120" s="91"/>
      <c r="AQ120" s="91"/>
      <c r="AR120" s="91"/>
      <c r="AS120" s="92"/>
      <c r="AT120" s="115"/>
      <c r="AU120" s="115"/>
      <c r="AV120" s="115"/>
      <c r="AW120" s="115"/>
      <c r="AX120" s="115"/>
      <c r="AY120" s="115"/>
      <c r="AZ120" s="115"/>
    </row>
    <row r="121" spans="1:52" x14ac:dyDescent="0.8">
      <c r="A121" s="35" t="s">
        <v>310</v>
      </c>
      <c r="B121" s="40">
        <v>7</v>
      </c>
      <c r="C121" s="40"/>
      <c r="D121" s="40"/>
      <c r="E121" s="40"/>
      <c r="F121" s="40"/>
      <c r="G121" s="40"/>
      <c r="H121" s="40"/>
      <c r="I121" s="40"/>
      <c r="J121" s="40"/>
      <c r="K121" s="40"/>
      <c r="L121" s="90"/>
      <c r="M121" s="91"/>
      <c r="N121" s="91"/>
      <c r="O121" s="91"/>
      <c r="P121" s="91"/>
      <c r="Q121" s="91"/>
      <c r="R121" s="217">
        <f>R35/B47</f>
        <v>5741.1229504172516</v>
      </c>
      <c r="S121" s="110">
        <f t="shared" ref="S121:Y121" si="70">R121</f>
        <v>5741.1229504172516</v>
      </c>
      <c r="T121" s="110">
        <f t="shared" si="70"/>
        <v>5741.1229504172516</v>
      </c>
      <c r="U121" s="110">
        <f t="shared" si="70"/>
        <v>5741.1229504172516</v>
      </c>
      <c r="V121" s="110">
        <f t="shared" si="70"/>
        <v>5741.1229504172516</v>
      </c>
      <c r="W121" s="110">
        <f t="shared" si="70"/>
        <v>5741.1229504172516</v>
      </c>
      <c r="X121" s="110">
        <f t="shared" si="70"/>
        <v>5741.1229504172516</v>
      </c>
      <c r="Y121" s="110">
        <f t="shared" si="70"/>
        <v>5741.1229504172516</v>
      </c>
      <c r="Z121" s="91"/>
      <c r="AA121" s="91"/>
      <c r="AB121" s="91"/>
      <c r="AC121" s="91"/>
      <c r="AD121" s="91"/>
      <c r="AE121" s="91"/>
      <c r="AF121" s="91"/>
      <c r="AG121" s="91"/>
      <c r="AH121" s="91"/>
      <c r="AI121" s="91"/>
      <c r="AJ121" s="91"/>
      <c r="AK121" s="91"/>
      <c r="AL121" s="91"/>
      <c r="AM121" s="91"/>
      <c r="AN121" s="91"/>
      <c r="AO121" s="91"/>
      <c r="AP121" s="91"/>
      <c r="AQ121" s="91"/>
      <c r="AR121" s="91"/>
      <c r="AS121" s="92"/>
      <c r="AT121" s="115"/>
      <c r="AU121" s="115"/>
      <c r="AV121" s="115"/>
      <c r="AW121" s="115"/>
      <c r="AX121" s="115"/>
      <c r="AY121" s="115"/>
      <c r="AZ121" s="115"/>
    </row>
    <row r="122" spans="1:52" x14ac:dyDescent="0.8">
      <c r="A122" s="35" t="s">
        <v>310</v>
      </c>
      <c r="B122" s="40">
        <v>8</v>
      </c>
      <c r="C122" s="40"/>
      <c r="D122" s="40"/>
      <c r="E122" s="40"/>
      <c r="F122" s="40"/>
      <c r="G122" s="40"/>
      <c r="H122" s="40"/>
      <c r="I122" s="40"/>
      <c r="J122" s="40"/>
      <c r="K122" s="40"/>
      <c r="L122" s="90"/>
      <c r="M122" s="91"/>
      <c r="N122" s="91"/>
      <c r="O122" s="91"/>
      <c r="P122" s="91"/>
      <c r="Q122" s="91"/>
      <c r="R122" s="90"/>
      <c r="S122" s="110">
        <f>S35/B47</f>
        <v>2637.444294915309</v>
      </c>
      <c r="T122" s="110">
        <f t="shared" ref="T122:Z122" si="71">S122</f>
        <v>2637.444294915309</v>
      </c>
      <c r="U122" s="110">
        <f t="shared" si="71"/>
        <v>2637.444294915309</v>
      </c>
      <c r="V122" s="110">
        <f t="shared" si="71"/>
        <v>2637.444294915309</v>
      </c>
      <c r="W122" s="110">
        <f t="shared" si="71"/>
        <v>2637.444294915309</v>
      </c>
      <c r="X122" s="110">
        <f t="shared" si="71"/>
        <v>2637.444294915309</v>
      </c>
      <c r="Y122" s="110">
        <f t="shared" si="71"/>
        <v>2637.444294915309</v>
      </c>
      <c r="Z122" s="110">
        <f t="shared" si="71"/>
        <v>2637.444294915309</v>
      </c>
      <c r="AA122" s="91"/>
      <c r="AB122" s="91"/>
      <c r="AC122" s="91"/>
      <c r="AD122" s="91"/>
      <c r="AE122" s="91"/>
      <c r="AF122" s="91"/>
      <c r="AG122" s="91"/>
      <c r="AH122" s="91"/>
      <c r="AI122" s="91"/>
      <c r="AJ122" s="91"/>
      <c r="AK122" s="91"/>
      <c r="AL122" s="91"/>
      <c r="AM122" s="91"/>
      <c r="AN122" s="91"/>
      <c r="AO122" s="91"/>
      <c r="AP122" s="91"/>
      <c r="AQ122" s="91"/>
      <c r="AR122" s="91"/>
      <c r="AS122" s="92"/>
      <c r="AT122" s="115"/>
      <c r="AU122" s="115"/>
      <c r="AV122" s="115"/>
      <c r="AW122" s="115"/>
      <c r="AX122" s="115"/>
      <c r="AY122" s="115"/>
      <c r="AZ122" s="115"/>
    </row>
    <row r="123" spans="1:52" x14ac:dyDescent="0.8">
      <c r="A123" s="35" t="s">
        <v>310</v>
      </c>
      <c r="B123" s="40">
        <v>9</v>
      </c>
      <c r="C123" s="40"/>
      <c r="D123" s="40"/>
      <c r="E123" s="40"/>
      <c r="F123" s="40"/>
      <c r="G123" s="40"/>
      <c r="H123" s="40"/>
      <c r="I123" s="40"/>
      <c r="J123" s="40"/>
      <c r="K123" s="40"/>
      <c r="L123" s="90"/>
      <c r="M123" s="91"/>
      <c r="N123" s="91"/>
      <c r="O123" s="91"/>
      <c r="P123" s="91"/>
      <c r="Q123" s="91"/>
      <c r="R123" s="90"/>
      <c r="S123" s="91"/>
      <c r="T123" s="110">
        <f>T35/B47</f>
        <v>2546.7425856131667</v>
      </c>
      <c r="U123" s="110">
        <f t="shared" ref="U123:AA123" si="72">T123</f>
        <v>2546.7425856131667</v>
      </c>
      <c r="V123" s="110">
        <f t="shared" si="72"/>
        <v>2546.7425856131667</v>
      </c>
      <c r="W123" s="110">
        <f t="shared" si="72"/>
        <v>2546.7425856131667</v>
      </c>
      <c r="X123" s="110">
        <f t="shared" si="72"/>
        <v>2546.7425856131667</v>
      </c>
      <c r="Y123" s="110">
        <f t="shared" si="72"/>
        <v>2546.7425856131667</v>
      </c>
      <c r="Z123" s="110">
        <f t="shared" si="72"/>
        <v>2546.7425856131667</v>
      </c>
      <c r="AA123" s="110">
        <f t="shared" si="72"/>
        <v>2546.7425856131667</v>
      </c>
      <c r="AB123" s="91"/>
      <c r="AC123" s="91"/>
      <c r="AD123" s="91"/>
      <c r="AE123" s="91"/>
      <c r="AF123" s="91"/>
      <c r="AG123" s="91"/>
      <c r="AH123" s="91"/>
      <c r="AI123" s="91"/>
      <c r="AJ123" s="91"/>
      <c r="AK123" s="91"/>
      <c r="AL123" s="91"/>
      <c r="AM123" s="91"/>
      <c r="AN123" s="91"/>
      <c r="AO123" s="91"/>
      <c r="AP123" s="91"/>
      <c r="AQ123" s="91"/>
      <c r="AR123" s="91"/>
      <c r="AS123" s="92"/>
      <c r="AT123" s="115"/>
      <c r="AU123" s="115"/>
      <c r="AV123" s="115"/>
      <c r="AW123" s="115"/>
      <c r="AX123" s="115"/>
      <c r="AY123" s="115"/>
      <c r="AZ123" s="115"/>
    </row>
    <row r="124" spans="1:52" x14ac:dyDescent="0.8">
      <c r="A124" s="35" t="s">
        <v>310</v>
      </c>
      <c r="B124" s="40">
        <v>10</v>
      </c>
      <c r="C124" s="40"/>
      <c r="D124" s="40"/>
      <c r="E124" s="40"/>
      <c r="F124" s="40"/>
      <c r="G124" s="40"/>
      <c r="H124" s="40"/>
      <c r="I124" s="40"/>
      <c r="J124" s="40"/>
      <c r="K124" s="40"/>
      <c r="L124" s="90"/>
      <c r="M124" s="91"/>
      <c r="N124" s="91"/>
      <c r="O124" s="91"/>
      <c r="P124" s="91"/>
      <c r="Q124" s="91"/>
      <c r="R124" s="90"/>
      <c r="S124" s="91"/>
      <c r="T124" s="91"/>
      <c r="U124" s="110">
        <f>U35/B47</f>
        <v>2442.4509299897181</v>
      </c>
      <c r="V124" s="110">
        <f t="shared" ref="V124:AB124" si="73">U124</f>
        <v>2442.4509299897181</v>
      </c>
      <c r="W124" s="110">
        <f t="shared" si="73"/>
        <v>2442.4509299897181</v>
      </c>
      <c r="X124" s="110">
        <f t="shared" si="73"/>
        <v>2442.4509299897181</v>
      </c>
      <c r="Y124" s="110">
        <f t="shared" si="73"/>
        <v>2442.4509299897181</v>
      </c>
      <c r="Z124" s="110">
        <f t="shared" si="73"/>
        <v>2442.4509299897181</v>
      </c>
      <c r="AA124" s="110">
        <f t="shared" si="73"/>
        <v>2442.4509299897181</v>
      </c>
      <c r="AB124" s="110">
        <f t="shared" si="73"/>
        <v>2442.4509299897181</v>
      </c>
      <c r="AC124" s="91"/>
      <c r="AD124" s="91"/>
      <c r="AE124" s="91"/>
      <c r="AF124" s="91"/>
      <c r="AG124" s="91"/>
      <c r="AH124" s="91"/>
      <c r="AI124" s="91"/>
      <c r="AJ124" s="91"/>
      <c r="AK124" s="91"/>
      <c r="AL124" s="91"/>
      <c r="AM124" s="91"/>
      <c r="AN124" s="91"/>
      <c r="AO124" s="91"/>
      <c r="AP124" s="91"/>
      <c r="AQ124" s="91"/>
      <c r="AR124" s="91"/>
      <c r="AS124" s="92"/>
      <c r="AT124" s="115"/>
      <c r="AU124" s="115"/>
      <c r="AV124" s="115"/>
      <c r="AW124" s="115"/>
      <c r="AX124" s="115"/>
      <c r="AY124" s="115"/>
      <c r="AZ124" s="115"/>
    </row>
    <row r="125" spans="1:52" x14ac:dyDescent="0.8">
      <c r="A125" s="35" t="s">
        <v>310</v>
      </c>
      <c r="B125" s="40">
        <v>11</v>
      </c>
      <c r="C125" s="40"/>
      <c r="D125" s="40"/>
      <c r="E125" s="40"/>
      <c r="F125" s="40"/>
      <c r="G125" s="40"/>
      <c r="H125" s="40"/>
      <c r="I125" s="40"/>
      <c r="J125" s="40"/>
      <c r="K125" s="40"/>
      <c r="L125" s="90"/>
      <c r="M125" s="91"/>
      <c r="N125" s="91"/>
      <c r="O125" s="91"/>
      <c r="P125" s="91"/>
      <c r="Q125" s="91"/>
      <c r="R125" s="90"/>
      <c r="S125" s="91"/>
      <c r="T125" s="91"/>
      <c r="U125" s="91"/>
      <c r="V125" s="110">
        <f>V35/B47</f>
        <v>2328.0076934592144</v>
      </c>
      <c r="W125" s="110">
        <f t="shared" ref="W125:AC125" si="74">V125</f>
        <v>2328.0076934592144</v>
      </c>
      <c r="X125" s="110">
        <f t="shared" si="74"/>
        <v>2328.0076934592144</v>
      </c>
      <c r="Y125" s="110">
        <f t="shared" si="74"/>
        <v>2328.0076934592144</v>
      </c>
      <c r="Z125" s="110">
        <f t="shared" si="74"/>
        <v>2328.0076934592144</v>
      </c>
      <c r="AA125" s="110">
        <f t="shared" si="74"/>
        <v>2328.0076934592144</v>
      </c>
      <c r="AB125" s="110">
        <f t="shared" si="74"/>
        <v>2328.0076934592144</v>
      </c>
      <c r="AC125" s="110">
        <f t="shared" si="74"/>
        <v>2328.0076934592144</v>
      </c>
      <c r="AD125" s="91"/>
      <c r="AE125" s="91"/>
      <c r="AF125" s="91"/>
      <c r="AG125" s="91"/>
      <c r="AH125" s="91"/>
      <c r="AI125" s="91"/>
      <c r="AJ125" s="91"/>
      <c r="AK125" s="91"/>
      <c r="AL125" s="91"/>
      <c r="AM125" s="91"/>
      <c r="AN125" s="91"/>
      <c r="AO125" s="91"/>
      <c r="AP125" s="91"/>
      <c r="AQ125" s="91"/>
      <c r="AR125" s="91"/>
      <c r="AS125" s="92"/>
      <c r="AT125" s="115"/>
      <c r="AU125" s="115"/>
      <c r="AV125" s="115"/>
      <c r="AW125" s="115"/>
      <c r="AX125" s="115"/>
      <c r="AY125" s="115"/>
      <c r="AZ125" s="115"/>
    </row>
    <row r="126" spans="1:52" x14ac:dyDescent="0.8">
      <c r="A126" s="35" t="s">
        <v>310</v>
      </c>
      <c r="B126" s="40">
        <v>12</v>
      </c>
      <c r="C126" s="40"/>
      <c r="D126" s="40"/>
      <c r="E126" s="40"/>
      <c r="F126" s="40"/>
      <c r="G126" s="40"/>
      <c r="H126" s="40"/>
      <c r="I126" s="40"/>
      <c r="J126" s="40"/>
      <c r="K126" s="40"/>
      <c r="L126" s="90"/>
      <c r="M126" s="91"/>
      <c r="N126" s="91"/>
      <c r="O126" s="91"/>
      <c r="P126" s="91"/>
      <c r="Q126" s="91"/>
      <c r="R126" s="90"/>
      <c r="S126" s="91"/>
      <c r="T126" s="91"/>
      <c r="U126" s="91"/>
      <c r="V126" s="91"/>
      <c r="W126" s="110">
        <f>W35/B47</f>
        <v>2206.5548104090631</v>
      </c>
      <c r="X126" s="110">
        <f t="shared" ref="X126:AD126" si="75">W126</f>
        <v>2206.5548104090631</v>
      </c>
      <c r="Y126" s="110">
        <f t="shared" si="75"/>
        <v>2206.5548104090631</v>
      </c>
      <c r="Z126" s="110">
        <f t="shared" si="75"/>
        <v>2206.5548104090631</v>
      </c>
      <c r="AA126" s="110">
        <f t="shared" si="75"/>
        <v>2206.5548104090631</v>
      </c>
      <c r="AB126" s="110">
        <f t="shared" si="75"/>
        <v>2206.5548104090631</v>
      </c>
      <c r="AC126" s="110">
        <f t="shared" si="75"/>
        <v>2206.5548104090631</v>
      </c>
      <c r="AD126" s="110">
        <f t="shared" si="75"/>
        <v>2206.5548104090631</v>
      </c>
      <c r="AE126" s="91"/>
      <c r="AF126" s="91"/>
      <c r="AG126" s="91"/>
      <c r="AH126" s="91"/>
      <c r="AI126" s="91"/>
      <c r="AJ126" s="91"/>
      <c r="AK126" s="91"/>
      <c r="AL126" s="91"/>
      <c r="AM126" s="91"/>
      <c r="AN126" s="91"/>
      <c r="AO126" s="91"/>
      <c r="AP126" s="91"/>
      <c r="AQ126" s="91"/>
      <c r="AR126" s="91"/>
      <c r="AS126" s="92"/>
      <c r="AT126" s="115"/>
      <c r="AU126" s="115"/>
      <c r="AV126" s="115"/>
      <c r="AW126" s="115"/>
      <c r="AX126" s="115"/>
      <c r="AY126" s="115"/>
      <c r="AZ126" s="115"/>
    </row>
    <row r="127" spans="1:52" x14ac:dyDescent="0.8">
      <c r="A127" s="35" t="s">
        <v>310</v>
      </c>
      <c r="B127" s="40">
        <v>13</v>
      </c>
      <c r="C127" s="40"/>
      <c r="D127" s="40"/>
      <c r="E127" s="40"/>
      <c r="F127" s="40"/>
      <c r="G127" s="40"/>
      <c r="H127" s="40"/>
      <c r="I127" s="40"/>
      <c r="J127" s="40"/>
      <c r="K127" s="40"/>
      <c r="L127" s="90"/>
      <c r="M127" s="91"/>
      <c r="N127" s="91"/>
      <c r="O127" s="91"/>
      <c r="P127" s="91"/>
      <c r="Q127" s="91"/>
      <c r="R127" s="90"/>
      <c r="S127" s="91"/>
      <c r="T127" s="91"/>
      <c r="U127" s="91"/>
      <c r="V127" s="91"/>
      <c r="W127" s="91"/>
      <c r="X127" s="110">
        <f>X35/B47</f>
        <v>2080.8842786630557</v>
      </c>
      <c r="Y127" s="110">
        <f t="shared" ref="Y127:AE127" si="76">X127</f>
        <v>2080.8842786630557</v>
      </c>
      <c r="Z127" s="110">
        <f t="shared" si="76"/>
        <v>2080.8842786630557</v>
      </c>
      <c r="AA127" s="110">
        <f t="shared" si="76"/>
        <v>2080.8842786630557</v>
      </c>
      <c r="AB127" s="110">
        <f t="shared" si="76"/>
        <v>2080.8842786630557</v>
      </c>
      <c r="AC127" s="110">
        <f t="shared" si="76"/>
        <v>2080.8842786630557</v>
      </c>
      <c r="AD127" s="110">
        <f t="shared" si="76"/>
        <v>2080.8842786630557</v>
      </c>
      <c r="AE127" s="110">
        <f t="shared" si="76"/>
        <v>2080.8842786630557</v>
      </c>
      <c r="AF127" s="91"/>
      <c r="AG127" s="91"/>
      <c r="AH127" s="91"/>
      <c r="AI127" s="91"/>
      <c r="AJ127" s="91"/>
      <c r="AK127" s="91"/>
      <c r="AL127" s="91"/>
      <c r="AM127" s="91"/>
      <c r="AN127" s="91"/>
      <c r="AO127" s="91"/>
      <c r="AP127" s="91"/>
      <c r="AQ127" s="91"/>
      <c r="AR127" s="91"/>
      <c r="AS127" s="92"/>
      <c r="AT127" s="115"/>
      <c r="AU127" s="115"/>
      <c r="AV127" s="115"/>
      <c r="AW127" s="115"/>
      <c r="AX127" s="115"/>
      <c r="AY127" s="115"/>
      <c r="AZ127" s="115"/>
    </row>
    <row r="128" spans="1:52" x14ac:dyDescent="0.8">
      <c r="A128" s="35" t="s">
        <v>310</v>
      </c>
      <c r="B128" s="40">
        <v>14</v>
      </c>
      <c r="C128" s="40"/>
      <c r="D128" s="40"/>
      <c r="E128" s="40"/>
      <c r="F128" s="40"/>
      <c r="G128" s="40"/>
      <c r="H128" s="40"/>
      <c r="I128" s="40"/>
      <c r="J128" s="40"/>
      <c r="K128" s="40"/>
      <c r="L128" s="90"/>
      <c r="M128" s="91"/>
      <c r="N128" s="91"/>
      <c r="O128" s="91"/>
      <c r="P128" s="91"/>
      <c r="Q128" s="91"/>
      <c r="R128" s="90"/>
      <c r="S128" s="91"/>
      <c r="T128" s="91"/>
      <c r="U128" s="91"/>
      <c r="V128" s="91"/>
      <c r="W128" s="91"/>
      <c r="X128" s="91"/>
      <c r="Y128" s="110">
        <f>Y35/B47</f>
        <v>1736.3676189119506</v>
      </c>
      <c r="Z128" s="110">
        <f t="shared" ref="Z128:AF128" si="77">Y128</f>
        <v>1736.3676189119506</v>
      </c>
      <c r="AA128" s="110">
        <f t="shared" si="77"/>
        <v>1736.3676189119506</v>
      </c>
      <c r="AB128" s="110">
        <f t="shared" si="77"/>
        <v>1736.3676189119506</v>
      </c>
      <c r="AC128" s="110">
        <f t="shared" si="77"/>
        <v>1736.3676189119506</v>
      </c>
      <c r="AD128" s="110">
        <f t="shared" si="77"/>
        <v>1736.3676189119506</v>
      </c>
      <c r="AE128" s="110">
        <f t="shared" si="77"/>
        <v>1736.3676189119506</v>
      </c>
      <c r="AF128" s="110">
        <f t="shared" si="77"/>
        <v>1736.3676189119506</v>
      </c>
      <c r="AG128" s="91"/>
      <c r="AH128" s="91"/>
      <c r="AI128" s="91"/>
      <c r="AJ128" s="91"/>
      <c r="AK128" s="91"/>
      <c r="AL128" s="91"/>
      <c r="AM128" s="91"/>
      <c r="AN128" s="91"/>
      <c r="AO128" s="91"/>
      <c r="AP128" s="91"/>
      <c r="AQ128" s="91"/>
      <c r="AR128" s="91"/>
      <c r="AS128" s="92"/>
      <c r="AT128" s="115"/>
      <c r="AU128" s="115"/>
      <c r="AV128" s="115"/>
      <c r="AW128" s="115"/>
      <c r="AX128" s="115"/>
      <c r="AY128" s="115"/>
      <c r="AZ128" s="115"/>
    </row>
    <row r="129" spans="1:52" x14ac:dyDescent="0.8">
      <c r="A129" s="35" t="s">
        <v>310</v>
      </c>
      <c r="B129" s="40">
        <v>15</v>
      </c>
      <c r="C129" s="40"/>
      <c r="D129" s="40"/>
      <c r="E129" s="40"/>
      <c r="F129" s="40"/>
      <c r="G129" s="40"/>
      <c r="H129" s="40"/>
      <c r="I129" s="40"/>
      <c r="J129" s="40"/>
      <c r="K129" s="40"/>
      <c r="L129" s="90"/>
      <c r="M129" s="91"/>
      <c r="N129" s="91"/>
      <c r="O129" s="91"/>
      <c r="P129" s="91"/>
      <c r="Q129" s="91"/>
      <c r="R129" s="90"/>
      <c r="S129" s="91"/>
      <c r="T129" s="91"/>
      <c r="U129" s="91"/>
      <c r="V129" s="91"/>
      <c r="W129" s="91"/>
      <c r="X129" s="91"/>
      <c r="Y129" s="91"/>
      <c r="Z129" s="110">
        <f>Z35/B47</f>
        <v>1436.9308518941907</v>
      </c>
      <c r="AA129" s="110">
        <f t="shared" ref="AA129:AG129" si="78">Z129</f>
        <v>1436.9308518941907</v>
      </c>
      <c r="AB129" s="110">
        <f t="shared" si="78"/>
        <v>1436.9308518941907</v>
      </c>
      <c r="AC129" s="110">
        <f t="shared" si="78"/>
        <v>1436.9308518941907</v>
      </c>
      <c r="AD129" s="110">
        <f t="shared" si="78"/>
        <v>1436.9308518941907</v>
      </c>
      <c r="AE129" s="110">
        <f t="shared" si="78"/>
        <v>1436.9308518941907</v>
      </c>
      <c r="AF129" s="110">
        <f t="shared" si="78"/>
        <v>1436.9308518941907</v>
      </c>
      <c r="AG129" s="110">
        <f t="shared" si="78"/>
        <v>1436.9308518941907</v>
      </c>
      <c r="AH129" s="91"/>
      <c r="AI129" s="91"/>
      <c r="AJ129" s="91"/>
      <c r="AK129" s="91"/>
      <c r="AL129" s="91"/>
      <c r="AM129" s="91"/>
      <c r="AN129" s="91"/>
      <c r="AO129" s="91"/>
      <c r="AP129" s="91"/>
      <c r="AQ129" s="91"/>
      <c r="AR129" s="91"/>
      <c r="AS129" s="92"/>
      <c r="AT129" s="115"/>
      <c r="AU129" s="115"/>
      <c r="AV129" s="115"/>
      <c r="AW129" s="115"/>
      <c r="AX129" s="115"/>
      <c r="AY129" s="115"/>
      <c r="AZ129" s="115"/>
    </row>
    <row r="130" spans="1:52" x14ac:dyDescent="0.8">
      <c r="A130" s="35" t="s">
        <v>310</v>
      </c>
      <c r="B130" s="40">
        <v>16</v>
      </c>
      <c r="C130" s="40"/>
      <c r="D130" s="40"/>
      <c r="E130" s="40"/>
      <c r="F130" s="40"/>
      <c r="G130" s="40"/>
      <c r="H130" s="40"/>
      <c r="I130" s="40"/>
      <c r="J130" s="40"/>
      <c r="K130" s="40"/>
      <c r="L130" s="90"/>
      <c r="M130" s="91"/>
      <c r="N130" s="91"/>
      <c r="O130" s="91"/>
      <c r="P130" s="91"/>
      <c r="Q130" s="91"/>
      <c r="R130" s="90"/>
      <c r="S130" s="91"/>
      <c r="T130" s="91"/>
      <c r="U130" s="91"/>
      <c r="V130" s="91"/>
      <c r="W130" s="91"/>
      <c r="X130" s="91"/>
      <c r="Y130" s="91"/>
      <c r="Z130" s="91"/>
      <c r="AA130" s="110">
        <f>AA35/B47</f>
        <v>1181.2145241919789</v>
      </c>
      <c r="AB130" s="110">
        <f t="shared" ref="AB130:AH130" si="79">AA130</f>
        <v>1181.2145241919789</v>
      </c>
      <c r="AC130" s="110">
        <f t="shared" si="79"/>
        <v>1181.2145241919789</v>
      </c>
      <c r="AD130" s="110">
        <f t="shared" si="79"/>
        <v>1181.2145241919789</v>
      </c>
      <c r="AE130" s="110">
        <f t="shared" si="79"/>
        <v>1181.2145241919789</v>
      </c>
      <c r="AF130" s="110">
        <f t="shared" si="79"/>
        <v>1181.2145241919789</v>
      </c>
      <c r="AG130" s="110">
        <f t="shared" si="79"/>
        <v>1181.2145241919789</v>
      </c>
      <c r="AH130" s="110">
        <f t="shared" si="79"/>
        <v>1181.2145241919789</v>
      </c>
      <c r="AI130" s="91"/>
      <c r="AJ130" s="91"/>
      <c r="AK130" s="91"/>
      <c r="AL130" s="91"/>
      <c r="AM130" s="91"/>
      <c r="AN130" s="91"/>
      <c r="AO130" s="91"/>
      <c r="AP130" s="91"/>
      <c r="AQ130" s="91"/>
      <c r="AR130" s="91"/>
      <c r="AS130" s="92"/>
      <c r="AT130" s="115"/>
      <c r="AU130" s="115"/>
      <c r="AV130" s="115"/>
      <c r="AW130" s="115"/>
      <c r="AX130" s="115"/>
      <c r="AY130" s="115"/>
      <c r="AZ130" s="115"/>
    </row>
    <row r="131" spans="1:52" x14ac:dyDescent="0.8">
      <c r="A131" s="35" t="s">
        <v>310</v>
      </c>
      <c r="B131" s="40">
        <v>17</v>
      </c>
      <c r="C131" s="40"/>
      <c r="D131" s="40"/>
      <c r="E131" s="40"/>
      <c r="F131" s="40"/>
      <c r="G131" s="40"/>
      <c r="H131" s="40"/>
      <c r="I131" s="40"/>
      <c r="J131" s="40"/>
      <c r="K131" s="40"/>
      <c r="L131" s="90"/>
      <c r="M131" s="91"/>
      <c r="N131" s="91"/>
      <c r="O131" s="91"/>
      <c r="P131" s="91"/>
      <c r="Q131" s="91"/>
      <c r="R131" s="90"/>
      <c r="S131" s="91"/>
      <c r="T131" s="91"/>
      <c r="U131" s="91"/>
      <c r="V131" s="91"/>
      <c r="W131" s="91"/>
      <c r="X131" s="91"/>
      <c r="Y131" s="91"/>
      <c r="Z131" s="91"/>
      <c r="AA131" s="91"/>
      <c r="AB131" s="110">
        <f>AB35/B47</f>
        <v>965.79871933501272</v>
      </c>
      <c r="AC131" s="110">
        <f t="shared" ref="AC131:AI131" si="80">AB131</f>
        <v>965.79871933501272</v>
      </c>
      <c r="AD131" s="110">
        <f t="shared" si="80"/>
        <v>965.79871933501272</v>
      </c>
      <c r="AE131" s="110">
        <f t="shared" si="80"/>
        <v>965.79871933501272</v>
      </c>
      <c r="AF131" s="110">
        <f t="shared" si="80"/>
        <v>965.79871933501272</v>
      </c>
      <c r="AG131" s="110">
        <f t="shared" si="80"/>
        <v>965.79871933501272</v>
      </c>
      <c r="AH131" s="110">
        <f t="shared" si="80"/>
        <v>965.79871933501272</v>
      </c>
      <c r="AI131" s="110">
        <f t="shared" si="80"/>
        <v>965.79871933501272</v>
      </c>
      <c r="AJ131" s="91"/>
      <c r="AK131" s="91"/>
      <c r="AL131" s="91"/>
      <c r="AM131" s="91"/>
      <c r="AN131" s="91"/>
      <c r="AO131" s="91"/>
      <c r="AP131" s="91"/>
      <c r="AQ131" s="91"/>
      <c r="AR131" s="91"/>
      <c r="AS131" s="92"/>
      <c r="AT131" s="115"/>
      <c r="AU131" s="115"/>
      <c r="AV131" s="115"/>
      <c r="AW131" s="115"/>
      <c r="AX131" s="115"/>
      <c r="AY131" s="115"/>
      <c r="AZ131" s="115"/>
    </row>
    <row r="132" spans="1:52" x14ac:dyDescent="0.8">
      <c r="A132" s="35" t="s">
        <v>310</v>
      </c>
      <c r="B132" s="40">
        <v>18</v>
      </c>
      <c r="C132" s="40"/>
      <c r="D132" s="40"/>
      <c r="E132" s="40"/>
      <c r="F132" s="40"/>
      <c r="G132" s="40"/>
      <c r="H132" s="40"/>
      <c r="I132" s="40"/>
      <c r="J132" s="40"/>
      <c r="K132" s="40"/>
      <c r="L132" s="90"/>
      <c r="M132" s="91"/>
      <c r="N132" s="91"/>
      <c r="O132" s="91"/>
      <c r="P132" s="91"/>
      <c r="Q132" s="91"/>
      <c r="R132" s="90"/>
      <c r="S132" s="91"/>
      <c r="T132" s="91"/>
      <c r="U132" s="91"/>
      <c r="V132" s="91"/>
      <c r="W132" s="91"/>
      <c r="X132" s="91"/>
      <c r="Y132" s="91"/>
      <c r="Z132" s="91"/>
      <c r="AA132" s="91"/>
      <c r="AB132" s="91"/>
      <c r="AC132" s="110">
        <f>AC35/B47</f>
        <v>786.26209714663128</v>
      </c>
      <c r="AD132" s="110">
        <f t="shared" ref="AD132:AJ132" si="81">AC132</f>
        <v>786.26209714663128</v>
      </c>
      <c r="AE132" s="110">
        <f t="shared" si="81"/>
        <v>786.26209714663128</v>
      </c>
      <c r="AF132" s="110">
        <f t="shared" si="81"/>
        <v>786.26209714663128</v>
      </c>
      <c r="AG132" s="110">
        <f t="shared" si="81"/>
        <v>786.26209714663128</v>
      </c>
      <c r="AH132" s="110">
        <f t="shared" si="81"/>
        <v>786.26209714663128</v>
      </c>
      <c r="AI132" s="110">
        <f t="shared" si="81"/>
        <v>786.26209714663128</v>
      </c>
      <c r="AJ132" s="110">
        <f t="shared" si="81"/>
        <v>786.26209714663128</v>
      </c>
      <c r="AK132" s="91"/>
      <c r="AL132" s="91"/>
      <c r="AM132" s="91"/>
      <c r="AN132" s="91"/>
      <c r="AO132" s="91"/>
      <c r="AP132" s="91"/>
      <c r="AQ132" s="91"/>
      <c r="AR132" s="91"/>
      <c r="AS132" s="92"/>
      <c r="AT132" s="115"/>
      <c r="AU132" s="115"/>
      <c r="AV132" s="115"/>
      <c r="AW132" s="115"/>
      <c r="AX132" s="115"/>
      <c r="AY132" s="115"/>
      <c r="AZ132" s="115"/>
    </row>
    <row r="133" spans="1:52" x14ac:dyDescent="0.8">
      <c r="A133" s="35" t="s">
        <v>310</v>
      </c>
      <c r="B133" s="40">
        <v>19</v>
      </c>
      <c r="C133" s="40"/>
      <c r="D133" s="40"/>
      <c r="E133" s="40"/>
      <c r="F133" s="40"/>
      <c r="G133" s="40"/>
      <c r="H133" s="40"/>
      <c r="I133" s="40"/>
      <c r="J133" s="40"/>
      <c r="K133" s="40"/>
      <c r="L133" s="90"/>
      <c r="M133" s="91"/>
      <c r="N133" s="91"/>
      <c r="O133" s="91"/>
      <c r="P133" s="91"/>
      <c r="Q133" s="91"/>
      <c r="R133" s="90"/>
      <c r="S133" s="91"/>
      <c r="T133" s="91"/>
      <c r="U133" s="91"/>
      <c r="V133" s="91"/>
      <c r="W133" s="91"/>
      <c r="X133" s="91"/>
      <c r="Y133" s="91"/>
      <c r="Z133" s="91"/>
      <c r="AA133" s="91"/>
      <c r="AB133" s="91"/>
      <c r="AC133" s="91"/>
      <c r="AD133" s="110">
        <f>AD35/B47</f>
        <v>637.88220488576917</v>
      </c>
      <c r="AE133" s="110">
        <f t="shared" ref="AE133:AK133" si="82">AD133</f>
        <v>637.88220488576917</v>
      </c>
      <c r="AF133" s="110">
        <f t="shared" si="82"/>
        <v>637.88220488576917</v>
      </c>
      <c r="AG133" s="110">
        <f t="shared" si="82"/>
        <v>637.88220488576917</v>
      </c>
      <c r="AH133" s="110">
        <f t="shared" si="82"/>
        <v>637.88220488576917</v>
      </c>
      <c r="AI133" s="110">
        <f t="shared" si="82"/>
        <v>637.88220488576917</v>
      </c>
      <c r="AJ133" s="110">
        <f t="shared" si="82"/>
        <v>637.88220488576917</v>
      </c>
      <c r="AK133" s="110">
        <f t="shared" si="82"/>
        <v>637.88220488576917</v>
      </c>
      <c r="AL133" s="91"/>
      <c r="AM133" s="91"/>
      <c r="AN133" s="91"/>
      <c r="AO133" s="91"/>
      <c r="AP133" s="91"/>
      <c r="AQ133" s="91"/>
      <c r="AR133" s="91"/>
      <c r="AS133" s="92"/>
      <c r="AT133" s="115"/>
      <c r="AU133" s="115"/>
      <c r="AV133" s="115"/>
      <c r="AW133" s="115"/>
      <c r="AX133" s="115"/>
      <c r="AY133" s="115"/>
      <c r="AZ133" s="115"/>
    </row>
    <row r="134" spans="1:52" x14ac:dyDescent="0.8">
      <c r="A134" s="35" t="s">
        <v>310</v>
      </c>
      <c r="B134" s="40">
        <v>20</v>
      </c>
      <c r="C134" s="40"/>
      <c r="D134" s="40"/>
      <c r="E134" s="40"/>
      <c r="F134" s="40"/>
      <c r="G134" s="40"/>
      <c r="H134" s="40"/>
      <c r="I134" s="40"/>
      <c r="J134" s="40"/>
      <c r="K134" s="40"/>
      <c r="L134" s="90"/>
      <c r="M134" s="91"/>
      <c r="N134" s="91"/>
      <c r="O134" s="91"/>
      <c r="P134" s="91"/>
      <c r="Q134" s="91"/>
      <c r="R134" s="90"/>
      <c r="S134" s="91"/>
      <c r="T134" s="91"/>
      <c r="U134" s="91"/>
      <c r="V134" s="91"/>
      <c r="W134" s="91"/>
      <c r="X134" s="91"/>
      <c r="Y134" s="91"/>
      <c r="Z134" s="91"/>
      <c r="AA134" s="91"/>
      <c r="AB134" s="91"/>
      <c r="AC134" s="91"/>
      <c r="AD134" s="91"/>
      <c r="AE134" s="110">
        <f>AE35/B47</f>
        <v>3.1441011082788464</v>
      </c>
      <c r="AF134" s="110">
        <f t="shared" ref="AF134:AL134" si="83">AE134</f>
        <v>3.1441011082788464</v>
      </c>
      <c r="AG134" s="110">
        <f t="shared" si="83"/>
        <v>3.1441011082788464</v>
      </c>
      <c r="AH134" s="110">
        <f t="shared" si="83"/>
        <v>3.1441011082788464</v>
      </c>
      <c r="AI134" s="110">
        <f t="shared" si="83"/>
        <v>3.1441011082788464</v>
      </c>
      <c r="AJ134" s="110">
        <f t="shared" si="83"/>
        <v>3.1441011082788464</v>
      </c>
      <c r="AK134" s="110">
        <f t="shared" si="83"/>
        <v>3.1441011082788464</v>
      </c>
      <c r="AL134" s="110">
        <f t="shared" si="83"/>
        <v>3.1441011082788464</v>
      </c>
      <c r="AM134" s="91"/>
      <c r="AN134" s="91"/>
      <c r="AO134" s="91"/>
      <c r="AP134" s="91"/>
      <c r="AQ134" s="91"/>
      <c r="AR134" s="91"/>
      <c r="AS134" s="92"/>
      <c r="AT134" s="115"/>
      <c r="AU134" s="115"/>
      <c r="AV134" s="115"/>
      <c r="AW134" s="115"/>
      <c r="AX134" s="115"/>
      <c r="AY134" s="115"/>
      <c r="AZ134" s="115"/>
    </row>
    <row r="135" spans="1:52" x14ac:dyDescent="0.8">
      <c r="A135" s="35" t="s">
        <v>310</v>
      </c>
      <c r="B135" s="40">
        <v>21</v>
      </c>
      <c r="C135" s="40"/>
      <c r="D135" s="40"/>
      <c r="E135" s="40"/>
      <c r="F135" s="40"/>
      <c r="G135" s="40"/>
      <c r="H135" s="40"/>
      <c r="I135" s="40"/>
      <c r="J135" s="40"/>
      <c r="K135" s="40"/>
      <c r="L135" s="90"/>
      <c r="M135" s="91"/>
      <c r="N135" s="91"/>
      <c r="O135" s="91"/>
      <c r="P135" s="91"/>
      <c r="Q135" s="91"/>
      <c r="R135" s="90"/>
      <c r="S135" s="91"/>
      <c r="T135" s="91"/>
      <c r="U135" s="91"/>
      <c r="V135" s="91"/>
      <c r="W135" s="91"/>
      <c r="X135" s="91"/>
      <c r="Y135" s="91"/>
      <c r="Z135" s="91"/>
      <c r="AA135" s="91"/>
      <c r="AB135" s="91"/>
      <c r="AC135" s="91"/>
      <c r="AD135" s="91"/>
      <c r="AE135" s="91"/>
      <c r="AF135" s="110">
        <f>AF35/B47</f>
        <v>3.144274033838883</v>
      </c>
      <c r="AG135" s="110">
        <f t="shared" ref="AG135:AM135" si="84">AF135</f>
        <v>3.144274033838883</v>
      </c>
      <c r="AH135" s="110">
        <f t="shared" si="84"/>
        <v>3.144274033838883</v>
      </c>
      <c r="AI135" s="110">
        <f t="shared" si="84"/>
        <v>3.144274033838883</v>
      </c>
      <c r="AJ135" s="110">
        <f t="shared" si="84"/>
        <v>3.144274033838883</v>
      </c>
      <c r="AK135" s="110">
        <f t="shared" si="84"/>
        <v>3.144274033838883</v>
      </c>
      <c r="AL135" s="110">
        <f t="shared" si="84"/>
        <v>3.144274033838883</v>
      </c>
      <c r="AM135" s="110">
        <f t="shared" si="84"/>
        <v>3.144274033838883</v>
      </c>
      <c r="AN135" s="91"/>
      <c r="AO135" s="91"/>
      <c r="AP135" s="91"/>
      <c r="AQ135" s="91"/>
      <c r="AR135" s="91"/>
      <c r="AS135" s="92"/>
      <c r="AT135" s="115"/>
      <c r="AU135" s="115"/>
      <c r="AV135" s="115"/>
      <c r="AW135" s="115"/>
      <c r="AX135" s="115"/>
      <c r="AY135" s="115"/>
      <c r="AZ135" s="115"/>
    </row>
    <row r="136" spans="1:52" x14ac:dyDescent="0.8">
      <c r="A136" s="35" t="s">
        <v>310</v>
      </c>
      <c r="B136" s="40">
        <v>22</v>
      </c>
      <c r="C136" s="40"/>
      <c r="D136" s="40"/>
      <c r="E136" s="40"/>
      <c r="F136" s="40"/>
      <c r="G136" s="40"/>
      <c r="H136" s="40"/>
      <c r="I136" s="40"/>
      <c r="J136" s="40"/>
      <c r="K136" s="40"/>
      <c r="L136" s="90"/>
      <c r="M136" s="91"/>
      <c r="N136" s="91"/>
      <c r="O136" s="91"/>
      <c r="P136" s="91"/>
      <c r="Q136" s="91"/>
      <c r="R136" s="90"/>
      <c r="S136" s="91"/>
      <c r="T136" s="91"/>
      <c r="U136" s="91"/>
      <c r="V136" s="91"/>
      <c r="W136" s="91"/>
      <c r="X136" s="91"/>
      <c r="Y136" s="91"/>
      <c r="Z136" s="91"/>
      <c r="AA136" s="91"/>
      <c r="AB136" s="91"/>
      <c r="AC136" s="91"/>
      <c r="AD136" s="91"/>
      <c r="AE136" s="91"/>
      <c r="AF136" s="91"/>
      <c r="AG136" s="110">
        <f>AG35/B47</f>
        <v>3.1444469689085963</v>
      </c>
      <c r="AH136" s="110">
        <f t="shared" ref="AH136:AN136" si="85">AG136</f>
        <v>3.1444469689085963</v>
      </c>
      <c r="AI136" s="110">
        <f t="shared" si="85"/>
        <v>3.1444469689085963</v>
      </c>
      <c r="AJ136" s="110">
        <f t="shared" si="85"/>
        <v>3.1444469689085963</v>
      </c>
      <c r="AK136" s="110">
        <f t="shared" si="85"/>
        <v>3.1444469689085963</v>
      </c>
      <c r="AL136" s="110">
        <f t="shared" si="85"/>
        <v>3.1444469689085963</v>
      </c>
      <c r="AM136" s="110">
        <f t="shared" si="85"/>
        <v>3.1444469689085963</v>
      </c>
      <c r="AN136" s="110">
        <f t="shared" si="85"/>
        <v>3.1444469689085963</v>
      </c>
      <c r="AO136" s="91"/>
      <c r="AP136" s="91"/>
      <c r="AQ136" s="91"/>
      <c r="AR136" s="91"/>
      <c r="AS136" s="92"/>
      <c r="AT136" s="115"/>
      <c r="AU136" s="115"/>
      <c r="AV136" s="115"/>
      <c r="AW136" s="115"/>
      <c r="AX136" s="115"/>
      <c r="AY136" s="115"/>
      <c r="AZ136" s="115"/>
    </row>
    <row r="137" spans="1:52" x14ac:dyDescent="0.8">
      <c r="A137" s="35" t="s">
        <v>310</v>
      </c>
      <c r="B137" s="40">
        <v>23</v>
      </c>
      <c r="C137" s="40"/>
      <c r="D137" s="40"/>
      <c r="E137" s="40"/>
      <c r="F137" s="40"/>
      <c r="G137" s="40"/>
      <c r="H137" s="40"/>
      <c r="I137" s="40"/>
      <c r="J137" s="40"/>
      <c r="K137" s="40"/>
      <c r="L137" s="90"/>
      <c r="M137" s="91"/>
      <c r="N137" s="91"/>
      <c r="O137" s="91"/>
      <c r="P137" s="91"/>
      <c r="Q137" s="91"/>
      <c r="R137" s="90"/>
      <c r="S137" s="91"/>
      <c r="T137" s="91"/>
      <c r="U137" s="91"/>
      <c r="V137" s="91"/>
      <c r="W137" s="91"/>
      <c r="X137" s="91"/>
      <c r="Y137" s="91"/>
      <c r="Z137" s="91"/>
      <c r="AA137" s="91"/>
      <c r="AB137" s="91"/>
      <c r="AC137" s="91"/>
      <c r="AD137" s="91"/>
      <c r="AE137" s="91"/>
      <c r="AF137" s="91"/>
      <c r="AG137" s="91"/>
      <c r="AH137" s="91">
        <f>AH35/B47</f>
        <v>3.1446199135025381</v>
      </c>
      <c r="AI137" s="110">
        <f t="shared" ref="AI137:AO137" si="86">AH137</f>
        <v>3.1446199135025381</v>
      </c>
      <c r="AJ137" s="110">
        <f t="shared" si="86"/>
        <v>3.1446199135025381</v>
      </c>
      <c r="AK137" s="110">
        <f t="shared" si="86"/>
        <v>3.1446199135025381</v>
      </c>
      <c r="AL137" s="110">
        <f t="shared" si="86"/>
        <v>3.1446199135025381</v>
      </c>
      <c r="AM137" s="110">
        <f t="shared" si="86"/>
        <v>3.1446199135025381</v>
      </c>
      <c r="AN137" s="110">
        <f t="shared" si="86"/>
        <v>3.1446199135025381</v>
      </c>
      <c r="AO137" s="110">
        <f t="shared" si="86"/>
        <v>3.1446199135025381</v>
      </c>
      <c r="AP137" s="91"/>
      <c r="AQ137" s="91"/>
      <c r="AR137" s="91"/>
      <c r="AS137" s="92"/>
      <c r="AT137" s="115"/>
      <c r="AU137" s="115"/>
      <c r="AV137" s="115"/>
      <c r="AW137" s="115"/>
      <c r="AX137" s="115"/>
      <c r="AY137" s="115"/>
      <c r="AZ137" s="115"/>
    </row>
    <row r="138" spans="1:52" x14ac:dyDescent="0.8">
      <c r="A138" s="35" t="s">
        <v>310</v>
      </c>
      <c r="B138" s="40">
        <v>24</v>
      </c>
      <c r="C138" s="40"/>
      <c r="D138" s="40"/>
      <c r="E138" s="40"/>
      <c r="F138" s="40"/>
      <c r="G138" s="40"/>
      <c r="H138" s="40"/>
      <c r="I138" s="40"/>
      <c r="J138" s="40"/>
      <c r="K138" s="40"/>
      <c r="L138" s="90"/>
      <c r="M138" s="91"/>
      <c r="N138" s="91"/>
      <c r="O138" s="91"/>
      <c r="P138" s="91"/>
      <c r="Q138" s="91"/>
      <c r="R138" s="90"/>
      <c r="S138" s="91"/>
      <c r="T138" s="91"/>
      <c r="U138" s="91"/>
      <c r="V138" s="91"/>
      <c r="W138" s="91"/>
      <c r="X138" s="91"/>
      <c r="Y138" s="91"/>
      <c r="Z138" s="91"/>
      <c r="AA138" s="91"/>
      <c r="AB138" s="91"/>
      <c r="AC138" s="91"/>
      <c r="AD138" s="91"/>
      <c r="AE138" s="91"/>
      <c r="AF138" s="91"/>
      <c r="AG138" s="91"/>
      <c r="AH138" s="91"/>
      <c r="AI138" s="91">
        <f>AI35/B47</f>
        <v>3.1447928675843286</v>
      </c>
      <c r="AJ138" s="110">
        <f t="shared" ref="AJ138:AP138" si="87">AI138</f>
        <v>3.1447928675843286</v>
      </c>
      <c r="AK138" s="110">
        <f t="shared" si="87"/>
        <v>3.1447928675843286</v>
      </c>
      <c r="AL138" s="110">
        <f t="shared" si="87"/>
        <v>3.1447928675843286</v>
      </c>
      <c r="AM138" s="110">
        <f t="shared" si="87"/>
        <v>3.1447928675843286</v>
      </c>
      <c r="AN138" s="110">
        <f t="shared" si="87"/>
        <v>3.1447928675843286</v>
      </c>
      <c r="AO138" s="110">
        <f t="shared" si="87"/>
        <v>3.1447928675843286</v>
      </c>
      <c r="AP138" s="110">
        <f t="shared" si="87"/>
        <v>3.1447928675843286</v>
      </c>
      <c r="AQ138" s="91"/>
      <c r="AR138" s="91"/>
      <c r="AS138" s="92"/>
      <c r="AT138" s="115"/>
      <c r="AU138" s="115"/>
      <c r="AV138" s="115"/>
      <c r="AW138" s="115"/>
      <c r="AX138" s="115"/>
      <c r="AY138" s="115"/>
      <c r="AZ138" s="115"/>
    </row>
    <row r="139" spans="1:52" x14ac:dyDescent="0.8">
      <c r="A139" s="35" t="s">
        <v>310</v>
      </c>
      <c r="B139" s="40">
        <v>25</v>
      </c>
      <c r="C139" s="40"/>
      <c r="D139" s="40"/>
      <c r="E139" s="40"/>
      <c r="F139" s="40"/>
      <c r="G139" s="40"/>
      <c r="H139" s="40"/>
      <c r="I139" s="40"/>
      <c r="J139" s="40"/>
      <c r="K139" s="40"/>
      <c r="L139" s="90"/>
      <c r="M139" s="91"/>
      <c r="N139" s="91"/>
      <c r="O139" s="91"/>
      <c r="P139" s="91"/>
      <c r="Q139" s="91"/>
      <c r="R139" s="90"/>
      <c r="S139" s="91"/>
      <c r="T139" s="91"/>
      <c r="U139" s="91"/>
      <c r="V139" s="91"/>
      <c r="W139" s="91"/>
      <c r="X139" s="91"/>
      <c r="Y139" s="91"/>
      <c r="Z139" s="91"/>
      <c r="AA139" s="91"/>
      <c r="AB139" s="91"/>
      <c r="AC139" s="91"/>
      <c r="AD139" s="91"/>
      <c r="AE139" s="91"/>
      <c r="AF139" s="91"/>
      <c r="AG139" s="91"/>
      <c r="AH139" s="91"/>
      <c r="AI139" s="91"/>
      <c r="AJ139" s="110">
        <f>AJ35/B47</f>
        <v>3.1449658311976236</v>
      </c>
      <c r="AK139" s="110">
        <f t="shared" ref="AK139:AQ139" si="88">AJ139</f>
        <v>3.1449658311976236</v>
      </c>
      <c r="AL139" s="110">
        <f t="shared" si="88"/>
        <v>3.1449658311976236</v>
      </c>
      <c r="AM139" s="110">
        <f t="shared" si="88"/>
        <v>3.1449658311976236</v>
      </c>
      <c r="AN139" s="110">
        <f t="shared" si="88"/>
        <v>3.1449658311976236</v>
      </c>
      <c r="AO139" s="110">
        <f t="shared" si="88"/>
        <v>3.1449658311976236</v>
      </c>
      <c r="AP139" s="110">
        <f t="shared" si="88"/>
        <v>3.1449658311976236</v>
      </c>
      <c r="AQ139" s="110">
        <f t="shared" si="88"/>
        <v>3.1449658311976236</v>
      </c>
      <c r="AR139" s="91"/>
      <c r="AS139" s="92"/>
      <c r="AT139" s="115"/>
      <c r="AU139" s="115"/>
      <c r="AV139" s="115"/>
      <c r="AW139" s="115"/>
      <c r="AX139" s="115"/>
      <c r="AY139" s="115"/>
      <c r="AZ139" s="115"/>
    </row>
    <row r="140" spans="1:52" x14ac:dyDescent="0.8">
      <c r="A140" s="35" t="s">
        <v>310</v>
      </c>
      <c r="B140" s="40">
        <v>26</v>
      </c>
      <c r="C140" s="40"/>
      <c r="D140" s="40"/>
      <c r="E140" s="40"/>
      <c r="F140" s="40"/>
      <c r="G140" s="40"/>
      <c r="H140" s="40"/>
      <c r="I140" s="40"/>
      <c r="J140" s="40"/>
      <c r="K140" s="40"/>
      <c r="L140" s="90"/>
      <c r="M140" s="91"/>
      <c r="N140" s="91"/>
      <c r="O140" s="91"/>
      <c r="P140" s="91"/>
      <c r="Q140" s="91"/>
      <c r="R140" s="90"/>
      <c r="S140" s="91"/>
      <c r="T140" s="91"/>
      <c r="U140" s="91"/>
      <c r="V140" s="91"/>
      <c r="W140" s="91"/>
      <c r="X140" s="91"/>
      <c r="Y140" s="91"/>
      <c r="Z140" s="91"/>
      <c r="AA140" s="91"/>
      <c r="AB140" s="91"/>
      <c r="AC140" s="91"/>
      <c r="AD140" s="91"/>
      <c r="AE140" s="91"/>
      <c r="AF140" s="91"/>
      <c r="AG140" s="91"/>
      <c r="AH140" s="91"/>
      <c r="AI140" s="91"/>
      <c r="AJ140" s="91"/>
      <c r="AK140" s="110">
        <f>AK35/B47</f>
        <v>3.1451388043205952</v>
      </c>
      <c r="AL140" s="110">
        <f t="shared" ref="AL140:AR140" si="89">AK140</f>
        <v>3.1451388043205952</v>
      </c>
      <c r="AM140" s="110">
        <f t="shared" si="89"/>
        <v>3.1451388043205952</v>
      </c>
      <c r="AN140" s="110">
        <f t="shared" si="89"/>
        <v>3.1451388043205952</v>
      </c>
      <c r="AO140" s="110">
        <f t="shared" si="89"/>
        <v>3.1451388043205952</v>
      </c>
      <c r="AP140" s="110">
        <f t="shared" si="89"/>
        <v>3.1451388043205952</v>
      </c>
      <c r="AQ140" s="110">
        <f t="shared" si="89"/>
        <v>3.1451388043205952</v>
      </c>
      <c r="AR140" s="110">
        <f t="shared" si="89"/>
        <v>3.1451388043205952</v>
      </c>
      <c r="AS140" s="92"/>
      <c r="AT140" s="115"/>
      <c r="AU140" s="115"/>
      <c r="AV140" s="115"/>
      <c r="AW140" s="115"/>
      <c r="AX140" s="115"/>
      <c r="AY140" s="115"/>
      <c r="AZ140" s="115"/>
    </row>
    <row r="141" spans="1:52" x14ac:dyDescent="0.8">
      <c r="A141" s="35" t="s">
        <v>310</v>
      </c>
      <c r="B141" s="40">
        <v>27</v>
      </c>
      <c r="C141" s="40"/>
      <c r="D141" s="40"/>
      <c r="E141" s="40"/>
      <c r="F141" s="40"/>
      <c r="G141" s="40"/>
      <c r="H141" s="40"/>
      <c r="I141" s="40"/>
      <c r="J141" s="40"/>
      <c r="K141" s="40"/>
      <c r="L141" s="90"/>
      <c r="M141" s="91"/>
      <c r="N141" s="91"/>
      <c r="O141" s="91"/>
      <c r="P141" s="91"/>
      <c r="Q141" s="91"/>
      <c r="R141" s="90"/>
      <c r="S141" s="91"/>
      <c r="T141" s="91"/>
      <c r="U141" s="91"/>
      <c r="V141" s="91"/>
      <c r="W141" s="91"/>
      <c r="X141" s="91"/>
      <c r="Y141" s="91"/>
      <c r="Z141" s="91"/>
      <c r="AA141" s="91"/>
      <c r="AB141" s="91"/>
      <c r="AC141" s="91"/>
      <c r="AD141" s="91"/>
      <c r="AE141" s="91"/>
      <c r="AF141" s="91"/>
      <c r="AG141" s="91"/>
      <c r="AH141" s="91"/>
      <c r="AI141" s="91"/>
      <c r="AJ141" s="91"/>
      <c r="AK141" s="91"/>
      <c r="AL141" s="110">
        <f>AL35/B47</f>
        <v>3.1453117869532434</v>
      </c>
      <c r="AM141" s="110">
        <f t="shared" ref="AM141:AS141" si="90">AL141</f>
        <v>3.1453117869532434</v>
      </c>
      <c r="AN141" s="110">
        <f t="shared" si="90"/>
        <v>3.1453117869532434</v>
      </c>
      <c r="AO141" s="110">
        <f t="shared" si="90"/>
        <v>3.1453117869532434</v>
      </c>
      <c r="AP141" s="110">
        <f t="shared" si="90"/>
        <v>3.1453117869532434</v>
      </c>
      <c r="AQ141" s="110">
        <f t="shared" si="90"/>
        <v>3.1453117869532434</v>
      </c>
      <c r="AR141" s="110">
        <f t="shared" si="90"/>
        <v>3.1453117869532434</v>
      </c>
      <c r="AS141" s="116">
        <f t="shared" si="90"/>
        <v>3.1453117869532434</v>
      </c>
      <c r="AT141" s="115"/>
      <c r="AU141" s="115"/>
      <c r="AV141" s="115"/>
      <c r="AW141" s="115"/>
      <c r="AX141" s="115"/>
      <c r="AY141" s="115"/>
      <c r="AZ141" s="115"/>
    </row>
    <row r="142" spans="1:52" x14ac:dyDescent="0.8">
      <c r="A142" s="35" t="s">
        <v>310</v>
      </c>
      <c r="B142" s="40">
        <v>28</v>
      </c>
      <c r="C142" s="40"/>
      <c r="D142" s="40"/>
      <c r="E142" s="40"/>
      <c r="F142" s="40"/>
      <c r="G142" s="40"/>
      <c r="H142" s="40"/>
      <c r="I142" s="40"/>
      <c r="J142" s="40"/>
      <c r="K142" s="40"/>
      <c r="L142" s="90"/>
      <c r="M142" s="91"/>
      <c r="N142" s="91"/>
      <c r="O142" s="91"/>
      <c r="P142" s="91"/>
      <c r="Q142" s="91"/>
      <c r="R142" s="90"/>
      <c r="S142" s="91"/>
      <c r="T142" s="91"/>
      <c r="U142" s="91"/>
      <c r="V142" s="91"/>
      <c r="W142" s="91"/>
      <c r="X142" s="91"/>
      <c r="Y142" s="91"/>
      <c r="Z142" s="91"/>
      <c r="AA142" s="91"/>
      <c r="AB142" s="91"/>
      <c r="AC142" s="91"/>
      <c r="AD142" s="91"/>
      <c r="AE142" s="91"/>
      <c r="AF142" s="91"/>
      <c r="AG142" s="91"/>
      <c r="AH142" s="91"/>
      <c r="AI142" s="91"/>
      <c r="AJ142" s="91"/>
      <c r="AK142" s="91"/>
      <c r="AL142" s="91"/>
      <c r="AM142" s="110">
        <f>AM35/B47</f>
        <v>3.1454847791028442</v>
      </c>
      <c r="AN142" s="110">
        <f t="shared" ref="AN142:AT142" si="91">AM142</f>
        <v>3.1454847791028442</v>
      </c>
      <c r="AO142" s="110">
        <f t="shared" si="91"/>
        <v>3.1454847791028442</v>
      </c>
      <c r="AP142" s="110">
        <f t="shared" si="91"/>
        <v>3.1454847791028442</v>
      </c>
      <c r="AQ142" s="110">
        <f t="shared" si="91"/>
        <v>3.1454847791028442</v>
      </c>
      <c r="AR142" s="110">
        <f t="shared" si="91"/>
        <v>3.1454847791028442</v>
      </c>
      <c r="AS142" s="116">
        <f t="shared" si="91"/>
        <v>3.1454847791028442</v>
      </c>
      <c r="AT142" s="107">
        <f t="shared" si="91"/>
        <v>3.1454847791028442</v>
      </c>
      <c r="AU142" s="115"/>
      <c r="AV142" s="115"/>
      <c r="AW142" s="115"/>
      <c r="AX142" s="115"/>
      <c r="AY142" s="115"/>
      <c r="AZ142" s="115"/>
    </row>
    <row r="143" spans="1:52" x14ac:dyDescent="0.8">
      <c r="A143" s="35" t="s">
        <v>310</v>
      </c>
      <c r="B143" s="40">
        <v>29</v>
      </c>
      <c r="C143" s="40"/>
      <c r="D143" s="40"/>
      <c r="E143" s="40"/>
      <c r="F143" s="40"/>
      <c r="G143" s="40"/>
      <c r="H143" s="40"/>
      <c r="I143" s="40"/>
      <c r="J143" s="40"/>
      <c r="K143" s="40"/>
      <c r="L143" s="90"/>
      <c r="M143" s="91"/>
      <c r="N143" s="91"/>
      <c r="O143" s="91"/>
      <c r="P143" s="91"/>
      <c r="Q143" s="91"/>
      <c r="R143" s="90"/>
      <c r="S143" s="91"/>
      <c r="T143" s="91"/>
      <c r="U143" s="91"/>
      <c r="V143" s="91"/>
      <c r="W143" s="91"/>
      <c r="X143" s="91"/>
      <c r="Y143" s="91"/>
      <c r="Z143" s="91"/>
      <c r="AA143" s="91"/>
      <c r="AB143" s="91"/>
      <c r="AC143" s="91"/>
      <c r="AD143" s="91"/>
      <c r="AE143" s="91"/>
      <c r="AF143" s="91"/>
      <c r="AG143" s="91"/>
      <c r="AH143" s="91"/>
      <c r="AI143" s="91"/>
      <c r="AJ143" s="91"/>
      <c r="AK143" s="91"/>
      <c r="AL143" s="91"/>
      <c r="AM143" s="91"/>
      <c r="AN143" s="110">
        <f>AN35/B47</f>
        <v>3.1456577807693975</v>
      </c>
      <c r="AO143" s="110">
        <f t="shared" ref="AO143:AU143" si="92">AN143</f>
        <v>3.1456577807693975</v>
      </c>
      <c r="AP143" s="110">
        <f t="shared" si="92"/>
        <v>3.1456577807693975</v>
      </c>
      <c r="AQ143" s="110">
        <f t="shared" si="92"/>
        <v>3.1456577807693975</v>
      </c>
      <c r="AR143" s="110">
        <f t="shared" si="92"/>
        <v>3.1456577807693975</v>
      </c>
      <c r="AS143" s="116">
        <f t="shared" si="92"/>
        <v>3.1456577807693975</v>
      </c>
      <c r="AT143" s="107">
        <f t="shared" si="92"/>
        <v>3.1456577807693975</v>
      </c>
      <c r="AU143" s="107">
        <f t="shared" si="92"/>
        <v>3.1456577807693975</v>
      </c>
      <c r="AV143" s="107"/>
      <c r="AW143" s="107"/>
      <c r="AX143" s="107"/>
      <c r="AY143" s="107"/>
      <c r="AZ143" s="107"/>
    </row>
    <row r="144" spans="1:52" x14ac:dyDescent="0.8">
      <c r="A144" s="35" t="s">
        <v>310</v>
      </c>
      <c r="B144" s="40">
        <v>30</v>
      </c>
      <c r="C144" s="40"/>
      <c r="D144" s="40"/>
      <c r="E144" s="40"/>
      <c r="F144" s="40"/>
      <c r="G144" s="40"/>
      <c r="H144" s="40"/>
      <c r="I144" s="40"/>
      <c r="J144" s="40"/>
      <c r="K144" s="40"/>
      <c r="L144" s="90"/>
      <c r="M144" s="91"/>
      <c r="N144" s="91"/>
      <c r="O144" s="91"/>
      <c r="P144" s="91"/>
      <c r="Q144" s="91"/>
      <c r="R144" s="90"/>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110">
        <f>AO35/B47</f>
        <v>3.1458307919383515</v>
      </c>
      <c r="AP144" s="110">
        <f t="shared" ref="AP144:AV144" si="93">AO144</f>
        <v>3.1458307919383515</v>
      </c>
      <c r="AQ144" s="110">
        <f t="shared" si="93"/>
        <v>3.1458307919383515</v>
      </c>
      <c r="AR144" s="110">
        <f t="shared" si="93"/>
        <v>3.1458307919383515</v>
      </c>
      <c r="AS144" s="116">
        <f t="shared" si="93"/>
        <v>3.1458307919383515</v>
      </c>
      <c r="AT144" s="107">
        <f t="shared" si="93"/>
        <v>3.1458307919383515</v>
      </c>
      <c r="AU144" s="107">
        <f t="shared" si="93"/>
        <v>3.1458307919383515</v>
      </c>
      <c r="AV144" s="107">
        <f t="shared" si="93"/>
        <v>3.1458307919383515</v>
      </c>
      <c r="AW144" s="107"/>
      <c r="AX144" s="107"/>
      <c r="AY144" s="107"/>
      <c r="AZ144" s="107"/>
    </row>
    <row r="145" spans="1:52" x14ac:dyDescent="0.8">
      <c r="A145" s="35" t="s">
        <v>310</v>
      </c>
      <c r="B145" s="40">
        <v>31</v>
      </c>
      <c r="C145" s="40"/>
      <c r="D145" s="40"/>
      <c r="E145" s="40"/>
      <c r="F145" s="40"/>
      <c r="G145" s="40"/>
      <c r="H145" s="40"/>
      <c r="I145" s="40"/>
      <c r="J145" s="40"/>
      <c r="K145" s="40"/>
      <c r="L145" s="90"/>
      <c r="M145" s="91"/>
      <c r="N145" s="91"/>
      <c r="O145" s="91"/>
      <c r="P145" s="91"/>
      <c r="Q145" s="91"/>
      <c r="R145" s="90"/>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110">
        <f>AP35/B47</f>
        <v>3.1460038126388099</v>
      </c>
      <c r="AQ145" s="110">
        <f t="shared" ref="AQ145:AW145" si="94">AP145</f>
        <v>3.1460038126388099</v>
      </c>
      <c r="AR145" s="110">
        <f t="shared" si="94"/>
        <v>3.1460038126388099</v>
      </c>
      <c r="AS145" s="116">
        <f t="shared" si="94"/>
        <v>3.1460038126388099</v>
      </c>
      <c r="AT145" s="107">
        <f t="shared" si="94"/>
        <v>3.1460038126388099</v>
      </c>
      <c r="AU145" s="107">
        <f t="shared" si="94"/>
        <v>3.1460038126388099</v>
      </c>
      <c r="AV145" s="107">
        <f t="shared" si="94"/>
        <v>3.1460038126388099</v>
      </c>
      <c r="AW145" s="107">
        <f t="shared" si="94"/>
        <v>3.1460038126388099</v>
      </c>
      <c r="AX145" s="107"/>
      <c r="AY145" s="107"/>
      <c r="AZ145" s="107"/>
    </row>
    <row r="146" spans="1:52" x14ac:dyDescent="0.8">
      <c r="A146" s="35" t="s">
        <v>310</v>
      </c>
      <c r="B146" s="40">
        <v>32</v>
      </c>
      <c r="C146" s="40"/>
      <c r="D146" s="40"/>
      <c r="E146" s="40"/>
      <c r="F146" s="40"/>
      <c r="G146" s="40"/>
      <c r="H146" s="40"/>
      <c r="I146" s="40"/>
      <c r="J146" s="40"/>
      <c r="K146" s="40"/>
      <c r="L146" s="90"/>
      <c r="M146" s="91"/>
      <c r="N146" s="91"/>
      <c r="O146" s="91"/>
      <c r="P146" s="91"/>
      <c r="Q146" s="91"/>
      <c r="R146" s="90"/>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110">
        <f>AQ35/B47</f>
        <v>3.1461768428489449</v>
      </c>
      <c r="AR146" s="110">
        <f t="shared" ref="AR146:AX146" si="95">AQ146</f>
        <v>3.1461768428489449</v>
      </c>
      <c r="AS146" s="92">
        <f t="shared" si="95"/>
        <v>3.1461768428489449</v>
      </c>
      <c r="AT146" s="107">
        <f t="shared" si="95"/>
        <v>3.1461768428489449</v>
      </c>
      <c r="AU146" s="107">
        <f t="shared" si="95"/>
        <v>3.1461768428489449</v>
      </c>
      <c r="AV146" s="107">
        <f t="shared" si="95"/>
        <v>3.1461768428489449</v>
      </c>
      <c r="AW146" s="107">
        <f t="shared" si="95"/>
        <v>3.1461768428489449</v>
      </c>
      <c r="AX146" s="107">
        <f t="shared" si="95"/>
        <v>3.1461768428489449</v>
      </c>
      <c r="AY146" s="107"/>
      <c r="AZ146" s="107"/>
    </row>
    <row r="147" spans="1:52" x14ac:dyDescent="0.8">
      <c r="A147" s="35" t="s">
        <v>310</v>
      </c>
      <c r="B147" s="40">
        <v>33</v>
      </c>
      <c r="C147" s="40"/>
      <c r="D147" s="40"/>
      <c r="E147" s="40"/>
      <c r="F147" s="40"/>
      <c r="G147" s="40"/>
      <c r="H147" s="40"/>
      <c r="I147" s="40"/>
      <c r="J147" s="40"/>
      <c r="K147" s="40"/>
      <c r="L147" s="90"/>
      <c r="M147" s="91"/>
      <c r="N147" s="91"/>
      <c r="O147" s="91"/>
      <c r="P147" s="91"/>
      <c r="Q147" s="91"/>
      <c r="R147" s="90"/>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110">
        <f>AR35/B47</f>
        <v>3.1463498825687566</v>
      </c>
      <c r="AS147" s="92">
        <f t="shared" ref="AS147:AY147" si="96">AR147</f>
        <v>3.1463498825687566</v>
      </c>
      <c r="AT147" s="107">
        <f t="shared" si="96"/>
        <v>3.1463498825687566</v>
      </c>
      <c r="AU147" s="107">
        <f t="shared" si="96"/>
        <v>3.1463498825687566</v>
      </c>
      <c r="AV147" s="107">
        <f t="shared" si="96"/>
        <v>3.1463498825687566</v>
      </c>
      <c r="AW147" s="107">
        <f t="shared" si="96"/>
        <v>3.1463498825687566</v>
      </c>
      <c r="AX147" s="107">
        <f t="shared" si="96"/>
        <v>3.1463498825687566</v>
      </c>
      <c r="AY147" s="107">
        <f t="shared" si="96"/>
        <v>3.1463498825687566</v>
      </c>
      <c r="AZ147" s="107"/>
    </row>
    <row r="148" spans="1:52" x14ac:dyDescent="0.8">
      <c r="A148" s="35" t="s">
        <v>310</v>
      </c>
      <c r="B148" s="40">
        <v>34</v>
      </c>
      <c r="C148" s="40"/>
      <c r="D148" s="40"/>
      <c r="E148" s="40"/>
      <c r="F148" s="40"/>
      <c r="G148" s="40"/>
      <c r="H148" s="40"/>
      <c r="I148" s="40"/>
      <c r="J148" s="40"/>
      <c r="K148" s="40"/>
      <c r="L148" s="90"/>
      <c r="M148" s="91"/>
      <c r="N148" s="91"/>
      <c r="O148" s="91"/>
      <c r="P148" s="91"/>
      <c r="Q148" s="91"/>
      <c r="R148" s="90"/>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2">
        <f>AS35/B47</f>
        <v>3.1465229318127967</v>
      </c>
      <c r="AT148" s="107">
        <f t="shared" ref="AT148:AZ148" si="97">AS148</f>
        <v>3.1465229318127967</v>
      </c>
      <c r="AU148" s="107">
        <f t="shared" si="97"/>
        <v>3.1465229318127967</v>
      </c>
      <c r="AV148" s="107">
        <f t="shared" si="97"/>
        <v>3.1465229318127967</v>
      </c>
      <c r="AW148" s="107">
        <f t="shared" si="97"/>
        <v>3.1465229318127967</v>
      </c>
      <c r="AX148" s="107">
        <f t="shared" si="97"/>
        <v>3.1465229318127967</v>
      </c>
      <c r="AY148" s="107">
        <f t="shared" si="97"/>
        <v>3.1465229318127967</v>
      </c>
      <c r="AZ148" s="107">
        <f t="shared" si="97"/>
        <v>3.1465229318127967</v>
      </c>
    </row>
    <row r="149" spans="1:52" x14ac:dyDescent="0.8">
      <c r="A149" s="119" t="s">
        <v>311</v>
      </c>
      <c r="B149" s="86"/>
      <c r="C149" s="80"/>
      <c r="D149" s="80"/>
      <c r="E149" s="80"/>
      <c r="F149" s="80"/>
      <c r="G149" s="80"/>
      <c r="H149" s="80"/>
      <c r="I149" s="80"/>
      <c r="J149" s="80"/>
      <c r="K149" s="80"/>
      <c r="L149" s="120">
        <f t="shared" ref="L149:AS149" si="98">SUM(L115:L148)</f>
        <v>3007.0729999999985</v>
      </c>
      <c r="M149" s="121">
        <f t="shared" si="98"/>
        <v>4476.8177599999981</v>
      </c>
      <c r="N149" s="121">
        <f t="shared" si="98"/>
        <v>8189.4405199999965</v>
      </c>
      <c r="O149" s="121">
        <f t="shared" si="98"/>
        <v>9040.5731407999992</v>
      </c>
      <c r="P149" s="121">
        <f t="shared" si="98"/>
        <v>14026.614425024</v>
      </c>
      <c r="Q149" s="121">
        <f t="shared" si="98"/>
        <v>17348.936136212484</v>
      </c>
      <c r="R149" s="120">
        <f t="shared" si="98"/>
        <v>23090.059086629735</v>
      </c>
      <c r="S149" s="121">
        <f t="shared" si="98"/>
        <v>25727.503381545044</v>
      </c>
      <c r="T149" s="121">
        <f t="shared" si="98"/>
        <v>25267.172967158214</v>
      </c>
      <c r="U149" s="121">
        <f t="shared" si="98"/>
        <v>26239.879137147931</v>
      </c>
      <c r="V149" s="121">
        <f t="shared" si="98"/>
        <v>24855.264070607147</v>
      </c>
      <c r="W149" s="121">
        <f t="shared" si="98"/>
        <v>26210.686260216207</v>
      </c>
      <c r="X149" s="121">
        <f t="shared" si="98"/>
        <v>23305.529254655263</v>
      </c>
      <c r="Y149" s="121">
        <f t="shared" si="98"/>
        <v>21719.575162378729</v>
      </c>
      <c r="Z149" s="121">
        <f t="shared" si="98"/>
        <v>17415.383063855668</v>
      </c>
      <c r="AA149" s="121">
        <f t="shared" si="98"/>
        <v>15959.153293132338</v>
      </c>
      <c r="AB149" s="121">
        <f t="shared" si="98"/>
        <v>14378.209426854184</v>
      </c>
      <c r="AC149" s="121">
        <f t="shared" si="98"/>
        <v>12722.020594011097</v>
      </c>
      <c r="AD149" s="121">
        <f t="shared" si="98"/>
        <v>11031.895105437652</v>
      </c>
      <c r="AE149" s="121">
        <f t="shared" si="98"/>
        <v>8828.4843961368679</v>
      </c>
      <c r="AF149" s="121">
        <f t="shared" si="98"/>
        <v>6750.744391507651</v>
      </c>
      <c r="AG149" s="121">
        <f t="shared" si="98"/>
        <v>5017.5212195646091</v>
      </c>
      <c r="AH149" s="121">
        <f t="shared" si="98"/>
        <v>3583.7349875839209</v>
      </c>
      <c r="AI149" s="121">
        <f t="shared" si="98"/>
        <v>2405.6652562595264</v>
      </c>
      <c r="AJ149" s="121">
        <f t="shared" si="98"/>
        <v>1443.0115027557113</v>
      </c>
      <c r="AK149" s="121">
        <f t="shared" si="98"/>
        <v>659.89454441340058</v>
      </c>
      <c r="AL149" s="121">
        <f t="shared" si="98"/>
        <v>25.157651314584655</v>
      </c>
      <c r="AM149" s="121">
        <f t="shared" si="98"/>
        <v>25.159034985408653</v>
      </c>
      <c r="AN149" s="121">
        <f t="shared" si="98"/>
        <v>25.160418732339167</v>
      </c>
      <c r="AO149" s="121">
        <f t="shared" si="98"/>
        <v>25.161802555368922</v>
      </c>
      <c r="AP149" s="121">
        <f t="shared" si="98"/>
        <v>25.163186454505194</v>
      </c>
      <c r="AQ149" s="121">
        <f t="shared" si="98"/>
        <v>25.16457042976981</v>
      </c>
      <c r="AR149" s="121">
        <f t="shared" si="98"/>
        <v>25.165954481140943</v>
      </c>
      <c r="AS149" s="122">
        <f t="shared" si="98"/>
        <v>25.167338608633145</v>
      </c>
      <c r="AT149"/>
      <c r="AU149"/>
      <c r="AV149"/>
      <c r="AW149"/>
      <c r="AX149"/>
      <c r="AY149" s="110"/>
      <c r="AZ149" s="110"/>
    </row>
    <row r="150" spans="1:52" x14ac:dyDescent="0.8">
      <c r="K150" s="65"/>
      <c r="L150" s="40"/>
      <c r="Q150" s="65"/>
      <c r="R150" s="40"/>
    </row>
    <row r="151" spans="1:52" x14ac:dyDescent="0.8">
      <c r="K151" s="40"/>
      <c r="L151" s="40"/>
      <c r="Q151" s="40"/>
      <c r="R151" s="40"/>
    </row>
    <row r="152" spans="1:52" x14ac:dyDescent="0.8">
      <c r="A152" s="89" t="s">
        <v>312</v>
      </c>
      <c r="K152" s="80"/>
      <c r="L152" s="40"/>
      <c r="Q152" s="80"/>
      <c r="R152" s="40"/>
    </row>
    <row r="153" spans="1:52" x14ac:dyDescent="0.8">
      <c r="A153" s="66" t="s">
        <v>313</v>
      </c>
      <c r="B153" s="65">
        <v>1</v>
      </c>
      <c r="C153" s="65"/>
      <c r="D153" s="65"/>
      <c r="E153" s="65"/>
      <c r="F153" s="65"/>
      <c r="G153" s="65"/>
      <c r="H153" s="65"/>
      <c r="I153" s="65"/>
      <c r="J153" s="65"/>
      <c r="K153" s="65"/>
      <c r="L153" s="104">
        <f>L$37/$B$48</f>
        <v>1797.4228000000003</v>
      </c>
      <c r="M153" s="105">
        <f>L153</f>
        <v>1797.4228000000003</v>
      </c>
      <c r="N153" s="105">
        <f>M153</f>
        <v>1797.4228000000003</v>
      </c>
      <c r="O153" s="105">
        <f>N153</f>
        <v>1797.4228000000003</v>
      </c>
      <c r="P153" s="105"/>
      <c r="Q153" s="105"/>
      <c r="R153" s="104"/>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6"/>
      <c r="AT153" s="115"/>
      <c r="AU153" s="115"/>
      <c r="AV153" s="115"/>
    </row>
    <row r="154" spans="1:52" x14ac:dyDescent="0.8">
      <c r="A154" s="35" t="s">
        <v>313</v>
      </c>
      <c r="B154" s="40">
        <v>2</v>
      </c>
      <c r="C154" s="40"/>
      <c r="D154" s="40"/>
      <c r="E154" s="40"/>
      <c r="F154" s="40"/>
      <c r="G154" s="40"/>
      <c r="H154" s="40"/>
      <c r="I154" s="40"/>
      <c r="J154" s="40"/>
      <c r="K154" s="40"/>
      <c r="L154" s="90"/>
      <c r="M154" s="91">
        <f>M$37/$B$48</f>
        <v>-929.34309600000051</v>
      </c>
      <c r="N154" s="91">
        <f>M154</f>
        <v>-929.34309600000051</v>
      </c>
      <c r="O154" s="91">
        <f>N154</f>
        <v>-929.34309600000051</v>
      </c>
      <c r="P154" s="91">
        <f>O154</f>
        <v>-929.34309600000051</v>
      </c>
      <c r="Q154" s="91"/>
      <c r="R154" s="90"/>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2"/>
      <c r="AT154" s="115"/>
      <c r="AU154" s="115"/>
      <c r="AV154" s="115"/>
    </row>
    <row r="155" spans="1:52" x14ac:dyDescent="0.8">
      <c r="A155" s="35" t="s">
        <v>313</v>
      </c>
      <c r="B155" s="40">
        <v>3</v>
      </c>
      <c r="C155" s="40"/>
      <c r="D155" s="40"/>
      <c r="E155" s="40"/>
      <c r="F155" s="40"/>
      <c r="G155" s="40"/>
      <c r="H155" s="40"/>
      <c r="I155" s="40"/>
      <c r="J155" s="40"/>
      <c r="K155" s="40"/>
      <c r="L155" s="90"/>
      <c r="M155" s="91"/>
      <c r="N155" s="91">
        <f>N$37/$B$48</f>
        <v>3220.5617135999983</v>
      </c>
      <c r="O155" s="91">
        <f>N155</f>
        <v>3220.5617135999983</v>
      </c>
      <c r="P155" s="91">
        <f>O155</f>
        <v>3220.5617135999983</v>
      </c>
      <c r="Q155" s="91">
        <f>P155</f>
        <v>3220.5617135999983</v>
      </c>
      <c r="R155" s="90"/>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2"/>
      <c r="AT155" s="115"/>
      <c r="AU155" s="115"/>
      <c r="AV155" s="115"/>
    </row>
    <row r="156" spans="1:52" x14ac:dyDescent="0.8">
      <c r="A156" s="35" t="s">
        <v>313</v>
      </c>
      <c r="B156" s="40">
        <v>4</v>
      </c>
      <c r="C156" s="40"/>
      <c r="D156" s="40"/>
      <c r="E156" s="40"/>
      <c r="F156" s="40"/>
      <c r="G156" s="40"/>
      <c r="H156" s="40"/>
      <c r="I156" s="40"/>
      <c r="J156" s="40"/>
      <c r="K156" s="40"/>
      <c r="L156" s="90"/>
      <c r="M156" s="91"/>
      <c r="N156" s="91"/>
      <c r="O156" s="91">
        <f>O$37/$B$48</f>
        <v>502.70020416000261</v>
      </c>
      <c r="P156" s="91">
        <f>O156</f>
        <v>502.70020416000261</v>
      </c>
      <c r="Q156" s="91">
        <f>P156</f>
        <v>502.70020416000261</v>
      </c>
      <c r="R156" s="90">
        <f>Q156</f>
        <v>502.70020416000261</v>
      </c>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2"/>
      <c r="AT156" s="115"/>
      <c r="AU156" s="115"/>
      <c r="AV156" s="115"/>
    </row>
    <row r="157" spans="1:52" x14ac:dyDescent="0.8">
      <c r="A157" s="35" t="s">
        <v>313</v>
      </c>
      <c r="B157" s="40">
        <v>5</v>
      </c>
      <c r="C157" s="40"/>
      <c r="D157" s="40"/>
      <c r="E157" s="40"/>
      <c r="F157" s="40"/>
      <c r="G157" s="40"/>
      <c r="H157" s="40"/>
      <c r="I157" s="40"/>
      <c r="J157" s="40"/>
      <c r="K157" s="40"/>
      <c r="L157" s="90"/>
      <c r="M157" s="91"/>
      <c r="N157" s="91"/>
      <c r="O157" s="91"/>
      <c r="P157" s="91">
        <f>P$37/$B$48</f>
        <v>2358.1693175039982</v>
      </c>
      <c r="Q157" s="91">
        <f>P157</f>
        <v>2358.1693175039982</v>
      </c>
      <c r="R157" s="90">
        <f>Q157</f>
        <v>2358.1693175039982</v>
      </c>
      <c r="S157" s="91">
        <f>R157</f>
        <v>2358.1693175039982</v>
      </c>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2"/>
      <c r="AT157" s="115"/>
      <c r="AU157" s="115"/>
      <c r="AV157" s="115"/>
    </row>
    <row r="158" spans="1:52" x14ac:dyDescent="0.8">
      <c r="A158" s="35" t="s">
        <v>313</v>
      </c>
      <c r="B158" s="40">
        <v>6</v>
      </c>
      <c r="C158" s="40"/>
      <c r="D158" s="40"/>
      <c r="E158" s="40"/>
      <c r="F158" s="40"/>
      <c r="G158" s="40"/>
      <c r="H158" s="40"/>
      <c r="I158" s="40"/>
      <c r="J158" s="40"/>
      <c r="K158" s="40"/>
      <c r="L158" s="90"/>
      <c r="M158" s="91"/>
      <c r="N158" s="91"/>
      <c r="O158" s="91"/>
      <c r="P158" s="91"/>
      <c r="Q158" s="91">
        <f>Q$37/$B$48</f>
        <v>454.34523214080036</v>
      </c>
      <c r="R158" s="90">
        <f>Q158</f>
        <v>454.34523214080036</v>
      </c>
      <c r="S158" s="91">
        <f>R158</f>
        <v>454.34523214080036</v>
      </c>
      <c r="T158" s="91">
        <f>S158</f>
        <v>454.34523214080036</v>
      </c>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2"/>
      <c r="AT158" s="115"/>
      <c r="AU158" s="115"/>
      <c r="AV158" s="115"/>
    </row>
    <row r="159" spans="1:52" x14ac:dyDescent="0.8">
      <c r="A159" s="35" t="s">
        <v>313</v>
      </c>
      <c r="B159" s="40">
        <v>7</v>
      </c>
      <c r="C159" s="40"/>
      <c r="D159" s="40"/>
      <c r="E159" s="40"/>
      <c r="F159" s="40"/>
      <c r="G159" s="40"/>
      <c r="H159" s="40"/>
      <c r="I159" s="40"/>
      <c r="J159" s="40"/>
      <c r="K159" s="40"/>
      <c r="L159" s="90"/>
      <c r="M159" s="91"/>
      <c r="N159" s="91"/>
      <c r="O159" s="91"/>
      <c r="P159" s="91"/>
      <c r="Q159" s="91"/>
      <c r="R159" s="90">
        <f>R$37/$B$48</f>
        <v>-4321.8978189843438</v>
      </c>
      <c r="S159" s="91">
        <f>R159</f>
        <v>-4321.8978189843438</v>
      </c>
      <c r="T159" s="91">
        <f>S159</f>
        <v>-4321.8978189843438</v>
      </c>
      <c r="U159" s="91">
        <f>T159</f>
        <v>-4321.8978189843438</v>
      </c>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2"/>
      <c r="AT159" s="115"/>
      <c r="AU159" s="115"/>
      <c r="AV159" s="115"/>
    </row>
    <row r="160" spans="1:52" x14ac:dyDescent="0.8">
      <c r="A160" s="35" t="s">
        <v>313</v>
      </c>
      <c r="B160" s="40">
        <v>8</v>
      </c>
      <c r="C160" s="40"/>
      <c r="D160" s="40"/>
      <c r="E160" s="40"/>
      <c r="F160" s="40"/>
      <c r="G160" s="40"/>
      <c r="H160" s="40"/>
      <c r="I160" s="40"/>
      <c r="J160" s="40"/>
      <c r="K160" s="40"/>
      <c r="L160" s="90"/>
      <c r="M160" s="91"/>
      <c r="N160" s="91"/>
      <c r="O160" s="91"/>
      <c r="P160" s="91"/>
      <c r="Q160" s="91"/>
      <c r="R160" s="90"/>
      <c r="S160" s="91">
        <f>S$37/$B$48</f>
        <v>855.38733889144896</v>
      </c>
      <c r="T160" s="91">
        <f>S160</f>
        <v>855.38733889144896</v>
      </c>
      <c r="U160" s="91">
        <f>T160</f>
        <v>855.38733889144896</v>
      </c>
      <c r="V160" s="91">
        <f>U160</f>
        <v>855.38733889144896</v>
      </c>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2"/>
      <c r="AT160" s="115"/>
      <c r="AU160" s="115"/>
      <c r="AV160" s="115"/>
    </row>
    <row r="161" spans="1:48" x14ac:dyDescent="0.8">
      <c r="A161" s="35" t="s">
        <v>313</v>
      </c>
      <c r="B161" s="40">
        <v>9</v>
      </c>
      <c r="C161" s="40"/>
      <c r="D161" s="40"/>
      <c r="E161" s="40"/>
      <c r="F161" s="40"/>
      <c r="G161" s="40"/>
      <c r="H161" s="40"/>
      <c r="I161" s="40"/>
      <c r="J161" s="40"/>
      <c r="K161" s="40"/>
      <c r="L161" s="90"/>
      <c r="M161" s="91"/>
      <c r="N161" s="91"/>
      <c r="O161" s="91"/>
      <c r="P161" s="91"/>
      <c r="Q161" s="91"/>
      <c r="R161" s="90"/>
      <c r="S161" s="91"/>
      <c r="T161" s="91">
        <f>T$37/$B$48</f>
        <v>825.97056830697329</v>
      </c>
      <c r="U161" s="91">
        <f>T161</f>
        <v>825.97056830697329</v>
      </c>
      <c r="V161" s="91">
        <f>U161</f>
        <v>825.97056830697329</v>
      </c>
      <c r="W161" s="91">
        <f>V161</f>
        <v>825.97056830697329</v>
      </c>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2"/>
      <c r="AT161" s="115"/>
      <c r="AU161" s="115"/>
      <c r="AV161" s="115"/>
    </row>
    <row r="162" spans="1:48" x14ac:dyDescent="0.8">
      <c r="A162" s="35" t="s">
        <v>313</v>
      </c>
      <c r="B162" s="40">
        <v>10</v>
      </c>
      <c r="C162" s="40"/>
      <c r="D162" s="40"/>
      <c r="E162" s="40"/>
      <c r="F162" s="40"/>
      <c r="G162" s="40"/>
      <c r="H162" s="40"/>
      <c r="I162" s="40"/>
      <c r="J162" s="40"/>
      <c r="K162" s="40"/>
      <c r="L162" s="90"/>
      <c r="M162" s="91"/>
      <c r="N162" s="91"/>
      <c r="O162" s="91"/>
      <c r="P162" s="91"/>
      <c r="Q162" s="91"/>
      <c r="R162" s="90"/>
      <c r="S162" s="91"/>
      <c r="T162" s="91"/>
      <c r="U162" s="91">
        <f>U$37/$B$48</f>
        <v>792.14624756423473</v>
      </c>
      <c r="V162" s="91">
        <f>U162</f>
        <v>792.14624756423473</v>
      </c>
      <c r="W162" s="91">
        <f>V162</f>
        <v>792.14624756423473</v>
      </c>
      <c r="X162" s="91">
        <f>W162</f>
        <v>792.14624756423473</v>
      </c>
      <c r="Y162" s="91"/>
      <c r="Z162" s="91"/>
      <c r="AA162" s="91"/>
      <c r="AB162" s="91"/>
      <c r="AC162" s="91"/>
      <c r="AD162" s="91"/>
      <c r="AE162" s="91"/>
      <c r="AF162" s="91"/>
      <c r="AG162" s="91"/>
      <c r="AH162" s="91"/>
      <c r="AI162" s="91"/>
      <c r="AJ162" s="91"/>
      <c r="AK162" s="91"/>
      <c r="AL162" s="91"/>
      <c r="AM162" s="91"/>
      <c r="AN162" s="91"/>
      <c r="AO162" s="91"/>
      <c r="AP162" s="91"/>
      <c r="AQ162" s="91"/>
      <c r="AR162" s="91"/>
      <c r="AS162" s="92"/>
      <c r="AT162" s="115"/>
      <c r="AU162" s="115"/>
      <c r="AV162" s="115"/>
    </row>
    <row r="163" spans="1:48" x14ac:dyDescent="0.8">
      <c r="A163" s="35" t="s">
        <v>313</v>
      </c>
      <c r="B163" s="40">
        <v>11</v>
      </c>
      <c r="C163" s="40"/>
      <c r="D163" s="40"/>
      <c r="E163" s="40"/>
      <c r="F163" s="40"/>
      <c r="G163" s="40"/>
      <c r="H163" s="40"/>
      <c r="I163" s="40"/>
      <c r="J163" s="40"/>
      <c r="K163" s="40"/>
      <c r="L163" s="90"/>
      <c r="M163" s="91"/>
      <c r="N163" s="91"/>
      <c r="O163" s="91"/>
      <c r="P163" s="91"/>
      <c r="Q163" s="91"/>
      <c r="R163" s="90"/>
      <c r="S163" s="91"/>
      <c r="T163" s="91"/>
      <c r="U163" s="91"/>
      <c r="V163" s="91">
        <f>V$37/$B$48</f>
        <v>755.02952220298721</v>
      </c>
      <c r="W163" s="91">
        <f>V163</f>
        <v>755.02952220298721</v>
      </c>
      <c r="X163" s="91">
        <f>W163</f>
        <v>755.02952220298721</v>
      </c>
      <c r="Y163" s="91">
        <f>X163</f>
        <v>755.02952220298721</v>
      </c>
      <c r="Z163" s="91"/>
      <c r="AA163" s="91"/>
      <c r="AB163" s="91"/>
      <c r="AC163" s="91"/>
      <c r="AD163" s="91"/>
      <c r="AE163" s="91"/>
      <c r="AF163" s="91"/>
      <c r="AG163" s="91"/>
      <c r="AH163" s="91"/>
      <c r="AI163" s="91"/>
      <c r="AJ163" s="91"/>
      <c r="AK163" s="91"/>
      <c r="AL163" s="91"/>
      <c r="AM163" s="91"/>
      <c r="AN163" s="91"/>
      <c r="AO163" s="91"/>
      <c r="AP163" s="91"/>
      <c r="AQ163" s="91"/>
      <c r="AR163" s="91"/>
      <c r="AS163" s="92"/>
      <c r="AT163" s="115"/>
      <c r="AU163" s="115"/>
      <c r="AV163" s="115"/>
    </row>
    <row r="164" spans="1:48" x14ac:dyDescent="0.8">
      <c r="A164" s="35" t="s">
        <v>313</v>
      </c>
      <c r="B164" s="40">
        <v>12</v>
      </c>
      <c r="C164" s="40"/>
      <c r="D164" s="40"/>
      <c r="E164" s="40"/>
      <c r="F164" s="40"/>
      <c r="G164" s="40"/>
      <c r="H164" s="40"/>
      <c r="I164" s="40"/>
      <c r="J164" s="40"/>
      <c r="K164" s="40"/>
      <c r="L164" s="90"/>
      <c r="M164" s="91"/>
      <c r="N164" s="91"/>
      <c r="O164" s="91"/>
      <c r="P164" s="91"/>
      <c r="Q164" s="91"/>
      <c r="R164" s="90"/>
      <c r="S164" s="91"/>
      <c r="T164" s="91"/>
      <c r="U164" s="91"/>
      <c r="V164" s="91"/>
      <c r="W164" s="91">
        <f>W$37/$B$48</f>
        <v>715.63939797050807</v>
      </c>
      <c r="X164" s="91">
        <f>W164</f>
        <v>715.63939797050807</v>
      </c>
      <c r="Y164" s="91">
        <f>X164</f>
        <v>715.63939797050807</v>
      </c>
      <c r="Z164" s="91">
        <f>Y164</f>
        <v>715.63939797050807</v>
      </c>
      <c r="AA164" s="91"/>
      <c r="AB164" s="91"/>
      <c r="AC164" s="91"/>
      <c r="AD164" s="91"/>
      <c r="AE164" s="91"/>
      <c r="AF164" s="91"/>
      <c r="AG164" s="91"/>
      <c r="AH164" s="91"/>
      <c r="AI164" s="91"/>
      <c r="AJ164" s="91"/>
      <c r="AK164" s="91"/>
      <c r="AL164" s="91"/>
      <c r="AM164" s="91"/>
      <c r="AN164" s="91"/>
      <c r="AO164" s="91"/>
      <c r="AP164" s="91"/>
      <c r="AQ164" s="91"/>
      <c r="AR164" s="91"/>
      <c r="AS164" s="92"/>
      <c r="AT164" s="115"/>
      <c r="AU164" s="115"/>
      <c r="AV164" s="115"/>
    </row>
    <row r="165" spans="1:48" x14ac:dyDescent="0.8">
      <c r="A165" s="35" t="s">
        <v>313</v>
      </c>
      <c r="B165" s="40">
        <v>13</v>
      </c>
      <c r="C165" s="40"/>
      <c r="D165" s="40"/>
      <c r="E165" s="40"/>
      <c r="F165" s="40"/>
      <c r="G165" s="40"/>
      <c r="H165" s="40"/>
      <c r="I165" s="40"/>
      <c r="J165" s="40"/>
      <c r="K165" s="40"/>
      <c r="L165" s="90"/>
      <c r="M165" s="91"/>
      <c r="N165" s="91"/>
      <c r="O165" s="91"/>
      <c r="P165" s="91"/>
      <c r="Q165" s="91"/>
      <c r="R165" s="90"/>
      <c r="S165" s="91"/>
      <c r="T165" s="91"/>
      <c r="U165" s="91"/>
      <c r="V165" s="91"/>
      <c r="W165" s="91"/>
      <c r="X165" s="91">
        <f>X$37/$B$48</f>
        <v>674.88138767450255</v>
      </c>
      <c r="Y165" s="91">
        <f>X165</f>
        <v>674.88138767450255</v>
      </c>
      <c r="Z165" s="91">
        <f>Y165</f>
        <v>674.88138767450255</v>
      </c>
      <c r="AA165" s="91">
        <f>Z165</f>
        <v>674.88138767450255</v>
      </c>
      <c r="AB165" s="91"/>
      <c r="AC165" s="91"/>
      <c r="AD165" s="91"/>
      <c r="AE165" s="91"/>
      <c r="AF165" s="91"/>
      <c r="AG165" s="91"/>
      <c r="AH165" s="91"/>
      <c r="AI165" s="91"/>
      <c r="AJ165" s="91"/>
      <c r="AK165" s="91"/>
      <c r="AL165" s="91"/>
      <c r="AM165" s="91"/>
      <c r="AN165" s="91"/>
      <c r="AO165" s="91"/>
      <c r="AP165" s="91"/>
      <c r="AQ165" s="91"/>
      <c r="AR165" s="91"/>
      <c r="AS165" s="92"/>
      <c r="AT165" s="115"/>
      <c r="AU165" s="115"/>
      <c r="AV165" s="115"/>
    </row>
    <row r="166" spans="1:48" x14ac:dyDescent="0.8">
      <c r="A166" s="35" t="s">
        <v>313</v>
      </c>
      <c r="B166" s="40">
        <v>14</v>
      </c>
      <c r="C166" s="40"/>
      <c r="D166" s="40"/>
      <c r="E166" s="40"/>
      <c r="F166" s="40"/>
      <c r="G166" s="40"/>
      <c r="H166" s="40"/>
      <c r="I166" s="40"/>
      <c r="J166" s="40"/>
      <c r="K166" s="40"/>
      <c r="L166" s="90"/>
      <c r="M166" s="91"/>
      <c r="N166" s="91"/>
      <c r="O166" s="91"/>
      <c r="P166" s="91"/>
      <c r="Q166" s="91"/>
      <c r="R166" s="90"/>
      <c r="S166" s="91"/>
      <c r="T166" s="91"/>
      <c r="U166" s="91"/>
      <c r="V166" s="91"/>
      <c r="W166" s="91"/>
      <c r="X166" s="91"/>
      <c r="Y166" s="91">
        <f>Y$37/$B$48</f>
        <v>563.14625478225571</v>
      </c>
      <c r="Z166" s="91">
        <f>Y166</f>
        <v>563.14625478225571</v>
      </c>
      <c r="AA166" s="91">
        <f>Z166</f>
        <v>563.14625478225571</v>
      </c>
      <c r="AB166" s="91">
        <f>AA166</f>
        <v>563.14625478225571</v>
      </c>
      <c r="AC166" s="91"/>
      <c r="AD166" s="91"/>
      <c r="AE166" s="91"/>
      <c r="AF166" s="91"/>
      <c r="AG166" s="91"/>
      <c r="AH166" s="91"/>
      <c r="AI166" s="91"/>
      <c r="AJ166" s="91"/>
      <c r="AK166" s="91"/>
      <c r="AL166" s="91"/>
      <c r="AM166" s="91"/>
      <c r="AN166" s="91"/>
      <c r="AO166" s="91"/>
      <c r="AP166" s="91"/>
      <c r="AQ166" s="91"/>
      <c r="AR166" s="91"/>
      <c r="AS166" s="92"/>
      <c r="AT166" s="115"/>
      <c r="AU166" s="115"/>
      <c r="AV166" s="115"/>
    </row>
    <row r="167" spans="1:48" x14ac:dyDescent="0.8">
      <c r="A167" s="35" t="s">
        <v>313</v>
      </c>
      <c r="B167" s="40">
        <v>15</v>
      </c>
      <c r="C167" s="40"/>
      <c r="D167" s="40"/>
      <c r="E167" s="40"/>
      <c r="F167" s="40"/>
      <c r="G167" s="40"/>
      <c r="H167" s="40"/>
      <c r="I167" s="40"/>
      <c r="J167" s="40"/>
      <c r="K167" s="40"/>
      <c r="L167" s="90"/>
      <c r="M167" s="91"/>
      <c r="N167" s="91"/>
      <c r="O167" s="91"/>
      <c r="P167" s="91"/>
      <c r="Q167" s="91"/>
      <c r="R167" s="90"/>
      <c r="S167" s="91"/>
      <c r="T167" s="91"/>
      <c r="U167" s="91"/>
      <c r="V167" s="91"/>
      <c r="W167" s="91"/>
      <c r="X167" s="91"/>
      <c r="Y167" s="91"/>
      <c r="Z167" s="91">
        <f>Z$37/$B$48</f>
        <v>466.03162764136141</v>
      </c>
      <c r="AA167" s="91">
        <f>Z167</f>
        <v>466.03162764136141</v>
      </c>
      <c r="AB167" s="91">
        <f>AA167</f>
        <v>466.03162764136141</v>
      </c>
      <c r="AC167" s="91">
        <f>AB167</f>
        <v>466.03162764136141</v>
      </c>
      <c r="AD167" s="91"/>
      <c r="AE167" s="91"/>
      <c r="AF167" s="91"/>
      <c r="AG167" s="91"/>
      <c r="AH167" s="91"/>
      <c r="AI167" s="91"/>
      <c r="AJ167" s="91"/>
      <c r="AK167" s="91"/>
      <c r="AL167" s="91"/>
      <c r="AM167" s="91"/>
      <c r="AN167" s="91"/>
      <c r="AO167" s="91"/>
      <c r="AP167" s="91"/>
      <c r="AQ167" s="91"/>
      <c r="AR167" s="91"/>
      <c r="AS167" s="92"/>
      <c r="AT167" s="115"/>
      <c r="AU167" s="115"/>
      <c r="AV167" s="115"/>
    </row>
    <row r="168" spans="1:48" x14ac:dyDescent="0.8">
      <c r="A168" s="35" t="s">
        <v>313</v>
      </c>
      <c r="B168" s="40">
        <v>16</v>
      </c>
      <c r="C168" s="40"/>
      <c r="D168" s="40"/>
      <c r="E168" s="40"/>
      <c r="F168" s="40"/>
      <c r="G168" s="40"/>
      <c r="H168" s="40"/>
      <c r="I168" s="40"/>
      <c r="J168" s="40"/>
      <c r="K168" s="40"/>
      <c r="L168" s="90"/>
      <c r="M168" s="91"/>
      <c r="N168" s="91"/>
      <c r="O168" s="91"/>
      <c r="P168" s="91"/>
      <c r="Q168" s="91"/>
      <c r="R168" s="90"/>
      <c r="S168" s="91"/>
      <c r="T168" s="91"/>
      <c r="U168" s="91"/>
      <c r="V168" s="91"/>
      <c r="W168" s="91"/>
      <c r="X168" s="91"/>
      <c r="Y168" s="91"/>
      <c r="Z168" s="91"/>
      <c r="AA168" s="91">
        <f>AA$37/$B$48</f>
        <v>383.09660244063707</v>
      </c>
      <c r="AB168" s="91">
        <f>AA168</f>
        <v>383.09660244063707</v>
      </c>
      <c r="AC168" s="91">
        <f>AB168</f>
        <v>383.09660244063707</v>
      </c>
      <c r="AD168" s="91">
        <f>AC168</f>
        <v>383.09660244063707</v>
      </c>
      <c r="AE168" s="91"/>
      <c r="AF168" s="91"/>
      <c r="AG168" s="91"/>
      <c r="AH168" s="91"/>
      <c r="AI168" s="91"/>
      <c r="AJ168" s="91"/>
      <c r="AK168" s="91"/>
      <c r="AL168" s="91"/>
      <c r="AM168" s="91"/>
      <c r="AN168" s="91"/>
      <c r="AO168" s="91"/>
      <c r="AP168" s="91"/>
      <c r="AQ168" s="91"/>
      <c r="AR168" s="91"/>
      <c r="AS168" s="92"/>
      <c r="AT168" s="115"/>
      <c r="AU168" s="115"/>
      <c r="AV168" s="115"/>
    </row>
    <row r="169" spans="1:48" x14ac:dyDescent="0.8">
      <c r="A169" s="35" t="s">
        <v>313</v>
      </c>
      <c r="B169" s="40">
        <v>17</v>
      </c>
      <c r="C169" s="40"/>
      <c r="D169" s="40"/>
      <c r="E169" s="40"/>
      <c r="F169" s="40"/>
      <c r="G169" s="40"/>
      <c r="H169" s="40"/>
      <c r="I169" s="40"/>
      <c r="J169" s="40"/>
      <c r="K169" s="40"/>
      <c r="L169" s="90"/>
      <c r="M169" s="91"/>
      <c r="N169" s="91"/>
      <c r="O169" s="91"/>
      <c r="P169" s="91"/>
      <c r="Q169" s="91"/>
      <c r="R169" s="90"/>
      <c r="S169" s="91"/>
      <c r="T169" s="91"/>
      <c r="U169" s="91"/>
      <c r="V169" s="91"/>
      <c r="W169" s="91"/>
      <c r="X169" s="91"/>
      <c r="Y169" s="91"/>
      <c r="Z169" s="91"/>
      <c r="AA169" s="91"/>
      <c r="AB169" s="91">
        <f>AB$37/$B$48</f>
        <v>313.23201708162742</v>
      </c>
      <c r="AC169" s="91">
        <f>AB169</f>
        <v>313.23201708162742</v>
      </c>
      <c r="AD169" s="91">
        <f>AC169</f>
        <v>313.23201708162742</v>
      </c>
      <c r="AE169" s="91">
        <f>AD169</f>
        <v>313.23201708162742</v>
      </c>
      <c r="AF169" s="91"/>
      <c r="AG169" s="91"/>
      <c r="AH169" s="91"/>
      <c r="AI169" s="91"/>
      <c r="AJ169" s="91"/>
      <c r="AK169" s="91"/>
      <c r="AL169" s="91"/>
      <c r="AM169" s="91"/>
      <c r="AN169" s="91"/>
      <c r="AO169" s="91"/>
      <c r="AP169" s="91"/>
      <c r="AQ169" s="91"/>
      <c r="AR169" s="91"/>
      <c r="AS169" s="92"/>
      <c r="AT169" s="115"/>
      <c r="AU169" s="115"/>
      <c r="AV169" s="115"/>
    </row>
    <row r="170" spans="1:48" x14ac:dyDescent="0.8">
      <c r="A170" s="35" t="s">
        <v>313</v>
      </c>
      <c r="B170" s="40">
        <v>18</v>
      </c>
      <c r="C170" s="40"/>
      <c r="D170" s="40"/>
      <c r="E170" s="40"/>
      <c r="F170" s="40"/>
      <c r="G170" s="40"/>
      <c r="H170" s="40"/>
      <c r="I170" s="40"/>
      <c r="J170" s="40"/>
      <c r="K170" s="40"/>
      <c r="L170" s="90"/>
      <c r="M170" s="91"/>
      <c r="N170" s="91"/>
      <c r="O170" s="91"/>
      <c r="P170" s="91"/>
      <c r="Q170" s="91"/>
      <c r="R170" s="90"/>
      <c r="S170" s="91"/>
      <c r="T170" s="91"/>
      <c r="U170" s="91"/>
      <c r="V170" s="91"/>
      <c r="W170" s="91"/>
      <c r="X170" s="91"/>
      <c r="Y170" s="91"/>
      <c r="Z170" s="91"/>
      <c r="AA170" s="91"/>
      <c r="AB170" s="91"/>
      <c r="AC170" s="91">
        <f>AC$37/$B$48</f>
        <v>255.00392339890823</v>
      </c>
      <c r="AD170" s="91">
        <f>AC170</f>
        <v>255.00392339890823</v>
      </c>
      <c r="AE170" s="91">
        <f>AD170</f>
        <v>255.00392339890823</v>
      </c>
      <c r="AF170" s="91">
        <f>AE170</f>
        <v>255.00392339890823</v>
      </c>
      <c r="AG170" s="91"/>
      <c r="AH170" s="91"/>
      <c r="AI170" s="91"/>
      <c r="AJ170" s="91"/>
      <c r="AK170" s="91"/>
      <c r="AL170" s="91"/>
      <c r="AM170" s="91"/>
      <c r="AN170" s="91"/>
      <c r="AO170" s="91"/>
      <c r="AP170" s="91"/>
      <c r="AQ170" s="91"/>
      <c r="AR170" s="91"/>
      <c r="AS170" s="92"/>
      <c r="AT170" s="115"/>
      <c r="AU170" s="115"/>
      <c r="AV170" s="115"/>
    </row>
    <row r="171" spans="1:48" x14ac:dyDescent="0.8">
      <c r="A171" s="35" t="s">
        <v>313</v>
      </c>
      <c r="B171" s="40">
        <v>19</v>
      </c>
      <c r="C171" s="40"/>
      <c r="D171" s="40"/>
      <c r="E171" s="40"/>
      <c r="F171" s="40"/>
      <c r="G171" s="40"/>
      <c r="H171" s="40"/>
      <c r="I171" s="40"/>
      <c r="J171" s="40"/>
      <c r="K171" s="40"/>
      <c r="L171" s="90"/>
      <c r="M171" s="91"/>
      <c r="N171" s="91"/>
      <c r="O171" s="91"/>
      <c r="P171" s="91"/>
      <c r="Q171" s="91"/>
      <c r="R171" s="90"/>
      <c r="S171" s="91"/>
      <c r="T171" s="91"/>
      <c r="U171" s="91"/>
      <c r="V171" s="91"/>
      <c r="W171" s="91"/>
      <c r="X171" s="91"/>
      <c r="Y171" s="91"/>
      <c r="Z171" s="91"/>
      <c r="AA171" s="91"/>
      <c r="AB171" s="91"/>
      <c r="AC171" s="91"/>
      <c r="AD171" s="91">
        <f>AD$37/$B$48</f>
        <v>206.88071509808651</v>
      </c>
      <c r="AE171" s="91">
        <f>AD171</f>
        <v>206.88071509808651</v>
      </c>
      <c r="AF171" s="91">
        <f>AE171</f>
        <v>206.88071509808651</v>
      </c>
      <c r="AG171" s="91">
        <f>AF171</f>
        <v>206.88071509808651</v>
      </c>
      <c r="AH171" s="91"/>
      <c r="AI171" s="91"/>
      <c r="AJ171" s="91"/>
      <c r="AK171" s="91"/>
      <c r="AL171" s="91"/>
      <c r="AM171" s="91"/>
      <c r="AN171" s="91"/>
      <c r="AO171" s="91"/>
      <c r="AP171" s="91"/>
      <c r="AQ171" s="91"/>
      <c r="AR171" s="91"/>
      <c r="AS171" s="92"/>
      <c r="AT171" s="115"/>
      <c r="AU171" s="115"/>
      <c r="AV171" s="115"/>
    </row>
    <row r="172" spans="1:48" x14ac:dyDescent="0.8">
      <c r="A172" s="35" t="s">
        <v>313</v>
      </c>
      <c r="B172" s="40">
        <v>20</v>
      </c>
      <c r="C172" s="40"/>
      <c r="D172" s="40"/>
      <c r="E172" s="40"/>
      <c r="F172" s="40"/>
      <c r="G172" s="40"/>
      <c r="H172" s="40"/>
      <c r="I172" s="40"/>
      <c r="J172" s="40"/>
      <c r="K172" s="40"/>
      <c r="L172" s="90"/>
      <c r="M172" s="91"/>
      <c r="N172" s="91"/>
      <c r="O172" s="91"/>
      <c r="P172" s="91"/>
      <c r="Q172" s="91"/>
      <c r="R172" s="90"/>
      <c r="S172" s="91"/>
      <c r="T172" s="91"/>
      <c r="U172" s="91"/>
      <c r="V172" s="91"/>
      <c r="W172" s="91"/>
      <c r="X172" s="91"/>
      <c r="Y172" s="91"/>
      <c r="Z172" s="91"/>
      <c r="AA172" s="91"/>
      <c r="AB172" s="91"/>
      <c r="AC172" s="91"/>
      <c r="AD172" s="91"/>
      <c r="AE172" s="91">
        <f>AE$37/$B$48</f>
        <v>1.0197084675492079</v>
      </c>
      <c r="AF172" s="91">
        <f>AE172</f>
        <v>1.0197084675492079</v>
      </c>
      <c r="AG172" s="91">
        <f>AF172</f>
        <v>1.0197084675492079</v>
      </c>
      <c r="AH172" s="91">
        <f>AG172</f>
        <v>1.0197084675492079</v>
      </c>
      <c r="AI172" s="91"/>
      <c r="AJ172" s="91"/>
      <c r="AK172" s="91"/>
      <c r="AL172" s="91"/>
      <c r="AM172" s="91"/>
      <c r="AN172" s="91"/>
      <c r="AO172" s="91"/>
      <c r="AP172" s="91"/>
      <c r="AQ172" s="91"/>
      <c r="AR172" s="91"/>
      <c r="AS172" s="92"/>
      <c r="AT172" s="115"/>
      <c r="AU172" s="115"/>
      <c r="AV172" s="115"/>
    </row>
    <row r="173" spans="1:48" x14ac:dyDescent="0.8">
      <c r="A173" s="35" t="s">
        <v>313</v>
      </c>
      <c r="B173" s="40">
        <v>21</v>
      </c>
      <c r="C173" s="40"/>
      <c r="D173" s="40"/>
      <c r="E173" s="40"/>
      <c r="F173" s="40"/>
      <c r="G173" s="40"/>
      <c r="H173" s="40"/>
      <c r="I173" s="40"/>
      <c r="J173" s="40"/>
      <c r="K173" s="40"/>
      <c r="L173" s="90"/>
      <c r="M173" s="91"/>
      <c r="N173" s="91"/>
      <c r="O173" s="91"/>
      <c r="P173" s="91"/>
      <c r="Q173" s="91"/>
      <c r="R173" s="90"/>
      <c r="S173" s="91"/>
      <c r="T173" s="91"/>
      <c r="U173" s="91"/>
      <c r="V173" s="91"/>
      <c r="W173" s="91"/>
      <c r="X173" s="91"/>
      <c r="Y173" s="91"/>
      <c r="Z173" s="91"/>
      <c r="AA173" s="91"/>
      <c r="AB173" s="91"/>
      <c r="AC173" s="91"/>
      <c r="AD173" s="91"/>
      <c r="AE173" s="91"/>
      <c r="AF173" s="91">
        <f>AF$37/$B$48</f>
        <v>1.0197645515145268</v>
      </c>
      <c r="AG173" s="91">
        <f>AF173</f>
        <v>1.0197645515145268</v>
      </c>
      <c r="AH173" s="91">
        <f>AG173</f>
        <v>1.0197645515145268</v>
      </c>
      <c r="AI173" s="91">
        <f>AH173</f>
        <v>1.0197645515145268</v>
      </c>
      <c r="AJ173" s="91"/>
      <c r="AK173" s="91"/>
      <c r="AL173" s="91"/>
      <c r="AM173" s="91"/>
      <c r="AN173" s="91"/>
      <c r="AO173" s="91"/>
      <c r="AP173" s="91"/>
      <c r="AQ173" s="91"/>
      <c r="AR173" s="91"/>
      <c r="AS173" s="92"/>
      <c r="AT173" s="115"/>
      <c r="AU173" s="115"/>
      <c r="AV173" s="115"/>
    </row>
    <row r="174" spans="1:48" x14ac:dyDescent="0.8">
      <c r="A174" s="35" t="s">
        <v>313</v>
      </c>
      <c r="B174" s="40">
        <v>22</v>
      </c>
      <c r="C174" s="40"/>
      <c r="D174" s="40"/>
      <c r="E174" s="40"/>
      <c r="F174" s="40"/>
      <c r="G174" s="40"/>
      <c r="H174" s="40"/>
      <c r="I174" s="40"/>
      <c r="J174" s="40"/>
      <c r="K174" s="40"/>
      <c r="L174" s="90"/>
      <c r="M174" s="91"/>
      <c r="N174" s="91"/>
      <c r="O174" s="91"/>
      <c r="P174" s="91"/>
      <c r="Q174" s="91"/>
      <c r="R174" s="90"/>
      <c r="S174" s="91"/>
      <c r="T174" s="91"/>
      <c r="U174" s="91"/>
      <c r="V174" s="91"/>
      <c r="W174" s="91"/>
      <c r="X174" s="91"/>
      <c r="Y174" s="91"/>
      <c r="Z174" s="91"/>
      <c r="AA174" s="91"/>
      <c r="AB174" s="91"/>
      <c r="AC174" s="91"/>
      <c r="AD174" s="91"/>
      <c r="AE174" s="91"/>
      <c r="AF174" s="91"/>
      <c r="AG174" s="91">
        <f>AG$37/$B$48</f>
        <v>1.0198206385684898</v>
      </c>
      <c r="AH174" s="91">
        <f>AG174</f>
        <v>1.0198206385684898</v>
      </c>
      <c r="AI174" s="91">
        <f>AH174</f>
        <v>1.0198206385684898</v>
      </c>
      <c r="AJ174" s="91">
        <f>AI174</f>
        <v>1.0198206385684898</v>
      </c>
      <c r="AK174" s="91"/>
      <c r="AL174" s="91"/>
      <c r="AM174" s="91"/>
      <c r="AN174" s="91"/>
      <c r="AO174" s="91"/>
      <c r="AP174" s="91"/>
      <c r="AQ174" s="91"/>
      <c r="AR174" s="91"/>
      <c r="AS174" s="92"/>
      <c r="AT174" s="115"/>
      <c r="AU174" s="115"/>
      <c r="AV174" s="115"/>
    </row>
    <row r="175" spans="1:48" x14ac:dyDescent="0.8">
      <c r="A175" s="35" t="s">
        <v>313</v>
      </c>
      <c r="B175" s="40">
        <v>23</v>
      </c>
      <c r="C175" s="40"/>
      <c r="D175" s="40"/>
      <c r="E175" s="40"/>
      <c r="F175" s="40"/>
      <c r="G175" s="40"/>
      <c r="H175" s="40"/>
      <c r="I175" s="40"/>
      <c r="J175" s="40"/>
      <c r="K175" s="40"/>
      <c r="L175" s="90"/>
      <c r="M175" s="91"/>
      <c r="N175" s="91"/>
      <c r="O175" s="91"/>
      <c r="P175" s="91"/>
      <c r="Q175" s="91"/>
      <c r="R175" s="90"/>
      <c r="S175" s="91"/>
      <c r="T175" s="91"/>
      <c r="U175" s="91"/>
      <c r="V175" s="91"/>
      <c r="W175" s="91"/>
      <c r="X175" s="91"/>
      <c r="Y175" s="91"/>
      <c r="Z175" s="91"/>
      <c r="AA175" s="91"/>
      <c r="AB175" s="91"/>
      <c r="AC175" s="91"/>
      <c r="AD175" s="91"/>
      <c r="AE175" s="91"/>
      <c r="AF175" s="91"/>
      <c r="AG175" s="91"/>
      <c r="AH175" s="91">
        <f>AH$37/$B$48</f>
        <v>1.0198767287001829</v>
      </c>
      <c r="AI175" s="91">
        <f>AH175</f>
        <v>1.0198767287001829</v>
      </c>
      <c r="AJ175" s="91">
        <f>AI175</f>
        <v>1.0198767287001829</v>
      </c>
      <c r="AK175" s="91">
        <f>AJ175</f>
        <v>1.0198767287001829</v>
      </c>
      <c r="AL175" s="91"/>
      <c r="AM175" s="91"/>
      <c r="AN175" s="91"/>
      <c r="AO175" s="91"/>
      <c r="AP175" s="91"/>
      <c r="AQ175" s="91"/>
      <c r="AR175" s="91"/>
      <c r="AS175" s="92"/>
      <c r="AT175" s="115"/>
      <c r="AU175" s="115"/>
      <c r="AV175" s="115"/>
    </row>
    <row r="176" spans="1:48" x14ac:dyDescent="0.8">
      <c r="A176" s="35" t="s">
        <v>313</v>
      </c>
      <c r="B176" s="40">
        <v>24</v>
      </c>
      <c r="C176" s="40"/>
      <c r="D176" s="40"/>
      <c r="E176" s="40"/>
      <c r="F176" s="40"/>
      <c r="G176" s="40"/>
      <c r="H176" s="40"/>
      <c r="I176" s="40"/>
      <c r="J176" s="40"/>
      <c r="K176" s="40"/>
      <c r="L176" s="90"/>
      <c r="M176" s="91"/>
      <c r="N176" s="91"/>
      <c r="O176" s="91"/>
      <c r="P176" s="91"/>
      <c r="Q176" s="91"/>
      <c r="R176" s="90"/>
      <c r="S176" s="91"/>
      <c r="T176" s="91"/>
      <c r="U176" s="91"/>
      <c r="V176" s="91"/>
      <c r="W176" s="91"/>
      <c r="X176" s="91"/>
      <c r="Y176" s="91"/>
      <c r="Z176" s="91"/>
      <c r="AA176" s="91"/>
      <c r="AB176" s="91"/>
      <c r="AC176" s="91"/>
      <c r="AD176" s="91"/>
      <c r="AE176" s="91"/>
      <c r="AF176" s="91"/>
      <c r="AG176" s="91"/>
      <c r="AH176" s="91"/>
      <c r="AI176" s="91">
        <f>AI$37/$B$48</f>
        <v>1.0199328219205199</v>
      </c>
      <c r="AJ176" s="91">
        <f>AI176</f>
        <v>1.0199328219205199</v>
      </c>
      <c r="AK176" s="91">
        <f>AJ176</f>
        <v>1.0199328219205199</v>
      </c>
      <c r="AL176" s="91">
        <f>AK176</f>
        <v>1.0199328219205199</v>
      </c>
      <c r="AM176" s="91"/>
      <c r="AN176" s="91"/>
      <c r="AO176" s="91"/>
      <c r="AP176" s="91"/>
      <c r="AQ176" s="91"/>
      <c r="AR176" s="91"/>
      <c r="AS176" s="92"/>
      <c r="AT176" s="115"/>
      <c r="AU176" s="115"/>
      <c r="AV176" s="115"/>
    </row>
    <row r="177" spans="1:52" x14ac:dyDescent="0.8">
      <c r="A177" s="35" t="s">
        <v>313</v>
      </c>
      <c r="B177" s="40">
        <v>25</v>
      </c>
      <c r="C177" s="40"/>
      <c r="D177" s="40"/>
      <c r="E177" s="40"/>
      <c r="F177" s="40"/>
      <c r="G177" s="40"/>
      <c r="H177" s="40"/>
      <c r="I177" s="40"/>
      <c r="J177" s="40"/>
      <c r="K177" s="40"/>
      <c r="L177" s="90"/>
      <c r="M177" s="91"/>
      <c r="N177" s="91"/>
      <c r="O177" s="91"/>
      <c r="P177" s="91"/>
      <c r="Q177" s="91"/>
      <c r="R177" s="90"/>
      <c r="S177" s="91"/>
      <c r="T177" s="91"/>
      <c r="U177" s="91"/>
      <c r="V177" s="91"/>
      <c r="W177" s="91"/>
      <c r="X177" s="91"/>
      <c r="Y177" s="91"/>
      <c r="Z177" s="91"/>
      <c r="AA177" s="91"/>
      <c r="AB177" s="91"/>
      <c r="AC177" s="91"/>
      <c r="AD177" s="91"/>
      <c r="AE177" s="91"/>
      <c r="AF177" s="91"/>
      <c r="AG177" s="91"/>
      <c r="AH177" s="91"/>
      <c r="AI177" s="91"/>
      <c r="AJ177" s="91">
        <f>AJ$37/$B$48</f>
        <v>1.019988918225863</v>
      </c>
      <c r="AK177" s="91">
        <f>AJ177</f>
        <v>1.019988918225863</v>
      </c>
      <c r="AL177" s="91">
        <f>AK177</f>
        <v>1.019988918225863</v>
      </c>
      <c r="AM177" s="91">
        <f>AL177</f>
        <v>1.019988918225863</v>
      </c>
      <c r="AN177" s="91"/>
      <c r="AO177" s="91"/>
      <c r="AP177" s="91"/>
      <c r="AQ177" s="91"/>
      <c r="AR177" s="91"/>
      <c r="AS177" s="92"/>
      <c r="AT177" s="115"/>
      <c r="AU177" s="115"/>
      <c r="AV177" s="115"/>
    </row>
    <row r="178" spans="1:52" x14ac:dyDescent="0.8">
      <c r="A178" s="35" t="s">
        <v>313</v>
      </c>
      <c r="B178" s="40">
        <v>26</v>
      </c>
      <c r="C178" s="40"/>
      <c r="D178" s="40"/>
      <c r="E178" s="40"/>
      <c r="F178" s="40"/>
      <c r="G178" s="40"/>
      <c r="H178" s="40"/>
      <c r="I178" s="40"/>
      <c r="J178" s="40"/>
      <c r="K178" s="40"/>
      <c r="L178" s="90"/>
      <c r="M178" s="91"/>
      <c r="N178" s="91"/>
      <c r="O178" s="91"/>
      <c r="P178" s="91"/>
      <c r="Q178" s="91"/>
      <c r="R178" s="90"/>
      <c r="S178" s="91"/>
      <c r="T178" s="91"/>
      <c r="U178" s="91"/>
      <c r="V178" s="91"/>
      <c r="W178" s="91"/>
      <c r="X178" s="91"/>
      <c r="Y178" s="91"/>
      <c r="Z178" s="91"/>
      <c r="AA178" s="91"/>
      <c r="AB178" s="91"/>
      <c r="AC178" s="91"/>
      <c r="AD178" s="91"/>
      <c r="AE178" s="91"/>
      <c r="AF178" s="91"/>
      <c r="AG178" s="91"/>
      <c r="AH178" s="91"/>
      <c r="AI178" s="91"/>
      <c r="AJ178" s="91"/>
      <c r="AK178" s="91">
        <f>AK$37/$B$48</f>
        <v>1.0200450176162121</v>
      </c>
      <c r="AL178" s="91">
        <f>AK178</f>
        <v>1.0200450176162121</v>
      </c>
      <c r="AM178" s="91">
        <f>AL178</f>
        <v>1.0200450176162121</v>
      </c>
      <c r="AN178" s="91">
        <f>AM178</f>
        <v>1.0200450176162121</v>
      </c>
      <c r="AO178" s="91"/>
      <c r="AP178" s="91"/>
      <c r="AQ178" s="91"/>
      <c r="AR178" s="91"/>
      <c r="AS178" s="92"/>
      <c r="AT178" s="115"/>
      <c r="AU178" s="115"/>
      <c r="AV178" s="115"/>
    </row>
    <row r="179" spans="1:52" x14ac:dyDescent="0.8">
      <c r="A179" s="35" t="s">
        <v>313</v>
      </c>
      <c r="B179" s="40">
        <v>27</v>
      </c>
      <c r="C179" s="40"/>
      <c r="D179" s="40"/>
      <c r="E179" s="40"/>
      <c r="F179" s="40"/>
      <c r="G179" s="40"/>
      <c r="H179" s="40"/>
      <c r="I179" s="40"/>
      <c r="J179" s="40"/>
      <c r="K179" s="40"/>
      <c r="L179" s="90"/>
      <c r="M179" s="91"/>
      <c r="N179" s="91"/>
      <c r="O179" s="91"/>
      <c r="P179" s="91"/>
      <c r="Q179" s="91"/>
      <c r="R179" s="90"/>
      <c r="S179" s="91"/>
      <c r="T179" s="91"/>
      <c r="U179" s="91"/>
      <c r="V179" s="91"/>
      <c r="W179" s="91"/>
      <c r="X179" s="91"/>
      <c r="Y179" s="91"/>
      <c r="Z179" s="91"/>
      <c r="AA179" s="91"/>
      <c r="AB179" s="91"/>
      <c r="AC179" s="91"/>
      <c r="AD179" s="91"/>
      <c r="AE179" s="91"/>
      <c r="AF179" s="91"/>
      <c r="AG179" s="91"/>
      <c r="AH179" s="91"/>
      <c r="AI179" s="91"/>
      <c r="AJ179" s="91"/>
      <c r="AK179" s="91"/>
      <c r="AL179" s="91">
        <f>AL$37/$B$48</f>
        <v>1.0201011200952053</v>
      </c>
      <c r="AM179" s="91">
        <f>AL179</f>
        <v>1.0201011200952053</v>
      </c>
      <c r="AN179" s="91">
        <f>AM179</f>
        <v>1.0201011200952053</v>
      </c>
      <c r="AO179" s="91">
        <f>AN179</f>
        <v>1.0201011200952053</v>
      </c>
      <c r="AP179" s="91"/>
      <c r="AQ179" s="91"/>
      <c r="AR179" s="91"/>
      <c r="AS179" s="92"/>
      <c r="AT179" s="115"/>
      <c r="AU179" s="115"/>
      <c r="AV179" s="115"/>
    </row>
    <row r="180" spans="1:52" x14ac:dyDescent="0.8">
      <c r="A180" s="35" t="s">
        <v>313</v>
      </c>
      <c r="B180" s="40">
        <v>28</v>
      </c>
      <c r="C180" s="40"/>
      <c r="D180" s="40"/>
      <c r="E180" s="40"/>
      <c r="F180" s="40"/>
      <c r="G180" s="40"/>
      <c r="H180" s="40"/>
      <c r="I180" s="40"/>
      <c r="J180" s="40"/>
      <c r="K180" s="40"/>
      <c r="L180" s="90"/>
      <c r="M180" s="91"/>
      <c r="N180" s="91"/>
      <c r="O180" s="91"/>
      <c r="P180" s="91"/>
      <c r="Q180" s="91"/>
      <c r="R180" s="90"/>
      <c r="S180" s="91"/>
      <c r="T180" s="91"/>
      <c r="U180" s="91"/>
      <c r="V180" s="91"/>
      <c r="W180" s="91"/>
      <c r="X180" s="91"/>
      <c r="Y180" s="91"/>
      <c r="Z180" s="91"/>
      <c r="AA180" s="91"/>
      <c r="AB180" s="91"/>
      <c r="AC180" s="91"/>
      <c r="AD180" s="91"/>
      <c r="AE180" s="91"/>
      <c r="AF180" s="91"/>
      <c r="AG180" s="91"/>
      <c r="AH180" s="91"/>
      <c r="AI180" s="91"/>
      <c r="AJ180" s="91"/>
      <c r="AK180" s="91"/>
      <c r="AL180" s="91"/>
      <c r="AM180" s="91">
        <f>AM$37/$B$48</f>
        <v>1.0201572256555664</v>
      </c>
      <c r="AN180" s="91">
        <f>AM180</f>
        <v>1.0201572256555664</v>
      </c>
      <c r="AO180" s="91">
        <f>AN180</f>
        <v>1.0201572256555664</v>
      </c>
      <c r="AP180" s="91">
        <f>AO180</f>
        <v>1.0201572256555664</v>
      </c>
      <c r="AQ180" s="91"/>
      <c r="AR180" s="91"/>
      <c r="AS180" s="92"/>
      <c r="AT180" s="115"/>
      <c r="AU180" s="115"/>
      <c r="AV180" s="115"/>
    </row>
    <row r="181" spans="1:52" x14ac:dyDescent="0.8">
      <c r="A181" s="35" t="s">
        <v>313</v>
      </c>
      <c r="B181" s="40">
        <v>29</v>
      </c>
      <c r="C181" s="40"/>
      <c r="D181" s="40"/>
      <c r="E181" s="40"/>
      <c r="F181" s="40"/>
      <c r="G181" s="40"/>
      <c r="H181" s="40"/>
      <c r="I181" s="40"/>
      <c r="J181" s="40"/>
      <c r="K181" s="40"/>
      <c r="L181" s="90"/>
      <c r="M181" s="91"/>
      <c r="N181" s="91"/>
      <c r="O181" s="91"/>
      <c r="P181" s="91"/>
      <c r="Q181" s="91"/>
      <c r="R181" s="90"/>
      <c r="S181" s="91"/>
      <c r="T181" s="91"/>
      <c r="U181" s="91"/>
      <c r="V181" s="91"/>
      <c r="W181" s="91"/>
      <c r="X181" s="91"/>
      <c r="Y181" s="91"/>
      <c r="Z181" s="91"/>
      <c r="AA181" s="91"/>
      <c r="AB181" s="91"/>
      <c r="AC181" s="91"/>
      <c r="AD181" s="91"/>
      <c r="AE181" s="91"/>
      <c r="AF181" s="91"/>
      <c r="AG181" s="91"/>
      <c r="AH181" s="91"/>
      <c r="AI181" s="91"/>
      <c r="AJ181" s="91"/>
      <c r="AK181" s="91"/>
      <c r="AL181" s="91"/>
      <c r="AM181" s="91"/>
      <c r="AN181" s="91">
        <f>AN$37/$B$48</f>
        <v>1.0202133343009336</v>
      </c>
      <c r="AO181" s="91">
        <f>AN181</f>
        <v>1.0202133343009336</v>
      </c>
      <c r="AP181" s="91">
        <f>AO181</f>
        <v>1.0202133343009336</v>
      </c>
      <c r="AQ181" s="91">
        <f>AP181</f>
        <v>1.0202133343009336</v>
      </c>
      <c r="AR181" s="91"/>
      <c r="AS181" s="92"/>
      <c r="AT181" s="115"/>
      <c r="AU181" s="115"/>
      <c r="AV181" s="115"/>
    </row>
    <row r="182" spans="1:52" x14ac:dyDescent="0.8">
      <c r="A182" s="35" t="s">
        <v>313</v>
      </c>
      <c r="B182" s="40">
        <v>30</v>
      </c>
      <c r="C182" s="40"/>
      <c r="D182" s="40"/>
      <c r="E182" s="40"/>
      <c r="F182" s="40"/>
      <c r="G182" s="40"/>
      <c r="H182" s="40"/>
      <c r="I182" s="40"/>
      <c r="J182" s="40"/>
      <c r="K182" s="40"/>
      <c r="L182" s="90"/>
      <c r="M182" s="91"/>
      <c r="N182" s="91"/>
      <c r="O182" s="91"/>
      <c r="P182" s="91"/>
      <c r="Q182" s="91"/>
      <c r="R182" s="90"/>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f>AO$37/$B$48</f>
        <v>1.0202694460385828</v>
      </c>
      <c r="AP182" s="123">
        <f>AO182</f>
        <v>1.0202694460385828</v>
      </c>
      <c r="AQ182" s="123">
        <f>AP182</f>
        <v>1.0202694460385828</v>
      </c>
      <c r="AR182" s="123">
        <f>AQ182</f>
        <v>1.0202694460385828</v>
      </c>
      <c r="AS182" s="92"/>
      <c r="AT182" s="115"/>
      <c r="AU182" s="115"/>
      <c r="AV182" s="115"/>
    </row>
    <row r="183" spans="1:52" x14ac:dyDescent="0.8">
      <c r="A183" s="35" t="s">
        <v>313</v>
      </c>
      <c r="B183" s="40">
        <v>31</v>
      </c>
      <c r="C183" s="40"/>
      <c r="D183" s="40"/>
      <c r="E183" s="40"/>
      <c r="F183" s="40"/>
      <c r="G183" s="40"/>
      <c r="H183" s="40"/>
      <c r="I183" s="40"/>
      <c r="J183" s="40"/>
      <c r="K183" s="40"/>
      <c r="L183" s="90"/>
      <c r="M183" s="91"/>
      <c r="N183" s="91"/>
      <c r="O183" s="91"/>
      <c r="P183" s="91"/>
      <c r="Q183" s="91"/>
      <c r="R183" s="90"/>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f>AP$37/$B$48</f>
        <v>1.0203255608539621</v>
      </c>
      <c r="AQ183" s="91">
        <f>AP183</f>
        <v>1.0203255608539621</v>
      </c>
      <c r="AR183" s="91">
        <f>AQ183</f>
        <v>1.0203255608539621</v>
      </c>
      <c r="AS183" s="91">
        <f>AR183</f>
        <v>1.0203255608539621</v>
      </c>
      <c r="AT183" s="90"/>
      <c r="AU183" s="115"/>
      <c r="AV183" s="115"/>
    </row>
    <row r="184" spans="1:52" x14ac:dyDescent="0.8">
      <c r="A184" s="35" t="s">
        <v>313</v>
      </c>
      <c r="B184" s="40">
        <v>32</v>
      </c>
      <c r="C184" s="40"/>
      <c r="D184" s="40"/>
      <c r="E184" s="40"/>
      <c r="F184" s="40"/>
      <c r="G184" s="40"/>
      <c r="H184" s="40"/>
      <c r="I184" s="40"/>
      <c r="J184" s="40"/>
      <c r="K184" s="40"/>
      <c r="L184" s="90"/>
      <c r="M184" s="91"/>
      <c r="N184" s="91"/>
      <c r="O184" s="91"/>
      <c r="P184" s="91"/>
      <c r="Q184" s="91"/>
      <c r="R184" s="90"/>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f>AQ$37/$B$48</f>
        <v>1.0203816787616233</v>
      </c>
      <c r="AR184" s="91">
        <f>AQ184</f>
        <v>1.0203816787616233</v>
      </c>
      <c r="AS184" s="91">
        <f>AR184</f>
        <v>1.0203816787616233</v>
      </c>
      <c r="AT184" s="124">
        <f>AS184</f>
        <v>1.0203816787616233</v>
      </c>
      <c r="AU184" s="115"/>
      <c r="AV184" s="115"/>
    </row>
    <row r="185" spans="1:52" x14ac:dyDescent="0.8">
      <c r="A185" s="35" t="s">
        <v>313</v>
      </c>
      <c r="B185" s="40">
        <v>33</v>
      </c>
      <c r="C185" s="40"/>
      <c r="D185" s="40"/>
      <c r="E185" s="40"/>
      <c r="F185" s="40"/>
      <c r="G185" s="40"/>
      <c r="H185" s="40"/>
      <c r="I185" s="40"/>
      <c r="J185" s="40"/>
      <c r="K185" s="40"/>
      <c r="L185" s="90"/>
      <c r="M185" s="91"/>
      <c r="N185" s="91"/>
      <c r="O185" s="91"/>
      <c r="P185" s="91"/>
      <c r="Q185" s="91"/>
      <c r="R185" s="90"/>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f>AR$37/$B$48</f>
        <v>1.0204377997506526</v>
      </c>
      <c r="AS185" s="91">
        <f>AR185</f>
        <v>1.0204377997506526</v>
      </c>
      <c r="AT185" s="124">
        <f>AS185</f>
        <v>1.0204377997506526</v>
      </c>
      <c r="AU185" s="107">
        <f>AT185</f>
        <v>1.0204377997506526</v>
      </c>
      <c r="AV185" s="107"/>
    </row>
    <row r="186" spans="1:52" x14ac:dyDescent="0.8">
      <c r="A186" s="35" t="s">
        <v>313</v>
      </c>
      <c r="B186" s="40">
        <v>34</v>
      </c>
      <c r="C186" s="40"/>
      <c r="D186" s="40"/>
      <c r="E186" s="40"/>
      <c r="F186" s="40"/>
      <c r="G186" s="40"/>
      <c r="H186" s="40"/>
      <c r="I186" s="40"/>
      <c r="J186" s="40"/>
      <c r="K186" s="40"/>
      <c r="L186" s="90"/>
      <c r="M186" s="91"/>
      <c r="N186" s="91"/>
      <c r="O186" s="91"/>
      <c r="P186" s="91"/>
      <c r="Q186" s="91"/>
      <c r="R186" s="90"/>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2">
        <f>AS37/B48</f>
        <v>1.0204939238319639</v>
      </c>
      <c r="AT186" s="107">
        <f>AS186</f>
        <v>1.0204939238319639</v>
      </c>
      <c r="AU186" s="107">
        <f>AT186</f>
        <v>1.0204939238319639</v>
      </c>
      <c r="AV186" s="107">
        <f>AU186</f>
        <v>1.0204939238319639</v>
      </c>
    </row>
    <row r="187" spans="1:52" x14ac:dyDescent="0.8">
      <c r="A187" s="125" t="s">
        <v>314</v>
      </c>
      <c r="B187" s="86"/>
      <c r="C187" s="86"/>
      <c r="D187" s="86"/>
      <c r="E187" s="86"/>
      <c r="F187" s="86"/>
      <c r="G187" s="86"/>
      <c r="H187" s="86"/>
      <c r="I187" s="86"/>
      <c r="J187" s="86"/>
      <c r="K187" s="86"/>
      <c r="L187" s="112">
        <f t="shared" ref="L187:AS187" si="99">SUM(L153:L186)</f>
        <v>1797.4228000000003</v>
      </c>
      <c r="M187" s="113">
        <f t="shared" si="99"/>
        <v>868.07970399999977</v>
      </c>
      <c r="N187" s="113">
        <f t="shared" si="99"/>
        <v>4088.641417599998</v>
      </c>
      <c r="O187" s="113">
        <f t="shared" si="99"/>
        <v>4591.3416217600006</v>
      </c>
      <c r="P187" s="113">
        <f t="shared" si="99"/>
        <v>5152.0881392639985</v>
      </c>
      <c r="Q187" s="113">
        <f t="shared" si="99"/>
        <v>6535.7764674047994</v>
      </c>
      <c r="R187" s="112">
        <f t="shared" si="99"/>
        <v>-1006.6830651795426</v>
      </c>
      <c r="S187" s="113">
        <f t="shared" si="99"/>
        <v>-653.99593044809626</v>
      </c>
      <c r="T187" s="113">
        <f t="shared" si="99"/>
        <v>-2186.1946796451211</v>
      </c>
      <c r="U187" s="113">
        <f t="shared" si="99"/>
        <v>-1848.3936642216868</v>
      </c>
      <c r="V187" s="113">
        <f t="shared" si="99"/>
        <v>3228.5336769656442</v>
      </c>
      <c r="W187" s="113">
        <f t="shared" si="99"/>
        <v>3088.7857360447033</v>
      </c>
      <c r="X187" s="113">
        <f t="shared" si="99"/>
        <v>2937.6965554122326</v>
      </c>
      <c r="Y187" s="113">
        <f t="shared" si="99"/>
        <v>2708.6965626302535</v>
      </c>
      <c r="Z187" s="113">
        <f t="shared" si="99"/>
        <v>2419.6986680686277</v>
      </c>
      <c r="AA187" s="113">
        <f t="shared" si="99"/>
        <v>2087.1558725387567</v>
      </c>
      <c r="AB187" s="113">
        <f t="shared" si="99"/>
        <v>1725.5065019458816</v>
      </c>
      <c r="AC187" s="113">
        <f t="shared" si="99"/>
        <v>1417.3641705625341</v>
      </c>
      <c r="AD187" s="113">
        <f t="shared" si="99"/>
        <v>1158.2132580192592</v>
      </c>
      <c r="AE187" s="113">
        <f t="shared" si="99"/>
        <v>776.13636404617137</v>
      </c>
      <c r="AF187" s="113">
        <f t="shared" si="99"/>
        <v>463.92411151605847</v>
      </c>
      <c r="AG187" s="113">
        <f t="shared" si="99"/>
        <v>209.94000875571874</v>
      </c>
      <c r="AH187" s="113">
        <f t="shared" si="99"/>
        <v>4.0791703863324074</v>
      </c>
      <c r="AI187" s="113">
        <f t="shared" si="99"/>
        <v>4.0793947407037194</v>
      </c>
      <c r="AJ187" s="113">
        <f t="shared" si="99"/>
        <v>4.0796191074150556</v>
      </c>
      <c r="AK187" s="113">
        <f t="shared" si="99"/>
        <v>4.0798434864627779</v>
      </c>
      <c r="AL187" s="113">
        <f t="shared" si="99"/>
        <v>4.0800678778578003</v>
      </c>
      <c r="AM187" s="113">
        <f t="shared" si="99"/>
        <v>4.0802922815928468</v>
      </c>
      <c r="AN187" s="113">
        <f t="shared" si="99"/>
        <v>4.0805166976679175</v>
      </c>
      <c r="AO187" s="113">
        <f t="shared" si="99"/>
        <v>4.0807411260902882</v>
      </c>
      <c r="AP187" s="113">
        <f t="shared" si="99"/>
        <v>4.080965566849045</v>
      </c>
      <c r="AQ187" s="113">
        <f t="shared" si="99"/>
        <v>4.0811900199551019</v>
      </c>
      <c r="AR187" s="113">
        <f t="shared" si="99"/>
        <v>4.0814144854048209</v>
      </c>
      <c r="AS187" s="114">
        <f t="shared" si="99"/>
        <v>4.081638963198202</v>
      </c>
      <c r="AT187"/>
      <c r="AU187"/>
      <c r="AV187"/>
      <c r="AW187"/>
      <c r="AX187"/>
    </row>
    <row r="188" spans="1:52" x14ac:dyDescent="0.8">
      <c r="K188" s="65"/>
      <c r="L188" s="40"/>
      <c r="Q188" s="65"/>
      <c r="R188" s="40"/>
    </row>
    <row r="189" spans="1:52" x14ac:dyDescent="0.8">
      <c r="K189" s="40"/>
      <c r="L189" s="40"/>
      <c r="Q189" s="40"/>
      <c r="R189" s="40"/>
    </row>
    <row r="190" spans="1:52" x14ac:dyDescent="0.8">
      <c r="A190" s="89" t="s">
        <v>315</v>
      </c>
      <c r="K190" s="80"/>
      <c r="L190" s="40"/>
      <c r="Q190" s="80"/>
      <c r="R190" s="40"/>
    </row>
    <row r="191" spans="1:52" x14ac:dyDescent="0.8">
      <c r="A191" s="66" t="s">
        <v>316</v>
      </c>
      <c r="B191" s="65">
        <v>1</v>
      </c>
      <c r="C191" s="65"/>
      <c r="D191" s="65"/>
      <c r="E191" s="65"/>
      <c r="F191" s="65"/>
      <c r="G191" s="65"/>
      <c r="H191" s="65"/>
      <c r="I191" s="65"/>
      <c r="J191" s="65"/>
      <c r="K191" s="65"/>
      <c r="L191" s="104">
        <f>L$39/$B$49</f>
        <v>48.094400000000007</v>
      </c>
      <c r="M191" s="105">
        <f t="shared" ref="M191:S191" si="100">L191</f>
        <v>48.094400000000007</v>
      </c>
      <c r="N191" s="105">
        <f t="shared" si="100"/>
        <v>48.094400000000007</v>
      </c>
      <c r="O191" s="105">
        <f t="shared" si="100"/>
        <v>48.094400000000007</v>
      </c>
      <c r="P191" s="105">
        <f t="shared" si="100"/>
        <v>48.094400000000007</v>
      </c>
      <c r="Q191" s="105">
        <f t="shared" si="100"/>
        <v>48.094400000000007</v>
      </c>
      <c r="R191" s="104">
        <f t="shared" si="100"/>
        <v>48.094400000000007</v>
      </c>
      <c r="S191" s="105">
        <f t="shared" si="100"/>
        <v>48.094400000000007</v>
      </c>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6"/>
      <c r="AT191" s="115"/>
      <c r="AU191" s="115"/>
      <c r="AV191" s="115"/>
      <c r="AW191" s="115"/>
      <c r="AX191" s="115"/>
      <c r="AY191" s="115"/>
      <c r="AZ191" s="115"/>
    </row>
    <row r="192" spans="1:52" x14ac:dyDescent="0.8">
      <c r="A192" s="35" t="s">
        <v>316</v>
      </c>
      <c r="B192" s="40">
        <v>2</v>
      </c>
      <c r="C192" s="40"/>
      <c r="D192" s="40"/>
      <c r="E192" s="40"/>
      <c r="F192" s="40"/>
      <c r="G192" s="40"/>
      <c r="H192" s="40"/>
      <c r="I192" s="40"/>
      <c r="J192" s="40"/>
      <c r="K192" s="40"/>
      <c r="L192" s="90"/>
      <c r="M192" s="91">
        <f>M$39/$B$49</f>
        <v>16.095947999999993</v>
      </c>
      <c r="N192" s="91">
        <f t="shared" ref="N192:T192" si="101">M192</f>
        <v>16.095947999999993</v>
      </c>
      <c r="O192" s="91">
        <f t="shared" si="101"/>
        <v>16.095947999999993</v>
      </c>
      <c r="P192" s="91">
        <f t="shared" si="101"/>
        <v>16.095947999999993</v>
      </c>
      <c r="Q192" s="91">
        <f t="shared" si="101"/>
        <v>16.095947999999993</v>
      </c>
      <c r="R192" s="90">
        <f t="shared" si="101"/>
        <v>16.095947999999993</v>
      </c>
      <c r="S192" s="91">
        <f t="shared" si="101"/>
        <v>16.095947999999993</v>
      </c>
      <c r="T192" s="91">
        <f t="shared" si="101"/>
        <v>16.095947999999993</v>
      </c>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2"/>
      <c r="AT192" s="115"/>
      <c r="AU192" s="115"/>
      <c r="AV192" s="115"/>
      <c r="AW192" s="115"/>
      <c r="AX192" s="115"/>
      <c r="AY192" s="115"/>
      <c r="AZ192" s="115"/>
    </row>
    <row r="193" spans="1:52" x14ac:dyDescent="0.8">
      <c r="A193" s="35" t="s">
        <v>316</v>
      </c>
      <c r="B193" s="40">
        <v>3</v>
      </c>
      <c r="C193" s="40"/>
      <c r="D193" s="40"/>
      <c r="E193" s="40"/>
      <c r="F193" s="40"/>
      <c r="G193" s="40"/>
      <c r="H193" s="40"/>
      <c r="I193" s="40"/>
      <c r="J193" s="40"/>
      <c r="K193" s="40"/>
      <c r="L193" s="90"/>
      <c r="M193" s="91"/>
      <c r="N193" s="91">
        <f>N$39/$B$49</f>
        <v>52.087543199999942</v>
      </c>
      <c r="O193" s="91">
        <f t="shared" ref="O193:U193" si="102">N193</f>
        <v>52.087543199999942</v>
      </c>
      <c r="P193" s="91">
        <f t="shared" si="102"/>
        <v>52.087543199999942</v>
      </c>
      <c r="Q193" s="91">
        <f t="shared" si="102"/>
        <v>52.087543199999942</v>
      </c>
      <c r="R193" s="90">
        <f t="shared" si="102"/>
        <v>52.087543199999942</v>
      </c>
      <c r="S193" s="91">
        <f t="shared" si="102"/>
        <v>52.087543199999942</v>
      </c>
      <c r="T193" s="91">
        <f t="shared" si="102"/>
        <v>52.087543199999942</v>
      </c>
      <c r="U193" s="91">
        <f t="shared" si="102"/>
        <v>52.087543199999942</v>
      </c>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2"/>
      <c r="AT193" s="115"/>
      <c r="AU193" s="115"/>
      <c r="AV193" s="115"/>
      <c r="AW193" s="115"/>
      <c r="AX193" s="115"/>
      <c r="AY193" s="115"/>
      <c r="AZ193" s="115"/>
    </row>
    <row r="194" spans="1:52" x14ac:dyDescent="0.8">
      <c r="A194" s="35" t="s">
        <v>316</v>
      </c>
      <c r="B194" s="40">
        <v>4</v>
      </c>
      <c r="C194" s="40"/>
      <c r="D194" s="40"/>
      <c r="E194" s="40"/>
      <c r="F194" s="40"/>
      <c r="G194" s="40"/>
      <c r="H194" s="40"/>
      <c r="I194" s="40"/>
      <c r="J194" s="40"/>
      <c r="K194" s="40"/>
      <c r="L194" s="90"/>
      <c r="M194" s="91"/>
      <c r="N194" s="91"/>
      <c r="O194" s="91">
        <f>O$39/$B$49</f>
        <v>14.62884192000007</v>
      </c>
      <c r="P194" s="91">
        <f t="shared" ref="P194:V194" si="103">O194</f>
        <v>14.62884192000007</v>
      </c>
      <c r="Q194" s="91">
        <f t="shared" si="103"/>
        <v>14.62884192000007</v>
      </c>
      <c r="R194" s="90">
        <f t="shared" si="103"/>
        <v>14.62884192000007</v>
      </c>
      <c r="S194" s="91">
        <f t="shared" si="103"/>
        <v>14.62884192000007</v>
      </c>
      <c r="T194" s="91">
        <f t="shared" si="103"/>
        <v>14.62884192000007</v>
      </c>
      <c r="U194" s="91">
        <f t="shared" si="103"/>
        <v>14.62884192000007</v>
      </c>
      <c r="V194" s="91">
        <f t="shared" si="103"/>
        <v>14.62884192000007</v>
      </c>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2"/>
      <c r="AT194" s="115"/>
      <c r="AU194" s="115"/>
      <c r="AV194" s="115"/>
      <c r="AW194" s="115"/>
      <c r="AX194" s="115"/>
      <c r="AY194" s="115"/>
      <c r="AZ194" s="115"/>
    </row>
    <row r="195" spans="1:52" x14ac:dyDescent="0.8">
      <c r="A195" s="35" t="s">
        <v>316</v>
      </c>
      <c r="B195" s="40">
        <v>5</v>
      </c>
      <c r="C195" s="40"/>
      <c r="D195" s="40"/>
      <c r="E195" s="40"/>
      <c r="F195" s="40"/>
      <c r="G195" s="40"/>
      <c r="H195" s="40"/>
      <c r="I195" s="40"/>
      <c r="J195" s="40"/>
      <c r="K195" s="40"/>
      <c r="L195" s="90"/>
      <c r="M195" s="91"/>
      <c r="N195" s="91"/>
      <c r="O195" s="91"/>
      <c r="P195" s="91">
        <f>P$39/$B$49</f>
        <v>58.78134662399998</v>
      </c>
      <c r="Q195" s="91">
        <f t="shared" ref="Q195:W195" si="104">P195</f>
        <v>58.78134662399998</v>
      </c>
      <c r="R195" s="90">
        <f t="shared" si="104"/>
        <v>58.78134662399998</v>
      </c>
      <c r="S195" s="91">
        <f t="shared" si="104"/>
        <v>58.78134662399998</v>
      </c>
      <c r="T195" s="91">
        <f t="shared" si="104"/>
        <v>58.78134662399998</v>
      </c>
      <c r="U195" s="91">
        <f t="shared" si="104"/>
        <v>58.78134662399998</v>
      </c>
      <c r="V195" s="91">
        <f t="shared" si="104"/>
        <v>58.78134662399998</v>
      </c>
      <c r="W195" s="91">
        <f t="shared" si="104"/>
        <v>58.78134662399998</v>
      </c>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2"/>
      <c r="AT195" s="115"/>
      <c r="AU195" s="115"/>
      <c r="AV195" s="115"/>
      <c r="AW195" s="115"/>
      <c r="AX195" s="115"/>
      <c r="AY195" s="115"/>
      <c r="AZ195" s="115"/>
    </row>
    <row r="196" spans="1:52" x14ac:dyDescent="0.8">
      <c r="A196" s="35" t="s">
        <v>316</v>
      </c>
      <c r="B196" s="40">
        <v>6</v>
      </c>
      <c r="C196" s="40"/>
      <c r="D196" s="40"/>
      <c r="E196" s="40"/>
      <c r="F196" s="40"/>
      <c r="G196" s="40"/>
      <c r="H196" s="40"/>
      <c r="I196" s="40"/>
      <c r="J196" s="40"/>
      <c r="K196" s="40"/>
      <c r="L196" s="90"/>
      <c r="M196" s="91"/>
      <c r="N196" s="91"/>
      <c r="O196" s="91"/>
      <c r="P196" s="91"/>
      <c r="Q196" s="91">
        <f>Q$39/$B$49</f>
        <v>31.741927176960019</v>
      </c>
      <c r="R196" s="90">
        <f t="shared" ref="R196:X196" si="105">Q196</f>
        <v>31.741927176960019</v>
      </c>
      <c r="S196" s="91">
        <f t="shared" si="105"/>
        <v>31.741927176960019</v>
      </c>
      <c r="T196" s="91">
        <f t="shared" si="105"/>
        <v>31.741927176960019</v>
      </c>
      <c r="U196" s="91">
        <f t="shared" si="105"/>
        <v>31.741927176960019</v>
      </c>
      <c r="V196" s="91">
        <f t="shared" si="105"/>
        <v>31.741927176960019</v>
      </c>
      <c r="W196" s="91">
        <f t="shared" si="105"/>
        <v>31.741927176960019</v>
      </c>
      <c r="X196" s="91">
        <f t="shared" si="105"/>
        <v>31.741927176960019</v>
      </c>
      <c r="Y196" s="91"/>
      <c r="Z196" s="91"/>
      <c r="AA196" s="91"/>
      <c r="AB196" s="91"/>
      <c r="AC196" s="91"/>
      <c r="AD196" s="91"/>
      <c r="AE196" s="91"/>
      <c r="AF196" s="91"/>
      <c r="AG196" s="91"/>
      <c r="AH196" s="91"/>
      <c r="AI196" s="91"/>
      <c r="AJ196" s="91"/>
      <c r="AK196" s="91"/>
      <c r="AL196" s="91"/>
      <c r="AM196" s="91"/>
      <c r="AN196" s="91"/>
      <c r="AO196" s="91"/>
      <c r="AP196" s="91"/>
      <c r="AQ196" s="91"/>
      <c r="AR196" s="91"/>
      <c r="AS196" s="92"/>
      <c r="AT196" s="115"/>
      <c r="AU196" s="115"/>
      <c r="AV196" s="115"/>
      <c r="AW196" s="115"/>
      <c r="AX196" s="115"/>
      <c r="AY196" s="115"/>
      <c r="AZ196" s="115"/>
    </row>
    <row r="197" spans="1:52" x14ac:dyDescent="0.8">
      <c r="A197" s="35" t="s">
        <v>316</v>
      </c>
      <c r="B197" s="40">
        <v>7</v>
      </c>
      <c r="C197" s="40"/>
      <c r="D197" s="40"/>
      <c r="E197" s="40"/>
      <c r="F197" s="40"/>
      <c r="G197" s="40"/>
      <c r="H197" s="40"/>
      <c r="I197" s="40"/>
      <c r="J197" s="40"/>
      <c r="K197" s="40"/>
      <c r="L197" s="90"/>
      <c r="M197" s="91"/>
      <c r="N197" s="91"/>
      <c r="O197" s="91"/>
      <c r="P197" s="91"/>
      <c r="Q197" s="91"/>
      <c r="R197" s="90">
        <f>R$39/$B$49</f>
        <v>104.47450776322563</v>
      </c>
      <c r="S197" s="91">
        <f t="shared" ref="S197:Y197" si="106">R197</f>
        <v>104.47450776322563</v>
      </c>
      <c r="T197" s="91">
        <f t="shared" si="106"/>
        <v>104.47450776322563</v>
      </c>
      <c r="U197" s="91">
        <f t="shared" si="106"/>
        <v>104.47450776322563</v>
      </c>
      <c r="V197" s="91">
        <f t="shared" si="106"/>
        <v>104.47450776322563</v>
      </c>
      <c r="W197" s="91">
        <f t="shared" si="106"/>
        <v>104.47450776322563</v>
      </c>
      <c r="X197" s="91">
        <f t="shared" si="106"/>
        <v>104.47450776322563</v>
      </c>
      <c r="Y197" s="91">
        <f t="shared" si="106"/>
        <v>104.47450776322563</v>
      </c>
      <c r="Z197" s="91"/>
      <c r="AA197" s="91"/>
      <c r="AB197" s="91"/>
      <c r="AC197" s="91"/>
      <c r="AD197" s="91"/>
      <c r="AE197" s="91"/>
      <c r="AF197" s="91"/>
      <c r="AG197" s="91"/>
      <c r="AH197" s="91"/>
      <c r="AI197" s="91"/>
      <c r="AJ197" s="91"/>
      <c r="AK197" s="91"/>
      <c r="AL197" s="91"/>
      <c r="AM197" s="91"/>
      <c r="AN197" s="91"/>
      <c r="AO197" s="91"/>
      <c r="AP197" s="91"/>
      <c r="AQ197" s="91"/>
      <c r="AR197" s="91"/>
      <c r="AS197" s="92"/>
      <c r="AT197" s="115"/>
      <c r="AU197" s="115"/>
      <c r="AV197" s="115"/>
      <c r="AW197" s="115"/>
      <c r="AX197" s="115"/>
      <c r="AY197" s="115"/>
      <c r="AZ197" s="115"/>
    </row>
    <row r="198" spans="1:52" x14ac:dyDescent="0.8">
      <c r="A198" s="35" t="s">
        <v>316</v>
      </c>
      <c r="B198" s="40">
        <v>8</v>
      </c>
      <c r="C198" s="40"/>
      <c r="D198" s="40"/>
      <c r="E198" s="40"/>
      <c r="F198" s="40"/>
      <c r="G198" s="40"/>
      <c r="H198" s="40"/>
      <c r="I198" s="40"/>
      <c r="J198" s="40"/>
      <c r="K198" s="40"/>
      <c r="L198" s="90"/>
      <c r="M198" s="91"/>
      <c r="N198" s="91"/>
      <c r="O198" s="91"/>
      <c r="P198" s="91"/>
      <c r="Q198" s="91"/>
      <c r="R198" s="90"/>
      <c r="S198" s="91">
        <f>S$39/$B$49</f>
        <v>35.641139120477078</v>
      </c>
      <c r="T198" s="91">
        <f t="shared" ref="T198:Z198" si="107">S198</f>
        <v>35.641139120477078</v>
      </c>
      <c r="U198" s="91">
        <f t="shared" si="107"/>
        <v>35.641139120477078</v>
      </c>
      <c r="V198" s="91">
        <f t="shared" si="107"/>
        <v>35.641139120477078</v>
      </c>
      <c r="W198" s="91">
        <f t="shared" si="107"/>
        <v>35.641139120477078</v>
      </c>
      <c r="X198" s="91">
        <f t="shared" si="107"/>
        <v>35.641139120477078</v>
      </c>
      <c r="Y198" s="91">
        <f t="shared" si="107"/>
        <v>35.641139120477078</v>
      </c>
      <c r="Z198" s="91">
        <f t="shared" si="107"/>
        <v>35.641139120477078</v>
      </c>
      <c r="AA198" s="91"/>
      <c r="AB198" s="91"/>
      <c r="AC198" s="91"/>
      <c r="AD198" s="91"/>
      <c r="AE198" s="91"/>
      <c r="AF198" s="91"/>
      <c r="AG198" s="91"/>
      <c r="AH198" s="91"/>
      <c r="AI198" s="91"/>
      <c r="AJ198" s="91"/>
      <c r="AK198" s="91"/>
      <c r="AL198" s="91"/>
      <c r="AM198" s="91"/>
      <c r="AN198" s="91"/>
      <c r="AO198" s="91"/>
      <c r="AP198" s="91"/>
      <c r="AQ198" s="91"/>
      <c r="AR198" s="91"/>
      <c r="AS198" s="92"/>
      <c r="AT198" s="115"/>
      <c r="AU198" s="115"/>
      <c r="AV198" s="115"/>
      <c r="AW198" s="115"/>
      <c r="AX198" s="115"/>
      <c r="AY198" s="115"/>
      <c r="AZ198" s="115"/>
    </row>
    <row r="199" spans="1:52" x14ac:dyDescent="0.8">
      <c r="A199" s="35" t="s">
        <v>316</v>
      </c>
      <c r="B199" s="40">
        <v>9</v>
      </c>
      <c r="C199" s="40"/>
      <c r="D199" s="40"/>
      <c r="E199" s="40"/>
      <c r="F199" s="40"/>
      <c r="G199" s="40"/>
      <c r="H199" s="40"/>
      <c r="I199" s="40"/>
      <c r="J199" s="40"/>
      <c r="K199" s="40"/>
      <c r="L199" s="90"/>
      <c r="M199" s="91"/>
      <c r="N199" s="91"/>
      <c r="O199" s="91"/>
      <c r="P199" s="91"/>
      <c r="Q199" s="91"/>
      <c r="R199" s="90"/>
      <c r="S199" s="91"/>
      <c r="T199" s="91">
        <f>T$39/$B$49</f>
        <v>34.415440346123887</v>
      </c>
      <c r="U199" s="91">
        <f t="shared" ref="U199:AA199" si="108">T199</f>
        <v>34.415440346123887</v>
      </c>
      <c r="V199" s="91">
        <f t="shared" si="108"/>
        <v>34.415440346123887</v>
      </c>
      <c r="W199" s="91">
        <f t="shared" si="108"/>
        <v>34.415440346123887</v>
      </c>
      <c r="X199" s="91">
        <f t="shared" si="108"/>
        <v>34.415440346123887</v>
      </c>
      <c r="Y199" s="91">
        <f t="shared" si="108"/>
        <v>34.415440346123887</v>
      </c>
      <c r="Z199" s="91">
        <f t="shared" si="108"/>
        <v>34.415440346123887</v>
      </c>
      <c r="AA199" s="91">
        <f t="shared" si="108"/>
        <v>34.415440346123887</v>
      </c>
      <c r="AB199" s="91"/>
      <c r="AC199" s="91"/>
      <c r="AD199" s="91"/>
      <c r="AE199" s="91"/>
      <c r="AF199" s="91"/>
      <c r="AG199" s="91"/>
      <c r="AH199" s="91"/>
      <c r="AI199" s="91"/>
      <c r="AJ199" s="91"/>
      <c r="AK199" s="91"/>
      <c r="AL199" s="91"/>
      <c r="AM199" s="91"/>
      <c r="AN199" s="91"/>
      <c r="AO199" s="91"/>
      <c r="AP199" s="91"/>
      <c r="AQ199" s="91"/>
      <c r="AR199" s="91"/>
      <c r="AS199" s="92"/>
      <c r="AT199" s="115"/>
      <c r="AU199" s="115"/>
      <c r="AV199" s="115"/>
      <c r="AW199" s="115"/>
      <c r="AX199" s="115"/>
      <c r="AY199" s="115"/>
      <c r="AZ199" s="115"/>
    </row>
    <row r="200" spans="1:52" x14ac:dyDescent="0.8">
      <c r="A200" s="35" t="s">
        <v>316</v>
      </c>
      <c r="B200" s="40">
        <v>10</v>
      </c>
      <c r="C200" s="40"/>
      <c r="D200" s="40"/>
      <c r="E200" s="40"/>
      <c r="F200" s="40"/>
      <c r="G200" s="40"/>
      <c r="H200" s="40"/>
      <c r="I200" s="40"/>
      <c r="J200" s="40"/>
      <c r="K200" s="40"/>
      <c r="L200" s="90"/>
      <c r="M200" s="91"/>
      <c r="N200" s="91"/>
      <c r="O200" s="91"/>
      <c r="P200" s="91"/>
      <c r="Q200" s="91"/>
      <c r="R200" s="90"/>
      <c r="S200" s="91"/>
      <c r="T200" s="91"/>
      <c r="U200" s="91">
        <f>U$39/$B$49</f>
        <v>33.006093648509818</v>
      </c>
      <c r="V200" s="91">
        <f t="shared" ref="V200:AB200" si="109">U200</f>
        <v>33.006093648509818</v>
      </c>
      <c r="W200" s="91">
        <f t="shared" si="109"/>
        <v>33.006093648509818</v>
      </c>
      <c r="X200" s="91">
        <f t="shared" si="109"/>
        <v>33.006093648509818</v>
      </c>
      <c r="Y200" s="91">
        <f t="shared" si="109"/>
        <v>33.006093648509818</v>
      </c>
      <c r="Z200" s="91">
        <f t="shared" si="109"/>
        <v>33.006093648509818</v>
      </c>
      <c r="AA200" s="91">
        <f t="shared" si="109"/>
        <v>33.006093648509818</v>
      </c>
      <c r="AB200" s="91">
        <f t="shared" si="109"/>
        <v>33.006093648509818</v>
      </c>
      <c r="AC200" s="91"/>
      <c r="AD200" s="91"/>
      <c r="AE200" s="91"/>
      <c r="AF200" s="91"/>
      <c r="AG200" s="91"/>
      <c r="AH200" s="91"/>
      <c r="AI200" s="91"/>
      <c r="AJ200" s="91"/>
      <c r="AK200" s="91"/>
      <c r="AL200" s="91"/>
      <c r="AM200" s="91"/>
      <c r="AN200" s="91"/>
      <c r="AO200" s="91"/>
      <c r="AP200" s="91"/>
      <c r="AQ200" s="91"/>
      <c r="AR200" s="91"/>
      <c r="AS200" s="92"/>
      <c r="AT200" s="115"/>
      <c r="AU200" s="115"/>
      <c r="AV200" s="115"/>
      <c r="AW200" s="115"/>
      <c r="AX200" s="115"/>
      <c r="AY200" s="115"/>
      <c r="AZ200" s="115"/>
    </row>
    <row r="201" spans="1:52" x14ac:dyDescent="0.8">
      <c r="A201" s="35" t="s">
        <v>316</v>
      </c>
      <c r="B201" s="40">
        <v>11</v>
      </c>
      <c r="C201" s="40"/>
      <c r="D201" s="40"/>
      <c r="E201" s="40"/>
      <c r="F201" s="40"/>
      <c r="G201" s="40"/>
      <c r="H201" s="40"/>
      <c r="I201" s="40"/>
      <c r="J201" s="40"/>
      <c r="K201" s="40"/>
      <c r="L201" s="90"/>
      <c r="M201" s="91"/>
      <c r="N201" s="91"/>
      <c r="O201" s="91"/>
      <c r="P201" s="91"/>
      <c r="Q201" s="91"/>
      <c r="R201" s="90"/>
      <c r="S201" s="91"/>
      <c r="T201" s="91"/>
      <c r="U201" s="91"/>
      <c r="V201" s="91">
        <f>V$39/$B$49</f>
        <v>31.459563425124429</v>
      </c>
      <c r="W201" s="91">
        <f t="shared" ref="W201:AC201" si="110">V201</f>
        <v>31.459563425124429</v>
      </c>
      <c r="X201" s="91">
        <f t="shared" si="110"/>
        <v>31.459563425124429</v>
      </c>
      <c r="Y201" s="91">
        <f t="shared" si="110"/>
        <v>31.459563425124429</v>
      </c>
      <c r="Z201" s="91">
        <f t="shared" si="110"/>
        <v>31.459563425124429</v>
      </c>
      <c r="AA201" s="91">
        <f t="shared" si="110"/>
        <v>31.459563425124429</v>
      </c>
      <c r="AB201" s="91">
        <f t="shared" si="110"/>
        <v>31.459563425124429</v>
      </c>
      <c r="AC201" s="91">
        <f t="shared" si="110"/>
        <v>31.459563425124429</v>
      </c>
      <c r="AD201" s="91"/>
      <c r="AE201" s="91"/>
      <c r="AF201" s="91"/>
      <c r="AG201" s="91"/>
      <c r="AH201" s="91"/>
      <c r="AI201" s="91"/>
      <c r="AJ201" s="91"/>
      <c r="AK201" s="91"/>
      <c r="AL201" s="91"/>
      <c r="AM201" s="91"/>
      <c r="AN201" s="91"/>
      <c r="AO201" s="91"/>
      <c r="AP201" s="91"/>
      <c r="AQ201" s="91"/>
      <c r="AR201" s="91"/>
      <c r="AS201" s="92"/>
      <c r="AT201" s="115"/>
      <c r="AU201" s="115"/>
      <c r="AV201" s="115"/>
      <c r="AW201" s="115"/>
      <c r="AX201" s="115"/>
      <c r="AY201" s="115"/>
      <c r="AZ201" s="115"/>
    </row>
    <row r="202" spans="1:52" x14ac:dyDescent="0.8">
      <c r="A202" s="35" t="s">
        <v>316</v>
      </c>
      <c r="B202" s="40">
        <v>12</v>
      </c>
      <c r="C202" s="40"/>
      <c r="D202" s="40"/>
      <c r="E202" s="40"/>
      <c r="F202" s="40"/>
      <c r="G202" s="40"/>
      <c r="H202" s="40"/>
      <c r="I202" s="40"/>
      <c r="J202" s="40"/>
      <c r="K202" s="40"/>
      <c r="L202" s="90"/>
      <c r="M202" s="91"/>
      <c r="N202" s="91"/>
      <c r="O202" s="91"/>
      <c r="P202" s="91"/>
      <c r="Q202" s="91"/>
      <c r="R202" s="90"/>
      <c r="S202" s="91"/>
      <c r="T202" s="91"/>
      <c r="U202" s="91"/>
      <c r="V202" s="91"/>
      <c r="W202" s="91">
        <f>W$39/$B$49</f>
        <v>29.818308248771132</v>
      </c>
      <c r="X202" s="91">
        <f t="shared" ref="X202:AD202" si="111">W202</f>
        <v>29.818308248771132</v>
      </c>
      <c r="Y202" s="91">
        <f t="shared" si="111"/>
        <v>29.818308248771132</v>
      </c>
      <c r="Z202" s="91">
        <f t="shared" si="111"/>
        <v>29.818308248771132</v>
      </c>
      <c r="AA202" s="91">
        <f t="shared" si="111"/>
        <v>29.818308248771132</v>
      </c>
      <c r="AB202" s="91">
        <f t="shared" si="111"/>
        <v>29.818308248771132</v>
      </c>
      <c r="AC202" s="91">
        <f t="shared" si="111"/>
        <v>29.818308248771132</v>
      </c>
      <c r="AD202" s="91">
        <f t="shared" si="111"/>
        <v>29.818308248771132</v>
      </c>
      <c r="AE202" s="91"/>
      <c r="AF202" s="91"/>
      <c r="AG202" s="91"/>
      <c r="AH202" s="91"/>
      <c r="AI202" s="91"/>
      <c r="AJ202" s="91"/>
      <c r="AK202" s="91"/>
      <c r="AL202" s="91"/>
      <c r="AM202" s="91"/>
      <c r="AN202" s="91"/>
      <c r="AO202" s="91"/>
      <c r="AP202" s="91"/>
      <c r="AQ202" s="91"/>
      <c r="AR202" s="91"/>
      <c r="AS202" s="92"/>
      <c r="AT202" s="115"/>
      <c r="AU202" s="115"/>
      <c r="AV202" s="115"/>
      <c r="AW202" s="115"/>
      <c r="AX202" s="115"/>
      <c r="AY202" s="115"/>
      <c r="AZ202" s="115"/>
    </row>
    <row r="203" spans="1:52" x14ac:dyDescent="0.8">
      <c r="A203" s="35" t="s">
        <v>316</v>
      </c>
      <c r="B203" s="40">
        <v>13</v>
      </c>
      <c r="C203" s="40"/>
      <c r="D203" s="40"/>
      <c r="E203" s="40"/>
      <c r="F203" s="40"/>
      <c r="G203" s="40"/>
      <c r="H203" s="40"/>
      <c r="I203" s="40"/>
      <c r="J203" s="40"/>
      <c r="K203" s="40"/>
      <c r="L203" s="90"/>
      <c r="M203" s="91"/>
      <c r="N203" s="91"/>
      <c r="O203" s="91"/>
      <c r="P203" s="91"/>
      <c r="Q203" s="91"/>
      <c r="R203" s="90"/>
      <c r="S203" s="91"/>
      <c r="T203" s="91"/>
      <c r="U203" s="91"/>
      <c r="V203" s="91"/>
      <c r="W203" s="91"/>
      <c r="X203" s="91">
        <f>X$39/$B$49</f>
        <v>28.120057819770977</v>
      </c>
      <c r="Y203" s="91">
        <f t="shared" ref="Y203:AE203" si="112">X203</f>
        <v>28.120057819770977</v>
      </c>
      <c r="Z203" s="91">
        <f t="shared" si="112"/>
        <v>28.120057819770977</v>
      </c>
      <c r="AA203" s="91">
        <f t="shared" si="112"/>
        <v>28.120057819770977</v>
      </c>
      <c r="AB203" s="91">
        <f t="shared" si="112"/>
        <v>28.120057819770977</v>
      </c>
      <c r="AC203" s="91">
        <f t="shared" si="112"/>
        <v>28.120057819770977</v>
      </c>
      <c r="AD203" s="91">
        <f t="shared" si="112"/>
        <v>28.120057819770977</v>
      </c>
      <c r="AE203" s="91">
        <f t="shared" si="112"/>
        <v>28.120057819770977</v>
      </c>
      <c r="AF203" s="91"/>
      <c r="AG203" s="91"/>
      <c r="AH203" s="91"/>
      <c r="AI203" s="91"/>
      <c r="AJ203" s="91"/>
      <c r="AK203" s="91"/>
      <c r="AL203" s="91"/>
      <c r="AM203" s="91"/>
      <c r="AN203" s="91"/>
      <c r="AO203" s="91"/>
      <c r="AP203" s="91"/>
      <c r="AQ203" s="91"/>
      <c r="AR203" s="91"/>
      <c r="AS203" s="92"/>
      <c r="AT203" s="115"/>
      <c r="AU203" s="115"/>
      <c r="AV203" s="115"/>
      <c r="AW203" s="115"/>
      <c r="AX203" s="115"/>
      <c r="AY203" s="115"/>
      <c r="AZ203" s="115"/>
    </row>
    <row r="204" spans="1:52" x14ac:dyDescent="0.8">
      <c r="A204" s="35" t="s">
        <v>316</v>
      </c>
      <c r="B204" s="40">
        <v>14</v>
      </c>
      <c r="C204" s="40"/>
      <c r="D204" s="40"/>
      <c r="E204" s="40"/>
      <c r="F204" s="40"/>
      <c r="G204" s="40"/>
      <c r="H204" s="40"/>
      <c r="I204" s="40"/>
      <c r="J204" s="40"/>
      <c r="K204" s="40"/>
      <c r="L204" s="90"/>
      <c r="M204" s="91"/>
      <c r="N204" s="91"/>
      <c r="O204" s="91"/>
      <c r="P204" s="91"/>
      <c r="Q204" s="91"/>
      <c r="R204" s="90"/>
      <c r="S204" s="91"/>
      <c r="T204" s="91"/>
      <c r="U204" s="91"/>
      <c r="V204" s="91"/>
      <c r="W204" s="91"/>
      <c r="X204" s="91"/>
      <c r="Y204" s="91">
        <f>Y$39/$B$49</f>
        <v>23.464427282593988</v>
      </c>
      <c r="Z204" s="91">
        <f t="shared" ref="Z204:AF204" si="113">Y204</f>
        <v>23.464427282593988</v>
      </c>
      <c r="AA204" s="91">
        <f t="shared" si="113"/>
        <v>23.464427282593988</v>
      </c>
      <c r="AB204" s="91">
        <f t="shared" si="113"/>
        <v>23.464427282593988</v>
      </c>
      <c r="AC204" s="91">
        <f t="shared" si="113"/>
        <v>23.464427282593988</v>
      </c>
      <c r="AD204" s="91">
        <f t="shared" si="113"/>
        <v>23.464427282593988</v>
      </c>
      <c r="AE204" s="91">
        <f t="shared" si="113"/>
        <v>23.464427282593988</v>
      </c>
      <c r="AF204" s="91">
        <f t="shared" si="113"/>
        <v>23.464427282593988</v>
      </c>
      <c r="AG204" s="91"/>
      <c r="AH204" s="91"/>
      <c r="AI204" s="91"/>
      <c r="AJ204" s="91"/>
      <c r="AK204" s="91"/>
      <c r="AL204" s="91"/>
      <c r="AM204" s="91"/>
      <c r="AN204" s="91"/>
      <c r="AO204" s="91"/>
      <c r="AP204" s="91"/>
      <c r="AQ204" s="91"/>
      <c r="AR204" s="91"/>
      <c r="AS204" s="92"/>
      <c r="AT204" s="115"/>
      <c r="AU204" s="115"/>
      <c r="AV204" s="115"/>
      <c r="AW204" s="115"/>
      <c r="AX204" s="115"/>
      <c r="AY204" s="115"/>
      <c r="AZ204" s="115"/>
    </row>
    <row r="205" spans="1:52" x14ac:dyDescent="0.8">
      <c r="A205" s="35" t="s">
        <v>316</v>
      </c>
      <c r="B205" s="40">
        <v>15</v>
      </c>
      <c r="C205" s="40"/>
      <c r="D205" s="40"/>
      <c r="E205" s="40"/>
      <c r="F205" s="40"/>
      <c r="G205" s="40"/>
      <c r="H205" s="40"/>
      <c r="I205" s="40"/>
      <c r="J205" s="40"/>
      <c r="K205" s="40"/>
      <c r="L205" s="90"/>
      <c r="M205" s="91"/>
      <c r="N205" s="91"/>
      <c r="O205" s="91"/>
      <c r="P205" s="91"/>
      <c r="Q205" s="91"/>
      <c r="R205" s="90"/>
      <c r="S205" s="91"/>
      <c r="T205" s="91"/>
      <c r="U205" s="91"/>
      <c r="V205" s="91"/>
      <c r="W205" s="91"/>
      <c r="X205" s="91"/>
      <c r="Y205" s="91"/>
      <c r="Z205" s="91">
        <f>Z$39/$B$49</f>
        <v>19.41798448505665</v>
      </c>
      <c r="AA205" s="91">
        <f t="shared" ref="AA205:AG205" si="114">Z205</f>
        <v>19.41798448505665</v>
      </c>
      <c r="AB205" s="91">
        <f t="shared" si="114"/>
        <v>19.41798448505665</v>
      </c>
      <c r="AC205" s="91">
        <f t="shared" si="114"/>
        <v>19.41798448505665</v>
      </c>
      <c r="AD205" s="91">
        <f t="shared" si="114"/>
        <v>19.41798448505665</v>
      </c>
      <c r="AE205" s="91">
        <f t="shared" si="114"/>
        <v>19.41798448505665</v>
      </c>
      <c r="AF205" s="91">
        <f t="shared" si="114"/>
        <v>19.41798448505665</v>
      </c>
      <c r="AG205" s="91">
        <f t="shared" si="114"/>
        <v>19.41798448505665</v>
      </c>
      <c r="AH205" s="91"/>
      <c r="AI205" s="91"/>
      <c r="AJ205" s="91"/>
      <c r="AK205" s="91"/>
      <c r="AL205" s="91"/>
      <c r="AM205" s="91"/>
      <c r="AN205" s="91"/>
      <c r="AO205" s="91"/>
      <c r="AP205" s="91"/>
      <c r="AQ205" s="91"/>
      <c r="AR205" s="91"/>
      <c r="AS205" s="92"/>
      <c r="AT205" s="115"/>
      <c r="AU205" s="115"/>
      <c r="AV205" s="115"/>
      <c r="AW205" s="115"/>
      <c r="AX205" s="115"/>
      <c r="AY205" s="115"/>
      <c r="AZ205" s="115"/>
    </row>
    <row r="206" spans="1:52" x14ac:dyDescent="0.8">
      <c r="A206" s="35" t="s">
        <v>316</v>
      </c>
      <c r="B206" s="40">
        <v>16</v>
      </c>
      <c r="C206" s="40"/>
      <c r="D206" s="40"/>
      <c r="E206" s="40"/>
      <c r="F206" s="40"/>
      <c r="G206" s="40"/>
      <c r="H206" s="40"/>
      <c r="I206" s="40"/>
      <c r="J206" s="40"/>
      <c r="K206" s="40"/>
      <c r="L206" s="90"/>
      <c r="M206" s="91"/>
      <c r="N206" s="91"/>
      <c r="O206" s="91"/>
      <c r="P206" s="91"/>
      <c r="Q206" s="91"/>
      <c r="R206" s="90"/>
      <c r="S206" s="91"/>
      <c r="T206" s="91"/>
      <c r="U206" s="91"/>
      <c r="V206" s="91"/>
      <c r="W206" s="91"/>
      <c r="X206" s="91"/>
      <c r="Y206" s="91"/>
      <c r="Z206" s="91"/>
      <c r="AA206" s="91">
        <f>AA$39/$B$49</f>
        <v>15.962358435026658</v>
      </c>
      <c r="AB206" s="91">
        <f t="shared" ref="AB206:AH206" si="115">AA206</f>
        <v>15.962358435026658</v>
      </c>
      <c r="AC206" s="91">
        <f t="shared" si="115"/>
        <v>15.962358435026658</v>
      </c>
      <c r="AD206" s="91">
        <f t="shared" si="115"/>
        <v>15.962358435026658</v>
      </c>
      <c r="AE206" s="91">
        <f t="shared" si="115"/>
        <v>15.962358435026658</v>
      </c>
      <c r="AF206" s="91">
        <f t="shared" si="115"/>
        <v>15.962358435026658</v>
      </c>
      <c r="AG206" s="91">
        <f t="shared" si="115"/>
        <v>15.962358435026658</v>
      </c>
      <c r="AH206" s="91">
        <f t="shared" si="115"/>
        <v>15.962358435026658</v>
      </c>
      <c r="AI206" s="91"/>
      <c r="AJ206" s="91"/>
      <c r="AK206" s="91"/>
      <c r="AL206" s="91"/>
      <c r="AM206" s="91"/>
      <c r="AN206" s="91"/>
      <c r="AO206" s="91"/>
      <c r="AP206" s="91"/>
      <c r="AQ206" s="91"/>
      <c r="AR206" s="91"/>
      <c r="AS206" s="92"/>
      <c r="AT206" s="115"/>
      <c r="AU206" s="115"/>
      <c r="AV206" s="115"/>
      <c r="AW206" s="115"/>
      <c r="AX206" s="115"/>
      <c r="AY206" s="115"/>
      <c r="AZ206" s="115"/>
    </row>
    <row r="207" spans="1:52" x14ac:dyDescent="0.8">
      <c r="A207" s="35" t="s">
        <v>316</v>
      </c>
      <c r="B207" s="40">
        <v>17</v>
      </c>
      <c r="C207" s="40"/>
      <c r="D207" s="40"/>
      <c r="E207" s="40"/>
      <c r="F207" s="40"/>
      <c r="G207" s="40"/>
      <c r="H207" s="40"/>
      <c r="I207" s="40"/>
      <c r="J207" s="40"/>
      <c r="K207" s="40"/>
      <c r="L207" s="90"/>
      <c r="M207" s="91"/>
      <c r="N207" s="91"/>
      <c r="O207" s="91"/>
      <c r="P207" s="91"/>
      <c r="Q207" s="91"/>
      <c r="R207" s="90"/>
      <c r="S207" s="91"/>
      <c r="T207" s="91"/>
      <c r="U207" s="91"/>
      <c r="V207" s="91"/>
      <c r="W207" s="91"/>
      <c r="X207" s="91"/>
      <c r="Y207" s="91"/>
      <c r="Z207" s="91"/>
      <c r="AA207" s="91"/>
      <c r="AB207" s="91">
        <f>AB$39/$B$49</f>
        <v>13.051334045067847</v>
      </c>
      <c r="AC207" s="91">
        <f t="shared" ref="AC207:AI207" si="116">AB207</f>
        <v>13.051334045067847</v>
      </c>
      <c r="AD207" s="91">
        <f t="shared" si="116"/>
        <v>13.051334045067847</v>
      </c>
      <c r="AE207" s="91">
        <f t="shared" si="116"/>
        <v>13.051334045067847</v>
      </c>
      <c r="AF207" s="91">
        <f t="shared" si="116"/>
        <v>13.051334045067847</v>
      </c>
      <c r="AG207" s="91">
        <f t="shared" si="116"/>
        <v>13.051334045067847</v>
      </c>
      <c r="AH207" s="91">
        <f t="shared" si="116"/>
        <v>13.051334045067847</v>
      </c>
      <c r="AI207" s="91">
        <f t="shared" si="116"/>
        <v>13.051334045067847</v>
      </c>
      <c r="AJ207" s="91"/>
      <c r="AK207" s="91"/>
      <c r="AL207" s="91"/>
      <c r="AM207" s="91"/>
      <c r="AN207" s="91"/>
      <c r="AO207" s="91"/>
      <c r="AP207" s="91"/>
      <c r="AQ207" s="91"/>
      <c r="AR207" s="91"/>
      <c r="AS207" s="92"/>
      <c r="AT207" s="115"/>
      <c r="AU207" s="115"/>
      <c r="AV207" s="115"/>
      <c r="AW207" s="115"/>
      <c r="AX207" s="115"/>
      <c r="AY207" s="115"/>
      <c r="AZ207" s="115"/>
    </row>
    <row r="208" spans="1:52" x14ac:dyDescent="0.8">
      <c r="A208" s="35" t="s">
        <v>316</v>
      </c>
      <c r="B208" s="40">
        <v>18</v>
      </c>
      <c r="C208" s="40"/>
      <c r="D208" s="40"/>
      <c r="E208" s="40"/>
      <c r="F208" s="40"/>
      <c r="G208" s="40"/>
      <c r="H208" s="40"/>
      <c r="I208" s="40"/>
      <c r="J208" s="40"/>
      <c r="K208" s="40"/>
      <c r="L208" s="90"/>
      <c r="M208" s="91"/>
      <c r="N208" s="91"/>
      <c r="O208" s="91"/>
      <c r="P208" s="91"/>
      <c r="Q208" s="91"/>
      <c r="R208" s="90"/>
      <c r="S208" s="91"/>
      <c r="T208" s="91"/>
      <c r="U208" s="91"/>
      <c r="V208" s="91"/>
      <c r="W208" s="91"/>
      <c r="X208" s="91"/>
      <c r="Y208" s="91"/>
      <c r="Z208" s="91"/>
      <c r="AA208" s="91"/>
      <c r="AB208" s="91"/>
      <c r="AC208" s="91">
        <f>AC$39/$B$49</f>
        <v>10.625163474954434</v>
      </c>
      <c r="AD208" s="91">
        <f t="shared" ref="AD208:AJ208" si="117">AC208</f>
        <v>10.625163474954434</v>
      </c>
      <c r="AE208" s="91">
        <f t="shared" si="117"/>
        <v>10.625163474954434</v>
      </c>
      <c r="AF208" s="91">
        <f t="shared" si="117"/>
        <v>10.625163474954434</v>
      </c>
      <c r="AG208" s="91">
        <f t="shared" si="117"/>
        <v>10.625163474954434</v>
      </c>
      <c r="AH208" s="91">
        <f t="shared" si="117"/>
        <v>10.625163474954434</v>
      </c>
      <c r="AI208" s="91">
        <f t="shared" si="117"/>
        <v>10.625163474954434</v>
      </c>
      <c r="AJ208" s="91">
        <f t="shared" si="117"/>
        <v>10.625163474954434</v>
      </c>
      <c r="AK208" s="91"/>
      <c r="AL208" s="91"/>
      <c r="AM208" s="91"/>
      <c r="AN208" s="91"/>
      <c r="AO208" s="91"/>
      <c r="AP208" s="91"/>
      <c r="AQ208" s="91"/>
      <c r="AR208" s="91"/>
      <c r="AS208" s="92"/>
      <c r="AT208" s="115"/>
      <c r="AU208" s="115"/>
      <c r="AV208" s="115"/>
      <c r="AW208" s="115"/>
      <c r="AX208" s="115"/>
      <c r="AY208" s="115"/>
      <c r="AZ208" s="115"/>
    </row>
    <row r="209" spans="1:52" x14ac:dyDescent="0.8">
      <c r="A209" s="35" t="s">
        <v>316</v>
      </c>
      <c r="B209" s="40">
        <v>19</v>
      </c>
      <c r="C209" s="40"/>
      <c r="D209" s="40"/>
      <c r="E209" s="40"/>
      <c r="F209" s="40"/>
      <c r="G209" s="40"/>
      <c r="H209" s="40"/>
      <c r="I209" s="40"/>
      <c r="J209" s="40"/>
      <c r="K209" s="40"/>
      <c r="L209" s="90"/>
      <c r="M209" s="91"/>
      <c r="N209" s="91"/>
      <c r="O209" s="91"/>
      <c r="P209" s="91"/>
      <c r="Q209" s="91"/>
      <c r="R209" s="90"/>
      <c r="S209" s="91"/>
      <c r="T209" s="91"/>
      <c r="U209" s="91"/>
      <c r="V209" s="91"/>
      <c r="W209" s="91"/>
      <c r="X209" s="91"/>
      <c r="Y209" s="91"/>
      <c r="Z209" s="91"/>
      <c r="AA209" s="91"/>
      <c r="AB209" s="91"/>
      <c r="AC209" s="91"/>
      <c r="AD209" s="91">
        <f>AD$39/$B$49</f>
        <v>8.6200297957536804</v>
      </c>
      <c r="AE209" s="91">
        <f t="shared" ref="AE209:AK209" si="118">AD209</f>
        <v>8.6200297957536804</v>
      </c>
      <c r="AF209" s="91">
        <f t="shared" si="118"/>
        <v>8.6200297957536804</v>
      </c>
      <c r="AG209" s="91">
        <f t="shared" si="118"/>
        <v>8.6200297957536804</v>
      </c>
      <c r="AH209" s="91">
        <f t="shared" si="118"/>
        <v>8.6200297957536804</v>
      </c>
      <c r="AI209" s="91">
        <f t="shared" si="118"/>
        <v>8.6200297957536804</v>
      </c>
      <c r="AJ209" s="91">
        <f t="shared" si="118"/>
        <v>8.6200297957536804</v>
      </c>
      <c r="AK209" s="91">
        <f t="shared" si="118"/>
        <v>8.6200297957536804</v>
      </c>
      <c r="AL209" s="91"/>
      <c r="AM209" s="91"/>
      <c r="AN209" s="91"/>
      <c r="AO209" s="91"/>
      <c r="AP209" s="91"/>
      <c r="AQ209" s="91"/>
      <c r="AR209" s="91"/>
      <c r="AS209" s="92"/>
      <c r="AT209" s="115"/>
      <c r="AU209" s="115"/>
      <c r="AV209" s="115"/>
      <c r="AW209" s="115"/>
      <c r="AX209" s="115"/>
      <c r="AY209" s="115"/>
      <c r="AZ209" s="115"/>
    </row>
    <row r="210" spans="1:52" x14ac:dyDescent="0.8">
      <c r="A210" s="35" t="s">
        <v>316</v>
      </c>
      <c r="B210" s="40">
        <v>20</v>
      </c>
      <c r="C210" s="40"/>
      <c r="D210" s="40"/>
      <c r="E210" s="40"/>
      <c r="F210" s="40"/>
      <c r="G210" s="40"/>
      <c r="H210" s="40"/>
      <c r="I210" s="40"/>
      <c r="J210" s="40"/>
      <c r="K210" s="40"/>
      <c r="L210" s="90"/>
      <c r="M210" s="91"/>
      <c r="N210" s="91"/>
      <c r="O210" s="91"/>
      <c r="P210" s="91"/>
      <c r="Q210" s="91"/>
      <c r="R210" s="90"/>
      <c r="S210" s="91"/>
      <c r="T210" s="91"/>
      <c r="U210" s="91"/>
      <c r="V210" s="91"/>
      <c r="W210" s="91"/>
      <c r="X210" s="91"/>
      <c r="Y210" s="91"/>
      <c r="Z210" s="91"/>
      <c r="AA210" s="91"/>
      <c r="AB210" s="91"/>
      <c r="AC210" s="91"/>
      <c r="AD210" s="91"/>
      <c r="AE210" s="91">
        <f>AE$39/$B$49</f>
        <v>4.2487852814474536E-2</v>
      </c>
      <c r="AF210" s="91">
        <f t="shared" ref="AF210:AL210" si="119">AE210</f>
        <v>4.2487852814474536E-2</v>
      </c>
      <c r="AG210" s="91">
        <f t="shared" si="119"/>
        <v>4.2487852814474536E-2</v>
      </c>
      <c r="AH210" s="91">
        <f t="shared" si="119"/>
        <v>4.2487852814474536E-2</v>
      </c>
      <c r="AI210" s="91">
        <f t="shared" si="119"/>
        <v>4.2487852814474536E-2</v>
      </c>
      <c r="AJ210" s="91">
        <f t="shared" si="119"/>
        <v>4.2487852814474536E-2</v>
      </c>
      <c r="AK210" s="91">
        <f t="shared" si="119"/>
        <v>4.2487852814474536E-2</v>
      </c>
      <c r="AL210" s="91">
        <f t="shared" si="119"/>
        <v>4.2487852814474536E-2</v>
      </c>
      <c r="AM210" s="91"/>
      <c r="AN210" s="91"/>
      <c r="AO210" s="91"/>
      <c r="AP210" s="91"/>
      <c r="AQ210" s="91"/>
      <c r="AR210" s="91"/>
      <c r="AS210" s="92"/>
      <c r="AT210" s="115"/>
      <c r="AU210" s="115"/>
      <c r="AV210" s="115"/>
      <c r="AW210" s="115"/>
      <c r="AX210" s="115"/>
      <c r="AY210" s="115"/>
      <c r="AZ210" s="115"/>
    </row>
    <row r="211" spans="1:52" x14ac:dyDescent="0.8">
      <c r="A211" s="35" t="s">
        <v>316</v>
      </c>
      <c r="B211" s="40">
        <v>21</v>
      </c>
      <c r="C211" s="40"/>
      <c r="D211" s="40"/>
      <c r="E211" s="40"/>
      <c r="F211" s="40"/>
      <c r="G211" s="40"/>
      <c r="H211" s="40"/>
      <c r="I211" s="40"/>
      <c r="J211" s="40"/>
      <c r="K211" s="40"/>
      <c r="L211" s="90"/>
      <c r="M211" s="91"/>
      <c r="N211" s="91"/>
      <c r="O211" s="91"/>
      <c r="P211" s="91"/>
      <c r="Q211" s="91"/>
      <c r="R211" s="90"/>
      <c r="S211" s="91"/>
      <c r="T211" s="91"/>
      <c r="U211" s="91"/>
      <c r="V211" s="91"/>
      <c r="W211" s="91"/>
      <c r="X211" s="91"/>
      <c r="Y211" s="91"/>
      <c r="Z211" s="91"/>
      <c r="AA211" s="91"/>
      <c r="AB211" s="91"/>
      <c r="AC211" s="91"/>
      <c r="AD211" s="91"/>
      <c r="AE211" s="91"/>
      <c r="AF211" s="91">
        <f>AF$39/$B$49</f>
        <v>4.2490189646514409E-2</v>
      </c>
      <c r="AG211" s="91">
        <f t="shared" ref="AG211:AM211" si="120">AF211</f>
        <v>4.2490189646514409E-2</v>
      </c>
      <c r="AH211" s="91">
        <f t="shared" si="120"/>
        <v>4.2490189646514409E-2</v>
      </c>
      <c r="AI211" s="91">
        <f t="shared" si="120"/>
        <v>4.2490189646514409E-2</v>
      </c>
      <c r="AJ211" s="91">
        <f t="shared" si="120"/>
        <v>4.2490189646514409E-2</v>
      </c>
      <c r="AK211" s="91">
        <f t="shared" si="120"/>
        <v>4.2490189646514409E-2</v>
      </c>
      <c r="AL211" s="91">
        <f t="shared" si="120"/>
        <v>4.2490189646514409E-2</v>
      </c>
      <c r="AM211" s="91">
        <f t="shared" si="120"/>
        <v>4.2490189646514409E-2</v>
      </c>
      <c r="AN211" s="91"/>
      <c r="AO211" s="91"/>
      <c r="AP211" s="91"/>
      <c r="AQ211" s="91"/>
      <c r="AR211" s="91"/>
      <c r="AS211" s="92"/>
      <c r="AT211" s="115"/>
      <c r="AU211" s="115"/>
      <c r="AV211" s="115"/>
      <c r="AW211" s="115"/>
      <c r="AX211" s="115"/>
      <c r="AY211" s="115"/>
      <c r="AZ211" s="115"/>
    </row>
    <row r="212" spans="1:52" x14ac:dyDescent="0.8">
      <c r="A212" s="35" t="s">
        <v>316</v>
      </c>
      <c r="B212" s="40">
        <v>22</v>
      </c>
      <c r="C212" s="40"/>
      <c r="D212" s="40"/>
      <c r="E212" s="40"/>
      <c r="F212" s="40"/>
      <c r="G212" s="40"/>
      <c r="H212" s="40"/>
      <c r="I212" s="40"/>
      <c r="J212" s="40"/>
      <c r="K212" s="40"/>
      <c r="L212" s="90"/>
      <c r="M212" s="91"/>
      <c r="N212" s="91"/>
      <c r="O212" s="91"/>
      <c r="P212" s="91"/>
      <c r="Q212" s="91"/>
      <c r="R212" s="90"/>
      <c r="S212" s="91"/>
      <c r="T212" s="91"/>
      <c r="U212" s="91"/>
      <c r="V212" s="91"/>
      <c r="W212" s="91"/>
      <c r="X212" s="91"/>
      <c r="Y212" s="91"/>
      <c r="Z212" s="91"/>
      <c r="AA212" s="91"/>
      <c r="AB212" s="91"/>
      <c r="AC212" s="91"/>
      <c r="AD212" s="91"/>
      <c r="AE212" s="91"/>
      <c r="AF212" s="91"/>
      <c r="AG212" s="91">
        <f>AG$39/$B$49</f>
        <v>4.2492526606906722E-2</v>
      </c>
      <c r="AH212" s="91">
        <f t="shared" ref="AH212:AN212" si="121">AG212</f>
        <v>4.2492526606906722E-2</v>
      </c>
      <c r="AI212" s="91">
        <f t="shared" si="121"/>
        <v>4.2492526606906722E-2</v>
      </c>
      <c r="AJ212" s="91">
        <f t="shared" si="121"/>
        <v>4.2492526606906722E-2</v>
      </c>
      <c r="AK212" s="91">
        <f t="shared" si="121"/>
        <v>4.2492526606906722E-2</v>
      </c>
      <c r="AL212" s="91">
        <f t="shared" si="121"/>
        <v>4.2492526606906722E-2</v>
      </c>
      <c r="AM212" s="91">
        <f t="shared" si="121"/>
        <v>4.2492526606906722E-2</v>
      </c>
      <c r="AN212" s="91">
        <f t="shared" si="121"/>
        <v>4.2492526606906722E-2</v>
      </c>
      <c r="AO212" s="91"/>
      <c r="AP212" s="91"/>
      <c r="AQ212" s="91"/>
      <c r="AR212" s="91"/>
      <c r="AS212" s="92"/>
      <c r="AT212" s="115"/>
      <c r="AU212" s="115"/>
      <c r="AV212" s="115"/>
      <c r="AW212" s="115"/>
      <c r="AX212" s="115"/>
      <c r="AY212" s="115"/>
      <c r="AZ212" s="115"/>
    </row>
    <row r="213" spans="1:52" x14ac:dyDescent="0.8">
      <c r="A213" s="35" t="s">
        <v>316</v>
      </c>
      <c r="B213" s="40">
        <v>23</v>
      </c>
      <c r="C213" s="40"/>
      <c r="D213" s="40"/>
      <c r="E213" s="40"/>
      <c r="F213" s="40"/>
      <c r="G213" s="40"/>
      <c r="H213" s="40"/>
      <c r="I213" s="40"/>
      <c r="J213" s="40"/>
      <c r="K213" s="40"/>
      <c r="L213" s="90"/>
      <c r="M213" s="91"/>
      <c r="N213" s="91"/>
      <c r="O213" s="91"/>
      <c r="P213" s="91"/>
      <c r="Q213" s="91"/>
      <c r="R213" s="90"/>
      <c r="S213" s="91"/>
      <c r="T213" s="91"/>
      <c r="U213" s="91"/>
      <c r="V213" s="91"/>
      <c r="W213" s="91"/>
      <c r="X213" s="91"/>
      <c r="Y213" s="91"/>
      <c r="Z213" s="91"/>
      <c r="AA213" s="91"/>
      <c r="AB213" s="91"/>
      <c r="AC213" s="91"/>
      <c r="AD213" s="91"/>
      <c r="AE213" s="91"/>
      <c r="AF213" s="91"/>
      <c r="AG213" s="91"/>
      <c r="AH213" s="91">
        <f>AH$39/$B$49</f>
        <v>4.2494863695992535E-2</v>
      </c>
      <c r="AI213" s="91">
        <f t="shared" ref="AI213:AO213" si="122">AH213</f>
        <v>4.2494863695992535E-2</v>
      </c>
      <c r="AJ213" s="91">
        <f t="shared" si="122"/>
        <v>4.2494863695992535E-2</v>
      </c>
      <c r="AK213" s="91">
        <f t="shared" si="122"/>
        <v>4.2494863695992535E-2</v>
      </c>
      <c r="AL213" s="91">
        <f t="shared" si="122"/>
        <v>4.2494863695992535E-2</v>
      </c>
      <c r="AM213" s="91">
        <f t="shared" si="122"/>
        <v>4.2494863695992535E-2</v>
      </c>
      <c r="AN213" s="91">
        <f t="shared" si="122"/>
        <v>4.2494863695992535E-2</v>
      </c>
      <c r="AO213" s="91">
        <f t="shared" si="122"/>
        <v>4.2494863695992535E-2</v>
      </c>
      <c r="AP213" s="91"/>
      <c r="AQ213" s="91"/>
      <c r="AR213" s="91"/>
      <c r="AS213" s="92"/>
      <c r="AT213" s="115"/>
      <c r="AU213" s="115"/>
      <c r="AV213" s="115"/>
      <c r="AW213" s="115"/>
      <c r="AX213" s="115"/>
      <c r="AY213" s="115"/>
      <c r="AZ213" s="115"/>
    </row>
    <row r="214" spans="1:52" x14ac:dyDescent="0.8">
      <c r="A214" s="35" t="s">
        <v>316</v>
      </c>
      <c r="B214" s="40">
        <v>24</v>
      </c>
      <c r="C214" s="40"/>
      <c r="D214" s="40"/>
      <c r="E214" s="40"/>
      <c r="F214" s="40"/>
      <c r="G214" s="40"/>
      <c r="H214" s="40"/>
      <c r="I214" s="40"/>
      <c r="J214" s="40"/>
      <c r="K214" s="40"/>
      <c r="L214" s="90"/>
      <c r="M214" s="91"/>
      <c r="N214" s="91"/>
      <c r="O214" s="91"/>
      <c r="P214" s="91"/>
      <c r="Q214" s="91"/>
      <c r="R214" s="90"/>
      <c r="S214" s="91"/>
      <c r="T214" s="91"/>
      <c r="U214" s="91"/>
      <c r="V214" s="91"/>
      <c r="W214" s="91"/>
      <c r="X214" s="91"/>
      <c r="Y214" s="91"/>
      <c r="Z214" s="91"/>
      <c r="AA214" s="91"/>
      <c r="AB214" s="91"/>
      <c r="AC214" s="91"/>
      <c r="AD214" s="91"/>
      <c r="AE214" s="91"/>
      <c r="AF214" s="91"/>
      <c r="AG214" s="91"/>
      <c r="AH214" s="91"/>
      <c r="AI214" s="91">
        <f>AI$39/$B$49</f>
        <v>4.2497200913317101E-2</v>
      </c>
      <c r="AJ214" s="91">
        <f t="shared" ref="AJ214:AP214" si="123">AI214</f>
        <v>4.2497200913317101E-2</v>
      </c>
      <c r="AK214" s="91">
        <f t="shared" si="123"/>
        <v>4.2497200913317101E-2</v>
      </c>
      <c r="AL214" s="91">
        <f t="shared" si="123"/>
        <v>4.2497200913317101E-2</v>
      </c>
      <c r="AM214" s="91">
        <f t="shared" si="123"/>
        <v>4.2497200913317101E-2</v>
      </c>
      <c r="AN214" s="91">
        <f t="shared" si="123"/>
        <v>4.2497200913317101E-2</v>
      </c>
      <c r="AO214" s="91">
        <f t="shared" si="123"/>
        <v>4.2497200913317101E-2</v>
      </c>
      <c r="AP214" s="91">
        <f t="shared" si="123"/>
        <v>4.2497200913317101E-2</v>
      </c>
      <c r="AQ214" s="91"/>
      <c r="AR214" s="91"/>
      <c r="AS214" s="92"/>
      <c r="AT214" s="115"/>
      <c r="AU214" s="115"/>
      <c r="AV214" s="115"/>
      <c r="AW214" s="115"/>
      <c r="AX214" s="115"/>
      <c r="AY214" s="115"/>
      <c r="AZ214" s="115"/>
    </row>
    <row r="215" spans="1:52" x14ac:dyDescent="0.8">
      <c r="A215" s="35" t="s">
        <v>316</v>
      </c>
      <c r="B215" s="40">
        <v>25</v>
      </c>
      <c r="C215" s="40"/>
      <c r="D215" s="40"/>
      <c r="E215" s="40"/>
      <c r="F215" s="40"/>
      <c r="G215" s="40"/>
      <c r="H215" s="40"/>
      <c r="I215" s="40"/>
      <c r="J215" s="40"/>
      <c r="K215" s="40"/>
      <c r="L215" s="90"/>
      <c r="M215" s="91"/>
      <c r="N215" s="91"/>
      <c r="O215" s="91"/>
      <c r="P215" s="91"/>
      <c r="Q215" s="91"/>
      <c r="R215" s="90"/>
      <c r="S215" s="91"/>
      <c r="T215" s="91"/>
      <c r="U215" s="91"/>
      <c r="V215" s="91"/>
      <c r="W215" s="91"/>
      <c r="X215" s="91"/>
      <c r="Y215" s="91"/>
      <c r="Z215" s="91"/>
      <c r="AA215" s="91"/>
      <c r="AB215" s="91"/>
      <c r="AC215" s="91"/>
      <c r="AD215" s="91"/>
      <c r="AE215" s="91"/>
      <c r="AF215" s="91"/>
      <c r="AG215" s="91"/>
      <c r="AH215" s="91"/>
      <c r="AI215" s="91"/>
      <c r="AJ215" s="91">
        <f>AJ$39/$B$49</f>
        <v>4.2499538259448855E-2</v>
      </c>
      <c r="AK215" s="91">
        <f t="shared" ref="AK215:AQ215" si="124">AJ215</f>
        <v>4.2499538259448855E-2</v>
      </c>
      <c r="AL215" s="91">
        <f t="shared" si="124"/>
        <v>4.2499538259448855E-2</v>
      </c>
      <c r="AM215" s="91">
        <f t="shared" si="124"/>
        <v>4.2499538259448855E-2</v>
      </c>
      <c r="AN215" s="91">
        <f t="shared" si="124"/>
        <v>4.2499538259448855E-2</v>
      </c>
      <c r="AO215" s="91">
        <f t="shared" si="124"/>
        <v>4.2499538259448855E-2</v>
      </c>
      <c r="AP215" s="91">
        <f t="shared" si="124"/>
        <v>4.2499538259448855E-2</v>
      </c>
      <c r="AQ215" s="91">
        <f t="shared" si="124"/>
        <v>4.2499538259448855E-2</v>
      </c>
      <c r="AR215" s="91"/>
      <c r="AS215" s="92"/>
      <c r="AT215" s="115"/>
      <c r="AU215" s="115"/>
      <c r="AV215" s="115"/>
      <c r="AW215" s="115"/>
      <c r="AX215" s="115"/>
      <c r="AY215" s="115"/>
      <c r="AZ215" s="115"/>
    </row>
    <row r="216" spans="1:52" x14ac:dyDescent="0.8">
      <c r="A216" s="35" t="s">
        <v>316</v>
      </c>
      <c r="B216" s="40">
        <v>26</v>
      </c>
      <c r="C216" s="40"/>
      <c r="D216" s="40"/>
      <c r="E216" s="40"/>
      <c r="F216" s="40"/>
      <c r="G216" s="40"/>
      <c r="H216" s="40"/>
      <c r="I216" s="40"/>
      <c r="J216" s="40"/>
      <c r="K216" s="40"/>
      <c r="L216" s="90"/>
      <c r="M216" s="91"/>
      <c r="N216" s="91"/>
      <c r="O216" s="91"/>
      <c r="P216" s="91"/>
      <c r="Q216" s="91"/>
      <c r="R216" s="90"/>
      <c r="S216" s="91"/>
      <c r="T216" s="91"/>
      <c r="U216" s="91"/>
      <c r="V216" s="91"/>
      <c r="W216" s="91"/>
      <c r="X216" s="91"/>
      <c r="Y216" s="91"/>
      <c r="Z216" s="91"/>
      <c r="AA216" s="91"/>
      <c r="AB216" s="91"/>
      <c r="AC216" s="91"/>
      <c r="AD216" s="91"/>
      <c r="AE216" s="91"/>
      <c r="AF216" s="91"/>
      <c r="AG216" s="91"/>
      <c r="AH216" s="91"/>
      <c r="AI216" s="91"/>
      <c r="AJ216" s="91"/>
      <c r="AK216" s="91">
        <f>AK$39/$B$49</f>
        <v>4.2501875733933048E-2</v>
      </c>
      <c r="AL216" s="91">
        <f t="shared" ref="AL216:AR216" si="125">AK216</f>
        <v>4.2501875733933048E-2</v>
      </c>
      <c r="AM216" s="91">
        <f t="shared" si="125"/>
        <v>4.2501875733933048E-2</v>
      </c>
      <c r="AN216" s="91">
        <f t="shared" si="125"/>
        <v>4.2501875733933048E-2</v>
      </c>
      <c r="AO216" s="91">
        <f t="shared" si="125"/>
        <v>4.2501875733933048E-2</v>
      </c>
      <c r="AP216" s="91">
        <f t="shared" si="125"/>
        <v>4.2501875733933048E-2</v>
      </c>
      <c r="AQ216" s="91">
        <f t="shared" si="125"/>
        <v>4.2501875733933048E-2</v>
      </c>
      <c r="AR216" s="91">
        <f t="shared" si="125"/>
        <v>4.2501875733933048E-2</v>
      </c>
      <c r="AS216" s="92"/>
      <c r="AT216" s="115"/>
      <c r="AU216" s="115"/>
      <c r="AV216" s="115"/>
      <c r="AW216" s="115"/>
      <c r="AX216" s="115"/>
      <c r="AY216" s="115"/>
      <c r="AZ216" s="115"/>
    </row>
    <row r="217" spans="1:52" x14ac:dyDescent="0.8">
      <c r="A217" s="35" t="s">
        <v>316</v>
      </c>
      <c r="B217" s="40">
        <v>27</v>
      </c>
      <c r="C217" s="40"/>
      <c r="D217" s="40"/>
      <c r="E217" s="40"/>
      <c r="F217" s="40"/>
      <c r="G217" s="40"/>
      <c r="H217" s="40"/>
      <c r="I217" s="40"/>
      <c r="J217" s="40"/>
      <c r="K217" s="40"/>
      <c r="L217" s="90"/>
      <c r="M217" s="91"/>
      <c r="N217" s="91"/>
      <c r="O217" s="91"/>
      <c r="P217" s="91"/>
      <c r="Q217" s="91"/>
      <c r="R217" s="90"/>
      <c r="S217" s="91"/>
      <c r="T217" s="91"/>
      <c r="U217" s="91"/>
      <c r="V217" s="91"/>
      <c r="W217" s="91"/>
      <c r="X217" s="91"/>
      <c r="Y217" s="91"/>
      <c r="Z217" s="91"/>
      <c r="AA217" s="91"/>
      <c r="AB217" s="91"/>
      <c r="AC217" s="91"/>
      <c r="AD217" s="91"/>
      <c r="AE217" s="91"/>
      <c r="AF217" s="91"/>
      <c r="AG217" s="91"/>
      <c r="AH217" s="91"/>
      <c r="AI217" s="91"/>
      <c r="AJ217" s="91"/>
      <c r="AK217" s="91"/>
      <c r="AL217" s="91">
        <f>AL$39/$B$49</f>
        <v>4.2504213337224428E-2</v>
      </c>
      <c r="AM217" s="91">
        <f t="shared" ref="AM217:AS217" si="126">AL217</f>
        <v>4.2504213337224428E-2</v>
      </c>
      <c r="AN217" s="91">
        <f t="shared" si="126"/>
        <v>4.2504213337224428E-2</v>
      </c>
      <c r="AO217" s="91">
        <f t="shared" si="126"/>
        <v>4.2504213337224428E-2</v>
      </c>
      <c r="AP217" s="91">
        <f t="shared" si="126"/>
        <v>4.2504213337224428E-2</v>
      </c>
      <c r="AQ217" s="91">
        <f t="shared" si="126"/>
        <v>4.2504213337224428E-2</v>
      </c>
      <c r="AR217" s="91">
        <f t="shared" si="126"/>
        <v>4.2504213337224428E-2</v>
      </c>
      <c r="AS217" s="92">
        <f t="shared" si="126"/>
        <v>4.2504213337224428E-2</v>
      </c>
      <c r="AT217" s="115"/>
      <c r="AU217" s="115"/>
      <c r="AV217" s="115"/>
      <c r="AW217" s="115"/>
      <c r="AX217" s="115"/>
      <c r="AY217" s="115"/>
      <c r="AZ217" s="115"/>
    </row>
    <row r="218" spans="1:52" x14ac:dyDescent="0.8">
      <c r="A218" s="35" t="s">
        <v>316</v>
      </c>
      <c r="B218" s="40">
        <v>28</v>
      </c>
      <c r="C218" s="40"/>
      <c r="D218" s="40"/>
      <c r="E218" s="40"/>
      <c r="F218" s="40"/>
      <c r="G218" s="40"/>
      <c r="H218" s="40"/>
      <c r="I218" s="40"/>
      <c r="J218" s="40"/>
      <c r="K218" s="40"/>
      <c r="L218" s="90"/>
      <c r="M218" s="91"/>
      <c r="N218" s="91"/>
      <c r="O218" s="91"/>
      <c r="P218" s="91"/>
      <c r="Q218" s="91"/>
      <c r="R218" s="90"/>
      <c r="S218" s="91"/>
      <c r="T218" s="91"/>
      <c r="U218" s="91"/>
      <c r="V218" s="91"/>
      <c r="W218" s="91"/>
      <c r="X218" s="91"/>
      <c r="Y218" s="91"/>
      <c r="Z218" s="91"/>
      <c r="AA218" s="91"/>
      <c r="AB218" s="91"/>
      <c r="AC218" s="91"/>
      <c r="AD218" s="91"/>
      <c r="AE218" s="91"/>
      <c r="AF218" s="91"/>
      <c r="AG218" s="91"/>
      <c r="AH218" s="91"/>
      <c r="AI218" s="91"/>
      <c r="AJ218" s="91"/>
      <c r="AK218" s="91"/>
      <c r="AL218" s="91"/>
      <c r="AM218" s="91">
        <f>AM$39/$B$49</f>
        <v>4.2506551068981935E-2</v>
      </c>
      <c r="AN218" s="91">
        <f t="shared" ref="AN218:AT218" si="127">AM218</f>
        <v>4.2506551068981935E-2</v>
      </c>
      <c r="AO218" s="91">
        <f t="shared" si="127"/>
        <v>4.2506551068981935E-2</v>
      </c>
      <c r="AP218" s="91">
        <f t="shared" si="127"/>
        <v>4.2506551068981935E-2</v>
      </c>
      <c r="AQ218" s="91">
        <f t="shared" si="127"/>
        <v>4.2506551068981935E-2</v>
      </c>
      <c r="AR218" s="91">
        <f t="shared" si="127"/>
        <v>4.2506551068981935E-2</v>
      </c>
      <c r="AS218" s="92">
        <f t="shared" si="127"/>
        <v>4.2506551068981935E-2</v>
      </c>
      <c r="AT218" s="124">
        <f t="shared" si="127"/>
        <v>4.2506551068981935E-2</v>
      </c>
      <c r="AU218" s="115"/>
      <c r="AV218" s="115"/>
      <c r="AW218" s="115"/>
      <c r="AX218" s="115"/>
      <c r="AY218" s="115"/>
      <c r="AZ218" s="115"/>
    </row>
    <row r="219" spans="1:52" x14ac:dyDescent="0.8">
      <c r="A219" s="35" t="s">
        <v>316</v>
      </c>
      <c r="B219" s="40">
        <v>29</v>
      </c>
      <c r="C219" s="40"/>
      <c r="D219" s="40"/>
      <c r="E219" s="40"/>
      <c r="F219" s="40"/>
      <c r="G219" s="40"/>
      <c r="H219" s="40"/>
      <c r="I219" s="40"/>
      <c r="J219" s="40"/>
      <c r="K219" s="40"/>
      <c r="L219" s="90"/>
      <c r="M219" s="91"/>
      <c r="N219" s="91"/>
      <c r="O219" s="91"/>
      <c r="P219" s="91"/>
      <c r="Q219" s="91"/>
      <c r="R219" s="90"/>
      <c r="S219" s="91"/>
      <c r="T219" s="91"/>
      <c r="U219" s="91"/>
      <c r="V219" s="91"/>
      <c r="W219" s="91"/>
      <c r="X219" s="91"/>
      <c r="Y219" s="91"/>
      <c r="Z219" s="91"/>
      <c r="AA219" s="91"/>
      <c r="AB219" s="91"/>
      <c r="AC219" s="91"/>
      <c r="AD219" s="91"/>
      <c r="AE219" s="91"/>
      <c r="AF219" s="91"/>
      <c r="AG219" s="91"/>
      <c r="AH219" s="91"/>
      <c r="AI219" s="91"/>
      <c r="AJ219" s="91"/>
      <c r="AK219" s="91"/>
      <c r="AL219" s="91"/>
      <c r="AM219" s="91"/>
      <c r="AN219" s="91">
        <f>AN$39/$B$49</f>
        <v>4.2508888929319255E-2</v>
      </c>
      <c r="AO219" s="91">
        <f t="shared" ref="AO219:AU219" si="128">AN219</f>
        <v>4.2508888929319255E-2</v>
      </c>
      <c r="AP219" s="91">
        <f t="shared" si="128"/>
        <v>4.2508888929319255E-2</v>
      </c>
      <c r="AQ219" s="91">
        <f t="shared" si="128"/>
        <v>4.2508888929319255E-2</v>
      </c>
      <c r="AR219" s="91">
        <f t="shared" si="128"/>
        <v>4.2508888929319255E-2</v>
      </c>
      <c r="AS219" s="92">
        <f t="shared" si="128"/>
        <v>4.2508888929319255E-2</v>
      </c>
      <c r="AT219" s="124">
        <f t="shared" si="128"/>
        <v>4.2508888929319255E-2</v>
      </c>
      <c r="AU219" s="107">
        <f t="shared" si="128"/>
        <v>4.2508888929319255E-2</v>
      </c>
      <c r="AV219" s="107"/>
      <c r="AW219" s="107"/>
      <c r="AX219" s="107"/>
      <c r="AY219" s="107"/>
      <c r="AZ219" s="107"/>
    </row>
    <row r="220" spans="1:52" x14ac:dyDescent="0.8">
      <c r="A220" s="35" t="s">
        <v>316</v>
      </c>
      <c r="B220" s="40">
        <v>30</v>
      </c>
      <c r="C220" s="40"/>
      <c r="D220" s="40"/>
      <c r="E220" s="40"/>
      <c r="F220" s="40"/>
      <c r="G220" s="40"/>
      <c r="H220" s="40"/>
      <c r="I220" s="40"/>
      <c r="J220" s="40"/>
      <c r="K220" s="40"/>
      <c r="L220" s="90"/>
      <c r="M220" s="91"/>
      <c r="N220" s="91"/>
      <c r="O220" s="91"/>
      <c r="P220" s="91"/>
      <c r="Q220" s="91"/>
      <c r="R220" s="90"/>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f>AO$39/$B$49</f>
        <v>4.2511226918122702E-2</v>
      </c>
      <c r="AP220" s="91">
        <f t="shared" ref="AP220:AV220" si="129">AO220</f>
        <v>4.2511226918122702E-2</v>
      </c>
      <c r="AQ220" s="91">
        <f t="shared" si="129"/>
        <v>4.2511226918122702E-2</v>
      </c>
      <c r="AR220" s="91">
        <f t="shared" si="129"/>
        <v>4.2511226918122702E-2</v>
      </c>
      <c r="AS220" s="92">
        <f t="shared" si="129"/>
        <v>4.2511226918122702E-2</v>
      </c>
      <c r="AT220" s="124">
        <f t="shared" si="129"/>
        <v>4.2511226918122702E-2</v>
      </c>
      <c r="AU220" s="107">
        <f t="shared" si="129"/>
        <v>4.2511226918122702E-2</v>
      </c>
      <c r="AV220" s="107">
        <f t="shared" si="129"/>
        <v>4.2511226918122702E-2</v>
      </c>
      <c r="AW220" s="107"/>
      <c r="AX220" s="107"/>
      <c r="AY220" s="107"/>
      <c r="AZ220" s="107"/>
    </row>
    <row r="221" spans="1:52" x14ac:dyDescent="0.8">
      <c r="A221" s="35" t="s">
        <v>316</v>
      </c>
      <c r="B221" s="40">
        <v>31</v>
      </c>
      <c r="C221" s="40"/>
      <c r="D221" s="40"/>
      <c r="E221" s="40"/>
      <c r="F221" s="40"/>
      <c r="G221" s="40"/>
      <c r="H221" s="40"/>
      <c r="I221" s="40"/>
      <c r="J221" s="40"/>
      <c r="K221" s="40"/>
      <c r="L221" s="90"/>
      <c r="M221" s="91"/>
      <c r="N221" s="91"/>
      <c r="O221" s="91"/>
      <c r="P221" s="91"/>
      <c r="Q221" s="91"/>
      <c r="R221" s="90"/>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f>AP$39/$B$49</f>
        <v>4.2513565035619649E-2</v>
      </c>
      <c r="AQ221" s="91">
        <f t="shared" ref="AQ221:AW221" si="130">AP221</f>
        <v>4.2513565035619649E-2</v>
      </c>
      <c r="AR221" s="91">
        <f t="shared" si="130"/>
        <v>4.2513565035619649E-2</v>
      </c>
      <c r="AS221" s="92">
        <f t="shared" si="130"/>
        <v>4.2513565035619649E-2</v>
      </c>
      <c r="AT221" s="124">
        <f t="shared" si="130"/>
        <v>4.2513565035619649E-2</v>
      </c>
      <c r="AU221" s="107">
        <f t="shared" si="130"/>
        <v>4.2513565035619649E-2</v>
      </c>
      <c r="AV221" s="107">
        <f t="shared" si="130"/>
        <v>4.2513565035619649E-2</v>
      </c>
      <c r="AW221" s="107">
        <f t="shared" si="130"/>
        <v>4.2513565035619649E-2</v>
      </c>
      <c r="AX221" s="107"/>
      <c r="AY221" s="107"/>
      <c r="AZ221" s="107"/>
    </row>
    <row r="222" spans="1:52" x14ac:dyDescent="0.8">
      <c r="A222" s="35" t="s">
        <v>316</v>
      </c>
      <c r="B222" s="40">
        <v>32</v>
      </c>
      <c r="C222" s="40"/>
      <c r="D222" s="40"/>
      <c r="E222" s="40"/>
      <c r="F222" s="40"/>
      <c r="G222" s="40"/>
      <c r="H222" s="40"/>
      <c r="I222" s="40"/>
      <c r="J222" s="40"/>
      <c r="K222" s="40"/>
      <c r="L222" s="90"/>
      <c r="M222" s="91"/>
      <c r="N222" s="91"/>
      <c r="O222" s="91"/>
      <c r="P222" s="91"/>
      <c r="Q222" s="91"/>
      <c r="R222" s="90"/>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f>AQ$39/$B$49</f>
        <v>4.2515903281810097E-2</v>
      </c>
      <c r="AR222" s="91">
        <f t="shared" ref="AR222:AX222" si="131">AQ222</f>
        <v>4.2515903281810097E-2</v>
      </c>
      <c r="AS222" s="92">
        <f t="shared" si="131"/>
        <v>4.2515903281810097E-2</v>
      </c>
      <c r="AT222" s="124">
        <f t="shared" si="131"/>
        <v>4.2515903281810097E-2</v>
      </c>
      <c r="AU222" s="107">
        <f t="shared" si="131"/>
        <v>4.2515903281810097E-2</v>
      </c>
      <c r="AV222" s="107">
        <f t="shared" si="131"/>
        <v>4.2515903281810097E-2</v>
      </c>
      <c r="AW222" s="107">
        <f t="shared" si="131"/>
        <v>4.2515903281810097E-2</v>
      </c>
      <c r="AX222" s="107">
        <f t="shared" si="131"/>
        <v>4.2515903281810097E-2</v>
      </c>
      <c r="AY222" s="107"/>
      <c r="AZ222" s="107"/>
    </row>
    <row r="223" spans="1:52" x14ac:dyDescent="0.8">
      <c r="A223" s="35" t="s">
        <v>316</v>
      </c>
      <c r="B223" s="40">
        <v>33</v>
      </c>
      <c r="C223" s="40"/>
      <c r="D223" s="40"/>
      <c r="E223" s="40"/>
      <c r="F223" s="40"/>
      <c r="G223" s="40"/>
      <c r="H223" s="40"/>
      <c r="I223" s="40"/>
      <c r="J223" s="40"/>
      <c r="K223" s="40"/>
      <c r="L223" s="90"/>
      <c r="M223" s="91"/>
      <c r="N223" s="91"/>
      <c r="O223" s="91"/>
      <c r="P223" s="91"/>
      <c r="Q223" s="91"/>
      <c r="R223" s="90"/>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f>AR$39/$B$49</f>
        <v>4.2518241656352984E-2</v>
      </c>
      <c r="AS223" s="92">
        <f t="shared" ref="AS223:AY223" si="132">AR223</f>
        <v>4.2518241656352984E-2</v>
      </c>
      <c r="AT223" s="124">
        <f t="shared" si="132"/>
        <v>4.2518241656352984E-2</v>
      </c>
      <c r="AU223" s="107">
        <f t="shared" si="132"/>
        <v>4.2518241656352984E-2</v>
      </c>
      <c r="AV223" s="107">
        <f t="shared" si="132"/>
        <v>4.2518241656352984E-2</v>
      </c>
      <c r="AW223" s="107">
        <f t="shared" si="132"/>
        <v>4.2518241656352984E-2</v>
      </c>
      <c r="AX223" s="107">
        <f t="shared" si="132"/>
        <v>4.2518241656352984E-2</v>
      </c>
      <c r="AY223" s="107">
        <f t="shared" si="132"/>
        <v>4.2518241656352984E-2</v>
      </c>
      <c r="AZ223" s="107"/>
    </row>
    <row r="224" spans="1:52" x14ac:dyDescent="0.8">
      <c r="A224" s="35" t="s">
        <v>316</v>
      </c>
      <c r="B224" s="40">
        <v>34</v>
      </c>
      <c r="C224" s="40"/>
      <c r="D224" s="40"/>
      <c r="E224" s="40"/>
      <c r="F224" s="40"/>
      <c r="G224" s="40"/>
      <c r="H224" s="40"/>
      <c r="I224" s="40"/>
      <c r="J224" s="40"/>
      <c r="K224" s="40"/>
      <c r="L224" s="90"/>
      <c r="M224" s="91"/>
      <c r="N224" s="91"/>
      <c r="O224" s="91"/>
      <c r="P224" s="91"/>
      <c r="Q224" s="91"/>
      <c r="R224" s="90"/>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2">
        <f>AS$39/$B$49</f>
        <v>4.2520580159589372E-2</v>
      </c>
      <c r="AT224" s="124">
        <f t="shared" ref="AT224:AZ224" si="133">AS224</f>
        <v>4.2520580159589372E-2</v>
      </c>
      <c r="AU224" s="107">
        <f t="shared" si="133"/>
        <v>4.2520580159589372E-2</v>
      </c>
      <c r="AV224" s="107">
        <f t="shared" si="133"/>
        <v>4.2520580159589372E-2</v>
      </c>
      <c r="AW224" s="107">
        <f t="shared" si="133"/>
        <v>4.2520580159589372E-2</v>
      </c>
      <c r="AX224" s="107">
        <f t="shared" si="133"/>
        <v>4.2520580159589372E-2</v>
      </c>
      <c r="AY224" s="107">
        <f t="shared" si="133"/>
        <v>4.2520580159589372E-2</v>
      </c>
      <c r="AZ224" s="107">
        <f t="shared" si="133"/>
        <v>4.2520580159589372E-2</v>
      </c>
    </row>
    <row r="225" spans="1:50" x14ac:dyDescent="0.8">
      <c r="A225" s="125" t="s">
        <v>317</v>
      </c>
      <c r="B225" s="86"/>
      <c r="C225" s="86"/>
      <c r="D225" s="86"/>
      <c r="E225" s="86"/>
      <c r="F225" s="86"/>
      <c r="G225" s="86"/>
      <c r="H225" s="86"/>
      <c r="I225" s="86"/>
      <c r="J225" s="86"/>
      <c r="K225" s="126"/>
      <c r="L225" s="113">
        <f t="shared" ref="L225:AS225" si="134">SUM(L191:L224)</f>
        <v>48.094400000000007</v>
      </c>
      <c r="M225" s="113">
        <f t="shared" si="134"/>
        <v>64.190348</v>
      </c>
      <c r="N225" s="113">
        <f t="shared" si="134"/>
        <v>116.27789119999994</v>
      </c>
      <c r="O225" s="113">
        <f t="shared" si="134"/>
        <v>130.90673312000001</v>
      </c>
      <c r="P225" s="113">
        <f t="shared" si="134"/>
        <v>189.68807974399999</v>
      </c>
      <c r="Q225" s="113">
        <f t="shared" si="134"/>
        <v>221.43000692096001</v>
      </c>
      <c r="R225" s="112">
        <f t="shared" si="134"/>
        <v>325.90451468418564</v>
      </c>
      <c r="S225" s="113">
        <f t="shared" si="134"/>
        <v>361.54565380466272</v>
      </c>
      <c r="T225" s="113">
        <f t="shared" si="134"/>
        <v>347.8666941507866</v>
      </c>
      <c r="U225" s="113">
        <f t="shared" si="134"/>
        <v>364.77683979929645</v>
      </c>
      <c r="V225" s="113">
        <f t="shared" si="134"/>
        <v>344.14886002442091</v>
      </c>
      <c r="W225" s="113">
        <f t="shared" si="134"/>
        <v>359.33832635319197</v>
      </c>
      <c r="X225" s="113">
        <f t="shared" si="134"/>
        <v>328.67703754896297</v>
      </c>
      <c r="Y225" s="113">
        <f t="shared" si="134"/>
        <v>320.39953765459694</v>
      </c>
      <c r="Z225" s="113">
        <f t="shared" si="134"/>
        <v>235.34301437642796</v>
      </c>
      <c r="AA225" s="113">
        <f t="shared" si="134"/>
        <v>215.66423369097754</v>
      </c>
      <c r="AB225" s="113">
        <f t="shared" si="134"/>
        <v>194.3001273899215</v>
      </c>
      <c r="AC225" s="113">
        <f t="shared" si="134"/>
        <v>171.91919721636611</v>
      </c>
      <c r="AD225" s="113">
        <f t="shared" si="134"/>
        <v>149.07966358699537</v>
      </c>
      <c r="AE225" s="113">
        <f t="shared" si="134"/>
        <v>119.30384319103871</v>
      </c>
      <c r="AF225" s="113">
        <f t="shared" si="134"/>
        <v>91.226275560914246</v>
      </c>
      <c r="AG225" s="113">
        <f t="shared" si="134"/>
        <v>67.804340804927165</v>
      </c>
      <c r="AH225" s="113">
        <f t="shared" si="134"/>
        <v>48.428851183566508</v>
      </c>
      <c r="AI225" s="113">
        <f t="shared" si="134"/>
        <v>32.508989949453166</v>
      </c>
      <c r="AJ225" s="113">
        <f t="shared" si="134"/>
        <v>19.500155442644768</v>
      </c>
      <c r="AK225" s="113">
        <f t="shared" si="134"/>
        <v>8.9174938434242677</v>
      </c>
      <c r="AL225" s="113">
        <f t="shared" si="134"/>
        <v>0.33996826100781163</v>
      </c>
      <c r="AM225" s="113">
        <f t="shared" si="134"/>
        <v>0.33998695926231903</v>
      </c>
      <c r="AN225" s="113">
        <f t="shared" si="134"/>
        <v>0.34000565854512388</v>
      </c>
      <c r="AO225" s="113">
        <f t="shared" si="134"/>
        <v>0.34002435885633986</v>
      </c>
      <c r="AP225" s="113">
        <f t="shared" si="134"/>
        <v>0.34004306019596697</v>
      </c>
      <c r="AQ225" s="113">
        <f t="shared" si="134"/>
        <v>0.34006176256445997</v>
      </c>
      <c r="AR225" s="113">
        <f t="shared" si="134"/>
        <v>0.3400804659613641</v>
      </c>
      <c r="AS225" s="114">
        <f t="shared" si="134"/>
        <v>0.34009917038702042</v>
      </c>
      <c r="AT225"/>
      <c r="AU225"/>
      <c r="AV225"/>
      <c r="AW225"/>
      <c r="AX225"/>
    </row>
    <row r="226" spans="1:50" x14ac:dyDescent="0.8">
      <c r="K226" s="65"/>
      <c r="L226" s="40"/>
      <c r="Q226" s="65"/>
      <c r="R226" s="40"/>
    </row>
    <row r="227" spans="1:50" ht="16.75" thickBot="1" x14ac:dyDescent="0.95">
      <c r="K227" s="40"/>
      <c r="L227" s="40"/>
      <c r="Q227" s="40"/>
      <c r="R227" s="40"/>
    </row>
    <row r="228" spans="1:50" ht="16.75" thickBot="1" x14ac:dyDescent="0.95">
      <c r="A228" s="127" t="s">
        <v>318</v>
      </c>
      <c r="K228" s="40"/>
      <c r="L228" s="40"/>
      <c r="Q228" s="40"/>
      <c r="R228" s="40"/>
    </row>
    <row r="229" spans="1:50" x14ac:dyDescent="0.8">
      <c r="K229" s="40"/>
      <c r="L229" s="40"/>
      <c r="Q229" s="40"/>
      <c r="R229" s="40"/>
    </row>
    <row r="230" spans="1:50" x14ac:dyDescent="0.8">
      <c r="A230" s="89" t="s">
        <v>306</v>
      </c>
      <c r="K230" s="80"/>
      <c r="L230" s="40"/>
      <c r="Q230" s="80"/>
      <c r="R230" s="40"/>
    </row>
    <row r="231" spans="1:50" x14ac:dyDescent="0.8">
      <c r="A231" s="66" t="s">
        <v>307</v>
      </c>
      <c r="B231" s="65">
        <v>1</v>
      </c>
      <c r="C231" s="65"/>
      <c r="D231" s="65"/>
      <c r="E231" s="65"/>
      <c r="F231" s="65"/>
      <c r="G231" s="65"/>
      <c r="H231" s="65"/>
      <c r="I231" s="65"/>
      <c r="J231" s="65"/>
      <c r="K231" s="65"/>
      <c r="L231" s="104">
        <f>L$33*$E$53</f>
        <v>507.49071583999972</v>
      </c>
      <c r="M231" s="105">
        <f>L$33*$F$53</f>
        <v>869.73041503999957</v>
      </c>
      <c r="N231" s="105">
        <f>L$33*$G$53</f>
        <v>621.1345430399997</v>
      </c>
      <c r="O231" s="105">
        <f>L$33*$H$53</f>
        <v>443.56606303999979</v>
      </c>
      <c r="P231" s="105">
        <f>L$33*$I$53</f>
        <v>317.13730527999985</v>
      </c>
      <c r="Q231" s="105">
        <f>L$33*$J$53</f>
        <v>316.78216831999987</v>
      </c>
      <c r="R231" s="104">
        <f>L$33*$K$53</f>
        <v>317.13730527999985</v>
      </c>
      <c r="S231" s="105">
        <f>L$33*$L$53</f>
        <v>158.39108415999993</v>
      </c>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6"/>
    </row>
    <row r="232" spans="1:50" x14ac:dyDescent="0.8">
      <c r="A232" s="35" t="s">
        <v>307</v>
      </c>
      <c r="B232" s="40">
        <v>2</v>
      </c>
      <c r="C232" s="40"/>
      <c r="D232" s="40"/>
      <c r="E232" s="40"/>
      <c r="F232" s="40"/>
      <c r="G232" s="40"/>
      <c r="H232" s="40"/>
      <c r="I232" s="40"/>
      <c r="J232" s="40"/>
      <c r="K232" s="40"/>
      <c r="L232" s="90"/>
      <c r="M232" s="91">
        <f>M$33*$E$53</f>
        <v>340.86890428799973</v>
      </c>
      <c r="N232" s="91">
        <f>M$33*$F$53</f>
        <v>584.17630972799952</v>
      </c>
      <c r="O232" s="91">
        <f>M$33*$G$53</f>
        <v>417.20063932799968</v>
      </c>
      <c r="P232" s="91">
        <f>M$33*$H$53</f>
        <v>297.93230332799976</v>
      </c>
      <c r="Q232" s="91">
        <f>M$33*$I$53</f>
        <v>213.01324809599984</v>
      </c>
      <c r="R232" s="90">
        <f>M$33*$J$53</f>
        <v>212.77471142399983</v>
      </c>
      <c r="S232" s="91">
        <f>M$33*$K$53</f>
        <v>213.01324809599984</v>
      </c>
      <c r="T232" s="91">
        <f>M$33*$L$53</f>
        <v>106.38735571199992</v>
      </c>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2"/>
    </row>
    <row r="233" spans="1:50" x14ac:dyDescent="0.8">
      <c r="A233" s="35" t="s">
        <v>307</v>
      </c>
      <c r="B233" s="40">
        <v>3</v>
      </c>
      <c r="C233" s="40"/>
      <c r="D233" s="40"/>
      <c r="E233" s="40"/>
      <c r="F233" s="40"/>
      <c r="G233" s="40"/>
      <c r="H233" s="40"/>
      <c r="I233" s="40"/>
      <c r="J233" s="40"/>
      <c r="K233" s="40"/>
      <c r="L233" s="90"/>
      <c r="M233" s="91"/>
      <c r="N233" s="91">
        <f>N$33*$E$53</f>
        <v>190.0419554879995</v>
      </c>
      <c r="O233" s="91">
        <f>N$33*$F$53</f>
        <v>325.69121692799916</v>
      </c>
      <c r="P233" s="91">
        <f>N$33*$G$53</f>
        <v>232.5985865279994</v>
      </c>
      <c r="Q233" s="91">
        <f>N$33*$H$53</f>
        <v>166.10385052799958</v>
      </c>
      <c r="R233" s="90">
        <f>N$33*$I$53</f>
        <v>118.7595984959997</v>
      </c>
      <c r="S233" s="91">
        <f>N$33*$J$53</f>
        <v>118.62660902399969</v>
      </c>
      <c r="T233" s="91">
        <f>N$33*$K$53</f>
        <v>118.7595984959997</v>
      </c>
      <c r="U233" s="91">
        <f>N$33*$L$53</f>
        <v>59.313304511999846</v>
      </c>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2"/>
    </row>
    <row r="234" spans="1:50" x14ac:dyDescent="0.8">
      <c r="A234" s="35" t="s">
        <v>307</v>
      </c>
      <c r="B234" s="40">
        <v>4</v>
      </c>
      <c r="C234" s="40"/>
      <c r="D234" s="40"/>
      <c r="E234" s="40"/>
      <c r="F234" s="40"/>
      <c r="G234" s="40"/>
      <c r="H234" s="40"/>
      <c r="I234" s="40"/>
      <c r="J234" s="40"/>
      <c r="K234" s="40"/>
      <c r="L234" s="90"/>
      <c r="M234" s="91"/>
      <c r="N234" s="91"/>
      <c r="O234" s="91">
        <f>O$33*$E$53</f>
        <v>243.2537030246408</v>
      </c>
      <c r="P234" s="91">
        <f>O$33*$F$53</f>
        <v>416.88475766784137</v>
      </c>
      <c r="Q234" s="91">
        <f>O$33*$G$53</f>
        <v>297.72619075584095</v>
      </c>
      <c r="R234" s="90">
        <f>O$33*$H$53</f>
        <v>212.61292867584069</v>
      </c>
      <c r="S234" s="91">
        <f>O$33*$I$53</f>
        <v>152.01228607488051</v>
      </c>
      <c r="T234" s="91">
        <f>O$33*$J$53</f>
        <v>151.84205955072051</v>
      </c>
      <c r="U234" s="91">
        <f>O$33*$K$53</f>
        <v>152.01228607488051</v>
      </c>
      <c r="V234" s="91">
        <f>O$33*$L$53</f>
        <v>75.921029775360253</v>
      </c>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2"/>
    </row>
    <row r="235" spans="1:50" x14ac:dyDescent="0.8">
      <c r="A235" s="35" t="s">
        <v>307</v>
      </c>
      <c r="B235" s="40">
        <v>5</v>
      </c>
      <c r="C235" s="40"/>
      <c r="D235" s="40"/>
      <c r="E235" s="40"/>
      <c r="F235" s="40"/>
      <c r="G235" s="40"/>
      <c r="H235" s="40"/>
      <c r="I235" s="40"/>
      <c r="J235" s="40"/>
      <c r="K235" s="40"/>
      <c r="L235" s="90"/>
      <c r="M235" s="91"/>
      <c r="N235" s="91"/>
      <c r="O235" s="91"/>
      <c r="P235" s="91">
        <f>P$33*$E$53</f>
        <v>790.57453483007998</v>
      </c>
      <c r="Q235" s="91">
        <f>P$33*$F$53</f>
        <v>1354.8754624204801</v>
      </c>
      <c r="R235" s="90">
        <f>P$33*$G$53</f>
        <v>967.61011995647993</v>
      </c>
      <c r="S235" s="91">
        <f>P$33*$H$53</f>
        <v>690.99201819647999</v>
      </c>
      <c r="T235" s="91">
        <f>P$33*$I$53</f>
        <v>494.03992974336001</v>
      </c>
      <c r="U235" s="91">
        <f>P$33*$J$53</f>
        <v>493.48669353984002</v>
      </c>
      <c r="V235" s="91">
        <f>P$33*$K$53</f>
        <v>494.03992974336001</v>
      </c>
      <c r="W235" s="91">
        <f>P$33*$L$53</f>
        <v>246.74334676992001</v>
      </c>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92"/>
    </row>
    <row r="236" spans="1:50" x14ac:dyDescent="0.8">
      <c r="A236" s="35" t="s">
        <v>307</v>
      </c>
      <c r="B236" s="40">
        <v>6</v>
      </c>
      <c r="C236" s="40"/>
      <c r="D236" s="40"/>
      <c r="E236" s="40"/>
      <c r="F236" s="40"/>
      <c r="G236" s="40"/>
      <c r="H236" s="40"/>
      <c r="I236" s="40"/>
      <c r="J236" s="40"/>
      <c r="K236" s="40"/>
      <c r="L236" s="90"/>
      <c r="M236" s="91"/>
      <c r="N236" s="91"/>
      <c r="O236" s="91"/>
      <c r="P236" s="91"/>
      <c r="Q236" s="91">
        <f>Q$33*$E$53</f>
        <v>175.0332020113795</v>
      </c>
      <c r="R236" s="90">
        <f>Q$33*$F$53</f>
        <v>299.96942737989394</v>
      </c>
      <c r="S236" s="91">
        <f>Q$33*$G$53</f>
        <v>214.22888055836441</v>
      </c>
      <c r="T236" s="91">
        <f>Q$33*$H$53</f>
        <v>152.98563282870049</v>
      </c>
      <c r="U236" s="91">
        <f>Q$33*$I$53</f>
        <v>109.38044044517977</v>
      </c>
      <c r="V236" s="91">
        <f>Q$33*$J$53</f>
        <v>109.25795394972045</v>
      </c>
      <c r="W236" s="91">
        <f>Q$33*$K$53</f>
        <v>109.38044044517977</v>
      </c>
      <c r="X236" s="91">
        <f>Q$33*$L$53</f>
        <v>54.628976974860223</v>
      </c>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92"/>
    </row>
    <row r="237" spans="1:50" x14ac:dyDescent="0.8">
      <c r="A237" s="35" t="s">
        <v>307</v>
      </c>
      <c r="B237" s="40">
        <v>7</v>
      </c>
      <c r="C237" s="40"/>
      <c r="D237" s="40"/>
      <c r="E237" s="40"/>
      <c r="F237" s="40"/>
      <c r="G237" s="40"/>
      <c r="H237" s="40"/>
      <c r="I237" s="40"/>
      <c r="J237" s="40"/>
      <c r="K237" s="40"/>
      <c r="L237" s="90"/>
      <c r="M237" s="91"/>
      <c r="N237" s="91"/>
      <c r="O237" s="91"/>
      <c r="P237" s="91"/>
      <c r="Q237" s="91"/>
      <c r="R237" s="90">
        <f>R$33*$E$53</f>
        <v>-24.300680051606175</v>
      </c>
      <c r="S237" s="91">
        <f>R$33*$F$53</f>
        <v>-41.646161963879308</v>
      </c>
      <c r="T237" s="91">
        <f>R$33*$G$53</f>
        <v>-29.742399867221273</v>
      </c>
      <c r="U237" s="91">
        <f>R$33*$H$53</f>
        <v>-21.239712655322684</v>
      </c>
      <c r="V237" s="91">
        <f>R$33*$I$53</f>
        <v>-15.185799360450886</v>
      </c>
      <c r="W237" s="91">
        <f>R$33*$J$53</f>
        <v>-15.168793986027088</v>
      </c>
      <c r="X237" s="91">
        <f>R$33*$K$53</f>
        <v>-15.185799360450886</v>
      </c>
      <c r="Y237" s="91">
        <f>R$33*$L$53</f>
        <v>-7.5843969930135442</v>
      </c>
      <c r="Z237" s="110"/>
      <c r="AA237" s="110"/>
      <c r="AB237" s="110"/>
      <c r="AC237" s="110"/>
      <c r="AD237" s="110"/>
      <c r="AE237" s="110"/>
      <c r="AF237" s="110"/>
      <c r="AG237" s="110"/>
      <c r="AH237" s="110"/>
      <c r="AI237" s="110"/>
      <c r="AJ237" s="110"/>
      <c r="AK237" s="110"/>
      <c r="AL237" s="110"/>
      <c r="AM237" s="110"/>
      <c r="AN237" s="110"/>
      <c r="AO237" s="110"/>
      <c r="AP237" s="110"/>
      <c r="AQ237" s="110"/>
      <c r="AR237" s="110"/>
      <c r="AS237" s="92"/>
    </row>
    <row r="238" spans="1:50" x14ac:dyDescent="0.8">
      <c r="A238" s="35" t="s">
        <v>307</v>
      </c>
      <c r="B238" s="40">
        <v>8</v>
      </c>
      <c r="C238" s="40"/>
      <c r="D238" s="40"/>
      <c r="E238" s="40"/>
      <c r="F238" s="40"/>
      <c r="G238" s="40"/>
      <c r="H238" s="40"/>
      <c r="I238" s="40"/>
      <c r="J238" s="40"/>
      <c r="K238" s="40"/>
      <c r="L238" s="90"/>
      <c r="M238" s="91"/>
      <c r="N238" s="91"/>
      <c r="O238" s="91"/>
      <c r="P238" s="91"/>
      <c r="Q238" s="91"/>
      <c r="R238" s="90"/>
      <c r="S238" s="91">
        <f>S$33*$E$53</f>
        <v>529.68435315288309</v>
      </c>
      <c r="T238" s="91">
        <f>S$33*$F$53</f>
        <v>907.7655569429046</v>
      </c>
      <c r="U238" s="91">
        <f>S$33*$G$53</f>
        <v>648.29806414583095</v>
      </c>
      <c r="V238" s="91">
        <f>S$33*$H$53</f>
        <v>462.96414071934981</v>
      </c>
      <c r="W238" s="91">
        <f>S$33*$I$53</f>
        <v>331.0063872396953</v>
      </c>
      <c r="X238" s="91">
        <f>S$33*$J$53</f>
        <v>330.6357193928423</v>
      </c>
      <c r="Y238" s="91">
        <f>S$33*$K$53</f>
        <v>331.0063872396953</v>
      </c>
      <c r="Z238" s="91">
        <f>S$33*$L$53</f>
        <v>165.31785969642115</v>
      </c>
      <c r="AA238" s="110"/>
      <c r="AB238" s="110"/>
      <c r="AC238" s="110"/>
      <c r="AD238" s="110"/>
      <c r="AE238" s="110"/>
      <c r="AF238" s="110"/>
      <c r="AG238" s="110"/>
      <c r="AH238" s="110"/>
      <c r="AI238" s="110"/>
      <c r="AJ238" s="110"/>
      <c r="AK238" s="110"/>
      <c r="AL238" s="110"/>
      <c r="AM238" s="110"/>
      <c r="AN238" s="110"/>
      <c r="AO238" s="110"/>
      <c r="AP238" s="110"/>
      <c r="AQ238" s="110"/>
      <c r="AR238" s="110"/>
      <c r="AS238" s="92"/>
    </row>
    <row r="239" spans="1:50" x14ac:dyDescent="0.8">
      <c r="A239" s="35" t="s">
        <v>307</v>
      </c>
      <c r="B239" s="40">
        <v>9</v>
      </c>
      <c r="C239" s="40"/>
      <c r="D239" s="40"/>
      <c r="E239" s="40"/>
      <c r="F239" s="40"/>
      <c r="G239" s="40"/>
      <c r="H239" s="40"/>
      <c r="I239" s="40"/>
      <c r="J239" s="40"/>
      <c r="K239" s="40"/>
      <c r="L239" s="90"/>
      <c r="M239" s="91"/>
      <c r="N239" s="91"/>
      <c r="O239" s="91"/>
      <c r="P239" s="91"/>
      <c r="Q239" s="91"/>
      <c r="R239" s="90"/>
      <c r="S239" s="91"/>
      <c r="T239" s="91">
        <f>T$33*$E$53</f>
        <v>511.46850824795422</v>
      </c>
      <c r="U239" s="91">
        <f>T$33*$F$53</f>
        <v>876.54749943963611</v>
      </c>
      <c r="V239" s="91">
        <f>T$33*$G$53</f>
        <v>626.00309371985441</v>
      </c>
      <c r="W239" s="91">
        <f>T$33*$H$53</f>
        <v>447.04280392001039</v>
      </c>
      <c r="X239" s="91">
        <f>T$33*$I$53</f>
        <v>319.62307758252143</v>
      </c>
      <c r="Y239" s="91">
        <f>T$33*$J$53</f>
        <v>319.26515700292174</v>
      </c>
      <c r="Z239" s="91">
        <f>T$33*$K$53</f>
        <v>319.62307758252143</v>
      </c>
      <c r="AA239" s="91">
        <f>T$33*$L$53</f>
        <v>159.63257850146087</v>
      </c>
      <c r="AB239" s="110"/>
      <c r="AC239" s="110"/>
      <c r="AD239" s="110"/>
      <c r="AE239" s="110"/>
      <c r="AF239" s="110"/>
      <c r="AG239" s="110"/>
      <c r="AH239" s="110"/>
      <c r="AI239" s="110"/>
      <c r="AJ239" s="110"/>
      <c r="AK239" s="110"/>
      <c r="AL239" s="110"/>
      <c r="AM239" s="110"/>
      <c r="AN239" s="110"/>
      <c r="AO239" s="110"/>
      <c r="AP239" s="110"/>
      <c r="AQ239" s="110"/>
      <c r="AR239" s="110"/>
      <c r="AS239" s="92"/>
    </row>
    <row r="240" spans="1:50" x14ac:dyDescent="0.8">
      <c r="A240" s="35" t="s">
        <v>307</v>
      </c>
      <c r="B240" s="40">
        <v>10</v>
      </c>
      <c r="C240" s="40"/>
      <c r="D240" s="40"/>
      <c r="E240" s="40"/>
      <c r="F240" s="40"/>
      <c r="G240" s="40"/>
      <c r="H240" s="40"/>
      <c r="I240" s="40"/>
      <c r="J240" s="40"/>
      <c r="K240" s="40"/>
      <c r="L240" s="90"/>
      <c r="M240" s="91"/>
      <c r="N240" s="91"/>
      <c r="O240" s="91"/>
      <c r="P240" s="91"/>
      <c r="Q240" s="91"/>
      <c r="R240" s="90"/>
      <c r="S240" s="91"/>
      <c r="T240" s="91"/>
      <c r="U240" s="91">
        <f>U$33*$E$53</f>
        <v>490.52336136669288</v>
      </c>
      <c r="V240" s="91">
        <f>U$33*$F$53</f>
        <v>840.65200279008457</v>
      </c>
      <c r="W240" s="91">
        <f>U$33*$G$53</f>
        <v>600.36764102893335</v>
      </c>
      <c r="X240" s="91">
        <f>U$33*$H$53</f>
        <v>428.73595405668254</v>
      </c>
      <c r="Y240" s="91">
        <f>U$33*$I$53</f>
        <v>306.53419293243996</v>
      </c>
      <c r="Z240" s="91">
        <f>U$33*$J$53</f>
        <v>306.1909295584955</v>
      </c>
      <c r="AA240" s="91">
        <f>U$33*$K$53</f>
        <v>306.53419293243996</v>
      </c>
      <c r="AB240" s="91">
        <f>U$33*$L$53</f>
        <v>153.09546477924775</v>
      </c>
      <c r="AC240" s="110"/>
      <c r="AD240" s="110"/>
      <c r="AE240" s="110"/>
      <c r="AF240" s="110"/>
      <c r="AG240" s="110"/>
      <c r="AH240" s="110"/>
      <c r="AI240" s="110"/>
      <c r="AJ240" s="110"/>
      <c r="AK240" s="110"/>
      <c r="AL240" s="110"/>
      <c r="AM240" s="110"/>
      <c r="AN240" s="110"/>
      <c r="AO240" s="110"/>
      <c r="AP240" s="110"/>
      <c r="AQ240" s="110"/>
      <c r="AR240" s="110"/>
      <c r="AS240" s="92"/>
    </row>
    <row r="241" spans="1:45" x14ac:dyDescent="0.8">
      <c r="A241" s="35" t="s">
        <v>307</v>
      </c>
      <c r="B241" s="40">
        <v>11</v>
      </c>
      <c r="C241" s="40"/>
      <c r="D241" s="40"/>
      <c r="E241" s="40"/>
      <c r="F241" s="40"/>
      <c r="G241" s="40"/>
      <c r="H241" s="40"/>
      <c r="I241" s="40"/>
      <c r="J241" s="40"/>
      <c r="K241" s="40"/>
      <c r="L241" s="90"/>
      <c r="M241" s="91"/>
      <c r="N241" s="91"/>
      <c r="O241" s="91"/>
      <c r="P241" s="91"/>
      <c r="Q241" s="91"/>
      <c r="R241" s="90"/>
      <c r="S241" s="91"/>
      <c r="T241" s="91"/>
      <c r="U241" s="91"/>
      <c r="V241" s="91">
        <f>V$33*$E$53</f>
        <v>467.53944779883091</v>
      </c>
      <c r="W241" s="91">
        <f>V$33*$F$53</f>
        <v>801.26249661255213</v>
      </c>
      <c r="X241" s="91">
        <f>V$33*$G$53</f>
        <v>572.23687487764539</v>
      </c>
      <c r="Y241" s="91">
        <f>V$33*$H$53</f>
        <v>408.64714506699778</v>
      </c>
      <c r="Z241" s="91">
        <f>V$33*$I$53</f>
        <v>292.17125744181669</v>
      </c>
      <c r="AA241" s="91">
        <f>V$33*$J$53</f>
        <v>291.84407798219536</v>
      </c>
      <c r="AB241" s="91">
        <f>V$33*$K$53</f>
        <v>292.17125744181669</v>
      </c>
      <c r="AC241" s="91">
        <f>V$33*$L$53</f>
        <v>145.92203899109768</v>
      </c>
      <c r="AD241" s="110"/>
      <c r="AE241" s="110"/>
      <c r="AF241" s="110"/>
      <c r="AG241" s="110"/>
      <c r="AH241" s="110"/>
      <c r="AI241" s="110"/>
      <c r="AJ241" s="110"/>
      <c r="AK241" s="110"/>
      <c r="AL241" s="110"/>
      <c r="AM241" s="110"/>
      <c r="AN241" s="110"/>
      <c r="AO241" s="110"/>
      <c r="AP241" s="110"/>
      <c r="AQ241" s="110"/>
      <c r="AR241" s="110"/>
      <c r="AS241" s="92"/>
    </row>
    <row r="242" spans="1:45" x14ac:dyDescent="0.8">
      <c r="A242" s="35" t="s">
        <v>307</v>
      </c>
      <c r="B242" s="40">
        <v>12</v>
      </c>
      <c r="C242" s="40"/>
      <c r="D242" s="40"/>
      <c r="E242" s="40"/>
      <c r="F242" s="40"/>
      <c r="G242" s="40"/>
      <c r="H242" s="40"/>
      <c r="I242" s="40"/>
      <c r="J242" s="40"/>
      <c r="K242" s="40"/>
      <c r="L242" s="90"/>
      <c r="M242" s="91"/>
      <c r="N242" s="91"/>
      <c r="O242" s="91"/>
      <c r="P242" s="91"/>
      <c r="Q242" s="91"/>
      <c r="R242" s="90"/>
      <c r="S242" s="91"/>
      <c r="T242" s="91"/>
      <c r="U242" s="91"/>
      <c r="V242" s="91"/>
      <c r="W242" s="91">
        <f>W$33*$E$53</f>
        <v>443.14776986993564</v>
      </c>
      <c r="X242" s="91">
        <f>W$33*$F$53</f>
        <v>759.46038377289881</v>
      </c>
      <c r="Y242" s="91">
        <f>W$33*$G$53</f>
        <v>542.38309972184561</v>
      </c>
      <c r="Z242" s="91">
        <f>W$33*$H$53</f>
        <v>387.32789682823625</v>
      </c>
      <c r="AA242" s="91">
        <f>W$33*$I$53</f>
        <v>276.92859236798637</v>
      </c>
      <c r="AB242" s="91">
        <f>W$33*$J$53</f>
        <v>276.61848196219916</v>
      </c>
      <c r="AC242" s="91">
        <f>W$33*$K$53</f>
        <v>276.92859236798637</v>
      </c>
      <c r="AD242" s="91">
        <f>W$33*$L$53</f>
        <v>138.30924098109958</v>
      </c>
      <c r="AE242" s="110"/>
      <c r="AF242" s="110"/>
      <c r="AG242" s="110"/>
      <c r="AH242" s="110"/>
      <c r="AI242" s="110"/>
      <c r="AJ242" s="110"/>
      <c r="AK242" s="110"/>
      <c r="AL242" s="110"/>
      <c r="AM242" s="110"/>
      <c r="AN242" s="110"/>
      <c r="AO242" s="110"/>
      <c r="AP242" s="110"/>
      <c r="AQ242" s="110"/>
      <c r="AR242" s="110"/>
      <c r="AS242" s="92"/>
    </row>
    <row r="243" spans="1:45" x14ac:dyDescent="0.8">
      <c r="A243" s="35" t="s">
        <v>307</v>
      </c>
      <c r="B243" s="40">
        <v>13</v>
      </c>
      <c r="C243" s="40"/>
      <c r="D243" s="40"/>
      <c r="E243" s="40"/>
      <c r="F243" s="40"/>
      <c r="G243" s="40"/>
      <c r="H243" s="40"/>
      <c r="I243" s="40"/>
      <c r="J243" s="40"/>
      <c r="K243" s="40"/>
      <c r="L243" s="90"/>
      <c r="M243" s="91"/>
      <c r="N243" s="91"/>
      <c r="O243" s="91"/>
      <c r="P243" s="91"/>
      <c r="Q243" s="91"/>
      <c r="R243" s="90"/>
      <c r="S243" s="91"/>
      <c r="T243" s="91"/>
      <c r="U243" s="91"/>
      <c r="V243" s="91"/>
      <c r="W243" s="91"/>
      <c r="X243" s="91">
        <f>X$33*$E$53</f>
        <v>417.90905129430928</v>
      </c>
      <c r="Y243" s="91">
        <f>X$33*$F$53</f>
        <v>716.20662464644045</v>
      </c>
      <c r="Z243" s="91">
        <f>X$33*$G$53</f>
        <v>511.49260371850727</v>
      </c>
      <c r="AA243" s="91">
        <f>X$33*$H$53</f>
        <v>365.26830305569786</v>
      </c>
      <c r="AB243" s="91">
        <f>X$33*$I$53</f>
        <v>261.15660098377759</v>
      </c>
      <c r="AC243" s="91">
        <f>X$33*$J$53</f>
        <v>260.86415238245195</v>
      </c>
      <c r="AD243" s="91">
        <f>X$33*$K$53</f>
        <v>261.15660098377759</v>
      </c>
      <c r="AE243" s="91">
        <f>X$33*$L$53</f>
        <v>130.43207619122597</v>
      </c>
      <c r="AF243" s="110"/>
      <c r="AG243" s="110"/>
      <c r="AH243" s="110"/>
      <c r="AI243" s="110"/>
      <c r="AJ243" s="110"/>
      <c r="AK243" s="110"/>
      <c r="AL243" s="110"/>
      <c r="AM243" s="110"/>
      <c r="AN243" s="110"/>
      <c r="AO243" s="110"/>
      <c r="AP243" s="110"/>
      <c r="AQ243" s="110"/>
      <c r="AR243" s="110"/>
      <c r="AS243" s="92"/>
    </row>
    <row r="244" spans="1:45" x14ac:dyDescent="0.8">
      <c r="A244" s="35" t="s">
        <v>307</v>
      </c>
      <c r="B244" s="40">
        <v>14</v>
      </c>
      <c r="C244" s="40"/>
      <c r="D244" s="40"/>
      <c r="E244" s="40"/>
      <c r="F244" s="40"/>
      <c r="G244" s="40"/>
      <c r="H244" s="40"/>
      <c r="I244" s="40"/>
      <c r="J244" s="40"/>
      <c r="K244" s="40"/>
      <c r="L244" s="90"/>
      <c r="M244" s="91"/>
      <c r="N244" s="91"/>
      <c r="O244" s="91"/>
      <c r="P244" s="91"/>
      <c r="Q244" s="91"/>
      <c r="R244" s="90"/>
      <c r="S244" s="91"/>
      <c r="T244" s="91"/>
      <c r="U244" s="91"/>
      <c r="V244" s="91"/>
      <c r="W244" s="91"/>
      <c r="X244" s="91"/>
      <c r="Y244" s="91">
        <f>Y$33*$E$53</f>
        <v>348.71893250299831</v>
      </c>
      <c r="Z244" s="91">
        <f>Y$33*$F$53</f>
        <v>597.62957711675494</v>
      </c>
      <c r="AA244" s="91">
        <f>Y$33*$G$53</f>
        <v>426.80854649947099</v>
      </c>
      <c r="AB244" s="91">
        <f>Y$33*$H$53</f>
        <v>304.79352462998241</v>
      </c>
      <c r="AC244" s="91">
        <f>Y$33*$I$53</f>
        <v>217.91882905890657</v>
      </c>
      <c r="AD244" s="91">
        <f>Y$33*$J$53</f>
        <v>217.67479901516759</v>
      </c>
      <c r="AE244" s="91">
        <f>Y$33*$K$53</f>
        <v>217.91882905890657</v>
      </c>
      <c r="AF244" s="91">
        <f>Y$33*$L$53</f>
        <v>108.8373995075838</v>
      </c>
      <c r="AG244" s="110"/>
      <c r="AH244" s="110"/>
      <c r="AI244" s="110"/>
      <c r="AJ244" s="110"/>
      <c r="AK244" s="110"/>
      <c r="AL244" s="110"/>
      <c r="AM244" s="110"/>
      <c r="AN244" s="110"/>
      <c r="AO244" s="110"/>
      <c r="AP244" s="110"/>
      <c r="AQ244" s="110"/>
      <c r="AR244" s="110"/>
      <c r="AS244" s="92"/>
    </row>
    <row r="245" spans="1:45" x14ac:dyDescent="0.8">
      <c r="A245" s="35" t="s">
        <v>307</v>
      </c>
      <c r="B245" s="40">
        <v>15</v>
      </c>
      <c r="C245" s="40"/>
      <c r="D245" s="40"/>
      <c r="E245" s="40"/>
      <c r="F245" s="40"/>
      <c r="G245" s="40"/>
      <c r="H245" s="40"/>
      <c r="I245" s="40"/>
      <c r="J245" s="40"/>
      <c r="K245" s="40"/>
      <c r="L245" s="90"/>
      <c r="M245" s="91"/>
      <c r="N245" s="91"/>
      <c r="O245" s="91"/>
      <c r="P245" s="91"/>
      <c r="Q245" s="91"/>
      <c r="R245" s="90"/>
      <c r="S245" s="91"/>
      <c r="T245" s="91"/>
      <c r="U245" s="91"/>
      <c r="V245" s="91"/>
      <c r="W245" s="91"/>
      <c r="X245" s="91"/>
      <c r="Y245" s="91"/>
      <c r="Z245" s="91">
        <f>Z$33*$E$53</f>
        <v>288.58231822311711</v>
      </c>
      <c r="AA245" s="91">
        <f>Z$33*$F$53</f>
        <v>494.56829764059751</v>
      </c>
      <c r="AB245" s="91">
        <f>Z$33*$G$53</f>
        <v>353.2053705893855</v>
      </c>
      <c r="AC245" s="91">
        <f>Z$33*$H$53</f>
        <v>252.23185126709117</v>
      </c>
      <c r="AD245" s="91">
        <f>Z$33*$I$53</f>
        <v>180.33870550961763</v>
      </c>
      <c r="AE245" s="91">
        <f>Z$33*$J$53</f>
        <v>180.13675847097304</v>
      </c>
      <c r="AF245" s="91">
        <f>Z$33*$K$53</f>
        <v>180.33870550961763</v>
      </c>
      <c r="AG245" s="91">
        <f>Z$33*$L$53</f>
        <v>90.068379235486518</v>
      </c>
      <c r="AH245" s="110"/>
      <c r="AI245" s="110"/>
      <c r="AJ245" s="110"/>
      <c r="AK245" s="110"/>
      <c r="AL245" s="110"/>
      <c r="AM245" s="110"/>
      <c r="AN245" s="110"/>
      <c r="AO245" s="110"/>
      <c r="AP245" s="110"/>
      <c r="AQ245" s="110"/>
      <c r="AR245" s="110"/>
      <c r="AS245" s="92"/>
    </row>
    <row r="246" spans="1:45" x14ac:dyDescent="0.8">
      <c r="A246" s="35" t="s">
        <v>307</v>
      </c>
      <c r="B246" s="40">
        <v>16</v>
      </c>
      <c r="C246" s="40"/>
      <c r="D246" s="40"/>
      <c r="E246" s="40"/>
      <c r="F246" s="40"/>
      <c r="G246" s="40"/>
      <c r="H246" s="40"/>
      <c r="I246" s="40"/>
      <c r="J246" s="40"/>
      <c r="K246" s="40"/>
      <c r="L246" s="90"/>
      <c r="M246" s="91"/>
      <c r="N246" s="91"/>
      <c r="O246" s="91"/>
      <c r="P246" s="91"/>
      <c r="Q246" s="91"/>
      <c r="R246" s="90"/>
      <c r="S246" s="91"/>
      <c r="T246" s="91"/>
      <c r="U246" s="91"/>
      <c r="V246" s="91"/>
      <c r="W246" s="91"/>
      <c r="X246" s="91"/>
      <c r="Y246" s="91"/>
      <c r="Z246" s="91"/>
      <c r="AA246" s="91">
        <f>AA$33*$E$53</f>
        <v>237.22618611799464</v>
      </c>
      <c r="AB246" s="91">
        <f>AA$33*$F$53</f>
        <v>406.55488439675923</v>
      </c>
      <c r="AC246" s="91">
        <f>AA$33*$G$53</f>
        <v>290.3489149897639</v>
      </c>
      <c r="AD246" s="91">
        <f>AA$33*$H$53</f>
        <v>207.34465112762445</v>
      </c>
      <c r="AE246" s="91">
        <f>AA$33*$I$53</f>
        <v>148.24561525778114</v>
      </c>
      <c r="AF246" s="91">
        <f>AA$33*$J$53</f>
        <v>148.07960673005684</v>
      </c>
      <c r="AG246" s="91">
        <f>AA$33*$K$53</f>
        <v>148.24561525778114</v>
      </c>
      <c r="AH246" s="91">
        <f>AA$33*$L$53</f>
        <v>74.039803365028419</v>
      </c>
      <c r="AI246" s="110"/>
      <c r="AJ246" s="110"/>
      <c r="AK246" s="110"/>
      <c r="AL246" s="110"/>
      <c r="AM246" s="110"/>
      <c r="AN246" s="110"/>
      <c r="AO246" s="110"/>
      <c r="AP246" s="110"/>
      <c r="AQ246" s="110"/>
      <c r="AR246" s="110"/>
      <c r="AS246" s="92"/>
    </row>
    <row r="247" spans="1:45" x14ac:dyDescent="0.8">
      <c r="A247" s="35" t="s">
        <v>307</v>
      </c>
      <c r="B247" s="40">
        <v>17</v>
      </c>
      <c r="C247" s="40"/>
      <c r="D247" s="40"/>
      <c r="E247" s="40"/>
      <c r="F247" s="40"/>
      <c r="G247" s="40"/>
      <c r="H247" s="40"/>
      <c r="I247" s="40"/>
      <c r="J247" s="40"/>
      <c r="K247" s="40"/>
      <c r="L247" s="90"/>
      <c r="M247" s="91"/>
      <c r="N247" s="91"/>
      <c r="O247" s="91"/>
      <c r="P247" s="91"/>
      <c r="Q247" s="91"/>
      <c r="R247" s="90"/>
      <c r="S247" s="91"/>
      <c r="T247" s="91"/>
      <c r="U247" s="91"/>
      <c r="V247" s="91"/>
      <c r="W247" s="91"/>
      <c r="X247" s="91"/>
      <c r="Y247" s="91"/>
      <c r="Z247" s="91"/>
      <c r="AA247" s="91"/>
      <c r="AB247" s="91">
        <f>AB$33*$E$53</f>
        <v>193.96370604417888</v>
      </c>
      <c r="AC247" s="91">
        <f>AB$33*$F$53</f>
        <v>332.4122575942576</v>
      </c>
      <c r="AD247" s="91">
        <f>AB$33*$G$53</f>
        <v>237.39854574616436</v>
      </c>
      <c r="AE247" s="91">
        <f>AB$33*$H$53</f>
        <v>169.53160871181205</v>
      </c>
      <c r="AF247" s="91">
        <f>AB$33*$I$53</f>
        <v>121.21034954335322</v>
      </c>
      <c r="AG247" s="91">
        <f>AB$33*$J$53</f>
        <v>121.07461566928451</v>
      </c>
      <c r="AH247" s="91">
        <f>AB$33*$K$53</f>
        <v>121.21034954335322</v>
      </c>
      <c r="AI247" s="91">
        <f>AB$33*$L$53</f>
        <v>60.537307834642256</v>
      </c>
      <c r="AJ247" s="110"/>
      <c r="AK247" s="110"/>
      <c r="AL247" s="110"/>
      <c r="AM247" s="110"/>
      <c r="AN247" s="110"/>
      <c r="AO247" s="110"/>
      <c r="AP247" s="110"/>
      <c r="AQ247" s="110"/>
      <c r="AR247" s="110"/>
      <c r="AS247" s="92"/>
    </row>
    <row r="248" spans="1:45" x14ac:dyDescent="0.8">
      <c r="A248" s="35" t="s">
        <v>307</v>
      </c>
      <c r="B248" s="40">
        <v>18</v>
      </c>
      <c r="C248" s="40"/>
      <c r="D248" s="40"/>
      <c r="E248" s="40"/>
      <c r="F248" s="40"/>
      <c r="G248" s="40"/>
      <c r="H248" s="40"/>
      <c r="I248" s="40"/>
      <c r="J248" s="40"/>
      <c r="K248" s="40"/>
      <c r="L248" s="90"/>
      <c r="M248" s="91"/>
      <c r="N248" s="91"/>
      <c r="O248" s="91"/>
      <c r="P248" s="91"/>
      <c r="Q248" s="91"/>
      <c r="R248" s="90"/>
      <c r="S248" s="91"/>
      <c r="T248" s="91"/>
      <c r="U248" s="91"/>
      <c r="V248" s="91"/>
      <c r="W248" s="91"/>
      <c r="X248" s="91"/>
      <c r="Y248" s="91"/>
      <c r="Z248" s="91"/>
      <c r="AA248" s="91"/>
      <c r="AB248" s="91"/>
      <c r="AC248" s="91">
        <f>AC$33*$E$53</f>
        <v>157.90692949938256</v>
      </c>
      <c r="AD248" s="91">
        <f>AC$33*$F$53</f>
        <v>270.61866364169902</v>
      </c>
      <c r="AE248" s="91">
        <f>AC$33*$G$53</f>
        <v>193.26747354403085</v>
      </c>
      <c r="AF248" s="91">
        <f>AC$33*$H$53</f>
        <v>138.01662347426787</v>
      </c>
      <c r="AG248" s="91">
        <f>AC$33*$I$53</f>
        <v>98.678018224596656</v>
      </c>
      <c r="AH248" s="91">
        <f>AC$33*$J$53</f>
        <v>98.567516524457133</v>
      </c>
      <c r="AI248" s="91">
        <f>AC$33*$K$53</f>
        <v>98.678018224596656</v>
      </c>
      <c r="AJ248" s="91">
        <f>AC$33*$L$53</f>
        <v>49.283758262228567</v>
      </c>
      <c r="AK248" s="110"/>
      <c r="AL248" s="110"/>
      <c r="AM248" s="110"/>
      <c r="AN248" s="110"/>
      <c r="AO248" s="110"/>
      <c r="AP248" s="110"/>
      <c r="AQ248" s="110"/>
      <c r="AR248" s="110"/>
      <c r="AS248" s="92"/>
    </row>
    <row r="249" spans="1:45" x14ac:dyDescent="0.8">
      <c r="A249" s="35" t="s">
        <v>307</v>
      </c>
      <c r="B249" s="40">
        <v>19</v>
      </c>
      <c r="C249" s="40"/>
      <c r="D249" s="40"/>
      <c r="E249" s="40"/>
      <c r="F249" s="40"/>
      <c r="G249" s="40"/>
      <c r="H249" s="40"/>
      <c r="I249" s="40"/>
      <c r="J249" s="40"/>
      <c r="K249" s="40"/>
      <c r="L249" s="90"/>
      <c r="M249" s="91"/>
      <c r="N249" s="91"/>
      <c r="O249" s="91"/>
      <c r="P249" s="91"/>
      <c r="Q249" s="91"/>
      <c r="R249" s="90"/>
      <c r="S249" s="91"/>
      <c r="T249" s="91"/>
      <c r="U249" s="91"/>
      <c r="V249" s="91"/>
      <c r="W249" s="91"/>
      <c r="X249" s="91"/>
      <c r="Y249" s="91"/>
      <c r="Z249" s="91"/>
      <c r="AA249" s="91"/>
      <c r="AB249" s="91"/>
      <c r="AC249" s="91"/>
      <c r="AD249" s="91">
        <f>AD$33*$E$53</f>
        <v>128.10743481257316</v>
      </c>
      <c r="AE249" s="91">
        <f>AD$33*$F$53</f>
        <v>219.54871088592839</v>
      </c>
      <c r="AF249" s="91">
        <f>AD$33*$G$53</f>
        <v>156.79489397284146</v>
      </c>
      <c r="AG249" s="91">
        <f>AD$33*$H$53</f>
        <v>111.97073903492223</v>
      </c>
      <c r="AH249" s="91">
        <f>AD$33*$I$53</f>
        <v>80.055940719123754</v>
      </c>
      <c r="AI249" s="91">
        <f>AD$33*$J$53</f>
        <v>79.966292409247913</v>
      </c>
      <c r="AJ249" s="91">
        <f>AD$33*$K$53</f>
        <v>80.055940719123754</v>
      </c>
      <c r="AK249" s="91">
        <f>AD$33*$L$53</f>
        <v>39.983146204623957</v>
      </c>
      <c r="AL249" s="110"/>
      <c r="AM249" s="110"/>
      <c r="AN249" s="110"/>
      <c r="AO249" s="110"/>
      <c r="AP249" s="110"/>
      <c r="AQ249" s="110"/>
      <c r="AR249" s="110"/>
      <c r="AS249" s="92"/>
    </row>
    <row r="250" spans="1:45" x14ac:dyDescent="0.8">
      <c r="A250" s="35" t="s">
        <v>307</v>
      </c>
      <c r="B250" s="40">
        <v>20</v>
      </c>
      <c r="C250" s="40"/>
      <c r="D250" s="40"/>
      <c r="E250" s="40"/>
      <c r="F250" s="40"/>
      <c r="G250" s="40"/>
      <c r="H250" s="40"/>
      <c r="I250" s="40"/>
      <c r="J250" s="40"/>
      <c r="K250" s="40"/>
      <c r="L250" s="90"/>
      <c r="M250" s="91"/>
      <c r="N250" s="91"/>
      <c r="O250" s="91"/>
      <c r="P250" s="91"/>
      <c r="Q250" s="91"/>
      <c r="R250" s="90"/>
      <c r="S250" s="91"/>
      <c r="T250" s="91"/>
      <c r="U250" s="91"/>
      <c r="V250" s="91"/>
      <c r="W250" s="91"/>
      <c r="X250" s="91"/>
      <c r="Y250" s="91"/>
      <c r="Z250" s="91"/>
      <c r="AA250" s="91"/>
      <c r="AB250" s="91"/>
      <c r="AC250" s="91"/>
      <c r="AD250" s="91"/>
      <c r="AE250" s="91">
        <f>AE$33*$E$53</f>
        <v>0.63143747338785472</v>
      </c>
      <c r="AF250" s="91">
        <f>AE$33*$F$53</f>
        <v>1.0821486160439862</v>
      </c>
      <c r="AG250" s="91">
        <f>AE$33*$G$53</f>
        <v>0.77283704755448412</v>
      </c>
      <c r="AH250" s="91">
        <f>AE$33*$H$53</f>
        <v>0.55190021291912561</v>
      </c>
      <c r="AI250" s="91">
        <f>AE$33*$I$53</f>
        <v>0.39459318665875037</v>
      </c>
      <c r="AJ250" s="91">
        <f>AE$33*$J$53</f>
        <v>0.39415131298947964</v>
      </c>
      <c r="AK250" s="91">
        <f>AE$33*$K$53</f>
        <v>0.39459318665875037</v>
      </c>
      <c r="AL250" s="91">
        <f>AE$33*$L$53</f>
        <v>0.19707565649473982</v>
      </c>
      <c r="AM250" s="110"/>
      <c r="AN250" s="110"/>
      <c r="AO250" s="110"/>
      <c r="AP250" s="110"/>
      <c r="AQ250" s="110"/>
      <c r="AR250" s="110"/>
      <c r="AS250" s="92"/>
    </row>
    <row r="251" spans="1:45" x14ac:dyDescent="0.8">
      <c r="A251" s="35" t="s">
        <v>307</v>
      </c>
      <c r="B251" s="40">
        <v>21</v>
      </c>
      <c r="C251" s="40"/>
      <c r="D251" s="40"/>
      <c r="E251" s="40"/>
      <c r="F251" s="40"/>
      <c r="G251" s="40"/>
      <c r="H251" s="40"/>
      <c r="I251" s="40"/>
      <c r="J251" s="40"/>
      <c r="K251" s="40"/>
      <c r="L251" s="90"/>
      <c r="M251" s="91"/>
      <c r="N251" s="91"/>
      <c r="O251" s="91"/>
      <c r="P251" s="91"/>
      <c r="Q251" s="91"/>
      <c r="R251" s="90"/>
      <c r="S251" s="91"/>
      <c r="T251" s="91"/>
      <c r="U251" s="91"/>
      <c r="V251" s="91"/>
      <c r="W251" s="91"/>
      <c r="X251" s="91"/>
      <c r="Y251" s="91"/>
      <c r="Z251" s="91"/>
      <c r="AA251" s="91"/>
      <c r="AB251" s="91"/>
      <c r="AC251" s="91"/>
      <c r="AD251" s="91"/>
      <c r="AE251" s="91"/>
      <c r="AF251" s="91">
        <f>AF$33*$E$53</f>
        <v>0.63147220245089852</v>
      </c>
      <c r="AG251" s="91">
        <f>AF$33*$F$53</f>
        <v>1.0822081342213088</v>
      </c>
      <c r="AH251" s="91">
        <f>AF$33*$G$53</f>
        <v>0.77287955359455662</v>
      </c>
      <c r="AI251" s="91">
        <f>AF$33*$H$53</f>
        <v>0.55193056743259072</v>
      </c>
      <c r="AJ251" s="91">
        <f>AF$33*$I$53</f>
        <v>0.39461488928527105</v>
      </c>
      <c r="AK251" s="91">
        <f>AF$33*$J$53</f>
        <v>0.39417299131294714</v>
      </c>
      <c r="AL251" s="91">
        <f>AF$33*$K$53</f>
        <v>0.39461488928527105</v>
      </c>
      <c r="AM251" s="91">
        <f>AF$33*$L$53</f>
        <v>0.19708649565647357</v>
      </c>
      <c r="AN251" s="110"/>
      <c r="AO251" s="110"/>
      <c r="AP251" s="110"/>
      <c r="AQ251" s="110"/>
      <c r="AR251" s="110"/>
      <c r="AS251" s="92"/>
    </row>
    <row r="252" spans="1:45" x14ac:dyDescent="0.8">
      <c r="A252" s="35" t="s">
        <v>307</v>
      </c>
      <c r="B252" s="40">
        <v>22</v>
      </c>
      <c r="C252" s="40"/>
      <c r="D252" s="40"/>
      <c r="E252" s="40"/>
      <c r="F252" s="40"/>
      <c r="G252" s="40"/>
      <c r="H252" s="40"/>
      <c r="I252" s="40"/>
      <c r="J252" s="40"/>
      <c r="K252" s="40"/>
      <c r="L252" s="90"/>
      <c r="M252" s="91"/>
      <c r="N252" s="91"/>
      <c r="O252" s="91"/>
      <c r="P252" s="91"/>
      <c r="Q252" s="91"/>
      <c r="R252" s="90"/>
      <c r="S252" s="91"/>
      <c r="T252" s="91"/>
      <c r="U252" s="91"/>
      <c r="V252" s="91"/>
      <c r="W252" s="91"/>
      <c r="X252" s="91"/>
      <c r="Y252" s="91"/>
      <c r="Z252" s="91"/>
      <c r="AA252" s="91"/>
      <c r="AB252" s="91"/>
      <c r="AC252" s="91"/>
      <c r="AD252" s="91"/>
      <c r="AE252" s="91"/>
      <c r="AF252" s="91"/>
      <c r="AG252" s="91">
        <f>AG$33*$E$53</f>
        <v>0.63150693342081499</v>
      </c>
      <c r="AH252" s="91">
        <f>AG$33*$F$53</f>
        <v>1.0822676556666033</v>
      </c>
      <c r="AI252" s="91">
        <f>AG$33*$G$53</f>
        <v>0.77292206196851332</v>
      </c>
      <c r="AJ252" s="91">
        <f>AG$33*$H$53</f>
        <v>0.55196092361273474</v>
      </c>
      <c r="AK252" s="91">
        <f>AG$33*$I$53</f>
        <v>0.39463659310342047</v>
      </c>
      <c r="AL252" s="91">
        <f>AG$33*$J$53</f>
        <v>0.39419467082670889</v>
      </c>
      <c r="AM252" s="91">
        <f>AG$33*$K$53</f>
        <v>0.39463659310342047</v>
      </c>
      <c r="AN252" s="91">
        <f>AG$33*$L$53</f>
        <v>0.19709733541335445</v>
      </c>
      <c r="AO252" s="110"/>
      <c r="AP252" s="110"/>
      <c r="AQ252" s="110"/>
      <c r="AR252" s="110"/>
      <c r="AS252" s="92"/>
    </row>
    <row r="253" spans="1:45" x14ac:dyDescent="0.8">
      <c r="A253" s="35" t="s">
        <v>307</v>
      </c>
      <c r="B253" s="40">
        <v>23</v>
      </c>
      <c r="C253" s="40"/>
      <c r="D253" s="40"/>
      <c r="E253" s="40"/>
      <c r="F253" s="40"/>
      <c r="G253" s="40"/>
      <c r="H253" s="40"/>
      <c r="I253" s="40"/>
      <c r="J253" s="40"/>
      <c r="K253" s="40"/>
      <c r="L253" s="90"/>
      <c r="M253" s="91"/>
      <c r="N253" s="91"/>
      <c r="O253" s="91"/>
      <c r="P253" s="91"/>
      <c r="Q253" s="91"/>
      <c r="R253" s="90"/>
      <c r="S253" s="91"/>
      <c r="T253" s="91"/>
      <c r="U253" s="91"/>
      <c r="V253" s="91"/>
      <c r="W253" s="91"/>
      <c r="X253" s="91"/>
      <c r="Y253" s="91"/>
      <c r="Z253" s="91"/>
      <c r="AA253" s="91"/>
      <c r="AB253" s="91"/>
      <c r="AC253" s="91"/>
      <c r="AD253" s="91"/>
      <c r="AE253" s="91"/>
      <c r="AF253" s="91"/>
      <c r="AG253" s="91"/>
      <c r="AH253" s="91">
        <f>AH$33*$E$53</f>
        <v>0.63154166630384279</v>
      </c>
      <c r="AI253" s="91">
        <f>AH$33*$F$53</f>
        <v>1.0823271803905605</v>
      </c>
      <c r="AJ253" s="91">
        <f>AH$33*$G$53</f>
        <v>0.77296457268398955</v>
      </c>
      <c r="AK253" s="91">
        <f>AH$33*$H$53</f>
        <v>0.5519912814650102</v>
      </c>
      <c r="AL253" s="91">
        <f>AH$33*$I$53</f>
        <v>0.39465829811709702</v>
      </c>
      <c r="AM253" s="91">
        <f>AH$33*$J$53</f>
        <v>0.39421635153465906</v>
      </c>
      <c r="AN253" s="91">
        <f>AH$33*$K$53</f>
        <v>0.39465829811709702</v>
      </c>
      <c r="AO253" s="91">
        <f>AH$33*$L$53</f>
        <v>0.19710817576732953</v>
      </c>
      <c r="AP253" s="110"/>
      <c r="AQ253" s="110"/>
      <c r="AR253" s="110"/>
      <c r="AS253" s="92"/>
    </row>
    <row r="254" spans="1:45" x14ac:dyDescent="0.8">
      <c r="A254" s="35" t="s">
        <v>307</v>
      </c>
      <c r="B254" s="40">
        <v>24</v>
      </c>
      <c r="C254" s="40"/>
      <c r="D254" s="40"/>
      <c r="E254" s="40"/>
      <c r="F254" s="40"/>
      <c r="G254" s="40"/>
      <c r="H254" s="40"/>
      <c r="I254" s="40"/>
      <c r="J254" s="40"/>
      <c r="K254" s="40"/>
      <c r="L254" s="90"/>
      <c r="M254" s="91"/>
      <c r="N254" s="91"/>
      <c r="O254" s="91"/>
      <c r="P254" s="91"/>
      <c r="Q254" s="91"/>
      <c r="R254" s="90"/>
      <c r="S254" s="91"/>
      <c r="T254" s="91"/>
      <c r="U254" s="91"/>
      <c r="V254" s="91"/>
      <c r="W254" s="91"/>
      <c r="X254" s="91"/>
      <c r="Y254" s="91"/>
      <c r="Z254" s="91"/>
      <c r="AA254" s="91"/>
      <c r="AB254" s="91"/>
      <c r="AC254" s="91"/>
      <c r="AD254" s="91"/>
      <c r="AE254" s="91"/>
      <c r="AF254" s="91"/>
      <c r="AG254" s="91"/>
      <c r="AH254" s="91"/>
      <c r="AI254" s="91">
        <f>AI$33*$E$53</f>
        <v>0.63157640109374336</v>
      </c>
      <c r="AJ254" s="91">
        <f>AI$33*$F$53</f>
        <v>1.0823867083824894</v>
      </c>
      <c r="AK254" s="91">
        <f>AI$33*$G$53</f>
        <v>0.77300708573334997</v>
      </c>
      <c r="AL254" s="91">
        <f>AI$33*$H$53</f>
        <v>0.55202164098396456</v>
      </c>
      <c r="AM254" s="91">
        <f>AI$33*$I$53</f>
        <v>0.39468000432240224</v>
      </c>
      <c r="AN254" s="91">
        <f>AI$33*$J$53</f>
        <v>0.39423803343290348</v>
      </c>
      <c r="AO254" s="91">
        <f>AI$33*$K$53</f>
        <v>0.39468000432240224</v>
      </c>
      <c r="AP254" s="91">
        <f>AI$33*$L$53</f>
        <v>0.19711901671645174</v>
      </c>
      <c r="AQ254" s="110"/>
      <c r="AR254" s="110"/>
      <c r="AS254" s="92"/>
    </row>
    <row r="255" spans="1:45" x14ac:dyDescent="0.8">
      <c r="A255" s="35" t="s">
        <v>307</v>
      </c>
      <c r="B255" s="40">
        <v>25</v>
      </c>
      <c r="C255" s="40"/>
      <c r="D255" s="40"/>
      <c r="E255" s="40"/>
      <c r="F255" s="40"/>
      <c r="G255" s="40"/>
      <c r="H255" s="40"/>
      <c r="I255" s="40"/>
      <c r="J255" s="40"/>
      <c r="K255" s="40"/>
      <c r="L255" s="90"/>
      <c r="M255" s="91"/>
      <c r="N255" s="91"/>
      <c r="O255" s="91"/>
      <c r="P255" s="91"/>
      <c r="Q255" s="91"/>
      <c r="R255" s="90"/>
      <c r="S255" s="91"/>
      <c r="T255" s="91"/>
      <c r="U255" s="91"/>
      <c r="V255" s="91"/>
      <c r="W255" s="91"/>
      <c r="X255" s="91"/>
      <c r="Y255" s="91"/>
      <c r="Z255" s="91"/>
      <c r="AA255" s="91"/>
      <c r="AB255" s="91"/>
      <c r="AC255" s="91"/>
      <c r="AD255" s="91"/>
      <c r="AE255" s="91"/>
      <c r="AF255" s="91"/>
      <c r="AG255" s="91"/>
      <c r="AH255" s="91"/>
      <c r="AI255" s="91"/>
      <c r="AJ255" s="91">
        <f>AJ$33*$E$53</f>
        <v>0.63161113779675504</v>
      </c>
      <c r="AK255" s="91">
        <f>AJ$33*$F$53</f>
        <v>1.0824462396530814</v>
      </c>
      <c r="AL255" s="91">
        <f>AJ$33*$G$53</f>
        <v>0.77304960112422993</v>
      </c>
      <c r="AM255" s="91">
        <f>AJ$33*$H$53</f>
        <v>0.55205200217505046</v>
      </c>
      <c r="AN255" s="91">
        <f>AJ$33*$I$53</f>
        <v>0.39470171172323465</v>
      </c>
      <c r="AO255" s="91">
        <f>AJ$33*$J$53</f>
        <v>0.39425971652533626</v>
      </c>
      <c r="AP255" s="91">
        <f>AJ$33*$K$53</f>
        <v>0.39470171172323465</v>
      </c>
      <c r="AQ255" s="91">
        <f>AJ$33*$L$53</f>
        <v>0.19712985826266813</v>
      </c>
      <c r="AR255" s="110"/>
      <c r="AS255" s="92"/>
    </row>
    <row r="256" spans="1:45" x14ac:dyDescent="0.8">
      <c r="A256" s="35" t="s">
        <v>307</v>
      </c>
      <c r="B256" s="40">
        <v>26</v>
      </c>
      <c r="C256" s="40"/>
      <c r="D256" s="40"/>
      <c r="E256" s="40"/>
      <c r="F256" s="40"/>
      <c r="G256" s="40"/>
      <c r="H256" s="40"/>
      <c r="I256" s="40"/>
      <c r="J256" s="40"/>
      <c r="K256" s="40"/>
      <c r="L256" s="90"/>
      <c r="M256" s="91"/>
      <c r="N256" s="91"/>
      <c r="O256" s="91"/>
      <c r="P256" s="91"/>
      <c r="Q256" s="91"/>
      <c r="R256" s="90"/>
      <c r="S256" s="91"/>
      <c r="T256" s="91"/>
      <c r="U256" s="91"/>
      <c r="V256" s="91"/>
      <c r="W256" s="91"/>
      <c r="X256" s="91"/>
      <c r="Y256" s="91"/>
      <c r="Z256" s="91"/>
      <c r="AA256" s="91"/>
      <c r="AB256" s="91"/>
      <c r="AC256" s="91"/>
      <c r="AD256" s="91"/>
      <c r="AE256" s="91"/>
      <c r="AF256" s="91"/>
      <c r="AG256" s="91"/>
      <c r="AH256" s="91"/>
      <c r="AI256" s="91"/>
      <c r="AJ256" s="91"/>
      <c r="AK256" s="91">
        <f>AK$33*$E$53</f>
        <v>0.63164587640871905</v>
      </c>
      <c r="AL256" s="91">
        <f>AK$33*$F$53</f>
        <v>1.0825057741952084</v>
      </c>
      <c r="AM256" s="91">
        <f>AK$33*$G$53</f>
        <v>0.77309211885153928</v>
      </c>
      <c r="AN256" s="91">
        <f>AK$33*$H$53</f>
        <v>0.5520823650346327</v>
      </c>
      <c r="AO256" s="91">
        <f>AK$33*$I$53</f>
        <v>0.3947234203169952</v>
      </c>
      <c r="AP256" s="91">
        <f>AK$33*$J$53</f>
        <v>0.39428140080936136</v>
      </c>
      <c r="AQ256" s="91">
        <f>AK$33*$K$53</f>
        <v>0.3947234203169952</v>
      </c>
      <c r="AR256" s="91">
        <f>AK$33*$L$53</f>
        <v>0.19714070040468068</v>
      </c>
      <c r="AS256" s="92"/>
    </row>
    <row r="257" spans="1:52" x14ac:dyDescent="0.8">
      <c r="A257" s="35" t="s">
        <v>307</v>
      </c>
      <c r="B257" s="40">
        <v>27</v>
      </c>
      <c r="C257" s="40"/>
      <c r="D257" s="40"/>
      <c r="E257" s="40"/>
      <c r="F257" s="40"/>
      <c r="G257" s="40"/>
      <c r="H257" s="40"/>
      <c r="I257" s="40"/>
      <c r="J257" s="40"/>
      <c r="K257" s="40"/>
      <c r="L257" s="90"/>
      <c r="M257" s="91"/>
      <c r="N257" s="91"/>
      <c r="O257" s="91"/>
      <c r="P257" s="91"/>
      <c r="Q257" s="91"/>
      <c r="R257" s="90"/>
      <c r="S257" s="91"/>
      <c r="T257" s="91"/>
      <c r="U257" s="91"/>
      <c r="V257" s="91"/>
      <c r="W257" s="91"/>
      <c r="X257" s="91"/>
      <c r="Y257" s="91"/>
      <c r="Z257" s="91"/>
      <c r="AA257" s="91"/>
      <c r="AB257" s="91"/>
      <c r="AC257" s="91"/>
      <c r="AD257" s="91"/>
      <c r="AE257" s="91"/>
      <c r="AF257" s="91"/>
      <c r="AG257" s="91"/>
      <c r="AH257" s="91"/>
      <c r="AI257" s="91"/>
      <c r="AJ257" s="91"/>
      <c r="AK257" s="91"/>
      <c r="AL257" s="91">
        <f>AL$33*$E$53</f>
        <v>0.63168061693171473</v>
      </c>
      <c r="AM257" s="91">
        <f>AL$33*$F$53</f>
        <v>1.082565312012435</v>
      </c>
      <c r="AN257" s="91">
        <f>AL$33*$G$53</f>
        <v>0.77313463891782308</v>
      </c>
      <c r="AO257" s="91">
        <f>AL$33*$H$53</f>
        <v>0.55211272956452884</v>
      </c>
      <c r="AP257" s="91">
        <f>AL$33*$I$53</f>
        <v>0.39474513010498341</v>
      </c>
      <c r="AQ257" s="91">
        <f>AL$33*$J$53</f>
        <v>0.3943030862862768</v>
      </c>
      <c r="AR257" s="91">
        <f>AL$33*$K$53</f>
        <v>0.39474513010498341</v>
      </c>
      <c r="AS257" s="92">
        <f>AL$33*$L$53</f>
        <v>0.1971515431431384</v>
      </c>
    </row>
    <row r="258" spans="1:52" x14ac:dyDescent="0.8">
      <c r="A258" s="35" t="s">
        <v>307</v>
      </c>
      <c r="B258" s="40">
        <v>28</v>
      </c>
      <c r="C258" s="40"/>
      <c r="D258" s="40"/>
      <c r="E258" s="40"/>
      <c r="F258" s="40"/>
      <c r="G258" s="40"/>
      <c r="H258" s="40"/>
      <c r="I258" s="40"/>
      <c r="J258" s="40"/>
      <c r="K258" s="40"/>
      <c r="L258" s="90"/>
      <c r="M258" s="91"/>
      <c r="N258" s="91"/>
      <c r="O258" s="91"/>
      <c r="P258" s="91"/>
      <c r="Q258" s="91"/>
      <c r="R258" s="90"/>
      <c r="S258" s="91"/>
      <c r="T258" s="91"/>
      <c r="U258" s="91"/>
      <c r="V258" s="91"/>
      <c r="W258" s="91"/>
      <c r="X258" s="91"/>
      <c r="Y258" s="91"/>
      <c r="Z258" s="91"/>
      <c r="AA258" s="91"/>
      <c r="AB258" s="91"/>
      <c r="AC258" s="91"/>
      <c r="AD258" s="91"/>
      <c r="AE258" s="91"/>
      <c r="AF258" s="91"/>
      <c r="AG258" s="91"/>
      <c r="AH258" s="91"/>
      <c r="AI258" s="91"/>
      <c r="AJ258" s="91"/>
      <c r="AK258" s="91"/>
      <c r="AL258" s="91"/>
      <c r="AM258" s="91">
        <f>AM$33*$E$53</f>
        <v>0.63171535936574219</v>
      </c>
      <c r="AN258" s="91">
        <f>AM$33*$F$53</f>
        <v>1.0826248531047604</v>
      </c>
      <c r="AO258" s="91">
        <f>AM$33*$G$53</f>
        <v>0.77317716132308123</v>
      </c>
      <c r="AP258" s="91">
        <f>AM$33*$H$53</f>
        <v>0.55214309576473897</v>
      </c>
      <c r="AQ258" s="91">
        <f>AM$33*$I$53</f>
        <v>0.39476684108719928</v>
      </c>
      <c r="AR258" s="91">
        <f>AM$33*$J$53</f>
        <v>0.39432477295608259</v>
      </c>
      <c r="AS258" s="92">
        <f>AM$33*$K$53</f>
        <v>0.39476684108719928</v>
      </c>
      <c r="AT258" s="124">
        <f>AM$33*$L$53</f>
        <v>0.1971623864780413</v>
      </c>
      <c r="AU258" s="115"/>
      <c r="AV258" s="115"/>
      <c r="AW258" s="115"/>
      <c r="AX258" s="115"/>
      <c r="AY258" s="115"/>
      <c r="AZ258" s="115"/>
    </row>
    <row r="259" spans="1:52" x14ac:dyDescent="0.8">
      <c r="A259" s="35" t="s">
        <v>307</v>
      </c>
      <c r="B259" s="40">
        <v>29</v>
      </c>
      <c r="C259" s="40"/>
      <c r="D259" s="40"/>
      <c r="E259" s="40"/>
      <c r="F259" s="40"/>
      <c r="G259" s="40"/>
      <c r="H259" s="40"/>
      <c r="I259" s="40"/>
      <c r="J259" s="40"/>
      <c r="K259" s="40"/>
      <c r="L259" s="90"/>
      <c r="M259" s="91"/>
      <c r="N259" s="91"/>
      <c r="O259" s="91"/>
      <c r="P259" s="91"/>
      <c r="Q259" s="91"/>
      <c r="R259" s="90"/>
      <c r="S259" s="91"/>
      <c r="T259" s="91"/>
      <c r="U259" s="91"/>
      <c r="V259" s="91"/>
      <c r="W259" s="91"/>
      <c r="X259" s="91"/>
      <c r="Y259" s="91"/>
      <c r="Z259" s="91"/>
      <c r="AA259" s="91"/>
      <c r="AB259" s="91"/>
      <c r="AC259" s="91"/>
      <c r="AD259" s="91"/>
      <c r="AE259" s="91"/>
      <c r="AF259" s="91"/>
      <c r="AG259" s="91"/>
      <c r="AH259" s="91"/>
      <c r="AI259" s="91"/>
      <c r="AJ259" s="91"/>
      <c r="AK259" s="91"/>
      <c r="AL259" s="91"/>
      <c r="AM259" s="91"/>
      <c r="AN259" s="91">
        <f>AN$33*$E$53</f>
        <v>0.63175010371288076</v>
      </c>
      <c r="AO259" s="91">
        <f>AN$33*$F$53</f>
        <v>1.082684397475749</v>
      </c>
      <c r="AP259" s="91">
        <f>AN$33*$G$53</f>
        <v>0.77321968606985902</v>
      </c>
      <c r="AQ259" s="91">
        <f>AN$33*$H$53</f>
        <v>0.55217346363708053</v>
      </c>
      <c r="AR259" s="91">
        <f>AN$33*$I$53</f>
        <v>0.39478855326494233</v>
      </c>
      <c r="AS259" s="92">
        <f>AN$33*$J$53</f>
        <v>0.39434646082007674</v>
      </c>
      <c r="AT259" s="124">
        <f>AN$33*$K$53</f>
        <v>0.39478855326494233</v>
      </c>
      <c r="AU259" s="107">
        <f>AN$33*$L$53</f>
        <v>0.19717323041003837</v>
      </c>
      <c r="AV259" s="107"/>
      <c r="AW259" s="107"/>
      <c r="AX259" s="107"/>
      <c r="AY259" s="107"/>
      <c r="AZ259" s="107"/>
    </row>
    <row r="260" spans="1:52" x14ac:dyDescent="0.8">
      <c r="A260" s="35" t="s">
        <v>307</v>
      </c>
      <c r="B260" s="40">
        <v>30</v>
      </c>
      <c r="C260" s="40"/>
      <c r="D260" s="40"/>
      <c r="E260" s="40"/>
      <c r="F260" s="40"/>
      <c r="G260" s="40"/>
      <c r="H260" s="40"/>
      <c r="I260" s="40"/>
      <c r="J260" s="40"/>
      <c r="K260" s="40"/>
      <c r="L260" s="90"/>
      <c r="M260" s="91"/>
      <c r="N260" s="91"/>
      <c r="O260" s="91"/>
      <c r="P260" s="91"/>
      <c r="Q260" s="91"/>
      <c r="R260" s="90"/>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f>AO$33*$E$53</f>
        <v>0.63178484996481277</v>
      </c>
      <c r="AP260" s="91">
        <f>AO$33*$F$53</f>
        <v>1.0827439451111451</v>
      </c>
      <c r="AQ260" s="91">
        <f>AO$33*$G$53</f>
        <v>0.77326221314797583</v>
      </c>
      <c r="AR260" s="91">
        <f>AO$33*$H$53</f>
        <v>0.55220383317428345</v>
      </c>
      <c r="AS260" s="92">
        <f>AO$33*$I$53</f>
        <v>0.39481026663301455</v>
      </c>
      <c r="AT260" s="124">
        <f>AO$33*$J$53</f>
        <v>0.39436814987306718</v>
      </c>
      <c r="AU260" s="107">
        <f>AO$33*$K$53</f>
        <v>0.39481026663301455</v>
      </c>
      <c r="AV260" s="107">
        <f>AO$33*$L$53</f>
        <v>0.19718407493653359</v>
      </c>
      <c r="AW260" s="107"/>
      <c r="AX260" s="107"/>
      <c r="AY260" s="107"/>
      <c r="AZ260" s="107"/>
    </row>
    <row r="261" spans="1:52" x14ac:dyDescent="0.8">
      <c r="A261" s="35" t="s">
        <v>307</v>
      </c>
      <c r="B261" s="40">
        <v>31</v>
      </c>
      <c r="C261" s="40"/>
      <c r="D261" s="40"/>
      <c r="E261" s="40"/>
      <c r="F261" s="40"/>
      <c r="G261" s="40"/>
      <c r="H261" s="40"/>
      <c r="I261" s="40"/>
      <c r="J261" s="40"/>
      <c r="K261" s="40"/>
      <c r="L261" s="90"/>
      <c r="M261" s="91"/>
      <c r="N261" s="91"/>
      <c r="O261" s="91"/>
      <c r="P261" s="91"/>
      <c r="Q261" s="91"/>
      <c r="R261" s="90"/>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f>AP$33*$E$53</f>
        <v>0.63181959813401478</v>
      </c>
      <c r="AQ261" s="91">
        <f>AP$33*$F$53</f>
        <v>1.0828034960323318</v>
      </c>
      <c r="AR261" s="91">
        <f>AP$33*$G$53</f>
        <v>0.77330474257270254</v>
      </c>
      <c r="AS261" s="92">
        <f>AP$33*$H$53</f>
        <v>0.55223420438725301</v>
      </c>
      <c r="AT261" s="124">
        <f>AP$33*$I$53</f>
        <v>0.39483198119921292</v>
      </c>
      <c r="AU261" s="107">
        <f>AP$33*$J$53</f>
        <v>0.39438984012284201</v>
      </c>
      <c r="AV261" s="107">
        <f>AP$33*$K$53</f>
        <v>0.39483198119921292</v>
      </c>
      <c r="AW261" s="107">
        <f>AP$33*$L$53</f>
        <v>0.197194920061421</v>
      </c>
      <c r="AX261" s="107"/>
      <c r="AY261" s="107"/>
      <c r="AZ261" s="107"/>
    </row>
    <row r="262" spans="1:52" x14ac:dyDescent="0.8">
      <c r="A262" s="35" t="s">
        <v>307</v>
      </c>
      <c r="B262" s="40">
        <v>32</v>
      </c>
      <c r="C262" s="40"/>
      <c r="D262" s="40"/>
      <c r="E262" s="40"/>
      <c r="F262" s="40"/>
      <c r="G262" s="40"/>
      <c r="H262" s="40"/>
      <c r="I262" s="40"/>
      <c r="J262" s="40"/>
      <c r="K262" s="40"/>
      <c r="L262" s="90"/>
      <c r="M262" s="91"/>
      <c r="N262" s="91"/>
      <c r="O262" s="91"/>
      <c r="P262" s="91"/>
      <c r="Q262" s="91"/>
      <c r="R262" s="90"/>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f>AQ$33*$E$53</f>
        <v>0.63185434821216913</v>
      </c>
      <c r="AR262" s="91">
        <f>AQ$33*$F$53</f>
        <v>1.082863050225054</v>
      </c>
      <c r="AS262" s="92">
        <f>AQ$33*$G$53</f>
        <v>0.77334727433385853</v>
      </c>
      <c r="AT262" s="124">
        <f>AQ$33*$H$53</f>
        <v>0.5522645772687188</v>
      </c>
      <c r="AU262" s="107">
        <f>AQ$33*$I$53</f>
        <v>0.39485369695833944</v>
      </c>
      <c r="AV262" s="107">
        <f>AQ$33*$J$53</f>
        <v>0.39441153156420916</v>
      </c>
      <c r="AW262" s="107">
        <f>AQ$33*$K$53</f>
        <v>0.39485369695833944</v>
      </c>
      <c r="AX262" s="107">
        <f>AQ$33*$L$53</f>
        <v>0.19720576578210458</v>
      </c>
      <c r="AY262" s="107"/>
      <c r="AZ262" s="107"/>
    </row>
    <row r="263" spans="1:52" x14ac:dyDescent="0.8">
      <c r="A263" s="35" t="s">
        <v>307</v>
      </c>
      <c r="B263" s="40">
        <v>33</v>
      </c>
      <c r="C263" s="40"/>
      <c r="D263" s="40"/>
      <c r="E263" s="40"/>
      <c r="F263" s="40"/>
      <c r="G263" s="40"/>
      <c r="H263" s="40"/>
      <c r="I263" s="40"/>
      <c r="J263" s="40"/>
      <c r="K263" s="40"/>
      <c r="L263" s="90"/>
      <c r="M263" s="91"/>
      <c r="N263" s="91"/>
      <c r="O263" s="91"/>
      <c r="P263" s="91"/>
      <c r="Q263" s="91"/>
      <c r="R263" s="90"/>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f>AR$33*$E$53</f>
        <v>0.63188910020135514</v>
      </c>
      <c r="AS263" s="92">
        <f>AR$33*$F$53</f>
        <v>1.0829226076928753</v>
      </c>
      <c r="AT263" s="124">
        <f>AR$33*$G$53</f>
        <v>0.77338980843398897</v>
      </c>
      <c r="AU263" s="107">
        <f>AR$33*$H$53</f>
        <v>0.5522949518204987</v>
      </c>
      <c r="AV263" s="107">
        <f>AR$33*$I$53</f>
        <v>0.39487541391169362</v>
      </c>
      <c r="AW263" s="107">
        <f>AR$33*$J$53</f>
        <v>0.39443322419846666</v>
      </c>
      <c r="AX263" s="107">
        <f>AR$33*$K$53</f>
        <v>0.39487541391169362</v>
      </c>
      <c r="AY263" s="107">
        <f>AR$33*$L$53</f>
        <v>0.19721661209923333</v>
      </c>
      <c r="AZ263" s="107"/>
    </row>
    <row r="264" spans="1:52" x14ac:dyDescent="0.8">
      <c r="A264" s="35" t="s">
        <v>307</v>
      </c>
      <c r="B264" s="40">
        <v>34</v>
      </c>
      <c r="C264" s="40"/>
      <c r="D264" s="40"/>
      <c r="E264" s="40"/>
      <c r="F264" s="40"/>
      <c r="G264" s="40"/>
      <c r="H264" s="40"/>
      <c r="I264" s="40"/>
      <c r="J264" s="40"/>
      <c r="K264" s="40"/>
      <c r="L264" s="90"/>
      <c r="M264" s="91"/>
      <c r="N264" s="91"/>
      <c r="O264" s="91"/>
      <c r="P264" s="91"/>
      <c r="Q264" s="91"/>
      <c r="R264" s="90"/>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2">
        <f>AS$33*$E$53</f>
        <v>0.63192385409949348</v>
      </c>
      <c r="AT264" s="124">
        <f>AS$33*$F$53</f>
        <v>1.0829821684322321</v>
      </c>
      <c r="AU264" s="107">
        <f>AS$33*$G$53</f>
        <v>0.77343234487054868</v>
      </c>
      <c r="AV264" s="107">
        <f>AS$33*$H$53</f>
        <v>0.55232532804077494</v>
      </c>
      <c r="AW264" s="107">
        <f>AS$33*$I$53</f>
        <v>0.394897132057976</v>
      </c>
      <c r="AX264" s="107">
        <f>AS$33*$J$53</f>
        <v>0.39445491802431643</v>
      </c>
      <c r="AY264" s="107">
        <f>AS$33*$K$53</f>
        <v>0.394897132057976</v>
      </c>
      <c r="AZ264" s="107">
        <f>AS$33*$L$53</f>
        <v>0.19722745901215821</v>
      </c>
    </row>
    <row r="265" spans="1:52" x14ac:dyDescent="0.8">
      <c r="A265" s="111" t="s">
        <v>308</v>
      </c>
      <c r="B265" s="86"/>
      <c r="C265" s="86"/>
      <c r="D265" s="86"/>
      <c r="E265" s="86"/>
      <c r="F265" s="86"/>
      <c r="G265" s="86"/>
      <c r="H265" s="86"/>
      <c r="I265" s="86"/>
      <c r="J265" s="86"/>
      <c r="K265" s="86"/>
      <c r="L265" s="112">
        <f t="shared" ref="L265:AS265" si="135">SUM(L231:L264)</f>
        <v>507.49071583999972</v>
      </c>
      <c r="M265" s="113">
        <f t="shared" si="135"/>
        <v>1210.5993193279992</v>
      </c>
      <c r="N265" s="113">
        <f t="shared" si="135"/>
        <v>1395.3528082559988</v>
      </c>
      <c r="O265" s="113">
        <f t="shared" si="135"/>
        <v>1429.7116223206394</v>
      </c>
      <c r="P265" s="113">
        <f t="shared" si="135"/>
        <v>2055.1274876339203</v>
      </c>
      <c r="Q265" s="113">
        <f t="shared" si="135"/>
        <v>2523.5341221316999</v>
      </c>
      <c r="R265" s="113">
        <f t="shared" si="135"/>
        <v>2104.5634111606078</v>
      </c>
      <c r="S265" s="113">
        <f t="shared" si="135"/>
        <v>2035.3023172987278</v>
      </c>
      <c r="T265" s="113">
        <f t="shared" si="135"/>
        <v>2413.5062416544183</v>
      </c>
      <c r="U265" s="113">
        <f t="shared" si="135"/>
        <v>2808.3219368687373</v>
      </c>
      <c r="V265" s="113">
        <f t="shared" si="135"/>
        <v>3061.1917991361097</v>
      </c>
      <c r="W265" s="113">
        <f t="shared" si="135"/>
        <v>2963.7820919001992</v>
      </c>
      <c r="X265" s="113">
        <f t="shared" si="135"/>
        <v>2868.0442385913088</v>
      </c>
      <c r="Y265" s="113">
        <f t="shared" si="135"/>
        <v>2965.1771421203257</v>
      </c>
      <c r="Z265" s="113">
        <f t="shared" si="135"/>
        <v>2868.3355201658705</v>
      </c>
      <c r="AA265" s="113">
        <f t="shared" si="135"/>
        <v>2558.8107750978434</v>
      </c>
      <c r="AB265" s="113">
        <f t="shared" si="135"/>
        <v>2241.559290827347</v>
      </c>
      <c r="AC265" s="113">
        <f t="shared" si="135"/>
        <v>1934.5335661509378</v>
      </c>
      <c r="AD265" s="113">
        <f t="shared" si="135"/>
        <v>1640.9486418177235</v>
      </c>
      <c r="AE265" s="113">
        <f t="shared" si="135"/>
        <v>1259.712509594046</v>
      </c>
      <c r="AF265" s="113">
        <f t="shared" si="135"/>
        <v>854.99119955621586</v>
      </c>
      <c r="AG265" s="113">
        <f t="shared" si="135"/>
        <v>572.52391953726772</v>
      </c>
      <c r="AH265" s="113">
        <f t="shared" si="135"/>
        <v>376.91219924044674</v>
      </c>
      <c r="AI265" s="113">
        <f t="shared" si="135"/>
        <v>242.61496786603095</v>
      </c>
      <c r="AJ265" s="113">
        <f t="shared" si="135"/>
        <v>133.16738852610308</v>
      </c>
      <c r="AK265" s="113">
        <f t="shared" si="135"/>
        <v>44.205639458959233</v>
      </c>
      <c r="AL265" s="113">
        <f t="shared" si="135"/>
        <v>4.4198011479589345</v>
      </c>
      <c r="AM265" s="113">
        <f t="shared" si="135"/>
        <v>4.420044237021723</v>
      </c>
      <c r="AN265" s="113">
        <f t="shared" si="135"/>
        <v>4.4202873394566868</v>
      </c>
      <c r="AO265" s="113">
        <f t="shared" si="135"/>
        <v>4.4205304552602351</v>
      </c>
      <c r="AP265" s="113">
        <f t="shared" si="135"/>
        <v>4.420773584433789</v>
      </c>
      <c r="AQ265" s="113">
        <f t="shared" si="135"/>
        <v>4.421016726982697</v>
      </c>
      <c r="AR265" s="113">
        <f t="shared" si="135"/>
        <v>4.4212598829040841</v>
      </c>
      <c r="AS265" s="114">
        <f t="shared" si="135"/>
        <v>4.4215030521969094</v>
      </c>
      <c r="AZ265" s="91"/>
    </row>
    <row r="266" spans="1:52" x14ac:dyDescent="0.8">
      <c r="K266" s="65"/>
      <c r="L266" s="40"/>
      <c r="Q266" s="40"/>
      <c r="R266" s="40"/>
    </row>
    <row r="267" spans="1:52" x14ac:dyDescent="0.8">
      <c r="K267" s="40"/>
      <c r="L267" s="40"/>
      <c r="Q267" s="40"/>
      <c r="R267" s="40"/>
    </row>
    <row r="268" spans="1:52" x14ac:dyDescent="0.8">
      <c r="A268" s="89" t="s">
        <v>309</v>
      </c>
      <c r="K268" s="80"/>
      <c r="L268" s="40"/>
      <c r="Q268" s="80"/>
      <c r="R268" s="40"/>
    </row>
    <row r="269" spans="1:52" x14ac:dyDescent="0.8">
      <c r="A269" s="66" t="s">
        <v>310</v>
      </c>
      <c r="B269" s="65">
        <v>1</v>
      </c>
      <c r="C269" s="65"/>
      <c r="D269" s="65"/>
      <c r="E269" s="65"/>
      <c r="F269" s="65"/>
      <c r="G269" s="65"/>
      <c r="H269" s="65"/>
      <c r="I269" s="65"/>
      <c r="J269" s="65"/>
      <c r="K269" s="65"/>
      <c r="L269" s="104">
        <f>L$35*$E$54</f>
        <v>4811.3167999999978</v>
      </c>
      <c r="M269" s="105">
        <f>L$35*$F$54</f>
        <v>7698.1068799999966</v>
      </c>
      <c r="N269" s="105">
        <f>L$35*$G$54</f>
        <v>4618.8641279999974</v>
      </c>
      <c r="O269" s="105">
        <f>L$35*$H$54</f>
        <v>2771.3184767999987</v>
      </c>
      <c r="P269" s="105">
        <f>L$35*$I$54</f>
        <v>2771.3184767999987</v>
      </c>
      <c r="Q269" s="105">
        <f>L$35*$J$54</f>
        <v>1385.6592383999994</v>
      </c>
      <c r="R269" s="104"/>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6"/>
    </row>
    <row r="270" spans="1:52" x14ac:dyDescent="0.8">
      <c r="A270" s="35" t="s">
        <v>310</v>
      </c>
      <c r="B270" s="40">
        <v>2</v>
      </c>
      <c r="C270" s="40"/>
      <c r="D270" s="40"/>
      <c r="E270" s="40"/>
      <c r="F270" s="40"/>
      <c r="G270" s="40"/>
      <c r="H270" s="40"/>
      <c r="I270" s="40"/>
      <c r="J270" s="40"/>
      <c r="K270" s="40"/>
      <c r="L270" s="90"/>
      <c r="M270" s="91">
        <f>M$35*$E$54</f>
        <v>2351.5916159999992</v>
      </c>
      <c r="N270" s="91">
        <f>M$35*$F$54</f>
        <v>3762.5465855999992</v>
      </c>
      <c r="O270" s="91">
        <f>M$35*$G$54</f>
        <v>2257.5279513599994</v>
      </c>
      <c r="P270" s="91">
        <f>M$35*$H$54</f>
        <v>1354.5167708159995</v>
      </c>
      <c r="Q270" s="91">
        <f>M$35*$I$54</f>
        <v>1354.5167708159995</v>
      </c>
      <c r="R270" s="90">
        <f>M$35*$J$54</f>
        <v>677.25838540799975</v>
      </c>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2"/>
    </row>
    <row r="271" spans="1:52" x14ac:dyDescent="0.8">
      <c r="A271" s="35" t="s">
        <v>310</v>
      </c>
      <c r="B271" s="40">
        <v>3</v>
      </c>
      <c r="C271" s="40"/>
      <c r="D271" s="40"/>
      <c r="E271" s="40"/>
      <c r="F271" s="40"/>
      <c r="G271" s="40"/>
      <c r="H271" s="40"/>
      <c r="I271" s="40"/>
      <c r="J271" s="40"/>
      <c r="K271" s="40"/>
      <c r="L271" s="90"/>
      <c r="M271" s="91"/>
      <c r="N271" s="91">
        <f>N$35*$E$54</f>
        <v>5940.196415999998</v>
      </c>
      <c r="O271" s="91">
        <f>N$35*$F$54</f>
        <v>9504.3142655999964</v>
      </c>
      <c r="P271" s="91">
        <f>N$35*$G$54</f>
        <v>5702.5885593599978</v>
      </c>
      <c r="Q271" s="91">
        <f>N$35*$H$54</f>
        <v>3421.5531356159986</v>
      </c>
      <c r="R271" s="90">
        <f>N$35*$I$54</f>
        <v>3421.5531356159986</v>
      </c>
      <c r="S271" s="91">
        <f>N$35*$J$54</f>
        <v>1710.7765678079993</v>
      </c>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2"/>
    </row>
    <row r="272" spans="1:52" x14ac:dyDescent="0.8">
      <c r="A272" s="35" t="s">
        <v>310</v>
      </c>
      <c r="B272" s="40">
        <v>4</v>
      </c>
      <c r="C272" s="40"/>
      <c r="D272" s="40"/>
      <c r="E272" s="40"/>
      <c r="F272" s="40"/>
      <c r="G272" s="40"/>
      <c r="H272" s="40"/>
      <c r="I272" s="40"/>
      <c r="J272" s="40"/>
      <c r="K272" s="40"/>
      <c r="L272" s="90"/>
      <c r="M272" s="91"/>
      <c r="N272" s="91"/>
      <c r="O272" s="91">
        <f>O$35*$E$54</f>
        <v>1361.8121932800045</v>
      </c>
      <c r="P272" s="91">
        <f>O$35*$F$54</f>
        <v>2178.8995092480072</v>
      </c>
      <c r="Q272" s="91">
        <f>O$35*$G$54</f>
        <v>1307.3397055488042</v>
      </c>
      <c r="R272" s="90">
        <f>O$35*$H$54</f>
        <v>784.40382332928255</v>
      </c>
      <c r="S272" s="91">
        <f>O$35*$I$54</f>
        <v>784.40382332928255</v>
      </c>
      <c r="T272" s="91">
        <f>O$35*$J$54</f>
        <v>392.20191166464127</v>
      </c>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2"/>
    </row>
    <row r="273" spans="1:45" x14ac:dyDescent="0.8">
      <c r="A273" s="35" t="s">
        <v>310</v>
      </c>
      <c r="B273" s="40">
        <v>5</v>
      </c>
      <c r="C273" s="40"/>
      <c r="D273" s="40"/>
      <c r="E273" s="40"/>
      <c r="F273" s="40"/>
      <c r="G273" s="40"/>
      <c r="H273" s="40"/>
      <c r="I273" s="40"/>
      <c r="J273" s="40"/>
      <c r="K273" s="40"/>
      <c r="L273" s="90"/>
      <c r="M273" s="91"/>
      <c r="N273" s="91"/>
      <c r="O273" s="91"/>
      <c r="P273" s="91">
        <f>P$35*$E$54</f>
        <v>7977.6660547584006</v>
      </c>
      <c r="Q273" s="91">
        <f>P$35*$F$54</f>
        <v>12764.265687613441</v>
      </c>
      <c r="R273" s="90">
        <f>P$35*$G$54</f>
        <v>7658.5594125680645</v>
      </c>
      <c r="S273" s="91">
        <f>P$35*$H$54</f>
        <v>4595.1356475408384</v>
      </c>
      <c r="T273" s="91">
        <f>P$35*$I$54</f>
        <v>4595.1356475408384</v>
      </c>
      <c r="U273" s="91">
        <f>P$35*$J$54</f>
        <v>2297.5678237704192</v>
      </c>
      <c r="V273" s="110"/>
      <c r="W273" s="110"/>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2"/>
    </row>
    <row r="274" spans="1:45" x14ac:dyDescent="0.8">
      <c r="A274" s="35" t="s">
        <v>310</v>
      </c>
      <c r="B274" s="40">
        <v>6</v>
      </c>
      <c r="C274" s="40"/>
      <c r="D274" s="40"/>
      <c r="E274" s="40"/>
      <c r="F274" s="40"/>
      <c r="G274" s="40"/>
      <c r="H274" s="40"/>
      <c r="I274" s="40"/>
      <c r="J274" s="40"/>
      <c r="K274" s="40"/>
      <c r="L274" s="90"/>
      <c r="M274" s="91"/>
      <c r="N274" s="91"/>
      <c r="O274" s="91"/>
      <c r="P274" s="91"/>
      <c r="Q274" s="91">
        <f>Q$35*$E$54</f>
        <v>5315.7147379015751</v>
      </c>
      <c r="R274" s="90">
        <f>Q$35*$F$54</f>
        <v>8505.1435806425197</v>
      </c>
      <c r="S274" s="91">
        <f>Q$35*$G$54</f>
        <v>5103.0861483855115</v>
      </c>
      <c r="T274" s="91">
        <f>Q$35*$H$54</f>
        <v>3061.8516890313072</v>
      </c>
      <c r="U274" s="91">
        <f>Q$35*$I$54</f>
        <v>3061.8516890313072</v>
      </c>
      <c r="V274" s="91">
        <f>Q$35*$J$54</f>
        <v>1530.9258445156536</v>
      </c>
      <c r="W274" s="110"/>
      <c r="X274" s="110"/>
      <c r="Y274" s="91"/>
      <c r="Z274" s="91"/>
      <c r="AA274" s="91"/>
      <c r="AB274" s="91"/>
      <c r="AC274" s="91"/>
      <c r="AD274" s="91"/>
      <c r="AE274" s="91"/>
      <c r="AF274" s="91"/>
      <c r="AG274" s="91"/>
      <c r="AH274" s="91"/>
      <c r="AI274" s="91"/>
      <c r="AJ274" s="91"/>
      <c r="AK274" s="91"/>
      <c r="AL274" s="91"/>
      <c r="AM274" s="91"/>
      <c r="AN274" s="91"/>
      <c r="AO274" s="91"/>
      <c r="AP274" s="91"/>
      <c r="AQ274" s="91"/>
      <c r="AR274" s="91"/>
      <c r="AS274" s="92"/>
    </row>
    <row r="275" spans="1:45" x14ac:dyDescent="0.8">
      <c r="A275" s="35" t="s">
        <v>310</v>
      </c>
      <c r="B275" s="40">
        <v>7</v>
      </c>
      <c r="C275" s="40"/>
      <c r="D275" s="40"/>
      <c r="E275" s="40"/>
      <c r="F275" s="40"/>
      <c r="G275" s="40"/>
      <c r="H275" s="40"/>
      <c r="I275" s="40"/>
      <c r="J275" s="40"/>
      <c r="K275" s="40"/>
      <c r="L275" s="90"/>
      <c r="M275" s="91"/>
      <c r="N275" s="91"/>
      <c r="O275" s="91"/>
      <c r="P275" s="91"/>
      <c r="Q275" s="91"/>
      <c r="R275" s="90">
        <f>R$35*$E$54</f>
        <v>9185.7967206676021</v>
      </c>
      <c r="S275" s="91">
        <f>R$35*$F$54</f>
        <v>14697.274753068165</v>
      </c>
      <c r="T275" s="91">
        <f>R$35*$G$54</f>
        <v>8818.3648518408991</v>
      </c>
      <c r="U275" s="91">
        <f>R$35*$H$54</f>
        <v>5291.0189111045393</v>
      </c>
      <c r="V275" s="91">
        <f>R$35*$I$54</f>
        <v>5291.0189111045393</v>
      </c>
      <c r="W275" s="91">
        <f>R$35*$J$54</f>
        <v>2645.5094555522696</v>
      </c>
      <c r="X275" s="110"/>
      <c r="Y275" s="110"/>
      <c r="Z275" s="91"/>
      <c r="AA275" s="91"/>
      <c r="AB275" s="91"/>
      <c r="AC275" s="91"/>
      <c r="AD275" s="91"/>
      <c r="AE275" s="91"/>
      <c r="AF275" s="91"/>
      <c r="AG275" s="91"/>
      <c r="AH275" s="91"/>
      <c r="AI275" s="91"/>
      <c r="AJ275" s="91"/>
      <c r="AK275" s="91"/>
      <c r="AL275" s="91"/>
      <c r="AM275" s="91"/>
      <c r="AN275" s="91"/>
      <c r="AO275" s="91"/>
      <c r="AP275" s="91"/>
      <c r="AQ275" s="91"/>
      <c r="AR275" s="91"/>
      <c r="AS275" s="92"/>
    </row>
    <row r="276" spans="1:45" x14ac:dyDescent="0.8">
      <c r="A276" s="35" t="s">
        <v>310</v>
      </c>
      <c r="B276" s="40">
        <v>8</v>
      </c>
      <c r="C276" s="40"/>
      <c r="D276" s="40"/>
      <c r="E276" s="40"/>
      <c r="F276" s="40"/>
      <c r="G276" s="40"/>
      <c r="H276" s="40"/>
      <c r="I276" s="40"/>
      <c r="J276" s="40"/>
      <c r="K276" s="40"/>
      <c r="L276" s="90"/>
      <c r="M276" s="91"/>
      <c r="N276" s="91"/>
      <c r="O276" s="91"/>
      <c r="P276" s="91"/>
      <c r="Q276" s="91"/>
      <c r="R276" s="90"/>
      <c r="S276" s="91">
        <f>S$35*$E$54</f>
        <v>4219.9108718644948</v>
      </c>
      <c r="T276" s="91">
        <f>S$35*$F$54</f>
        <v>6751.8573949831916</v>
      </c>
      <c r="U276" s="91">
        <f>S$35*$G$54</f>
        <v>4051.1144369899148</v>
      </c>
      <c r="V276" s="91">
        <f>S$35*$H$54</f>
        <v>2430.6686621939489</v>
      </c>
      <c r="W276" s="91">
        <f>S$35*$I$54</f>
        <v>2430.6686621939489</v>
      </c>
      <c r="X276" s="91">
        <f>S$35*$J$54</f>
        <v>1215.3343310969744</v>
      </c>
      <c r="Y276" s="110"/>
      <c r="Z276" s="110"/>
      <c r="AA276" s="91"/>
      <c r="AB276" s="91"/>
      <c r="AC276" s="91"/>
      <c r="AD276" s="91"/>
      <c r="AE276" s="91"/>
      <c r="AF276" s="91"/>
      <c r="AG276" s="91"/>
      <c r="AH276" s="91"/>
      <c r="AI276" s="91"/>
      <c r="AJ276" s="91"/>
      <c r="AK276" s="91"/>
      <c r="AL276" s="91"/>
      <c r="AM276" s="91"/>
      <c r="AN276" s="91"/>
      <c r="AO276" s="91"/>
      <c r="AP276" s="91"/>
      <c r="AQ276" s="91"/>
      <c r="AR276" s="91"/>
      <c r="AS276" s="92"/>
    </row>
    <row r="277" spans="1:45" x14ac:dyDescent="0.8">
      <c r="A277" s="35" t="s">
        <v>310</v>
      </c>
      <c r="B277" s="40">
        <v>9</v>
      </c>
      <c r="C277" s="40"/>
      <c r="D277" s="40"/>
      <c r="E277" s="40"/>
      <c r="F277" s="40"/>
      <c r="G277" s="40"/>
      <c r="H277" s="40"/>
      <c r="I277" s="40"/>
      <c r="J277" s="40"/>
      <c r="K277" s="40"/>
      <c r="L277" s="90"/>
      <c r="M277" s="91"/>
      <c r="N277" s="91"/>
      <c r="O277" s="91"/>
      <c r="P277" s="91"/>
      <c r="Q277" s="91"/>
      <c r="R277" s="90"/>
      <c r="S277" s="91"/>
      <c r="T277" s="91">
        <f>T$35*$E$54</f>
        <v>4074.7881369810671</v>
      </c>
      <c r="U277" s="91">
        <f>T$35*$F$54</f>
        <v>6519.6610191697073</v>
      </c>
      <c r="V277" s="91">
        <f>T$35*$G$54</f>
        <v>3911.7966115018244</v>
      </c>
      <c r="W277" s="91">
        <f>T$35*$H$54</f>
        <v>2347.0779669010944</v>
      </c>
      <c r="X277" s="91">
        <f>T$35*$I$54</f>
        <v>2347.0779669010944</v>
      </c>
      <c r="Y277" s="91">
        <f>T$35*$J$54</f>
        <v>1173.5389834505472</v>
      </c>
      <c r="Z277" s="110"/>
      <c r="AA277" s="110"/>
      <c r="AB277" s="91"/>
      <c r="AC277" s="91"/>
      <c r="AD277" s="91"/>
      <c r="AE277" s="91"/>
      <c r="AF277" s="91"/>
      <c r="AG277" s="91"/>
      <c r="AH277" s="91"/>
      <c r="AI277" s="91"/>
      <c r="AJ277" s="91"/>
      <c r="AK277" s="91"/>
      <c r="AL277" s="91"/>
      <c r="AM277" s="91"/>
      <c r="AN277" s="91"/>
      <c r="AO277" s="91"/>
      <c r="AP277" s="91"/>
      <c r="AQ277" s="91"/>
      <c r="AR277" s="91"/>
      <c r="AS277" s="92"/>
    </row>
    <row r="278" spans="1:45" x14ac:dyDescent="0.8">
      <c r="A278" s="35" t="s">
        <v>310</v>
      </c>
      <c r="B278" s="40">
        <v>10</v>
      </c>
      <c r="C278" s="40"/>
      <c r="D278" s="40"/>
      <c r="E278" s="40"/>
      <c r="F278" s="40"/>
      <c r="G278" s="40"/>
      <c r="H278" s="40"/>
      <c r="I278" s="40"/>
      <c r="J278" s="40"/>
      <c r="K278" s="40"/>
      <c r="L278" s="90"/>
      <c r="M278" s="91"/>
      <c r="N278" s="91"/>
      <c r="O278" s="91"/>
      <c r="P278" s="91"/>
      <c r="Q278" s="91"/>
      <c r="R278" s="90"/>
      <c r="S278" s="91"/>
      <c r="T278" s="91"/>
      <c r="U278" s="91">
        <f>U$35*$E$54</f>
        <v>3907.921487983549</v>
      </c>
      <c r="V278" s="91">
        <f>U$35*$F$54</f>
        <v>6252.6743807736784</v>
      </c>
      <c r="W278" s="91">
        <f>U$35*$G$54</f>
        <v>3751.6046284642071</v>
      </c>
      <c r="X278" s="91">
        <f>U$35*$H$54</f>
        <v>2250.9627770785241</v>
      </c>
      <c r="Y278" s="91">
        <f>U$35*$I$54</f>
        <v>2250.9627770785241</v>
      </c>
      <c r="Z278" s="91">
        <f>U$35*$J$54</f>
        <v>1125.4813885392621</v>
      </c>
      <c r="AA278" s="110"/>
      <c r="AB278" s="110"/>
      <c r="AC278" s="91"/>
      <c r="AD278" s="91"/>
      <c r="AE278" s="91"/>
      <c r="AF278" s="91"/>
      <c r="AG278" s="91"/>
      <c r="AH278" s="91"/>
      <c r="AI278" s="91"/>
      <c r="AJ278" s="91"/>
      <c r="AK278" s="91"/>
      <c r="AL278" s="91"/>
      <c r="AM278" s="91"/>
      <c r="AN278" s="91"/>
      <c r="AO278" s="91"/>
      <c r="AP278" s="91"/>
      <c r="AQ278" s="91"/>
      <c r="AR278" s="91"/>
      <c r="AS278" s="92"/>
    </row>
    <row r="279" spans="1:45" x14ac:dyDescent="0.8">
      <c r="A279" s="35" t="s">
        <v>310</v>
      </c>
      <c r="B279" s="40">
        <v>11</v>
      </c>
      <c r="C279" s="40"/>
      <c r="D279" s="40"/>
      <c r="E279" s="40"/>
      <c r="F279" s="40"/>
      <c r="G279" s="40"/>
      <c r="H279" s="40"/>
      <c r="I279" s="40"/>
      <c r="J279" s="40"/>
      <c r="K279" s="40"/>
      <c r="L279" s="90"/>
      <c r="M279" s="91"/>
      <c r="N279" s="91"/>
      <c r="O279" s="91"/>
      <c r="P279" s="91"/>
      <c r="Q279" s="91"/>
      <c r="R279" s="90"/>
      <c r="S279" s="91"/>
      <c r="T279" s="91"/>
      <c r="U279" s="91"/>
      <c r="V279" s="91">
        <f>V$35*$E$54</f>
        <v>3724.8123095347432</v>
      </c>
      <c r="W279" s="91">
        <f>V$35*$F$54</f>
        <v>5959.6996952555892</v>
      </c>
      <c r="X279" s="91">
        <f>V$35*$G$54</f>
        <v>3575.8198171533531</v>
      </c>
      <c r="Y279" s="91">
        <f>V$35*$H$54</f>
        <v>2145.4918902920117</v>
      </c>
      <c r="Z279" s="91">
        <f>V$35*$I$54</f>
        <v>2145.4918902920117</v>
      </c>
      <c r="AA279" s="91">
        <f>V$35*$J$54</f>
        <v>1072.7459451460059</v>
      </c>
      <c r="AB279" s="110"/>
      <c r="AC279" s="110"/>
      <c r="AD279" s="91"/>
      <c r="AE279" s="91"/>
      <c r="AF279" s="91"/>
      <c r="AG279" s="91"/>
      <c r="AH279" s="91"/>
      <c r="AI279" s="91"/>
      <c r="AJ279" s="91"/>
      <c r="AK279" s="91"/>
      <c r="AL279" s="91"/>
      <c r="AM279" s="91"/>
      <c r="AN279" s="91"/>
      <c r="AO279" s="91"/>
      <c r="AP279" s="91"/>
      <c r="AQ279" s="91"/>
      <c r="AR279" s="91"/>
      <c r="AS279" s="92"/>
    </row>
    <row r="280" spans="1:45" x14ac:dyDescent="0.8">
      <c r="A280" s="35" t="s">
        <v>310</v>
      </c>
      <c r="B280" s="40">
        <v>12</v>
      </c>
      <c r="C280" s="40"/>
      <c r="D280" s="40"/>
      <c r="E280" s="40"/>
      <c r="F280" s="40"/>
      <c r="G280" s="40"/>
      <c r="H280" s="40"/>
      <c r="I280" s="40"/>
      <c r="J280" s="40"/>
      <c r="K280" s="40"/>
      <c r="L280" s="90"/>
      <c r="M280" s="91"/>
      <c r="N280" s="91"/>
      <c r="O280" s="91"/>
      <c r="P280" s="91"/>
      <c r="Q280" s="91"/>
      <c r="R280" s="90"/>
      <c r="S280" s="91"/>
      <c r="T280" s="91"/>
      <c r="U280" s="91"/>
      <c r="V280" s="91"/>
      <c r="W280" s="91">
        <f>W$35*$E$54</f>
        <v>3530.4876966545012</v>
      </c>
      <c r="X280" s="91">
        <f>W$35*$F$54</f>
        <v>5648.7803146472015</v>
      </c>
      <c r="Y280" s="91">
        <f>W$35*$G$54</f>
        <v>3389.2681887883209</v>
      </c>
      <c r="Z280" s="91">
        <f>W$35*$H$54</f>
        <v>2033.5609132729924</v>
      </c>
      <c r="AA280" s="91">
        <f>W$35*$I$54</f>
        <v>2033.5609132729924</v>
      </c>
      <c r="AB280" s="91">
        <f>W$35*$J$54</f>
        <v>1016.7804566364962</v>
      </c>
      <c r="AC280" s="110"/>
      <c r="AD280" s="110"/>
      <c r="AE280" s="91"/>
      <c r="AF280" s="91"/>
      <c r="AG280" s="91"/>
      <c r="AH280" s="91"/>
      <c r="AI280" s="91"/>
      <c r="AJ280" s="91"/>
      <c r="AK280" s="91"/>
      <c r="AL280" s="91"/>
      <c r="AM280" s="91"/>
      <c r="AN280" s="91"/>
      <c r="AO280" s="91"/>
      <c r="AP280" s="91"/>
      <c r="AQ280" s="91"/>
      <c r="AR280" s="91"/>
      <c r="AS280" s="92"/>
    </row>
    <row r="281" spans="1:45" x14ac:dyDescent="0.8">
      <c r="A281" s="35" t="s">
        <v>310</v>
      </c>
      <c r="B281" s="40">
        <v>13</v>
      </c>
      <c r="C281" s="40"/>
      <c r="D281" s="40"/>
      <c r="E281" s="40"/>
      <c r="F281" s="40"/>
      <c r="G281" s="40"/>
      <c r="H281" s="40"/>
      <c r="I281" s="40"/>
      <c r="J281" s="40"/>
      <c r="K281" s="40"/>
      <c r="L281" s="90"/>
      <c r="M281" s="91"/>
      <c r="N281" s="91"/>
      <c r="O281" s="91"/>
      <c r="P281" s="91"/>
      <c r="Q281" s="91"/>
      <c r="R281" s="90"/>
      <c r="S281" s="91"/>
      <c r="T281" s="91"/>
      <c r="U281" s="91"/>
      <c r="V281" s="91"/>
      <c r="W281" s="91"/>
      <c r="X281" s="91">
        <f>X$35*$E$54</f>
        <v>3329.4148458608893</v>
      </c>
      <c r="Y281" s="91">
        <f>X$35*$F$54</f>
        <v>5327.0637533774225</v>
      </c>
      <c r="Z281" s="91">
        <f>X$35*$G$54</f>
        <v>3196.2382520264537</v>
      </c>
      <c r="AA281" s="91">
        <f>X$35*$H$54</f>
        <v>1917.7429512158722</v>
      </c>
      <c r="AB281" s="91">
        <f>X$35*$I$54</f>
        <v>1917.7429512158722</v>
      </c>
      <c r="AC281" s="91">
        <f>X$35*$J$54</f>
        <v>958.87147560793608</v>
      </c>
      <c r="AD281" s="110"/>
      <c r="AE281" s="110"/>
      <c r="AF281" s="91"/>
      <c r="AG281" s="91"/>
      <c r="AH281" s="91"/>
      <c r="AI281" s="91"/>
      <c r="AJ281" s="91"/>
      <c r="AK281" s="91"/>
      <c r="AL281" s="91"/>
      <c r="AM281" s="91"/>
      <c r="AN281" s="91"/>
      <c r="AO281" s="91"/>
      <c r="AP281" s="91"/>
      <c r="AQ281" s="91"/>
      <c r="AR281" s="91"/>
      <c r="AS281" s="92"/>
    </row>
    <row r="282" spans="1:45" x14ac:dyDescent="0.8">
      <c r="A282" s="35" t="s">
        <v>310</v>
      </c>
      <c r="B282" s="40">
        <v>14</v>
      </c>
      <c r="C282" s="40"/>
      <c r="D282" s="40"/>
      <c r="E282" s="40"/>
      <c r="F282" s="40"/>
      <c r="G282" s="40"/>
      <c r="H282" s="40"/>
      <c r="I282" s="40"/>
      <c r="J282" s="40"/>
      <c r="K282" s="40"/>
      <c r="L282" s="90"/>
      <c r="M282" s="91"/>
      <c r="N282" s="91"/>
      <c r="O282" s="91"/>
      <c r="P282" s="91"/>
      <c r="Q282" s="91"/>
      <c r="R282" s="90"/>
      <c r="S282" s="91"/>
      <c r="T282" s="91"/>
      <c r="U282" s="91"/>
      <c r="V282" s="91"/>
      <c r="W282" s="91"/>
      <c r="X282" s="91"/>
      <c r="Y282" s="91">
        <f>Y$35*$E$54</f>
        <v>2778.1881902591213</v>
      </c>
      <c r="Z282" s="91">
        <f>Y$35*$F$54</f>
        <v>4445.1011044145935</v>
      </c>
      <c r="AA282" s="91">
        <f>Y$35*$G$54</f>
        <v>2667.0606626487561</v>
      </c>
      <c r="AB282" s="91">
        <f>Y$35*$H$54</f>
        <v>1600.2363975892536</v>
      </c>
      <c r="AC282" s="91">
        <f>Y$35*$I$54</f>
        <v>1600.2363975892536</v>
      </c>
      <c r="AD282" s="91">
        <f>Y$35*$J$54</f>
        <v>800.11819879462678</v>
      </c>
      <c r="AE282" s="110"/>
      <c r="AF282" s="110"/>
      <c r="AG282" s="91"/>
      <c r="AH282" s="91"/>
      <c r="AI282" s="91"/>
      <c r="AJ282" s="91"/>
      <c r="AK282" s="91"/>
      <c r="AL282" s="91"/>
      <c r="AM282" s="91"/>
      <c r="AN282" s="91"/>
      <c r="AO282" s="91"/>
      <c r="AP282" s="91"/>
      <c r="AQ282" s="91"/>
      <c r="AR282" s="91"/>
      <c r="AS282" s="92"/>
    </row>
    <row r="283" spans="1:45" x14ac:dyDescent="0.8">
      <c r="A283" s="35" t="s">
        <v>310</v>
      </c>
      <c r="B283" s="40">
        <v>15</v>
      </c>
      <c r="C283" s="40"/>
      <c r="D283" s="40"/>
      <c r="E283" s="40"/>
      <c r="F283" s="40"/>
      <c r="G283" s="40"/>
      <c r="H283" s="40"/>
      <c r="I283" s="40"/>
      <c r="J283" s="40"/>
      <c r="K283" s="40"/>
      <c r="L283" s="90"/>
      <c r="M283" s="91"/>
      <c r="N283" s="91"/>
      <c r="O283" s="91"/>
      <c r="P283" s="91"/>
      <c r="Q283" s="91"/>
      <c r="R283" s="90"/>
      <c r="S283" s="91"/>
      <c r="T283" s="91"/>
      <c r="U283" s="91"/>
      <c r="V283" s="91"/>
      <c r="W283" s="91"/>
      <c r="X283" s="91"/>
      <c r="Y283" s="91"/>
      <c r="Z283" s="91">
        <f>Z$35*$E$54</f>
        <v>2299.089363030705</v>
      </c>
      <c r="AA283" s="91">
        <f>Z$35*$F$54</f>
        <v>3678.5429808491281</v>
      </c>
      <c r="AB283" s="91">
        <f>Z$35*$G$54</f>
        <v>2207.1257885094769</v>
      </c>
      <c r="AC283" s="91">
        <f>Z$35*$H$54</f>
        <v>1324.2754731056862</v>
      </c>
      <c r="AD283" s="91">
        <f>Z$35*$I$54</f>
        <v>1324.2754731056862</v>
      </c>
      <c r="AE283" s="91">
        <f>Z$35*$J$54</f>
        <v>662.13773655284308</v>
      </c>
      <c r="AF283" s="110"/>
      <c r="AG283" s="110"/>
      <c r="AH283" s="91"/>
      <c r="AI283" s="91"/>
      <c r="AJ283" s="91"/>
      <c r="AK283" s="91"/>
      <c r="AL283" s="91"/>
      <c r="AM283" s="91"/>
      <c r="AN283" s="91"/>
      <c r="AO283" s="91"/>
      <c r="AP283" s="91"/>
      <c r="AQ283" s="91"/>
      <c r="AR283" s="91"/>
      <c r="AS283" s="92"/>
    </row>
    <row r="284" spans="1:45" x14ac:dyDescent="0.8">
      <c r="A284" s="35" t="s">
        <v>310</v>
      </c>
      <c r="B284" s="40">
        <v>16</v>
      </c>
      <c r="C284" s="40"/>
      <c r="D284" s="40"/>
      <c r="E284" s="40"/>
      <c r="F284" s="40"/>
      <c r="G284" s="40"/>
      <c r="H284" s="40"/>
      <c r="I284" s="40"/>
      <c r="J284" s="40"/>
      <c r="K284" s="40"/>
      <c r="L284" s="90"/>
      <c r="M284" s="91"/>
      <c r="N284" s="91"/>
      <c r="O284" s="91"/>
      <c r="P284" s="91"/>
      <c r="Q284" s="91"/>
      <c r="R284" s="90"/>
      <c r="S284" s="91"/>
      <c r="T284" s="91"/>
      <c r="U284" s="91"/>
      <c r="V284" s="91"/>
      <c r="W284" s="91"/>
      <c r="X284" s="91"/>
      <c r="Y284" s="91"/>
      <c r="Z284" s="91"/>
      <c r="AA284" s="91">
        <f>AA$35*$E$54</f>
        <v>1889.9432387071663</v>
      </c>
      <c r="AB284" s="91">
        <f>AA$35*$F$54</f>
        <v>3023.9091819314658</v>
      </c>
      <c r="AC284" s="91">
        <f>AA$35*$G$54</f>
        <v>1814.3455091588796</v>
      </c>
      <c r="AD284" s="91">
        <f>AA$35*$H$54</f>
        <v>1088.6073054953276</v>
      </c>
      <c r="AE284" s="91">
        <f>AA$35*$I$54</f>
        <v>1088.6073054953276</v>
      </c>
      <c r="AF284" s="91">
        <f>AA$35*$J$54</f>
        <v>544.30365274766382</v>
      </c>
      <c r="AG284" s="110"/>
      <c r="AH284" s="110"/>
      <c r="AI284" s="91"/>
      <c r="AJ284" s="91"/>
      <c r="AK284" s="91"/>
      <c r="AL284" s="91"/>
      <c r="AM284" s="91"/>
      <c r="AN284" s="91"/>
      <c r="AO284" s="91"/>
      <c r="AP284" s="91"/>
      <c r="AQ284" s="91"/>
      <c r="AR284" s="91"/>
      <c r="AS284" s="92"/>
    </row>
    <row r="285" spans="1:45" x14ac:dyDescent="0.8">
      <c r="A285" s="35" t="s">
        <v>310</v>
      </c>
      <c r="B285" s="40">
        <v>17</v>
      </c>
      <c r="C285" s="40"/>
      <c r="D285" s="40"/>
      <c r="E285" s="40"/>
      <c r="F285" s="40"/>
      <c r="G285" s="40"/>
      <c r="H285" s="40"/>
      <c r="I285" s="40"/>
      <c r="J285" s="40"/>
      <c r="K285" s="40"/>
      <c r="L285" s="90"/>
      <c r="M285" s="91"/>
      <c r="N285" s="91"/>
      <c r="O285" s="91"/>
      <c r="P285" s="91"/>
      <c r="Q285" s="91"/>
      <c r="R285" s="90"/>
      <c r="S285" s="91"/>
      <c r="T285" s="91"/>
      <c r="U285" s="91"/>
      <c r="V285" s="91"/>
      <c r="W285" s="91"/>
      <c r="X285" s="91"/>
      <c r="Y285" s="91"/>
      <c r="Z285" s="91"/>
      <c r="AA285" s="91"/>
      <c r="AB285" s="91">
        <f>AB$35*$E$54</f>
        <v>1545.2779509360205</v>
      </c>
      <c r="AC285" s="91">
        <f>AB$35*$F$54</f>
        <v>2472.4447214976326</v>
      </c>
      <c r="AD285" s="91">
        <f>AB$35*$G$54</f>
        <v>1483.4668328985795</v>
      </c>
      <c r="AE285" s="91">
        <f>AB$35*$H$54</f>
        <v>890.08009973914773</v>
      </c>
      <c r="AF285" s="91">
        <f>AB$35*$I$54</f>
        <v>890.08009973914773</v>
      </c>
      <c r="AG285" s="91">
        <f>AB$35*$J$54</f>
        <v>445.04004986957386</v>
      </c>
      <c r="AH285" s="110"/>
      <c r="AI285" s="110"/>
      <c r="AJ285" s="91"/>
      <c r="AK285" s="91"/>
      <c r="AL285" s="91"/>
      <c r="AM285" s="91"/>
      <c r="AN285" s="91"/>
      <c r="AO285" s="91"/>
      <c r="AP285" s="91"/>
      <c r="AQ285" s="91"/>
      <c r="AR285" s="91"/>
      <c r="AS285" s="92"/>
    </row>
    <row r="286" spans="1:45" x14ac:dyDescent="0.8">
      <c r="A286" s="35" t="s">
        <v>310</v>
      </c>
      <c r="B286" s="40">
        <v>18</v>
      </c>
      <c r="C286" s="40"/>
      <c r="D286" s="40"/>
      <c r="E286" s="40"/>
      <c r="F286" s="40"/>
      <c r="G286" s="40"/>
      <c r="H286" s="40"/>
      <c r="I286" s="40"/>
      <c r="J286" s="40"/>
      <c r="K286" s="40"/>
      <c r="L286" s="90"/>
      <c r="M286" s="91"/>
      <c r="N286" s="91"/>
      <c r="O286" s="91"/>
      <c r="P286" s="91"/>
      <c r="Q286" s="91"/>
      <c r="R286" s="90"/>
      <c r="S286" s="91"/>
      <c r="T286" s="91"/>
      <c r="U286" s="91"/>
      <c r="V286" s="91"/>
      <c r="W286" s="91"/>
      <c r="X286" s="91"/>
      <c r="Y286" s="91"/>
      <c r="Z286" s="91"/>
      <c r="AA286" s="91"/>
      <c r="AB286" s="91"/>
      <c r="AC286" s="91">
        <f>AC$35*$E$54</f>
        <v>1258.0193554346101</v>
      </c>
      <c r="AD286" s="91">
        <f>AC$35*$F$54</f>
        <v>2012.8309686953762</v>
      </c>
      <c r="AE286" s="91">
        <f>AC$35*$G$54</f>
        <v>1207.6985812172256</v>
      </c>
      <c r="AF286" s="91">
        <f>AC$35*$H$54</f>
        <v>724.61914873033538</v>
      </c>
      <c r="AG286" s="91">
        <f>AC$35*$I$54</f>
        <v>724.61914873033538</v>
      </c>
      <c r="AH286" s="91">
        <f>AC$35*$J$54</f>
        <v>362.30957436516769</v>
      </c>
      <c r="AI286" s="110"/>
      <c r="AJ286" s="110"/>
      <c r="AK286" s="91"/>
      <c r="AL286" s="91"/>
      <c r="AM286" s="91"/>
      <c r="AN286" s="91"/>
      <c r="AO286" s="91"/>
      <c r="AP286" s="91"/>
      <c r="AQ286" s="91"/>
      <c r="AR286" s="91"/>
      <c r="AS286" s="92"/>
    </row>
    <row r="287" spans="1:45" x14ac:dyDescent="0.8">
      <c r="A287" s="35" t="s">
        <v>310</v>
      </c>
      <c r="B287" s="40">
        <v>19</v>
      </c>
      <c r="C287" s="40"/>
      <c r="D287" s="40"/>
      <c r="E287" s="40"/>
      <c r="F287" s="40"/>
      <c r="G287" s="40"/>
      <c r="H287" s="40"/>
      <c r="I287" s="40"/>
      <c r="J287" s="40"/>
      <c r="K287" s="40"/>
      <c r="L287" s="90"/>
      <c r="M287" s="91"/>
      <c r="N287" s="91"/>
      <c r="O287" s="91"/>
      <c r="P287" s="91"/>
      <c r="Q287" s="91"/>
      <c r="R287" s="90"/>
      <c r="S287" s="91"/>
      <c r="T287" s="91"/>
      <c r="U287" s="91"/>
      <c r="V287" s="91"/>
      <c r="W287" s="91"/>
      <c r="X287" s="91"/>
      <c r="Y287" s="91"/>
      <c r="Z287" s="91"/>
      <c r="AA287" s="91"/>
      <c r="AB287" s="91"/>
      <c r="AC287" s="91"/>
      <c r="AD287" s="91">
        <f>AD$35*$E$54</f>
        <v>1020.6115278172307</v>
      </c>
      <c r="AE287" s="91">
        <f>AD$35*$F$54</f>
        <v>1632.9784445075691</v>
      </c>
      <c r="AF287" s="91">
        <f>AD$35*$G$54</f>
        <v>979.78706670454142</v>
      </c>
      <c r="AG287" s="91">
        <f>AD$35*$H$54</f>
        <v>587.8722400227249</v>
      </c>
      <c r="AH287" s="91">
        <f>AD$35*$I$54</f>
        <v>587.8722400227249</v>
      </c>
      <c r="AI287" s="91">
        <f>AD$35*$J$54</f>
        <v>293.93612001136245</v>
      </c>
      <c r="AJ287" s="110"/>
      <c r="AK287" s="110"/>
      <c r="AL287" s="91"/>
      <c r="AM287" s="91"/>
      <c r="AN287" s="91"/>
      <c r="AO287" s="91"/>
      <c r="AP287" s="91"/>
      <c r="AQ287" s="91"/>
      <c r="AR287" s="91"/>
      <c r="AS287" s="92"/>
    </row>
    <row r="288" spans="1:45" x14ac:dyDescent="0.8">
      <c r="A288" s="35" t="s">
        <v>310</v>
      </c>
      <c r="B288" s="40">
        <v>20</v>
      </c>
      <c r="C288" s="40"/>
      <c r="D288" s="40"/>
      <c r="E288" s="40"/>
      <c r="F288" s="40"/>
      <c r="G288" s="40"/>
      <c r="H288" s="40"/>
      <c r="I288" s="40"/>
      <c r="J288" s="40"/>
      <c r="K288" s="40"/>
      <c r="L288" s="90"/>
      <c r="M288" s="91"/>
      <c r="N288" s="91"/>
      <c r="O288" s="91"/>
      <c r="P288" s="91"/>
      <c r="Q288" s="91"/>
      <c r="R288" s="90"/>
      <c r="S288" s="91"/>
      <c r="T288" s="91"/>
      <c r="U288" s="91"/>
      <c r="V288" s="91"/>
      <c r="W288" s="91"/>
      <c r="X288" s="91"/>
      <c r="Y288" s="91"/>
      <c r="Z288" s="91"/>
      <c r="AA288" s="91"/>
      <c r="AB288" s="91"/>
      <c r="AC288" s="91"/>
      <c r="AD288" s="91"/>
      <c r="AE288" s="91">
        <f>AE$35*$E$54</f>
        <v>5.0305617732461547</v>
      </c>
      <c r="AF288" s="91">
        <f>AE$35*$F$54</f>
        <v>8.0488988371938461</v>
      </c>
      <c r="AG288" s="91">
        <f>AE$35*$G$54</f>
        <v>4.829339302316308</v>
      </c>
      <c r="AH288" s="91">
        <f>AE$35*$H$54</f>
        <v>2.8976035813897849</v>
      </c>
      <c r="AI288" s="91">
        <f>AE$35*$I$54</f>
        <v>2.8976035813897849</v>
      </c>
      <c r="AJ288" s="91">
        <f>AE$35*$J$54</f>
        <v>1.4488017906948925</v>
      </c>
      <c r="AK288" s="110"/>
      <c r="AL288" s="110"/>
      <c r="AM288" s="91"/>
      <c r="AN288" s="91"/>
      <c r="AO288" s="91"/>
      <c r="AP288" s="91"/>
      <c r="AQ288" s="91"/>
      <c r="AR288" s="91"/>
      <c r="AS288" s="92"/>
    </row>
    <row r="289" spans="1:50" x14ac:dyDescent="0.8">
      <c r="A289" s="35" t="s">
        <v>310</v>
      </c>
      <c r="B289" s="40">
        <v>21</v>
      </c>
      <c r="C289" s="40"/>
      <c r="D289" s="40"/>
      <c r="E289" s="40"/>
      <c r="F289" s="40"/>
      <c r="G289" s="40"/>
      <c r="H289" s="40"/>
      <c r="I289" s="40"/>
      <c r="J289" s="40"/>
      <c r="K289" s="40"/>
      <c r="L289" s="90"/>
      <c r="M289" s="91"/>
      <c r="N289" s="91"/>
      <c r="O289" s="91"/>
      <c r="P289" s="91"/>
      <c r="Q289" s="91"/>
      <c r="R289" s="90"/>
      <c r="S289" s="91"/>
      <c r="T289" s="91"/>
      <c r="U289" s="91"/>
      <c r="V289" s="91"/>
      <c r="W289" s="91"/>
      <c r="X289" s="91"/>
      <c r="Y289" s="91"/>
      <c r="Z289" s="91"/>
      <c r="AA289" s="91"/>
      <c r="AB289" s="91"/>
      <c r="AC289" s="91"/>
      <c r="AD289" s="91"/>
      <c r="AE289" s="91"/>
      <c r="AF289" s="91">
        <f>AF$35*$E$54</f>
        <v>5.0308384541422129</v>
      </c>
      <c r="AG289" s="91">
        <f>AF$35*$F$54</f>
        <v>8.0493415266275399</v>
      </c>
      <c r="AH289" s="91">
        <f>AF$35*$G$54</f>
        <v>4.8296049159765246</v>
      </c>
      <c r="AI289" s="91">
        <f>AF$35*$H$54</f>
        <v>2.8977629495859145</v>
      </c>
      <c r="AJ289" s="91">
        <f>AF$35*$I$54</f>
        <v>2.8977629495859145</v>
      </c>
      <c r="AK289" s="91">
        <f>AF$35*$J$54</f>
        <v>1.4488814747929573</v>
      </c>
      <c r="AL289" s="110"/>
      <c r="AM289" s="110"/>
      <c r="AN289" s="91"/>
      <c r="AO289" s="91"/>
      <c r="AP289" s="91"/>
      <c r="AQ289" s="91"/>
      <c r="AR289" s="91"/>
      <c r="AS289" s="92"/>
    </row>
    <row r="290" spans="1:50" x14ac:dyDescent="0.8">
      <c r="A290" s="35" t="s">
        <v>310</v>
      </c>
      <c r="B290" s="40">
        <v>22</v>
      </c>
      <c r="C290" s="40"/>
      <c r="D290" s="40"/>
      <c r="E290" s="40"/>
      <c r="F290" s="40"/>
      <c r="G290" s="40"/>
      <c r="H290" s="40"/>
      <c r="I290" s="40"/>
      <c r="J290" s="40"/>
      <c r="K290" s="40"/>
      <c r="L290" s="90"/>
      <c r="M290" s="91"/>
      <c r="N290" s="91"/>
      <c r="O290" s="91"/>
      <c r="P290" s="91"/>
      <c r="Q290" s="91"/>
      <c r="R290" s="90"/>
      <c r="S290" s="91"/>
      <c r="T290" s="91"/>
      <c r="U290" s="91"/>
      <c r="V290" s="91"/>
      <c r="W290" s="91"/>
      <c r="X290" s="91"/>
      <c r="Y290" s="91"/>
      <c r="Z290" s="91"/>
      <c r="AA290" s="91"/>
      <c r="AB290" s="91"/>
      <c r="AC290" s="91"/>
      <c r="AD290" s="91"/>
      <c r="AE290" s="91"/>
      <c r="AF290" s="91"/>
      <c r="AG290" s="91">
        <f>AG$35*$E$54</f>
        <v>5.0311151502537541</v>
      </c>
      <c r="AH290" s="91">
        <f>AG$35*$F$54</f>
        <v>8.0497842404060069</v>
      </c>
      <c r="AI290" s="91">
        <f>AG$35*$G$54</f>
        <v>4.8298705442436036</v>
      </c>
      <c r="AJ290" s="91">
        <f>AG$35*$H$54</f>
        <v>2.8979223265461624</v>
      </c>
      <c r="AK290" s="91">
        <f>AG$35*$I$54</f>
        <v>2.8979223265461624</v>
      </c>
      <c r="AL290" s="91">
        <f>AG$35*$J$54</f>
        <v>1.4489611632730812</v>
      </c>
      <c r="AM290" s="110"/>
      <c r="AN290" s="110"/>
      <c r="AO290" s="91"/>
      <c r="AP290" s="91"/>
      <c r="AQ290" s="91"/>
      <c r="AR290" s="91"/>
      <c r="AS290" s="92"/>
    </row>
    <row r="291" spans="1:50" x14ac:dyDescent="0.8">
      <c r="A291" s="35" t="s">
        <v>310</v>
      </c>
      <c r="B291" s="40">
        <v>23</v>
      </c>
      <c r="C291" s="40"/>
      <c r="D291" s="40"/>
      <c r="E291" s="40"/>
      <c r="F291" s="40"/>
      <c r="G291" s="40"/>
      <c r="H291" s="40"/>
      <c r="I291" s="40"/>
      <c r="J291" s="40"/>
      <c r="K291" s="40"/>
      <c r="L291" s="90"/>
      <c r="M291" s="91"/>
      <c r="N291" s="91"/>
      <c r="O291" s="91"/>
      <c r="P291" s="91"/>
      <c r="Q291" s="91"/>
      <c r="R291" s="90"/>
      <c r="S291" s="91"/>
      <c r="T291" s="91"/>
      <c r="U291" s="91"/>
      <c r="V291" s="91"/>
      <c r="W291" s="91"/>
      <c r="X291" s="91"/>
      <c r="Y291" s="91"/>
      <c r="Z291" s="91"/>
      <c r="AA291" s="91"/>
      <c r="AB291" s="91"/>
      <c r="AC291" s="91"/>
      <c r="AD291" s="91"/>
      <c r="AE291" s="91"/>
      <c r="AF291" s="91"/>
      <c r="AG291" s="91"/>
      <c r="AH291" s="91">
        <f>AH$35*$E$54</f>
        <v>5.0313918616040612</v>
      </c>
      <c r="AI291" s="91">
        <f>AH$35*$F$54</f>
        <v>8.0502269785664975</v>
      </c>
      <c r="AJ291" s="91">
        <f>AH$35*$G$54</f>
        <v>4.8301361871398987</v>
      </c>
      <c r="AK291" s="91">
        <f>AH$35*$H$54</f>
        <v>2.8980817122839388</v>
      </c>
      <c r="AL291" s="91">
        <f>AH$35*$I$54</f>
        <v>2.8980817122839388</v>
      </c>
      <c r="AM291" s="91">
        <f>AH$35*$J$54</f>
        <v>1.4490408561419694</v>
      </c>
      <c r="AN291" s="110"/>
      <c r="AO291" s="110"/>
      <c r="AP291" s="91"/>
      <c r="AQ291" s="91"/>
      <c r="AR291" s="91"/>
      <c r="AS291" s="92"/>
    </row>
    <row r="292" spans="1:50" x14ac:dyDescent="0.8">
      <c r="A292" s="35" t="s">
        <v>310</v>
      </c>
      <c r="B292" s="40">
        <v>24</v>
      </c>
      <c r="C292" s="40"/>
      <c r="D292" s="40"/>
      <c r="E292" s="40"/>
      <c r="F292" s="40"/>
      <c r="G292" s="40"/>
      <c r="H292" s="40"/>
      <c r="I292" s="40"/>
      <c r="J292" s="40"/>
      <c r="K292" s="40"/>
      <c r="L292" s="90"/>
      <c r="M292" s="91"/>
      <c r="N292" s="91"/>
      <c r="O292" s="91"/>
      <c r="P292" s="91"/>
      <c r="Q292" s="91"/>
      <c r="R292" s="90"/>
      <c r="S292" s="91"/>
      <c r="T292" s="91"/>
      <c r="U292" s="91"/>
      <c r="V292" s="91"/>
      <c r="W292" s="91"/>
      <c r="X292" s="91"/>
      <c r="Y292" s="91"/>
      <c r="Z292" s="91"/>
      <c r="AA292" s="91"/>
      <c r="AB292" s="91"/>
      <c r="AC292" s="91"/>
      <c r="AD292" s="91"/>
      <c r="AE292" s="91"/>
      <c r="AF292" s="91"/>
      <c r="AG292" s="91"/>
      <c r="AH292" s="91"/>
      <c r="AI292" s="91">
        <f>AI$35*$E$54</f>
        <v>5.0316685881349263</v>
      </c>
      <c r="AJ292" s="91">
        <f>AI$35*$F$54</f>
        <v>8.0506697410158807</v>
      </c>
      <c r="AK292" s="91">
        <f>AI$35*$G$54</f>
        <v>4.8304018446095291</v>
      </c>
      <c r="AL292" s="91">
        <f>AI$35*$H$54</f>
        <v>2.8982411067657172</v>
      </c>
      <c r="AM292" s="91">
        <f>AI$35*$I$54</f>
        <v>2.8982411067657172</v>
      </c>
      <c r="AN292" s="91">
        <f>AI$35*$J$54</f>
        <v>1.4491205533828586</v>
      </c>
      <c r="AO292" s="110"/>
      <c r="AP292" s="110"/>
      <c r="AQ292" s="91"/>
      <c r="AR292" s="91"/>
      <c r="AS292" s="92"/>
    </row>
    <row r="293" spans="1:50" x14ac:dyDescent="0.8">
      <c r="A293" s="35" t="s">
        <v>310</v>
      </c>
      <c r="B293" s="40">
        <v>25</v>
      </c>
      <c r="C293" s="40"/>
      <c r="D293" s="40"/>
      <c r="E293" s="40"/>
      <c r="F293" s="40"/>
      <c r="G293" s="40"/>
      <c r="H293" s="40"/>
      <c r="I293" s="40"/>
      <c r="J293" s="40"/>
      <c r="K293" s="40"/>
      <c r="L293" s="90"/>
      <c r="M293" s="91"/>
      <c r="N293" s="91"/>
      <c r="O293" s="91"/>
      <c r="P293" s="91"/>
      <c r="Q293" s="91"/>
      <c r="R293" s="90"/>
      <c r="S293" s="91"/>
      <c r="T293" s="91"/>
      <c r="U293" s="91"/>
      <c r="V293" s="91"/>
      <c r="W293" s="91"/>
      <c r="X293" s="91"/>
      <c r="Y293" s="91"/>
      <c r="Z293" s="91"/>
      <c r="AA293" s="91"/>
      <c r="AB293" s="91"/>
      <c r="AC293" s="91"/>
      <c r="AD293" s="91"/>
      <c r="AE293" s="91"/>
      <c r="AF293" s="91"/>
      <c r="AG293" s="91"/>
      <c r="AH293" s="91"/>
      <c r="AI293" s="91"/>
      <c r="AJ293" s="91">
        <f>AJ$35*$E$54</f>
        <v>5.0319453299161978</v>
      </c>
      <c r="AK293" s="91">
        <f>AJ$35*$F$54</f>
        <v>8.0511125278659161</v>
      </c>
      <c r="AL293" s="91">
        <f>AJ$35*$G$54</f>
        <v>4.8306675167195499</v>
      </c>
      <c r="AM293" s="91">
        <f>AJ$35*$H$54</f>
        <v>2.8984005100317298</v>
      </c>
      <c r="AN293" s="91">
        <f>AJ$35*$I$54</f>
        <v>2.8984005100317298</v>
      </c>
      <c r="AO293" s="91">
        <f>AJ$35*$J$54</f>
        <v>1.4492002550158649</v>
      </c>
      <c r="AP293" s="110"/>
      <c r="AQ293" s="110"/>
      <c r="AR293" s="91"/>
      <c r="AS293" s="92"/>
    </row>
    <row r="294" spans="1:50" x14ac:dyDescent="0.8">
      <c r="A294" s="35" t="s">
        <v>310</v>
      </c>
      <c r="B294" s="40">
        <v>26</v>
      </c>
      <c r="C294" s="40"/>
      <c r="D294" s="40"/>
      <c r="E294" s="40"/>
      <c r="F294" s="40"/>
      <c r="G294" s="40"/>
      <c r="H294" s="40"/>
      <c r="I294" s="40"/>
      <c r="J294" s="40"/>
      <c r="K294" s="40"/>
      <c r="L294" s="90"/>
      <c r="M294" s="91"/>
      <c r="N294" s="91"/>
      <c r="O294" s="91"/>
      <c r="P294" s="91"/>
      <c r="Q294" s="91"/>
      <c r="R294" s="90"/>
      <c r="S294" s="91"/>
      <c r="T294" s="91"/>
      <c r="U294" s="91"/>
      <c r="V294" s="91"/>
      <c r="W294" s="91"/>
      <c r="X294" s="91"/>
      <c r="Y294" s="91"/>
      <c r="Z294" s="91"/>
      <c r="AA294" s="91"/>
      <c r="AB294" s="91"/>
      <c r="AC294" s="91"/>
      <c r="AD294" s="91"/>
      <c r="AE294" s="91"/>
      <c r="AF294" s="91"/>
      <c r="AG294" s="91"/>
      <c r="AH294" s="91"/>
      <c r="AI294" s="91"/>
      <c r="AJ294" s="91"/>
      <c r="AK294" s="91">
        <f>AK$35*$E$54</f>
        <v>5.0322220869129524</v>
      </c>
      <c r="AL294" s="91">
        <f>AK$35*$F$54</f>
        <v>8.0515553390607231</v>
      </c>
      <c r="AM294" s="91">
        <f>AK$35*$G$54</f>
        <v>4.8309332034364347</v>
      </c>
      <c r="AN294" s="91">
        <f>AK$35*$H$54</f>
        <v>2.8985599220618603</v>
      </c>
      <c r="AO294" s="91">
        <f>AK$35*$I$54</f>
        <v>2.8985599220618603</v>
      </c>
      <c r="AP294" s="91">
        <f>AK$35*$J$54</f>
        <v>1.4492799610309302</v>
      </c>
      <c r="AQ294" s="110"/>
      <c r="AR294" s="110"/>
      <c r="AS294" s="92"/>
    </row>
    <row r="295" spans="1:50" x14ac:dyDescent="0.8">
      <c r="A295" s="35" t="s">
        <v>310</v>
      </c>
      <c r="B295" s="40">
        <v>27</v>
      </c>
      <c r="C295" s="40"/>
      <c r="D295" s="40"/>
      <c r="E295" s="40"/>
      <c r="F295" s="40"/>
      <c r="G295" s="40"/>
      <c r="H295" s="40"/>
      <c r="I295" s="40"/>
      <c r="J295" s="40"/>
      <c r="K295" s="40"/>
      <c r="L295" s="90"/>
      <c r="M295" s="91"/>
      <c r="N295" s="91"/>
      <c r="O295" s="91"/>
      <c r="P295" s="91"/>
      <c r="Q295" s="91"/>
      <c r="R295" s="90"/>
      <c r="S295" s="91"/>
      <c r="T295" s="91"/>
      <c r="U295" s="91"/>
      <c r="V295" s="91"/>
      <c r="W295" s="91"/>
      <c r="X295" s="91"/>
      <c r="Y295" s="91"/>
      <c r="Z295" s="91"/>
      <c r="AA295" s="91"/>
      <c r="AB295" s="91"/>
      <c r="AC295" s="91"/>
      <c r="AD295" s="91"/>
      <c r="AE295" s="91"/>
      <c r="AF295" s="91"/>
      <c r="AG295" s="91"/>
      <c r="AH295" s="91"/>
      <c r="AI295" s="91"/>
      <c r="AJ295" s="91"/>
      <c r="AK295" s="91"/>
      <c r="AL295" s="91">
        <f>AL$35*$E$54</f>
        <v>5.03249885912519</v>
      </c>
      <c r="AM295" s="91">
        <f>AL$35*$F$54</f>
        <v>8.0519981746003033</v>
      </c>
      <c r="AN295" s="91">
        <f>AL$35*$G$54</f>
        <v>4.831198904760182</v>
      </c>
      <c r="AO295" s="91">
        <f>AL$35*$H$54</f>
        <v>2.8987193428561091</v>
      </c>
      <c r="AP295" s="91">
        <f>AL$35*$I$54</f>
        <v>2.8987193428561091</v>
      </c>
      <c r="AQ295" s="91">
        <f>AL$35*$J$54</f>
        <v>1.4493596714280546</v>
      </c>
      <c r="AR295" s="110"/>
      <c r="AS295" s="116"/>
    </row>
    <row r="296" spans="1:50" x14ac:dyDescent="0.8">
      <c r="A296" s="35" t="s">
        <v>310</v>
      </c>
      <c r="B296" s="40">
        <v>28</v>
      </c>
      <c r="C296" s="40"/>
      <c r="D296" s="40"/>
      <c r="E296" s="40"/>
      <c r="F296" s="40"/>
      <c r="G296" s="40"/>
      <c r="H296" s="40"/>
      <c r="I296" s="40"/>
      <c r="J296" s="40"/>
      <c r="K296" s="40"/>
      <c r="L296" s="90"/>
      <c r="M296" s="91"/>
      <c r="N296" s="91"/>
      <c r="O296" s="91"/>
      <c r="P296" s="91"/>
      <c r="Q296" s="91"/>
      <c r="R296" s="90"/>
      <c r="S296" s="91"/>
      <c r="T296" s="91"/>
      <c r="U296" s="91"/>
      <c r="V296" s="91"/>
      <c r="W296" s="91"/>
      <c r="X296" s="91"/>
      <c r="Y296" s="91"/>
      <c r="Z296" s="91"/>
      <c r="AA296" s="91"/>
      <c r="AB296" s="91"/>
      <c r="AC296" s="91"/>
      <c r="AD296" s="91"/>
      <c r="AE296" s="91"/>
      <c r="AF296" s="91"/>
      <c r="AG296" s="91"/>
      <c r="AH296" s="91"/>
      <c r="AI296" s="91"/>
      <c r="AJ296" s="91"/>
      <c r="AK296" s="91"/>
      <c r="AL296" s="91"/>
      <c r="AM296" s="91">
        <f>AM$35*$E$54</f>
        <v>5.0327756465645512</v>
      </c>
      <c r="AN296" s="91">
        <f>AM$35*$F$54</f>
        <v>8.052441034503282</v>
      </c>
      <c r="AO296" s="91">
        <f>AM$35*$G$54</f>
        <v>4.8314646207019685</v>
      </c>
      <c r="AP296" s="91">
        <f>AM$35*$H$54</f>
        <v>2.8988787724211811</v>
      </c>
      <c r="AQ296" s="91">
        <f>AM$35*$I$54</f>
        <v>2.8988787724211811</v>
      </c>
      <c r="AR296" s="91">
        <f>AM$35*$J$54</f>
        <v>1.4494393862105905</v>
      </c>
      <c r="AS296" s="116"/>
    </row>
    <row r="297" spans="1:50" x14ac:dyDescent="0.8">
      <c r="A297" s="35" t="s">
        <v>310</v>
      </c>
      <c r="B297" s="40">
        <v>29</v>
      </c>
      <c r="C297" s="40"/>
      <c r="D297" s="40"/>
      <c r="E297" s="40"/>
      <c r="F297" s="40"/>
      <c r="G297" s="40"/>
      <c r="H297" s="40"/>
      <c r="I297" s="40"/>
      <c r="J297" s="40"/>
      <c r="K297" s="40"/>
      <c r="L297" s="90"/>
      <c r="M297" s="91"/>
      <c r="N297" s="91"/>
      <c r="O297" s="91"/>
      <c r="P297" s="91"/>
      <c r="Q297" s="91"/>
      <c r="R297" s="90"/>
      <c r="S297" s="91"/>
      <c r="T297" s="91"/>
      <c r="U297" s="91"/>
      <c r="V297" s="91"/>
      <c r="W297" s="91"/>
      <c r="X297" s="91"/>
      <c r="Y297" s="91"/>
      <c r="Z297" s="91"/>
      <c r="AA297" s="91"/>
      <c r="AB297" s="91"/>
      <c r="AC297" s="91"/>
      <c r="AD297" s="91"/>
      <c r="AE297" s="91"/>
      <c r="AF297" s="91"/>
      <c r="AG297" s="91"/>
      <c r="AH297" s="91"/>
      <c r="AI297" s="91"/>
      <c r="AJ297" s="91"/>
      <c r="AK297" s="91"/>
      <c r="AL297" s="91"/>
      <c r="AM297" s="91"/>
      <c r="AN297" s="91">
        <f>AN$35*$E$54</f>
        <v>5.033052449231036</v>
      </c>
      <c r="AO297" s="91">
        <f>AN$35*$F$54</f>
        <v>8.0528839187696573</v>
      </c>
      <c r="AP297" s="91">
        <f>AN$35*$G$54</f>
        <v>4.8317303512617951</v>
      </c>
      <c r="AQ297" s="91">
        <f>AN$35*$H$54</f>
        <v>2.8990382107570767</v>
      </c>
      <c r="AR297" s="91">
        <f>AN$35*$I$54</f>
        <v>2.8990382107570767</v>
      </c>
      <c r="AS297" s="92">
        <f>AN$35*$J$54</f>
        <v>1.4495191053785383</v>
      </c>
      <c r="AT297" s="124"/>
      <c r="AU297" s="115"/>
      <c r="AV297" s="115"/>
      <c r="AW297" s="115"/>
      <c r="AX297" s="115"/>
    </row>
    <row r="298" spans="1:50" x14ac:dyDescent="0.8">
      <c r="A298" s="35" t="s">
        <v>310</v>
      </c>
      <c r="B298" s="40">
        <v>30</v>
      </c>
      <c r="C298" s="40"/>
      <c r="D298" s="40"/>
      <c r="E298" s="40"/>
      <c r="F298" s="40"/>
      <c r="G298" s="40"/>
      <c r="H298" s="40"/>
      <c r="I298" s="40"/>
      <c r="J298" s="40"/>
      <c r="K298" s="40"/>
      <c r="L298" s="90"/>
      <c r="M298" s="91"/>
      <c r="N298" s="91"/>
      <c r="O298" s="91"/>
      <c r="P298" s="91"/>
      <c r="Q298" s="91"/>
      <c r="R298" s="90"/>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f>AO$35*$E$54</f>
        <v>5.0333292671013625</v>
      </c>
      <c r="AP298" s="91">
        <f>AO$35*$F$54</f>
        <v>8.0533268273621808</v>
      </c>
      <c r="AQ298" s="91">
        <f>AO$35*$G$54</f>
        <v>4.8319960964173081</v>
      </c>
      <c r="AR298" s="91">
        <f>AO$35*$H$54</f>
        <v>2.8991976578503844</v>
      </c>
      <c r="AS298" s="92">
        <f>AO$35*$I$54</f>
        <v>2.8991976578503844</v>
      </c>
      <c r="AT298" s="124">
        <f>AO$35*$J$54</f>
        <v>1.4495988289251922</v>
      </c>
      <c r="AU298" s="107"/>
      <c r="AV298" s="107"/>
      <c r="AW298" s="107"/>
      <c r="AX298" s="107"/>
    </row>
    <row r="299" spans="1:50" x14ac:dyDescent="0.8">
      <c r="A299" s="35" t="s">
        <v>310</v>
      </c>
      <c r="B299" s="40">
        <v>31</v>
      </c>
      <c r="C299" s="40"/>
      <c r="D299" s="40"/>
      <c r="E299" s="40"/>
      <c r="F299" s="40"/>
      <c r="G299" s="40"/>
      <c r="H299" s="40"/>
      <c r="I299" s="40"/>
      <c r="J299" s="40"/>
      <c r="K299" s="40"/>
      <c r="L299" s="90"/>
      <c r="M299" s="91"/>
      <c r="N299" s="91"/>
      <c r="O299" s="91"/>
      <c r="P299" s="91"/>
      <c r="Q299" s="91"/>
      <c r="R299" s="90"/>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f>AP$35*$E$54</f>
        <v>5.0336061002220962</v>
      </c>
      <c r="AQ299" s="91">
        <f>AP$35*$F$54</f>
        <v>8.0537697603553529</v>
      </c>
      <c r="AR299" s="91">
        <f>AP$35*$G$54</f>
        <v>4.8322618562132122</v>
      </c>
      <c r="AS299" s="92">
        <f>AP$35*$H$54</f>
        <v>2.8993571137279273</v>
      </c>
      <c r="AT299" s="124">
        <f>AP$35*$I$54</f>
        <v>2.8993571137279273</v>
      </c>
      <c r="AU299" s="107">
        <f>AP$35*$J$54</f>
        <v>1.4496785568639636</v>
      </c>
      <c r="AV299" s="107"/>
      <c r="AW299" s="107"/>
      <c r="AX299" s="107"/>
    </row>
    <row r="300" spans="1:50" x14ac:dyDescent="0.8">
      <c r="A300" s="35" t="s">
        <v>310</v>
      </c>
      <c r="B300" s="40">
        <v>32</v>
      </c>
      <c r="C300" s="40"/>
      <c r="D300" s="40"/>
      <c r="E300" s="40"/>
      <c r="F300" s="40"/>
      <c r="G300" s="40"/>
      <c r="H300" s="40"/>
      <c r="I300" s="40"/>
      <c r="J300" s="40"/>
      <c r="K300" s="40"/>
      <c r="L300" s="90"/>
      <c r="M300" s="91"/>
      <c r="N300" s="91"/>
      <c r="O300" s="91"/>
      <c r="P300" s="91"/>
      <c r="Q300" s="91"/>
      <c r="R300" s="90"/>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f>AQ$35*$E$54</f>
        <v>5.0338829485583121</v>
      </c>
      <c r="AR300" s="91">
        <f>AQ$35*$F$54</f>
        <v>8.0542127176933</v>
      </c>
      <c r="AS300" s="92">
        <f>AQ$35*$G$54</f>
        <v>4.8325276306159797</v>
      </c>
      <c r="AT300" s="124">
        <f>AQ$35*$H$54</f>
        <v>2.8995165783695875</v>
      </c>
      <c r="AU300" s="107">
        <f>AQ$35*$I$54</f>
        <v>2.8995165783695875</v>
      </c>
      <c r="AV300" s="107">
        <f>AQ$35*$J$54</f>
        <v>1.4497582891847938</v>
      </c>
      <c r="AW300" s="107"/>
      <c r="AX300" s="107"/>
    </row>
    <row r="301" spans="1:50" x14ac:dyDescent="0.8">
      <c r="A301" s="35" t="s">
        <v>310</v>
      </c>
      <c r="B301" s="40">
        <v>33</v>
      </c>
      <c r="C301" s="40"/>
      <c r="D301" s="40"/>
      <c r="E301" s="40"/>
      <c r="F301" s="40"/>
      <c r="G301" s="40"/>
      <c r="H301" s="40"/>
      <c r="I301" s="40"/>
      <c r="J301" s="40"/>
      <c r="K301" s="40"/>
      <c r="L301" s="90"/>
      <c r="M301" s="91"/>
      <c r="N301" s="91"/>
      <c r="O301" s="91"/>
      <c r="P301" s="91"/>
      <c r="Q301" s="91"/>
      <c r="R301" s="90"/>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f>AR$35*$E$54</f>
        <v>5.0341598121100111</v>
      </c>
      <c r="AS301" s="92">
        <f>AR$35*$F$54</f>
        <v>8.054655699376017</v>
      </c>
      <c r="AT301" s="124">
        <f>AR$35*$G$54</f>
        <v>4.8327934196256104</v>
      </c>
      <c r="AU301" s="107">
        <f>AR$35*$H$54</f>
        <v>2.8996760517753661</v>
      </c>
      <c r="AV301" s="107">
        <f>AR$35*$I$54</f>
        <v>2.8996760517753661</v>
      </c>
      <c r="AW301" s="107">
        <f>AR$35*$J$54</f>
        <v>1.4498380258876831</v>
      </c>
      <c r="AX301" s="107"/>
    </row>
    <row r="302" spans="1:50" x14ac:dyDescent="0.8">
      <c r="A302" s="101" t="s">
        <v>310</v>
      </c>
      <c r="B302" s="80">
        <v>34</v>
      </c>
      <c r="C302" s="80"/>
      <c r="D302" s="80"/>
      <c r="E302" s="80"/>
      <c r="F302" s="80"/>
      <c r="G302" s="80"/>
      <c r="H302" s="80"/>
      <c r="I302" s="80"/>
      <c r="J302" s="80"/>
      <c r="K302" s="80"/>
      <c r="L302" s="117"/>
      <c r="M302" s="118"/>
      <c r="N302" s="118"/>
      <c r="O302" s="118"/>
      <c r="P302" s="118"/>
      <c r="Q302" s="118"/>
      <c r="R302" s="117"/>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92">
        <f>AS$35*$E$54</f>
        <v>5.034436690900475</v>
      </c>
      <c r="AT302" s="124">
        <f>AS$35*$F$54</f>
        <v>8.0550987054407592</v>
      </c>
      <c r="AU302" s="107">
        <f>AS$35*$G$54</f>
        <v>4.8330592232644563</v>
      </c>
      <c r="AV302" s="107">
        <f>AS$35*$H$54</f>
        <v>2.8998355339586732</v>
      </c>
      <c r="AW302" s="107">
        <f>AS$35*$I$54</f>
        <v>2.8998355339586732</v>
      </c>
      <c r="AX302" s="107">
        <f>AS$35*$J$54</f>
        <v>1.4499177669793366</v>
      </c>
    </row>
    <row r="303" spans="1:50" x14ac:dyDescent="0.8">
      <c r="A303" s="119" t="s">
        <v>311</v>
      </c>
      <c r="B303" s="80"/>
      <c r="C303" s="80"/>
      <c r="D303" s="80"/>
      <c r="E303" s="80"/>
      <c r="F303" s="80"/>
      <c r="G303" s="80"/>
      <c r="H303" s="80"/>
      <c r="I303" s="80"/>
      <c r="J303" s="80"/>
      <c r="K303" s="80"/>
      <c r="L303" s="120">
        <f t="shared" ref="L303:AS303" si="136">SUM(L269:L302)</f>
        <v>4811.3167999999978</v>
      </c>
      <c r="M303" s="121">
        <f t="shared" si="136"/>
        <v>10049.698495999995</v>
      </c>
      <c r="N303" s="121">
        <f t="shared" si="136"/>
        <v>14321.607129599994</v>
      </c>
      <c r="O303" s="121">
        <f t="shared" si="136"/>
        <v>15894.972887039998</v>
      </c>
      <c r="P303" s="121">
        <f t="shared" si="136"/>
        <v>19984.989370982403</v>
      </c>
      <c r="Q303" s="121">
        <f t="shared" si="136"/>
        <v>25549.049275895813</v>
      </c>
      <c r="R303" s="120">
        <f t="shared" si="136"/>
        <v>30232.715058231472</v>
      </c>
      <c r="S303" s="121">
        <f t="shared" si="136"/>
        <v>31110.587811996287</v>
      </c>
      <c r="T303" s="121">
        <f t="shared" si="136"/>
        <v>27694.199632041946</v>
      </c>
      <c r="U303" s="121">
        <f t="shared" si="136"/>
        <v>25129.135368049436</v>
      </c>
      <c r="V303" s="121">
        <f t="shared" si="136"/>
        <v>23141.896719624387</v>
      </c>
      <c r="W303" s="121">
        <f t="shared" si="136"/>
        <v>20665.048105021611</v>
      </c>
      <c r="X303" s="121">
        <f t="shared" si="136"/>
        <v>18367.390052738036</v>
      </c>
      <c r="Y303" s="121">
        <f t="shared" si="136"/>
        <v>17064.513783245948</v>
      </c>
      <c r="Z303" s="121">
        <f t="shared" si="136"/>
        <v>15244.96291157602</v>
      </c>
      <c r="AA303" s="121">
        <f t="shared" si="136"/>
        <v>13259.596691839921</v>
      </c>
      <c r="AB303" s="121">
        <f t="shared" si="136"/>
        <v>11311.072726818584</v>
      </c>
      <c r="AC303" s="121">
        <f t="shared" si="136"/>
        <v>9428.1929323939985</v>
      </c>
      <c r="AD303" s="121">
        <f t="shared" si="136"/>
        <v>7729.9103068068271</v>
      </c>
      <c r="AE303" s="121">
        <f t="shared" si="136"/>
        <v>5486.5327292853599</v>
      </c>
      <c r="AF303" s="121">
        <f t="shared" si="136"/>
        <v>3151.8697052130246</v>
      </c>
      <c r="AG303" s="121">
        <f t="shared" si="136"/>
        <v>1775.4412346018319</v>
      </c>
      <c r="AH303" s="121">
        <f t="shared" si="136"/>
        <v>970.99019898726908</v>
      </c>
      <c r="AI303" s="121">
        <f t="shared" si="136"/>
        <v>317.64325265328318</v>
      </c>
      <c r="AJ303" s="121">
        <f t="shared" si="136"/>
        <v>25.157238324898948</v>
      </c>
      <c r="AK303" s="121">
        <f t="shared" si="136"/>
        <v>25.158621973011456</v>
      </c>
      <c r="AL303" s="121">
        <f t="shared" si="136"/>
        <v>25.1600056972282</v>
      </c>
      <c r="AM303" s="121">
        <f t="shared" si="136"/>
        <v>25.161389497540707</v>
      </c>
      <c r="AN303" s="121">
        <f t="shared" si="136"/>
        <v>25.16277337397095</v>
      </c>
      <c r="AO303" s="121">
        <f t="shared" si="136"/>
        <v>25.164157326506821</v>
      </c>
      <c r="AP303" s="121">
        <f t="shared" si="136"/>
        <v>25.165541355154289</v>
      </c>
      <c r="AQ303" s="121">
        <f t="shared" si="136"/>
        <v>25.166925459937286</v>
      </c>
      <c r="AR303" s="121">
        <f t="shared" si="136"/>
        <v>25.168309640834575</v>
      </c>
      <c r="AS303" s="114">
        <f t="shared" si="136"/>
        <v>25.169693897849321</v>
      </c>
    </row>
    <row r="306" spans="1:45" x14ac:dyDescent="0.8">
      <c r="A306" s="89" t="s">
        <v>312</v>
      </c>
    </row>
    <row r="307" spans="1:45" x14ac:dyDescent="0.8">
      <c r="A307" s="66" t="s">
        <v>313</v>
      </c>
      <c r="B307" s="65">
        <v>1</v>
      </c>
      <c r="C307" s="65"/>
      <c r="D307" s="65"/>
      <c r="E307" s="65"/>
      <c r="F307" s="65"/>
      <c r="G307" s="65"/>
      <c r="H307" s="65"/>
      <c r="I307" s="65"/>
      <c r="J307" s="65"/>
      <c r="K307" s="65"/>
      <c r="L307" s="104">
        <f>L$37*$E$55</f>
        <v>1437.9382400000004</v>
      </c>
      <c r="M307" s="105">
        <f>L$37*$F$55</f>
        <v>2300.7011840000005</v>
      </c>
      <c r="N307" s="105">
        <f>L$37*$G$55</f>
        <v>1380.4207104000002</v>
      </c>
      <c r="O307" s="105">
        <f>L$37*$H$55</f>
        <v>828.25242624000009</v>
      </c>
      <c r="P307" s="105">
        <f>L$37*$I$55</f>
        <v>828.25242624000009</v>
      </c>
      <c r="Q307" s="105">
        <f>L$37*$J$55</f>
        <v>414.12621312000005</v>
      </c>
      <c r="R307" s="104"/>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6"/>
    </row>
    <row r="308" spans="1:45" x14ac:dyDescent="0.8">
      <c r="A308" s="35" t="s">
        <v>313</v>
      </c>
      <c r="B308" s="40">
        <v>2</v>
      </c>
      <c r="C308" s="40"/>
      <c r="D308" s="40"/>
      <c r="E308" s="40"/>
      <c r="F308" s="40"/>
      <c r="G308" s="40"/>
      <c r="H308" s="40"/>
      <c r="I308" s="40"/>
      <c r="J308" s="40"/>
      <c r="K308" s="40"/>
      <c r="L308" s="90"/>
      <c r="M308" s="91">
        <f>M$37*$E$55</f>
        <v>-743.4744768000005</v>
      </c>
      <c r="N308" s="91">
        <f>M$37*$F$55</f>
        <v>-1189.5591628800007</v>
      </c>
      <c r="O308" s="91">
        <f>M$37*$G$55</f>
        <v>-713.73549772800038</v>
      </c>
      <c r="P308" s="91">
        <f>M$37*$H$55</f>
        <v>-428.24129863680025</v>
      </c>
      <c r="Q308" s="91">
        <f>M$37*$I$55</f>
        <v>-428.24129863680025</v>
      </c>
      <c r="R308" s="90">
        <f>M$37*$J$55</f>
        <v>-214.12064931840013</v>
      </c>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2"/>
    </row>
    <row r="309" spans="1:45" x14ac:dyDescent="0.8">
      <c r="A309" s="35" t="s">
        <v>313</v>
      </c>
      <c r="B309" s="40">
        <v>3</v>
      </c>
      <c r="C309" s="40"/>
      <c r="D309" s="40"/>
      <c r="E309" s="40"/>
      <c r="F309" s="40"/>
      <c r="G309" s="40"/>
      <c r="H309" s="40"/>
      <c r="I309" s="40"/>
      <c r="J309" s="40"/>
      <c r="K309" s="40"/>
      <c r="L309" s="90"/>
      <c r="M309" s="91"/>
      <c r="N309" s="91">
        <f>N$37*$E$55</f>
        <v>2576.4493708799987</v>
      </c>
      <c r="O309" s="91">
        <f>N$37*$F$55</f>
        <v>4122.3189934079983</v>
      </c>
      <c r="P309" s="91">
        <f>N$37*$G$55</f>
        <v>2473.3913960447985</v>
      </c>
      <c r="Q309" s="91">
        <f>N$37*$H$55</f>
        <v>1484.0348376268792</v>
      </c>
      <c r="R309" s="90">
        <f>N$37*$I$55</f>
        <v>1484.0348376268792</v>
      </c>
      <c r="S309" s="91">
        <f>N$37*$J$55</f>
        <v>742.01741881343958</v>
      </c>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2"/>
    </row>
    <row r="310" spans="1:45" x14ac:dyDescent="0.8">
      <c r="A310" s="35" t="s">
        <v>313</v>
      </c>
      <c r="B310" s="40">
        <v>4</v>
      </c>
      <c r="C310" s="40"/>
      <c r="D310" s="40"/>
      <c r="E310" s="40"/>
      <c r="F310" s="40"/>
      <c r="G310" s="40"/>
      <c r="H310" s="40"/>
      <c r="I310" s="40"/>
      <c r="J310" s="40"/>
      <c r="K310" s="40"/>
      <c r="L310" s="90"/>
      <c r="M310" s="91"/>
      <c r="N310" s="91"/>
      <c r="O310" s="91">
        <f>O$37*$E$55</f>
        <v>402.16016332800211</v>
      </c>
      <c r="P310" s="91">
        <f>O$37*$F$55</f>
        <v>643.45626132480334</v>
      </c>
      <c r="Q310" s="91">
        <f>O$37*$G$55</f>
        <v>386.073756794882</v>
      </c>
      <c r="R310" s="90">
        <f>O$37*$H$55</f>
        <v>231.6442540769292</v>
      </c>
      <c r="S310" s="91">
        <f>O$37*$I$55</f>
        <v>231.6442540769292</v>
      </c>
      <c r="T310" s="91">
        <f>O$37*$J$55</f>
        <v>115.8221270384646</v>
      </c>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2"/>
    </row>
    <row r="311" spans="1:45" x14ac:dyDescent="0.8">
      <c r="A311" s="35" t="s">
        <v>313</v>
      </c>
      <c r="B311" s="40">
        <v>5</v>
      </c>
      <c r="C311" s="40"/>
      <c r="D311" s="40"/>
      <c r="E311" s="40"/>
      <c r="F311" s="40"/>
      <c r="G311" s="40"/>
      <c r="H311" s="40"/>
      <c r="I311" s="40"/>
      <c r="J311" s="40"/>
      <c r="K311" s="40"/>
      <c r="L311" s="90"/>
      <c r="M311" s="91"/>
      <c r="N311" s="91"/>
      <c r="O311" s="91"/>
      <c r="P311" s="91">
        <f>P$37*$E$55</f>
        <v>1886.5354540031985</v>
      </c>
      <c r="Q311" s="91">
        <f>P$37*$F$55</f>
        <v>3018.4567264051179</v>
      </c>
      <c r="R311" s="90">
        <f>P$37*$G$55</f>
        <v>1811.0740358430705</v>
      </c>
      <c r="S311" s="91">
        <f>P$37*$H$55</f>
        <v>1086.6444215058423</v>
      </c>
      <c r="T311" s="91">
        <f>P$37*$I$55</f>
        <v>1086.6444215058423</v>
      </c>
      <c r="U311" s="91">
        <f>P$37*$J$55</f>
        <v>543.32221075292114</v>
      </c>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2"/>
    </row>
    <row r="312" spans="1:45" x14ac:dyDescent="0.8">
      <c r="A312" s="35" t="s">
        <v>313</v>
      </c>
      <c r="B312" s="40">
        <v>6</v>
      </c>
      <c r="C312" s="40"/>
      <c r="D312" s="40"/>
      <c r="E312" s="40"/>
      <c r="F312" s="40"/>
      <c r="G312" s="40"/>
      <c r="H312" s="40"/>
      <c r="I312" s="40"/>
      <c r="J312" s="40"/>
      <c r="K312" s="40"/>
      <c r="L312" s="90"/>
      <c r="M312" s="91"/>
      <c r="N312" s="91"/>
      <c r="O312" s="91"/>
      <c r="P312" s="91"/>
      <c r="Q312" s="91">
        <f>Q$37*$E$55</f>
        <v>363.4761857126403</v>
      </c>
      <c r="R312" s="90">
        <f>Q$37*$F$55</f>
        <v>581.56189714022446</v>
      </c>
      <c r="S312" s="91">
        <f>Q$37*$G$55</f>
        <v>348.93713828413468</v>
      </c>
      <c r="T312" s="91">
        <f>Q$37*$H$55</f>
        <v>209.36228297048081</v>
      </c>
      <c r="U312" s="91">
        <f>Q$37*$I$55</f>
        <v>209.36228297048081</v>
      </c>
      <c r="V312" s="91">
        <f>Q$37*$J$55</f>
        <v>104.6811414852404</v>
      </c>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2"/>
    </row>
    <row r="313" spans="1:45" x14ac:dyDescent="0.8">
      <c r="A313" s="35" t="s">
        <v>313</v>
      </c>
      <c r="B313" s="40">
        <v>7</v>
      </c>
      <c r="C313" s="40"/>
      <c r="D313" s="40"/>
      <c r="E313" s="40"/>
      <c r="F313" s="40"/>
      <c r="G313" s="40"/>
      <c r="H313" s="40"/>
      <c r="I313" s="40"/>
      <c r="J313" s="40"/>
      <c r="K313" s="40"/>
      <c r="L313" s="90"/>
      <c r="M313" s="91"/>
      <c r="N313" s="91"/>
      <c r="O313" s="91"/>
      <c r="P313" s="91"/>
      <c r="Q313" s="91"/>
      <c r="R313" s="90">
        <f>R$37*$E$55</f>
        <v>-3457.518255187475</v>
      </c>
      <c r="S313" s="91">
        <f>R$37*$F$55</f>
        <v>-5532.0292082999604</v>
      </c>
      <c r="T313" s="91">
        <f>R$37*$G$55</f>
        <v>-3319.2175249799761</v>
      </c>
      <c r="U313" s="91">
        <f>R$37*$H$55</f>
        <v>-1991.5305149879855</v>
      </c>
      <c r="V313" s="91">
        <f>R$37*$I$55</f>
        <v>-1991.5305149879855</v>
      </c>
      <c r="W313" s="91">
        <f>R$37*$J$55</f>
        <v>-995.76525749399275</v>
      </c>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2"/>
    </row>
    <row r="314" spans="1:45" x14ac:dyDescent="0.8">
      <c r="A314" s="35" t="s">
        <v>313</v>
      </c>
      <c r="B314" s="40">
        <v>8</v>
      </c>
      <c r="C314" s="40"/>
      <c r="D314" s="40"/>
      <c r="E314" s="40"/>
      <c r="F314" s="40"/>
      <c r="G314" s="40"/>
      <c r="H314" s="40"/>
      <c r="I314" s="40"/>
      <c r="J314" s="40"/>
      <c r="K314" s="40"/>
      <c r="L314" s="90"/>
      <c r="M314" s="91"/>
      <c r="N314" s="91"/>
      <c r="O314" s="91"/>
      <c r="P314" s="91"/>
      <c r="Q314" s="91"/>
      <c r="R314" s="90"/>
      <c r="S314" s="91">
        <f>S$37*$E$55</f>
        <v>684.30987111315926</v>
      </c>
      <c r="T314" s="91">
        <f>S$37*$F$55</f>
        <v>1094.8957937810546</v>
      </c>
      <c r="U314" s="91">
        <f>S$37*$G$55</f>
        <v>656.93747626863285</v>
      </c>
      <c r="V314" s="91">
        <f>S$37*$H$55</f>
        <v>394.16248576117965</v>
      </c>
      <c r="W314" s="91">
        <f>S$37*$I$55</f>
        <v>394.16248576117965</v>
      </c>
      <c r="X314" s="91">
        <f>S$37*$J$55</f>
        <v>197.08124288058983</v>
      </c>
      <c r="Y314" s="91"/>
      <c r="Z314" s="91"/>
      <c r="AA314" s="91"/>
      <c r="AB314" s="91"/>
      <c r="AC314" s="91"/>
      <c r="AD314" s="91"/>
      <c r="AE314" s="91"/>
      <c r="AF314" s="91"/>
      <c r="AG314" s="91"/>
      <c r="AH314" s="91"/>
      <c r="AI314" s="91"/>
      <c r="AJ314" s="91"/>
      <c r="AK314" s="91"/>
      <c r="AL314" s="91"/>
      <c r="AM314" s="91"/>
      <c r="AN314" s="91"/>
      <c r="AO314" s="91"/>
      <c r="AP314" s="91"/>
      <c r="AQ314" s="91"/>
      <c r="AR314" s="91"/>
      <c r="AS314" s="92"/>
    </row>
    <row r="315" spans="1:45" x14ac:dyDescent="0.8">
      <c r="A315" s="35" t="s">
        <v>313</v>
      </c>
      <c r="B315" s="40">
        <v>9</v>
      </c>
      <c r="C315" s="40"/>
      <c r="D315" s="40"/>
      <c r="E315" s="40"/>
      <c r="F315" s="40"/>
      <c r="G315" s="40"/>
      <c r="H315" s="40"/>
      <c r="I315" s="40"/>
      <c r="J315" s="40"/>
      <c r="K315" s="40"/>
      <c r="L315" s="90"/>
      <c r="M315" s="91"/>
      <c r="N315" s="91"/>
      <c r="O315" s="91"/>
      <c r="P315" s="91"/>
      <c r="Q315" s="91"/>
      <c r="R315" s="90"/>
      <c r="S315" s="91"/>
      <c r="T315" s="91">
        <f>T$37*$E$55</f>
        <v>660.77645464557872</v>
      </c>
      <c r="U315" s="91">
        <f>T$37*$F$55</f>
        <v>1057.2423274329258</v>
      </c>
      <c r="V315" s="91">
        <f>T$37*$G$55</f>
        <v>634.34539645975553</v>
      </c>
      <c r="W315" s="91">
        <f>T$37*$H$55</f>
        <v>380.60723787585329</v>
      </c>
      <c r="X315" s="91">
        <f>T$37*$I$55</f>
        <v>380.60723787585329</v>
      </c>
      <c r="Y315" s="91">
        <f>T$37*$J$55</f>
        <v>190.30361893792664</v>
      </c>
      <c r="Z315" s="91"/>
      <c r="AA315" s="91"/>
      <c r="AB315" s="91"/>
      <c r="AC315" s="91"/>
      <c r="AD315" s="91"/>
      <c r="AE315" s="91"/>
      <c r="AF315" s="91"/>
      <c r="AG315" s="91"/>
      <c r="AH315" s="91"/>
      <c r="AI315" s="91"/>
      <c r="AJ315" s="91"/>
      <c r="AK315" s="91"/>
      <c r="AL315" s="91"/>
      <c r="AM315" s="91"/>
      <c r="AN315" s="91"/>
      <c r="AO315" s="91"/>
      <c r="AP315" s="91"/>
      <c r="AQ315" s="91"/>
      <c r="AR315" s="91"/>
      <c r="AS315" s="92"/>
    </row>
    <row r="316" spans="1:45" x14ac:dyDescent="0.8">
      <c r="A316" s="35" t="s">
        <v>313</v>
      </c>
      <c r="B316" s="40">
        <v>10</v>
      </c>
      <c r="C316" s="40"/>
      <c r="D316" s="40"/>
      <c r="E316" s="40"/>
      <c r="F316" s="40"/>
      <c r="G316" s="40"/>
      <c r="H316" s="40"/>
      <c r="I316" s="40"/>
      <c r="J316" s="40"/>
      <c r="K316" s="40"/>
      <c r="L316" s="90"/>
      <c r="M316" s="91"/>
      <c r="N316" s="91"/>
      <c r="O316" s="91"/>
      <c r="P316" s="91"/>
      <c r="Q316" s="91"/>
      <c r="R316" s="90"/>
      <c r="S316" s="91"/>
      <c r="T316" s="91"/>
      <c r="U316" s="91">
        <f>U$37*$E$55</f>
        <v>633.7169980513878</v>
      </c>
      <c r="V316" s="91">
        <f>U$37*$F$55</f>
        <v>1013.9471968822205</v>
      </c>
      <c r="W316" s="91">
        <f>U$37*$G$55</f>
        <v>608.36831812933224</v>
      </c>
      <c r="X316" s="91">
        <f>U$37*$H$55</f>
        <v>365.02099087759933</v>
      </c>
      <c r="Y316" s="91">
        <f>U$37*$I$55</f>
        <v>365.02099087759933</v>
      </c>
      <c r="Z316" s="91">
        <f>U$37*$J$55</f>
        <v>182.51049543879967</v>
      </c>
      <c r="AA316" s="91"/>
      <c r="AB316" s="91"/>
      <c r="AC316" s="91"/>
      <c r="AD316" s="91"/>
      <c r="AE316" s="91"/>
      <c r="AF316" s="91"/>
      <c r="AG316" s="91"/>
      <c r="AH316" s="91"/>
      <c r="AI316" s="91"/>
      <c r="AJ316" s="91"/>
      <c r="AK316" s="91"/>
      <c r="AL316" s="91"/>
      <c r="AM316" s="91"/>
      <c r="AN316" s="91"/>
      <c r="AO316" s="91"/>
      <c r="AP316" s="91"/>
      <c r="AQ316" s="91"/>
      <c r="AR316" s="91"/>
      <c r="AS316" s="92"/>
    </row>
    <row r="317" spans="1:45" x14ac:dyDescent="0.8">
      <c r="A317" s="35" t="s">
        <v>313</v>
      </c>
      <c r="B317" s="40">
        <v>11</v>
      </c>
      <c r="C317" s="40"/>
      <c r="D317" s="40"/>
      <c r="E317" s="40"/>
      <c r="F317" s="40"/>
      <c r="G317" s="40"/>
      <c r="H317" s="40"/>
      <c r="I317" s="40"/>
      <c r="J317" s="40"/>
      <c r="K317" s="40"/>
      <c r="L317" s="90"/>
      <c r="M317" s="91"/>
      <c r="N317" s="91"/>
      <c r="O317" s="91"/>
      <c r="P317" s="91"/>
      <c r="Q317" s="91"/>
      <c r="R317" s="90"/>
      <c r="S317" s="91"/>
      <c r="T317" s="91"/>
      <c r="U317" s="91"/>
      <c r="V317" s="91">
        <f>V$37*$E$55</f>
        <v>604.02361776238979</v>
      </c>
      <c r="W317" s="91">
        <f>V$37*$F$55</f>
        <v>966.43778841982362</v>
      </c>
      <c r="X317" s="91">
        <f>V$37*$G$55</f>
        <v>579.86267305189415</v>
      </c>
      <c r="Y317" s="91">
        <f>V$37*$H$55</f>
        <v>347.91760383113649</v>
      </c>
      <c r="Z317" s="91">
        <f>V$37*$I$55</f>
        <v>347.91760383113649</v>
      </c>
      <c r="AA317" s="91">
        <f>V$37*$J$55</f>
        <v>173.95880191556824</v>
      </c>
      <c r="AB317" s="91"/>
      <c r="AC317" s="91"/>
      <c r="AD317" s="91"/>
      <c r="AE317" s="91"/>
      <c r="AF317" s="91"/>
      <c r="AG317" s="91"/>
      <c r="AH317" s="91"/>
      <c r="AI317" s="91"/>
      <c r="AJ317" s="91"/>
      <c r="AK317" s="91"/>
      <c r="AL317" s="91"/>
      <c r="AM317" s="91"/>
      <c r="AN317" s="91"/>
      <c r="AO317" s="91"/>
      <c r="AP317" s="91"/>
      <c r="AQ317" s="91"/>
      <c r="AR317" s="91"/>
      <c r="AS317" s="92"/>
    </row>
    <row r="318" spans="1:45" x14ac:dyDescent="0.8">
      <c r="A318" s="35" t="s">
        <v>313</v>
      </c>
      <c r="B318" s="40">
        <v>12</v>
      </c>
      <c r="C318" s="40"/>
      <c r="D318" s="40"/>
      <c r="E318" s="40"/>
      <c r="F318" s="40"/>
      <c r="G318" s="40"/>
      <c r="H318" s="40"/>
      <c r="I318" s="40"/>
      <c r="J318" s="40"/>
      <c r="K318" s="40"/>
      <c r="L318" s="90"/>
      <c r="M318" s="91"/>
      <c r="N318" s="91"/>
      <c r="O318" s="91"/>
      <c r="P318" s="91"/>
      <c r="Q318" s="91"/>
      <c r="R318" s="90"/>
      <c r="S318" s="91"/>
      <c r="T318" s="91"/>
      <c r="U318" s="91"/>
      <c r="V318" s="91"/>
      <c r="W318" s="91">
        <f>W$37*$E$55</f>
        <v>572.51151837640646</v>
      </c>
      <c r="X318" s="91">
        <f>W$37*$F$55</f>
        <v>916.01842940225038</v>
      </c>
      <c r="Y318" s="91">
        <f>W$37*$G$55</f>
        <v>549.61105764135016</v>
      </c>
      <c r="Z318" s="91">
        <f>W$37*$H$55</f>
        <v>329.76663458481011</v>
      </c>
      <c r="AA318" s="91">
        <f>W$37*$I$55</f>
        <v>329.76663458481011</v>
      </c>
      <c r="AB318" s="91">
        <f>W$37*$J$55</f>
        <v>164.88331729240505</v>
      </c>
      <c r="AC318" s="91"/>
      <c r="AD318" s="91"/>
      <c r="AE318" s="91"/>
      <c r="AF318" s="91"/>
      <c r="AG318" s="91"/>
      <c r="AH318" s="91"/>
      <c r="AI318" s="91"/>
      <c r="AJ318" s="91"/>
      <c r="AK318" s="91"/>
      <c r="AL318" s="91"/>
      <c r="AM318" s="91"/>
      <c r="AN318" s="91"/>
      <c r="AO318" s="91"/>
      <c r="AP318" s="91"/>
      <c r="AQ318" s="91"/>
      <c r="AR318" s="91"/>
      <c r="AS318" s="92"/>
    </row>
    <row r="319" spans="1:45" x14ac:dyDescent="0.8">
      <c r="A319" s="35" t="s">
        <v>313</v>
      </c>
      <c r="B319" s="40">
        <v>13</v>
      </c>
      <c r="C319" s="40"/>
      <c r="D319" s="40"/>
      <c r="E319" s="40"/>
      <c r="F319" s="40"/>
      <c r="G319" s="40"/>
      <c r="H319" s="40"/>
      <c r="I319" s="40"/>
      <c r="J319" s="40"/>
      <c r="K319" s="40"/>
      <c r="L319" s="90"/>
      <c r="M319" s="91"/>
      <c r="N319" s="91"/>
      <c r="O319" s="91"/>
      <c r="P319" s="91"/>
      <c r="Q319" s="91"/>
      <c r="R319" s="90"/>
      <c r="S319" s="91"/>
      <c r="T319" s="91"/>
      <c r="U319" s="91"/>
      <c r="V319" s="91"/>
      <c r="W319" s="91"/>
      <c r="X319" s="91">
        <f>X$37*$E$55</f>
        <v>539.90511013960202</v>
      </c>
      <c r="Y319" s="91">
        <f>X$37*$F$55</f>
        <v>863.84817622336323</v>
      </c>
      <c r="Z319" s="91">
        <f>X$37*$G$55</f>
        <v>518.30890573401791</v>
      </c>
      <c r="AA319" s="91">
        <f>X$37*$H$55</f>
        <v>310.98534344041076</v>
      </c>
      <c r="AB319" s="91">
        <f>X$37*$I$55</f>
        <v>310.98534344041076</v>
      </c>
      <c r="AC319" s="91">
        <f>X$37*$J$55</f>
        <v>155.49267172020538</v>
      </c>
      <c r="AD319" s="91"/>
      <c r="AE319" s="91"/>
      <c r="AF319" s="91"/>
      <c r="AG319" s="91"/>
      <c r="AH319" s="91"/>
      <c r="AI319" s="91"/>
      <c r="AJ319" s="91"/>
      <c r="AK319" s="91"/>
      <c r="AL319" s="91"/>
      <c r="AM319" s="91"/>
      <c r="AN319" s="91"/>
      <c r="AO319" s="91"/>
      <c r="AP319" s="91"/>
      <c r="AQ319" s="91"/>
      <c r="AR319" s="91"/>
      <c r="AS319" s="92"/>
    </row>
    <row r="320" spans="1:45" x14ac:dyDescent="0.8">
      <c r="A320" s="35" t="s">
        <v>313</v>
      </c>
      <c r="B320" s="40">
        <v>14</v>
      </c>
      <c r="C320" s="40"/>
      <c r="D320" s="40"/>
      <c r="E320" s="40"/>
      <c r="F320" s="40"/>
      <c r="G320" s="40"/>
      <c r="H320" s="40"/>
      <c r="I320" s="40"/>
      <c r="J320" s="40"/>
      <c r="K320" s="40"/>
      <c r="L320" s="90"/>
      <c r="M320" s="91"/>
      <c r="N320" s="91"/>
      <c r="O320" s="91"/>
      <c r="P320" s="91"/>
      <c r="Q320" s="91"/>
      <c r="R320" s="90"/>
      <c r="S320" s="91"/>
      <c r="T320" s="91"/>
      <c r="U320" s="91"/>
      <c r="V320" s="91"/>
      <c r="W320" s="91"/>
      <c r="X320" s="91"/>
      <c r="Y320" s="91">
        <f>Y$37*$E$55</f>
        <v>450.51700382580458</v>
      </c>
      <c r="Z320" s="91">
        <f>Y$37*$F$55</f>
        <v>720.8272061212873</v>
      </c>
      <c r="AA320" s="91">
        <f>Y$37*$G$55</f>
        <v>432.49632367277241</v>
      </c>
      <c r="AB320" s="91">
        <f>Y$37*$H$55</f>
        <v>259.49779420366343</v>
      </c>
      <c r="AC320" s="91">
        <f>Y$37*$I$55</f>
        <v>259.49779420366343</v>
      </c>
      <c r="AD320" s="91">
        <f>Y$37*$J$55</f>
        <v>129.74889710183172</v>
      </c>
      <c r="AE320" s="91"/>
      <c r="AF320" s="91"/>
      <c r="AG320" s="91"/>
      <c r="AH320" s="91"/>
      <c r="AI320" s="91"/>
      <c r="AJ320" s="91"/>
      <c r="AK320" s="91"/>
      <c r="AL320" s="91"/>
      <c r="AM320" s="91"/>
      <c r="AN320" s="91"/>
      <c r="AO320" s="91"/>
      <c r="AP320" s="91"/>
      <c r="AQ320" s="91"/>
      <c r="AR320" s="91"/>
      <c r="AS320" s="92"/>
    </row>
    <row r="321" spans="1:50" x14ac:dyDescent="0.8">
      <c r="A321" s="35" t="s">
        <v>313</v>
      </c>
      <c r="B321" s="40">
        <v>15</v>
      </c>
      <c r="C321" s="40"/>
      <c r="D321" s="40"/>
      <c r="E321" s="40"/>
      <c r="F321" s="40"/>
      <c r="G321" s="40"/>
      <c r="H321" s="40"/>
      <c r="I321" s="40"/>
      <c r="J321" s="40"/>
      <c r="K321" s="40"/>
      <c r="L321" s="90"/>
      <c r="M321" s="91"/>
      <c r="N321" s="91"/>
      <c r="O321" s="91"/>
      <c r="P321" s="91"/>
      <c r="Q321" s="91"/>
      <c r="R321" s="90"/>
      <c r="S321" s="91"/>
      <c r="T321" s="91"/>
      <c r="U321" s="91"/>
      <c r="V321" s="91"/>
      <c r="W321" s="91"/>
      <c r="X321" s="91"/>
      <c r="Y321" s="91"/>
      <c r="Z321" s="91">
        <f>Z$37*$E$55</f>
        <v>372.82530211308915</v>
      </c>
      <c r="AA321" s="91">
        <f>Z$37*$F$55</f>
        <v>596.52048338094266</v>
      </c>
      <c r="AB321" s="91">
        <f>Z$37*$G$55</f>
        <v>357.91229002856556</v>
      </c>
      <c r="AC321" s="91">
        <f>Z$37*$H$55</f>
        <v>214.74737401713932</v>
      </c>
      <c r="AD321" s="91">
        <f>Z$37*$I$55</f>
        <v>214.74737401713932</v>
      </c>
      <c r="AE321" s="91">
        <f>Z$37*$J$55</f>
        <v>107.37368700856966</v>
      </c>
      <c r="AF321" s="91"/>
      <c r="AG321" s="91"/>
      <c r="AH321" s="91"/>
      <c r="AI321" s="91"/>
      <c r="AJ321" s="91"/>
      <c r="AK321" s="91"/>
      <c r="AL321" s="91"/>
      <c r="AM321" s="91"/>
      <c r="AN321" s="91"/>
      <c r="AO321" s="91"/>
      <c r="AP321" s="91"/>
      <c r="AQ321" s="91"/>
      <c r="AR321" s="91"/>
      <c r="AS321" s="92"/>
    </row>
    <row r="322" spans="1:50" x14ac:dyDescent="0.8">
      <c r="A322" s="35" t="s">
        <v>313</v>
      </c>
      <c r="B322" s="40">
        <v>16</v>
      </c>
      <c r="C322" s="40"/>
      <c r="D322" s="40"/>
      <c r="E322" s="40"/>
      <c r="F322" s="40"/>
      <c r="G322" s="40"/>
      <c r="H322" s="40"/>
      <c r="I322" s="40"/>
      <c r="J322" s="40"/>
      <c r="K322" s="40"/>
      <c r="L322" s="90"/>
      <c r="M322" s="91"/>
      <c r="N322" s="91"/>
      <c r="O322" s="91"/>
      <c r="P322" s="91"/>
      <c r="Q322" s="91"/>
      <c r="R322" s="90"/>
      <c r="S322" s="91"/>
      <c r="T322" s="91"/>
      <c r="U322" s="91"/>
      <c r="V322" s="91"/>
      <c r="W322" s="91"/>
      <c r="X322" s="91"/>
      <c r="Y322" s="91"/>
      <c r="Z322" s="91"/>
      <c r="AA322" s="91">
        <f>AA$37*$E$55</f>
        <v>306.47728195250966</v>
      </c>
      <c r="AB322" s="91">
        <f>AA$37*$F$55</f>
        <v>490.36365112401546</v>
      </c>
      <c r="AC322" s="91">
        <f>AA$37*$G$55</f>
        <v>294.2181906744093</v>
      </c>
      <c r="AD322" s="91">
        <f>AA$37*$H$55</f>
        <v>176.53091440464556</v>
      </c>
      <c r="AE322" s="91">
        <f>AA$37*$I$55</f>
        <v>176.53091440464556</v>
      </c>
      <c r="AF322" s="91">
        <f>AA$37*$J$55</f>
        <v>88.265457202322779</v>
      </c>
      <c r="AG322" s="91"/>
      <c r="AH322" s="91"/>
      <c r="AI322" s="91"/>
      <c r="AJ322" s="91"/>
      <c r="AK322" s="91"/>
      <c r="AL322" s="91"/>
      <c r="AM322" s="91"/>
      <c r="AN322" s="91"/>
      <c r="AO322" s="91"/>
      <c r="AP322" s="91"/>
      <c r="AQ322" s="91"/>
      <c r="AR322" s="91"/>
      <c r="AS322" s="92"/>
    </row>
    <row r="323" spans="1:50" x14ac:dyDescent="0.8">
      <c r="A323" s="35" t="s">
        <v>313</v>
      </c>
      <c r="B323" s="40">
        <v>17</v>
      </c>
      <c r="C323" s="40"/>
      <c r="D323" s="40"/>
      <c r="E323" s="40"/>
      <c r="F323" s="40"/>
      <c r="G323" s="40"/>
      <c r="H323" s="40"/>
      <c r="I323" s="40"/>
      <c r="J323" s="40"/>
      <c r="K323" s="40"/>
      <c r="L323" s="90"/>
      <c r="M323" s="91"/>
      <c r="N323" s="91"/>
      <c r="O323" s="91"/>
      <c r="P323" s="91"/>
      <c r="Q323" s="91"/>
      <c r="R323" s="90"/>
      <c r="S323" s="91"/>
      <c r="T323" s="91"/>
      <c r="U323" s="91"/>
      <c r="V323" s="91"/>
      <c r="W323" s="91"/>
      <c r="X323" s="91"/>
      <c r="Y323" s="91"/>
      <c r="Z323" s="91"/>
      <c r="AA323" s="91"/>
      <c r="AB323" s="91">
        <f>AB$37*$E$55</f>
        <v>250.58561366530193</v>
      </c>
      <c r="AC323" s="91">
        <f>AB$37*$F$55</f>
        <v>400.93698186448313</v>
      </c>
      <c r="AD323" s="91">
        <f>AB$37*$G$55</f>
        <v>240.56218911868987</v>
      </c>
      <c r="AE323" s="91">
        <f>AB$37*$H$55</f>
        <v>144.33731347121392</v>
      </c>
      <c r="AF323" s="91">
        <f>AB$37*$I$55</f>
        <v>144.33731347121392</v>
      </c>
      <c r="AG323" s="91">
        <f>AB$37*$J$55</f>
        <v>72.168656735606959</v>
      </c>
      <c r="AH323" s="91"/>
      <c r="AI323" s="91"/>
      <c r="AJ323" s="91"/>
      <c r="AK323" s="91"/>
      <c r="AL323" s="91"/>
      <c r="AM323" s="91"/>
      <c r="AN323" s="91"/>
      <c r="AO323" s="91"/>
      <c r="AP323" s="91"/>
      <c r="AQ323" s="91"/>
      <c r="AR323" s="91"/>
      <c r="AS323" s="92"/>
    </row>
    <row r="324" spans="1:50" x14ac:dyDescent="0.8">
      <c r="A324" s="35" t="s">
        <v>313</v>
      </c>
      <c r="B324" s="40">
        <v>18</v>
      </c>
      <c r="C324" s="40"/>
      <c r="D324" s="40"/>
      <c r="E324" s="40"/>
      <c r="F324" s="40"/>
      <c r="G324" s="40"/>
      <c r="H324" s="40"/>
      <c r="I324" s="40"/>
      <c r="J324" s="40"/>
      <c r="K324" s="40"/>
      <c r="L324" s="90"/>
      <c r="M324" s="91"/>
      <c r="N324" s="91"/>
      <c r="O324" s="91"/>
      <c r="P324" s="91"/>
      <c r="Q324" s="91"/>
      <c r="R324" s="90"/>
      <c r="S324" s="91"/>
      <c r="T324" s="91"/>
      <c r="U324" s="91"/>
      <c r="V324" s="91"/>
      <c r="W324" s="91"/>
      <c r="X324" s="91"/>
      <c r="Y324" s="91"/>
      <c r="Z324" s="91"/>
      <c r="AA324" s="91"/>
      <c r="AB324" s="91"/>
      <c r="AC324" s="91">
        <f>AC$37*$E$55</f>
        <v>204.00313871912658</v>
      </c>
      <c r="AD324" s="91">
        <f>AC$37*$F$55</f>
        <v>326.40502195060253</v>
      </c>
      <c r="AE324" s="91">
        <f>AC$37*$G$55</f>
        <v>195.84301317036153</v>
      </c>
      <c r="AF324" s="91">
        <f>AC$37*$H$55</f>
        <v>117.5058079022169</v>
      </c>
      <c r="AG324" s="91">
        <f>AC$37*$I$55</f>
        <v>117.5058079022169</v>
      </c>
      <c r="AH324" s="91">
        <f>AC$37*$J$55</f>
        <v>58.752903951108451</v>
      </c>
      <c r="AI324" s="91"/>
      <c r="AJ324" s="91"/>
      <c r="AK324" s="91"/>
      <c r="AL324" s="91"/>
      <c r="AM324" s="91"/>
      <c r="AN324" s="91"/>
      <c r="AO324" s="91"/>
      <c r="AP324" s="91"/>
      <c r="AQ324" s="91"/>
      <c r="AR324" s="91"/>
      <c r="AS324" s="92"/>
    </row>
    <row r="325" spans="1:50" x14ac:dyDescent="0.8">
      <c r="A325" s="35" t="s">
        <v>313</v>
      </c>
      <c r="B325" s="40">
        <v>19</v>
      </c>
      <c r="C325" s="40"/>
      <c r="D325" s="40"/>
      <c r="E325" s="40"/>
      <c r="F325" s="40"/>
      <c r="G325" s="40"/>
      <c r="H325" s="40"/>
      <c r="I325" s="40"/>
      <c r="J325" s="40"/>
      <c r="K325" s="40"/>
      <c r="L325" s="90"/>
      <c r="M325" s="91"/>
      <c r="N325" s="91"/>
      <c r="O325" s="91"/>
      <c r="P325" s="91"/>
      <c r="Q325" s="91"/>
      <c r="R325" s="90"/>
      <c r="S325" s="91"/>
      <c r="T325" s="91"/>
      <c r="U325" s="91"/>
      <c r="V325" s="91"/>
      <c r="W325" s="91"/>
      <c r="X325" s="91"/>
      <c r="Y325" s="91"/>
      <c r="Z325" s="91"/>
      <c r="AA325" s="91"/>
      <c r="AB325" s="91"/>
      <c r="AC325" s="91"/>
      <c r="AD325" s="91">
        <f>AD$37*$E$55</f>
        <v>165.50457207846921</v>
      </c>
      <c r="AE325" s="91">
        <f>AD$37*$F$55</f>
        <v>264.80731532555075</v>
      </c>
      <c r="AF325" s="91">
        <f>AD$37*$G$55</f>
        <v>158.88438919533044</v>
      </c>
      <c r="AG325" s="91">
        <f>AD$37*$H$55</f>
        <v>95.330633517198265</v>
      </c>
      <c r="AH325" s="91">
        <f>AD$37*$I$55</f>
        <v>95.330633517198265</v>
      </c>
      <c r="AI325" s="91">
        <f>AD$37*$J$55</f>
        <v>47.665316758599133</v>
      </c>
      <c r="AJ325" s="91"/>
      <c r="AK325" s="91"/>
      <c r="AL325" s="91"/>
      <c r="AM325" s="91"/>
      <c r="AN325" s="91"/>
      <c r="AO325" s="91"/>
      <c r="AP325" s="91"/>
      <c r="AQ325" s="91"/>
      <c r="AR325" s="91"/>
      <c r="AS325" s="92"/>
    </row>
    <row r="326" spans="1:50" x14ac:dyDescent="0.8">
      <c r="A326" s="35" t="s">
        <v>313</v>
      </c>
      <c r="B326" s="40">
        <v>20</v>
      </c>
      <c r="C326" s="40"/>
      <c r="D326" s="40"/>
      <c r="E326" s="40"/>
      <c r="F326" s="40"/>
      <c r="G326" s="40"/>
      <c r="H326" s="40"/>
      <c r="I326" s="40"/>
      <c r="J326" s="40"/>
      <c r="K326" s="40"/>
      <c r="L326" s="90"/>
      <c r="M326" s="91"/>
      <c r="N326" s="91"/>
      <c r="O326" s="91"/>
      <c r="P326" s="91"/>
      <c r="Q326" s="91"/>
      <c r="R326" s="90"/>
      <c r="S326" s="91"/>
      <c r="T326" s="91"/>
      <c r="U326" s="91"/>
      <c r="V326" s="91"/>
      <c r="W326" s="91"/>
      <c r="X326" s="91"/>
      <c r="Y326" s="91"/>
      <c r="Z326" s="91"/>
      <c r="AA326" s="91"/>
      <c r="AB326" s="91"/>
      <c r="AC326" s="91"/>
      <c r="AD326" s="91"/>
      <c r="AE326" s="91">
        <f>AE$37*$E$55</f>
        <v>0.81576677403936637</v>
      </c>
      <c r="AF326" s="91">
        <f>AE$37*$F$55</f>
        <v>1.3052268384629861</v>
      </c>
      <c r="AG326" s="91">
        <f>AE$37*$G$55</f>
        <v>0.78313610307779169</v>
      </c>
      <c r="AH326" s="91">
        <f>AE$37*$H$55</f>
        <v>0.46988166184667496</v>
      </c>
      <c r="AI326" s="91">
        <f>AE$37*$I$55</f>
        <v>0.46988166184667496</v>
      </c>
      <c r="AJ326" s="91">
        <f>AE$37*$J$55</f>
        <v>0.23494083092333748</v>
      </c>
      <c r="AK326" s="91"/>
      <c r="AL326" s="91"/>
      <c r="AM326" s="91"/>
      <c r="AN326" s="91"/>
      <c r="AO326" s="91"/>
      <c r="AP326" s="91"/>
      <c r="AQ326" s="91"/>
      <c r="AR326" s="91"/>
      <c r="AS326" s="92"/>
    </row>
    <row r="327" spans="1:50" x14ac:dyDescent="0.8">
      <c r="A327" s="35" t="s">
        <v>313</v>
      </c>
      <c r="B327" s="40">
        <v>21</v>
      </c>
      <c r="C327" s="40"/>
      <c r="D327" s="40"/>
      <c r="E327" s="40"/>
      <c r="F327" s="40"/>
      <c r="G327" s="40"/>
      <c r="H327" s="40"/>
      <c r="I327" s="40"/>
      <c r="J327" s="40"/>
      <c r="K327" s="40"/>
      <c r="L327" s="90"/>
      <c r="M327" s="91"/>
      <c r="N327" s="91"/>
      <c r="O327" s="91"/>
      <c r="P327" s="91"/>
      <c r="Q327" s="91"/>
      <c r="R327" s="90"/>
      <c r="S327" s="91"/>
      <c r="T327" s="91"/>
      <c r="U327" s="91"/>
      <c r="V327" s="91"/>
      <c r="W327" s="91"/>
      <c r="X327" s="91"/>
      <c r="Y327" s="91"/>
      <c r="Z327" s="91"/>
      <c r="AA327" s="91"/>
      <c r="AB327" s="91"/>
      <c r="AC327" s="91"/>
      <c r="AD327" s="91"/>
      <c r="AE327" s="91"/>
      <c r="AF327" s="91">
        <f>AF$37*$E$55</f>
        <v>0.81581164121162153</v>
      </c>
      <c r="AG327" s="91">
        <f>AF$37*$F$55</f>
        <v>1.3052986259385944</v>
      </c>
      <c r="AH327" s="91">
        <f>AF$37*$G$55</f>
        <v>0.78317917556315664</v>
      </c>
      <c r="AI327" s="91">
        <f>AF$37*$H$55</f>
        <v>0.46990750533789394</v>
      </c>
      <c r="AJ327" s="91">
        <f>AF$37*$I$55</f>
        <v>0.46990750533789394</v>
      </c>
      <c r="AK327" s="91">
        <f>AF$37*$J$55</f>
        <v>0.23495375266894697</v>
      </c>
      <c r="AL327" s="91"/>
      <c r="AM327" s="91"/>
      <c r="AN327" s="91"/>
      <c r="AO327" s="91"/>
      <c r="AP327" s="91"/>
      <c r="AQ327" s="91"/>
      <c r="AR327" s="91"/>
      <c r="AS327" s="92"/>
    </row>
    <row r="328" spans="1:50" x14ac:dyDescent="0.8">
      <c r="A328" s="35" t="s">
        <v>313</v>
      </c>
      <c r="B328" s="40">
        <v>22</v>
      </c>
      <c r="C328" s="40"/>
      <c r="D328" s="40"/>
      <c r="E328" s="40"/>
      <c r="F328" s="40"/>
      <c r="G328" s="40"/>
      <c r="H328" s="40"/>
      <c r="I328" s="40"/>
      <c r="J328" s="40"/>
      <c r="K328" s="40"/>
      <c r="L328" s="90"/>
      <c r="M328" s="91"/>
      <c r="N328" s="91"/>
      <c r="O328" s="91"/>
      <c r="P328" s="91"/>
      <c r="Q328" s="91"/>
      <c r="R328" s="90"/>
      <c r="S328" s="91"/>
      <c r="T328" s="91"/>
      <c r="U328" s="91"/>
      <c r="V328" s="91"/>
      <c r="W328" s="91"/>
      <c r="X328" s="91"/>
      <c r="Y328" s="91"/>
      <c r="Z328" s="91"/>
      <c r="AA328" s="91"/>
      <c r="AB328" s="91"/>
      <c r="AC328" s="91"/>
      <c r="AD328" s="91"/>
      <c r="AE328" s="91"/>
      <c r="AF328" s="91"/>
      <c r="AG328" s="91">
        <f>AG$37*$E$55</f>
        <v>0.81585651085479194</v>
      </c>
      <c r="AH328" s="91">
        <f>AG$37*$F$55</f>
        <v>1.305370417367667</v>
      </c>
      <c r="AI328" s="91">
        <f>AG$37*$G$55</f>
        <v>0.78322225042060023</v>
      </c>
      <c r="AJ328" s="91">
        <f>AG$37*$H$55</f>
        <v>0.4699333502523601</v>
      </c>
      <c r="AK328" s="91">
        <f>AG$37*$I$55</f>
        <v>0.4699333502523601</v>
      </c>
      <c r="AL328" s="91">
        <f>AG$37*$J$55</f>
        <v>0.23496667512618005</v>
      </c>
      <c r="AM328" s="91"/>
      <c r="AN328" s="91"/>
      <c r="AO328" s="91"/>
      <c r="AP328" s="91"/>
      <c r="AQ328" s="91"/>
      <c r="AR328" s="91"/>
      <c r="AS328" s="92"/>
    </row>
    <row r="329" spans="1:50" x14ac:dyDescent="0.8">
      <c r="A329" s="35" t="s">
        <v>313</v>
      </c>
      <c r="B329" s="40">
        <v>23</v>
      </c>
      <c r="C329" s="40"/>
      <c r="D329" s="40"/>
      <c r="E329" s="40"/>
      <c r="F329" s="40"/>
      <c r="G329" s="40"/>
      <c r="H329" s="40"/>
      <c r="I329" s="40"/>
      <c r="J329" s="40"/>
      <c r="K329" s="40"/>
      <c r="L329" s="90"/>
      <c r="M329" s="91"/>
      <c r="N329" s="91"/>
      <c r="O329" s="91"/>
      <c r="P329" s="91"/>
      <c r="Q329" s="91"/>
      <c r="R329" s="90"/>
      <c r="S329" s="91"/>
      <c r="T329" s="91"/>
      <c r="U329" s="91"/>
      <c r="V329" s="91"/>
      <c r="W329" s="91"/>
      <c r="X329" s="91"/>
      <c r="Y329" s="91"/>
      <c r="Z329" s="91"/>
      <c r="AA329" s="91"/>
      <c r="AB329" s="91"/>
      <c r="AC329" s="91"/>
      <c r="AD329" s="91"/>
      <c r="AE329" s="91"/>
      <c r="AF329" s="91"/>
      <c r="AG329" s="91"/>
      <c r="AH329" s="91">
        <f>AH$37*$E$55</f>
        <v>0.81590138296014636</v>
      </c>
      <c r="AI329" s="91">
        <f>AH$37*$F$55</f>
        <v>1.3054422127362342</v>
      </c>
      <c r="AJ329" s="91">
        <f>AH$37*$G$55</f>
        <v>0.78326532764174051</v>
      </c>
      <c r="AK329" s="91">
        <f>AH$37*$H$55</f>
        <v>0.46995919658504426</v>
      </c>
      <c r="AL329" s="91">
        <f>AH$37*$I$55</f>
        <v>0.46995919658504426</v>
      </c>
      <c r="AM329" s="91">
        <f>AH$37*$J$55</f>
        <v>0.23497959829252213</v>
      </c>
      <c r="AN329" s="91"/>
      <c r="AO329" s="91"/>
      <c r="AP329" s="91"/>
      <c r="AQ329" s="91"/>
      <c r="AR329" s="91"/>
      <c r="AS329" s="92"/>
    </row>
    <row r="330" spans="1:50" x14ac:dyDescent="0.8">
      <c r="A330" s="35" t="s">
        <v>313</v>
      </c>
      <c r="B330" s="40">
        <v>24</v>
      </c>
      <c r="C330" s="40"/>
      <c r="D330" s="40"/>
      <c r="E330" s="40"/>
      <c r="F330" s="40"/>
      <c r="G330" s="40"/>
      <c r="H330" s="40"/>
      <c r="I330" s="40"/>
      <c r="J330" s="40"/>
      <c r="K330" s="40"/>
      <c r="L330" s="90"/>
      <c r="M330" s="91"/>
      <c r="N330" s="91"/>
      <c r="O330" s="91"/>
      <c r="P330" s="91"/>
      <c r="Q330" s="91"/>
      <c r="R330" s="90"/>
      <c r="S330" s="91"/>
      <c r="T330" s="91"/>
      <c r="U330" s="91"/>
      <c r="V330" s="91"/>
      <c r="W330" s="91"/>
      <c r="X330" s="91"/>
      <c r="Y330" s="91"/>
      <c r="Z330" s="91"/>
      <c r="AA330" s="91"/>
      <c r="AB330" s="91"/>
      <c r="AC330" s="91"/>
      <c r="AD330" s="91"/>
      <c r="AE330" s="91"/>
      <c r="AF330" s="91"/>
      <c r="AG330" s="91"/>
      <c r="AH330" s="91"/>
      <c r="AI330" s="91">
        <f>AI$37*$E$55</f>
        <v>0.81594625753641603</v>
      </c>
      <c r="AJ330" s="91">
        <f>AI$37*$F$55</f>
        <v>1.3055140120582656</v>
      </c>
      <c r="AK330" s="91">
        <f>AI$37*$G$55</f>
        <v>0.78330840723495931</v>
      </c>
      <c r="AL330" s="91">
        <f>AI$37*$H$55</f>
        <v>0.46998504434097554</v>
      </c>
      <c r="AM330" s="91">
        <f>AI$37*$I$55</f>
        <v>0.46998504434097554</v>
      </c>
      <c r="AN330" s="91">
        <f>AI$37*$J$55</f>
        <v>0.23499252217048777</v>
      </c>
      <c r="AO330" s="91"/>
      <c r="AP330" s="91"/>
      <c r="AQ330" s="91"/>
      <c r="AR330" s="91"/>
      <c r="AS330" s="92"/>
    </row>
    <row r="331" spans="1:50" x14ac:dyDescent="0.8">
      <c r="A331" s="35" t="s">
        <v>313</v>
      </c>
      <c r="B331" s="40">
        <v>25</v>
      </c>
      <c r="C331" s="40"/>
      <c r="D331" s="40"/>
      <c r="E331" s="40"/>
      <c r="F331" s="40"/>
      <c r="G331" s="40"/>
      <c r="H331" s="40"/>
      <c r="I331" s="40"/>
      <c r="J331" s="40"/>
      <c r="K331" s="40"/>
      <c r="L331" s="90"/>
      <c r="M331" s="91"/>
      <c r="N331" s="91"/>
      <c r="O331" s="91"/>
      <c r="P331" s="91"/>
      <c r="Q331" s="91"/>
      <c r="R331" s="90"/>
      <c r="S331" s="91"/>
      <c r="T331" s="91"/>
      <c r="U331" s="91"/>
      <c r="V331" s="91"/>
      <c r="W331" s="91"/>
      <c r="X331" s="91"/>
      <c r="Y331" s="91"/>
      <c r="Z331" s="91"/>
      <c r="AA331" s="91"/>
      <c r="AB331" s="91"/>
      <c r="AC331" s="91"/>
      <c r="AD331" s="91"/>
      <c r="AE331" s="91"/>
      <c r="AF331" s="91"/>
      <c r="AG331" s="91"/>
      <c r="AH331" s="91"/>
      <c r="AI331" s="91"/>
      <c r="AJ331" s="91">
        <f>AJ$37*$E$55</f>
        <v>0.8159911345806905</v>
      </c>
      <c r="AK331" s="91">
        <f>AJ$37*$F$55</f>
        <v>1.3055858153291047</v>
      </c>
      <c r="AL331" s="91">
        <f>AJ$37*$G$55</f>
        <v>0.78335148919746278</v>
      </c>
      <c r="AM331" s="91">
        <f>AJ$37*$H$55</f>
        <v>0.47001089351847769</v>
      </c>
      <c r="AN331" s="91">
        <f>AJ$37*$I$55</f>
        <v>0.47001089351847769</v>
      </c>
      <c r="AO331" s="91">
        <f>AJ$37*$J$55</f>
        <v>0.23500544675923885</v>
      </c>
      <c r="AP331" s="91"/>
      <c r="AQ331" s="91"/>
      <c r="AR331" s="91"/>
      <c r="AS331" s="92"/>
    </row>
    <row r="332" spans="1:50" x14ac:dyDescent="0.8">
      <c r="A332" s="35" t="s">
        <v>313</v>
      </c>
      <c r="B332" s="40">
        <v>26</v>
      </c>
      <c r="C332" s="40"/>
      <c r="D332" s="40"/>
      <c r="E332" s="40"/>
      <c r="F332" s="40"/>
      <c r="G332" s="40"/>
      <c r="H332" s="40"/>
      <c r="I332" s="40"/>
      <c r="J332" s="40"/>
      <c r="K332" s="40"/>
      <c r="L332" s="90"/>
      <c r="M332" s="91"/>
      <c r="N332" s="91"/>
      <c r="O332" s="91"/>
      <c r="P332" s="91"/>
      <c r="Q332" s="91"/>
      <c r="R332" s="90"/>
      <c r="S332" s="91"/>
      <c r="T332" s="91"/>
      <c r="U332" s="91"/>
      <c r="V332" s="91"/>
      <c r="W332" s="91"/>
      <c r="X332" s="91"/>
      <c r="Y332" s="91"/>
      <c r="Z332" s="91"/>
      <c r="AA332" s="91"/>
      <c r="AB332" s="91"/>
      <c r="AC332" s="91"/>
      <c r="AD332" s="91"/>
      <c r="AE332" s="91"/>
      <c r="AF332" s="91"/>
      <c r="AG332" s="91"/>
      <c r="AH332" s="91"/>
      <c r="AI332" s="91"/>
      <c r="AJ332" s="91"/>
      <c r="AK332" s="91">
        <f>AK$37*$E$55</f>
        <v>0.81603601409296977</v>
      </c>
      <c r="AL332" s="91">
        <f>AK$37*$F$55</f>
        <v>1.3056576225487515</v>
      </c>
      <c r="AM332" s="91">
        <f>AK$37*$G$55</f>
        <v>0.7833945735292509</v>
      </c>
      <c r="AN332" s="91">
        <f>AK$37*$H$55</f>
        <v>0.47003674411755053</v>
      </c>
      <c r="AO332" s="91">
        <f>AK$37*$I$55</f>
        <v>0.47003674411755053</v>
      </c>
      <c r="AP332" s="91">
        <f>AK$37*$J$55</f>
        <v>0.23501837205877527</v>
      </c>
      <c r="AQ332" s="91"/>
      <c r="AR332" s="91"/>
      <c r="AS332" s="92"/>
    </row>
    <row r="333" spans="1:50" x14ac:dyDescent="0.8">
      <c r="A333" s="35" t="s">
        <v>313</v>
      </c>
      <c r="B333" s="40">
        <v>27</v>
      </c>
      <c r="C333" s="40"/>
      <c r="D333" s="40"/>
      <c r="E333" s="40"/>
      <c r="F333" s="40"/>
      <c r="G333" s="40"/>
      <c r="H333" s="40"/>
      <c r="I333" s="40"/>
      <c r="J333" s="40"/>
      <c r="K333" s="40"/>
      <c r="L333" s="90"/>
      <c r="M333" s="91"/>
      <c r="N333" s="91"/>
      <c r="O333" s="91"/>
      <c r="P333" s="91"/>
      <c r="Q333" s="91"/>
      <c r="R333" s="90"/>
      <c r="S333" s="91"/>
      <c r="T333" s="91"/>
      <c r="U333" s="91"/>
      <c r="V333" s="91"/>
      <c r="W333" s="91"/>
      <c r="X333" s="91"/>
      <c r="Y333" s="91"/>
      <c r="Z333" s="91"/>
      <c r="AA333" s="91"/>
      <c r="AB333" s="91"/>
      <c r="AC333" s="91"/>
      <c r="AD333" s="91"/>
      <c r="AE333" s="91"/>
      <c r="AF333" s="91"/>
      <c r="AG333" s="91"/>
      <c r="AH333" s="91"/>
      <c r="AI333" s="91"/>
      <c r="AJ333" s="91"/>
      <c r="AK333" s="91"/>
      <c r="AL333" s="91">
        <f>AL$37*$E$55</f>
        <v>0.8160808960761643</v>
      </c>
      <c r="AM333" s="91">
        <f>AL$37*$F$55</f>
        <v>1.3057294337218628</v>
      </c>
      <c r="AN333" s="91">
        <f>AL$37*$G$55</f>
        <v>0.78343766023311767</v>
      </c>
      <c r="AO333" s="91">
        <f>AL$37*$H$55</f>
        <v>0.47006259613987056</v>
      </c>
      <c r="AP333" s="91">
        <f>AL$37*$I$55</f>
        <v>0.47006259613987056</v>
      </c>
      <c r="AQ333" s="91">
        <f>AL$37*$J$55</f>
        <v>0.23503129806993528</v>
      </c>
      <c r="AR333" s="91"/>
      <c r="AS333" s="92"/>
    </row>
    <row r="334" spans="1:50" x14ac:dyDescent="0.8">
      <c r="A334" s="35" t="s">
        <v>313</v>
      </c>
      <c r="B334" s="40">
        <v>28</v>
      </c>
      <c r="C334" s="40"/>
      <c r="D334" s="40"/>
      <c r="E334" s="40"/>
      <c r="F334" s="40"/>
      <c r="G334" s="40"/>
      <c r="H334" s="40"/>
      <c r="I334" s="40"/>
      <c r="J334" s="40"/>
      <c r="K334" s="40"/>
      <c r="L334" s="90"/>
      <c r="M334" s="91"/>
      <c r="N334" s="91"/>
      <c r="O334" s="91"/>
      <c r="P334" s="91"/>
      <c r="Q334" s="91"/>
      <c r="R334" s="90"/>
      <c r="S334" s="91"/>
      <c r="T334" s="91"/>
      <c r="U334" s="91"/>
      <c r="V334" s="91"/>
      <c r="W334" s="91"/>
      <c r="X334" s="91"/>
      <c r="Y334" s="91"/>
      <c r="Z334" s="91"/>
      <c r="AA334" s="91"/>
      <c r="AB334" s="91"/>
      <c r="AC334" s="91"/>
      <c r="AD334" s="91"/>
      <c r="AE334" s="91"/>
      <c r="AF334" s="91"/>
      <c r="AG334" s="91"/>
      <c r="AH334" s="91"/>
      <c r="AI334" s="91"/>
      <c r="AJ334" s="91"/>
      <c r="AK334" s="91"/>
      <c r="AL334" s="91"/>
      <c r="AM334" s="91">
        <f>AM$37*$E$55</f>
        <v>0.81612578052445317</v>
      </c>
      <c r="AN334" s="91">
        <f>AM$37*$F$55</f>
        <v>1.3058012488391251</v>
      </c>
      <c r="AO334" s="91">
        <f>AM$37*$G$55</f>
        <v>0.783480749303475</v>
      </c>
      <c r="AP334" s="91">
        <f>AM$37*$H$55</f>
        <v>0.47008844958208501</v>
      </c>
      <c r="AQ334" s="91">
        <f>AM$37*$I$55</f>
        <v>0.47008844958208501</v>
      </c>
      <c r="AR334" s="91">
        <f>AM$37*$J$55</f>
        <v>0.23504422479104251</v>
      </c>
      <c r="AS334" s="92"/>
    </row>
    <row r="335" spans="1:50" x14ac:dyDescent="0.8">
      <c r="A335" s="35" t="s">
        <v>313</v>
      </c>
      <c r="B335" s="40">
        <v>29</v>
      </c>
      <c r="C335" s="40"/>
      <c r="D335" s="40"/>
      <c r="E335" s="40"/>
      <c r="F335" s="40"/>
      <c r="G335" s="40"/>
      <c r="H335" s="40"/>
      <c r="I335" s="40"/>
      <c r="J335" s="40"/>
      <c r="K335" s="40"/>
      <c r="L335" s="90"/>
      <c r="M335" s="91"/>
      <c r="N335" s="91"/>
      <c r="O335" s="91"/>
      <c r="P335" s="91"/>
      <c r="Q335" s="91"/>
      <c r="R335" s="90"/>
      <c r="S335" s="91"/>
      <c r="T335" s="91"/>
      <c r="U335" s="91"/>
      <c r="V335" s="91"/>
      <c r="W335" s="91"/>
      <c r="X335" s="91"/>
      <c r="Y335" s="91"/>
      <c r="Z335" s="91"/>
      <c r="AA335" s="91"/>
      <c r="AB335" s="91"/>
      <c r="AC335" s="91"/>
      <c r="AD335" s="91"/>
      <c r="AE335" s="91"/>
      <c r="AF335" s="91"/>
      <c r="AG335" s="91"/>
      <c r="AH335" s="91"/>
      <c r="AI335" s="91"/>
      <c r="AJ335" s="91"/>
      <c r="AK335" s="91"/>
      <c r="AL335" s="91"/>
      <c r="AM335" s="91"/>
      <c r="AN335" s="91">
        <f>AN$37*$E$55</f>
        <v>0.81617066744074696</v>
      </c>
      <c r="AO335" s="91">
        <f>AN$37*$F$55</f>
        <v>1.3058730679051951</v>
      </c>
      <c r="AP335" s="91">
        <f>AN$37*$G$55</f>
        <v>0.78352384074311709</v>
      </c>
      <c r="AQ335" s="91">
        <f>AN$37*$H$55</f>
        <v>0.47011430444587021</v>
      </c>
      <c r="AR335" s="91">
        <f>AN$37*$I$55</f>
        <v>0.47011430444587021</v>
      </c>
      <c r="AS335" s="92">
        <f>AN$37*$J$55</f>
        <v>0.23505715222293511</v>
      </c>
    </row>
    <row r="336" spans="1:50" x14ac:dyDescent="0.8">
      <c r="A336" s="35" t="s">
        <v>313</v>
      </c>
      <c r="B336" s="40">
        <v>30</v>
      </c>
      <c r="C336" s="40"/>
      <c r="D336" s="40"/>
      <c r="E336" s="40"/>
      <c r="F336" s="40"/>
      <c r="G336" s="40"/>
      <c r="H336" s="40"/>
      <c r="I336" s="40"/>
      <c r="J336" s="40"/>
      <c r="K336" s="40"/>
      <c r="L336" s="90"/>
      <c r="M336" s="91"/>
      <c r="N336" s="91"/>
      <c r="O336" s="91"/>
      <c r="P336" s="91"/>
      <c r="Q336" s="91"/>
      <c r="R336" s="90"/>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f>AO$37*$E$55</f>
        <v>0.81621555683086633</v>
      </c>
      <c r="AP336" s="91">
        <f>AO$37*$F$55</f>
        <v>1.305944890929386</v>
      </c>
      <c r="AQ336" s="91">
        <f>AO$37*$G$55</f>
        <v>0.7835669345576316</v>
      </c>
      <c r="AR336" s="91">
        <f>AO$37*$H$55</f>
        <v>0.47014016073457893</v>
      </c>
      <c r="AS336" s="92">
        <f>AO$37*$I$55</f>
        <v>0.47014016073457893</v>
      </c>
      <c r="AT336" s="124">
        <f>AO$37*$J$55</f>
        <v>0.23507008036728946</v>
      </c>
      <c r="AU336" s="107"/>
      <c r="AV336" s="107"/>
      <c r="AW336" s="107"/>
      <c r="AX336" s="107"/>
    </row>
    <row r="337" spans="1:50" x14ac:dyDescent="0.8">
      <c r="A337" s="35" t="s">
        <v>313</v>
      </c>
      <c r="B337" s="40">
        <v>31</v>
      </c>
      <c r="C337" s="40"/>
      <c r="D337" s="40"/>
      <c r="E337" s="40"/>
      <c r="F337" s="40"/>
      <c r="G337" s="40"/>
      <c r="H337" s="40"/>
      <c r="I337" s="40"/>
      <c r="J337" s="40"/>
      <c r="K337" s="40"/>
      <c r="L337" s="90"/>
      <c r="M337" s="91"/>
      <c r="N337" s="91"/>
      <c r="O337" s="91"/>
      <c r="P337" s="91"/>
      <c r="Q337" s="91"/>
      <c r="R337" s="90"/>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f>AP$37*$E$55</f>
        <v>0.81626044868316971</v>
      </c>
      <c r="AQ337" s="91">
        <f>AP$37*$F$55</f>
        <v>1.3060167178930715</v>
      </c>
      <c r="AR337" s="91">
        <f>AP$37*$G$55</f>
        <v>0.7836100307358429</v>
      </c>
      <c r="AS337" s="92">
        <f>AP$37*$H$55</f>
        <v>0.47016601844150574</v>
      </c>
      <c r="AT337" s="124">
        <f>AP$37*$I$55</f>
        <v>0.47016601844150574</v>
      </c>
      <c r="AU337" s="107">
        <f>AP$37*$J$55</f>
        <v>0.23508300922075287</v>
      </c>
      <c r="AV337" s="107"/>
      <c r="AW337" s="107"/>
      <c r="AX337" s="107"/>
    </row>
    <row r="338" spans="1:50" x14ac:dyDescent="0.8">
      <c r="A338" s="35" t="s">
        <v>313</v>
      </c>
      <c r="B338" s="40">
        <v>32</v>
      </c>
      <c r="C338" s="40"/>
      <c r="D338" s="40"/>
      <c r="E338" s="40"/>
      <c r="F338" s="40"/>
      <c r="G338" s="40"/>
      <c r="H338" s="40"/>
      <c r="I338" s="40"/>
      <c r="J338" s="40"/>
      <c r="K338" s="40"/>
      <c r="L338" s="90"/>
      <c r="M338" s="91"/>
      <c r="N338" s="91"/>
      <c r="O338" s="91"/>
      <c r="P338" s="91"/>
      <c r="Q338" s="91"/>
      <c r="R338" s="90"/>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f>AQ$37*$E$55</f>
        <v>0.81630534300929869</v>
      </c>
      <c r="AR338" s="91">
        <f>AQ$37*$F$55</f>
        <v>1.3060885488148779</v>
      </c>
      <c r="AS338" s="92">
        <f>AQ$37*$G$55</f>
        <v>0.78365312928892672</v>
      </c>
      <c r="AT338" s="124">
        <f>AQ$37*$H$55</f>
        <v>0.47019187757335601</v>
      </c>
      <c r="AU338" s="107">
        <f>AQ$37*$I$55</f>
        <v>0.47019187757335601</v>
      </c>
      <c r="AV338" s="107">
        <f>AQ$37*$J$55</f>
        <v>0.235095938786678</v>
      </c>
      <c r="AW338" s="107"/>
      <c r="AX338" s="107"/>
    </row>
    <row r="339" spans="1:50" x14ac:dyDescent="0.8">
      <c r="A339" s="35" t="s">
        <v>313</v>
      </c>
      <c r="B339" s="40">
        <v>33</v>
      </c>
      <c r="C339" s="40"/>
      <c r="D339" s="40"/>
      <c r="E339" s="40"/>
      <c r="F339" s="40"/>
      <c r="G339" s="40"/>
      <c r="H339" s="40"/>
      <c r="I339" s="40"/>
      <c r="J339" s="40"/>
      <c r="K339" s="40"/>
      <c r="L339" s="90"/>
      <c r="M339" s="91"/>
      <c r="N339" s="91"/>
      <c r="O339" s="91"/>
      <c r="P339" s="91"/>
      <c r="Q339" s="91"/>
      <c r="R339" s="90"/>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f>AR$37*$E$55</f>
        <v>0.81635023980052213</v>
      </c>
      <c r="AS339" s="92">
        <f>AR$37*$F$55</f>
        <v>1.3061603836808353</v>
      </c>
      <c r="AT339" s="124">
        <f>AR$37*$G$55</f>
        <v>0.78369623020850121</v>
      </c>
      <c r="AU339" s="107">
        <f>AR$37*$H$55</f>
        <v>0.4702177381251007</v>
      </c>
      <c r="AV339" s="107">
        <f>AR$37*$I$55</f>
        <v>0.4702177381251007</v>
      </c>
      <c r="AW339" s="107">
        <f>AR$37*$J$55</f>
        <v>0.23510886906255035</v>
      </c>
      <c r="AX339" s="107"/>
    </row>
    <row r="340" spans="1:50" x14ac:dyDescent="0.8">
      <c r="A340" s="35" t="s">
        <v>313</v>
      </c>
      <c r="B340" s="40">
        <v>34</v>
      </c>
      <c r="C340" s="40"/>
      <c r="D340" s="40"/>
      <c r="E340" s="40"/>
      <c r="F340" s="40"/>
      <c r="G340" s="40"/>
      <c r="H340" s="40"/>
      <c r="I340" s="40"/>
      <c r="J340" s="40"/>
      <c r="K340" s="40"/>
      <c r="L340" s="90"/>
      <c r="M340" s="91"/>
      <c r="N340" s="91"/>
      <c r="O340" s="91"/>
      <c r="P340" s="91"/>
      <c r="Q340" s="91"/>
      <c r="R340" s="90"/>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2">
        <f>AS$37*$E$55</f>
        <v>0.81639513906557115</v>
      </c>
      <c r="AT340" s="124">
        <f>AS$37*$F$55</f>
        <v>1.3062322225049139</v>
      </c>
      <c r="AU340" s="107">
        <f>AS$37*$G$55</f>
        <v>0.78373933350294833</v>
      </c>
      <c r="AV340" s="107">
        <f>AS$37*$H$55</f>
        <v>0.47024360010176897</v>
      </c>
      <c r="AW340" s="107">
        <f>AS$37*$I$55</f>
        <v>0.47024360010176897</v>
      </c>
      <c r="AX340" s="107">
        <f>AS$37*$J$55</f>
        <v>0.23512180005088448</v>
      </c>
    </row>
    <row r="341" spans="1:50" x14ac:dyDescent="0.8">
      <c r="A341" s="125" t="s">
        <v>314</v>
      </c>
      <c r="B341" s="86"/>
      <c r="C341" s="86"/>
      <c r="D341" s="86"/>
      <c r="E341" s="86"/>
      <c r="F341" s="86"/>
      <c r="G341" s="86"/>
      <c r="H341" s="86"/>
      <c r="I341" s="86"/>
      <c r="J341" s="86"/>
      <c r="K341" s="86"/>
      <c r="L341" s="112">
        <f t="shared" ref="L341:AS341" si="137">SUM(L307:L340)</f>
        <v>1437.9382400000004</v>
      </c>
      <c r="M341" s="113">
        <f t="shared" si="137"/>
        <v>1557.2267072</v>
      </c>
      <c r="N341" s="113">
        <f t="shared" si="137"/>
        <v>2767.3109183999982</v>
      </c>
      <c r="O341" s="113">
        <f t="shared" si="137"/>
        <v>4638.9960852480008</v>
      </c>
      <c r="P341" s="113">
        <f t="shared" si="137"/>
        <v>5403.3942389760005</v>
      </c>
      <c r="Q341" s="113">
        <f t="shared" si="137"/>
        <v>5237.9264210227193</v>
      </c>
      <c r="R341" s="112">
        <f t="shared" si="137"/>
        <v>436.67612018122827</v>
      </c>
      <c r="S341" s="113">
        <f t="shared" si="137"/>
        <v>-2438.4761045064556</v>
      </c>
      <c r="T341" s="113">
        <f t="shared" si="137"/>
        <v>-151.71644503855487</v>
      </c>
      <c r="U341" s="113">
        <f t="shared" si="137"/>
        <v>1109.0507804883628</v>
      </c>
      <c r="V341" s="113">
        <f t="shared" si="137"/>
        <v>759.62932336280039</v>
      </c>
      <c r="W341" s="113">
        <f t="shared" si="137"/>
        <v>1926.3220910686025</v>
      </c>
      <c r="X341" s="113">
        <f t="shared" si="137"/>
        <v>2978.4956842277893</v>
      </c>
      <c r="Y341" s="113">
        <f t="shared" si="137"/>
        <v>2767.2184513371803</v>
      </c>
      <c r="Z341" s="113">
        <f t="shared" si="137"/>
        <v>2472.1561478231406</v>
      </c>
      <c r="AA341" s="113">
        <f t="shared" si="137"/>
        <v>2150.2048689470139</v>
      </c>
      <c r="AB341" s="113">
        <f t="shared" si="137"/>
        <v>1834.2280097543621</v>
      </c>
      <c r="AC341" s="113">
        <f t="shared" si="137"/>
        <v>1528.8961511990271</v>
      </c>
      <c r="AD341" s="113">
        <f t="shared" si="137"/>
        <v>1253.4989686713782</v>
      </c>
      <c r="AE341" s="113">
        <f t="shared" si="137"/>
        <v>889.70801015438076</v>
      </c>
      <c r="AF341" s="113">
        <f t="shared" si="137"/>
        <v>511.11400625075868</v>
      </c>
      <c r="AG341" s="113">
        <f t="shared" si="137"/>
        <v>287.90938939489325</v>
      </c>
      <c r="AH341" s="113">
        <f t="shared" si="137"/>
        <v>157.45787010604434</v>
      </c>
      <c r="AI341" s="113">
        <f t="shared" si="137"/>
        <v>51.509716646476953</v>
      </c>
      <c r="AJ341" s="113">
        <f t="shared" si="137"/>
        <v>4.0795521607942877</v>
      </c>
      <c r="AK341" s="113">
        <f t="shared" si="137"/>
        <v>4.0797765361633855</v>
      </c>
      <c r="AL341" s="113">
        <f t="shared" si="137"/>
        <v>4.0800009238745787</v>
      </c>
      <c r="AM341" s="113">
        <f t="shared" si="137"/>
        <v>4.0802253239275421</v>
      </c>
      <c r="AN341" s="113">
        <f t="shared" si="137"/>
        <v>4.0804497363195056</v>
      </c>
      <c r="AO341" s="113">
        <f t="shared" si="137"/>
        <v>4.0806741610561961</v>
      </c>
      <c r="AP341" s="113">
        <f t="shared" si="137"/>
        <v>4.0808985981364039</v>
      </c>
      <c r="AQ341" s="113">
        <f t="shared" si="137"/>
        <v>4.0811230475578926</v>
      </c>
      <c r="AR341" s="113">
        <f t="shared" si="137"/>
        <v>4.0813475093227352</v>
      </c>
      <c r="AS341" s="114">
        <f t="shared" si="137"/>
        <v>4.0815719834343529</v>
      </c>
    </row>
    <row r="344" spans="1:50" x14ac:dyDescent="0.8">
      <c r="A344" s="89" t="s">
        <v>315</v>
      </c>
    </row>
    <row r="345" spans="1:50" x14ac:dyDescent="0.8">
      <c r="A345" s="66" t="s">
        <v>316</v>
      </c>
      <c r="B345" s="65">
        <v>1</v>
      </c>
      <c r="C345" s="65"/>
      <c r="D345" s="65"/>
      <c r="E345" s="65"/>
      <c r="F345" s="65"/>
      <c r="G345" s="65"/>
      <c r="H345" s="65"/>
      <c r="I345" s="65"/>
      <c r="J345" s="65"/>
      <c r="K345" s="65"/>
      <c r="L345" s="104">
        <f>L$39*$E$56</f>
        <v>19.237760000000005</v>
      </c>
      <c r="M345" s="105">
        <f>L$39*$F$56</f>
        <v>36.551744000000006</v>
      </c>
      <c r="N345" s="105">
        <f>L$39*$G$56</f>
        <v>32.896569600000007</v>
      </c>
      <c r="O345" s="105">
        <f>L$39*$H$56</f>
        <v>29.626150400000004</v>
      </c>
      <c r="P345" s="105">
        <f>L$39*$I$56</f>
        <v>26.663535360000004</v>
      </c>
      <c r="Q345" s="105">
        <f>L$39*$J$56</f>
        <v>23.970248960000003</v>
      </c>
      <c r="R345" s="104">
        <f>L$39*$K$56</f>
        <v>22.700556800000001</v>
      </c>
      <c r="S345" s="105">
        <f>L$39*$L$56</f>
        <v>22.700556800000001</v>
      </c>
      <c r="T345" s="105">
        <f>L$39*$M$56</f>
        <v>22.739032320000003</v>
      </c>
      <c r="U345" s="105">
        <f>L$39*$N$56</f>
        <v>22.700556800000001</v>
      </c>
      <c r="V345" s="105">
        <f>L$39*$O$56</f>
        <v>22.739032320000003</v>
      </c>
      <c r="W345" s="105">
        <f>L$39*$P$56</f>
        <v>22.700556800000001</v>
      </c>
      <c r="X345" s="105">
        <f>L$39*$Q$56</f>
        <v>22.739032320000003</v>
      </c>
      <c r="Y345" s="105">
        <f>L$39*$R$56</f>
        <v>22.700556800000001</v>
      </c>
      <c r="Z345" s="105">
        <f>L$39*$S$56</f>
        <v>22.739032320000003</v>
      </c>
      <c r="AA345" s="105">
        <f>L$39*$T$56</f>
        <v>11.350278400000001</v>
      </c>
      <c r="AB345" s="105"/>
      <c r="AC345" s="105"/>
      <c r="AD345" s="105"/>
      <c r="AE345" s="105"/>
      <c r="AF345" s="105"/>
      <c r="AG345" s="105"/>
      <c r="AH345" s="105"/>
      <c r="AI345" s="105"/>
      <c r="AJ345" s="105"/>
      <c r="AK345" s="105"/>
      <c r="AL345" s="105"/>
      <c r="AM345" s="105"/>
      <c r="AN345" s="105"/>
      <c r="AO345" s="105"/>
      <c r="AP345" s="105"/>
      <c r="AQ345" s="105"/>
      <c r="AR345" s="105"/>
      <c r="AS345" s="106"/>
    </row>
    <row r="346" spans="1:50" x14ac:dyDescent="0.8">
      <c r="A346" s="35" t="s">
        <v>316</v>
      </c>
      <c r="B346" s="40">
        <v>2</v>
      </c>
      <c r="C346" s="40"/>
      <c r="D346" s="40"/>
      <c r="E346" s="40"/>
      <c r="F346" s="40"/>
      <c r="G346" s="40"/>
      <c r="H346" s="40"/>
      <c r="I346" s="40"/>
      <c r="J346" s="40"/>
      <c r="K346" s="40"/>
      <c r="L346" s="90"/>
      <c r="M346" s="91">
        <f>M$39*$E$56</f>
        <v>6.4383791999999973</v>
      </c>
      <c r="N346" s="91">
        <f>M$39*$F$56</f>
        <v>12.232920479999995</v>
      </c>
      <c r="O346" s="91">
        <f>M$39*$G$56</f>
        <v>11.009628431999996</v>
      </c>
      <c r="P346" s="91">
        <f>M$39*$H$56</f>
        <v>9.915103967999995</v>
      </c>
      <c r="Q346" s="91">
        <f>M$39*$I$56</f>
        <v>8.9235935711999961</v>
      </c>
      <c r="R346" s="90">
        <f>M$39*$J$56</f>
        <v>8.0222204831999964</v>
      </c>
      <c r="S346" s="91">
        <f>M$39*$K$56</f>
        <v>7.5972874559999966</v>
      </c>
      <c r="T346" s="91">
        <f>M$39*$L$56</f>
        <v>7.5972874559999966</v>
      </c>
      <c r="U346" s="91">
        <f>M$39*$M$56</f>
        <v>7.6101642143999966</v>
      </c>
      <c r="V346" s="91">
        <f>M$39*$N$56</f>
        <v>7.5972874559999966</v>
      </c>
      <c r="W346" s="91">
        <f>M$39*$O$56</f>
        <v>7.6101642143999966</v>
      </c>
      <c r="X346" s="91">
        <f>M$39*$P$56</f>
        <v>7.5972874559999966</v>
      </c>
      <c r="Y346" s="91">
        <f>M$39*$Q$56</f>
        <v>7.6101642143999966</v>
      </c>
      <c r="Z346" s="91">
        <f>M$39*$R$56</f>
        <v>7.5972874559999966</v>
      </c>
      <c r="AA346" s="91">
        <f>M$39*$S$56</f>
        <v>7.6101642143999966</v>
      </c>
      <c r="AB346" s="91">
        <f>M$39*$T$56</f>
        <v>3.7986437279999983</v>
      </c>
      <c r="AC346" s="91"/>
      <c r="AD346" s="91"/>
      <c r="AE346" s="91"/>
      <c r="AF346" s="91"/>
      <c r="AG346" s="91"/>
      <c r="AH346" s="91"/>
      <c r="AI346" s="91"/>
      <c r="AJ346" s="91"/>
      <c r="AK346" s="91"/>
      <c r="AL346" s="91"/>
      <c r="AM346" s="91"/>
      <c r="AN346" s="91"/>
      <c r="AO346" s="91"/>
      <c r="AP346" s="91"/>
      <c r="AQ346" s="91"/>
      <c r="AR346" s="91"/>
      <c r="AS346" s="92"/>
    </row>
    <row r="347" spans="1:50" x14ac:dyDescent="0.8">
      <c r="A347" s="35" t="s">
        <v>316</v>
      </c>
      <c r="B347" s="40">
        <v>3</v>
      </c>
      <c r="C347" s="40"/>
      <c r="D347" s="40"/>
      <c r="E347" s="40"/>
      <c r="F347" s="40"/>
      <c r="G347" s="40"/>
      <c r="H347" s="40"/>
      <c r="I347" s="40"/>
      <c r="J347" s="40"/>
      <c r="K347" s="40"/>
      <c r="L347" s="90"/>
      <c r="M347" s="91"/>
      <c r="N347" s="91">
        <f>N$39*$E$56</f>
        <v>20.835017279999978</v>
      </c>
      <c r="O347" s="91">
        <f>N$39*$F$56</f>
        <v>39.586532831999953</v>
      </c>
      <c r="P347" s="91">
        <f>N$39*$G$56</f>
        <v>35.62787954879996</v>
      </c>
      <c r="Q347" s="91">
        <f>N$39*$H$56</f>
        <v>32.085926611199966</v>
      </c>
      <c r="R347" s="90">
        <f>N$39*$I$56</f>
        <v>28.877333950079969</v>
      </c>
      <c r="S347" s="91">
        <f>N$39*$J$56</f>
        <v>25.960431530879973</v>
      </c>
      <c r="T347" s="91">
        <f>N$39*$K$56</f>
        <v>24.585320390399971</v>
      </c>
      <c r="U347" s="91">
        <f>N$39*$L$56</f>
        <v>24.585320390399971</v>
      </c>
      <c r="V347" s="91">
        <f>N$39*$M$56</f>
        <v>24.626990424959974</v>
      </c>
      <c r="W347" s="91">
        <f>N$39*$N$56</f>
        <v>24.585320390399971</v>
      </c>
      <c r="X347" s="91">
        <f>N$39*$O$56</f>
        <v>24.626990424959974</v>
      </c>
      <c r="Y347" s="91">
        <f>N$39*$P$56</f>
        <v>24.585320390399971</v>
      </c>
      <c r="Z347" s="91">
        <f>N$39*$Q$56</f>
        <v>24.626990424959974</v>
      </c>
      <c r="AA347" s="91">
        <f>N$39*$R$56</f>
        <v>24.585320390399971</v>
      </c>
      <c r="AB347" s="91">
        <f>N$39*$S$56</f>
        <v>24.626990424959974</v>
      </c>
      <c r="AC347" s="91">
        <f>N$39*$T$56</f>
        <v>12.292660195199986</v>
      </c>
      <c r="AD347" s="91"/>
      <c r="AE347" s="91"/>
      <c r="AF347" s="91"/>
      <c r="AG347" s="91"/>
      <c r="AH347" s="91"/>
      <c r="AI347" s="91"/>
      <c r="AJ347" s="91"/>
      <c r="AK347" s="91"/>
      <c r="AL347" s="91"/>
      <c r="AM347" s="91"/>
      <c r="AN347" s="91"/>
      <c r="AO347" s="91"/>
      <c r="AP347" s="91"/>
      <c r="AQ347" s="91"/>
      <c r="AR347" s="91"/>
      <c r="AS347" s="92"/>
    </row>
    <row r="348" spans="1:50" x14ac:dyDescent="0.8">
      <c r="A348" s="35" t="s">
        <v>316</v>
      </c>
      <c r="B348" s="40">
        <v>4</v>
      </c>
      <c r="C348" s="40"/>
      <c r="D348" s="40"/>
      <c r="E348" s="40"/>
      <c r="F348" s="40"/>
      <c r="G348" s="40"/>
      <c r="H348" s="40"/>
      <c r="I348" s="40"/>
      <c r="J348" s="40"/>
      <c r="K348" s="40"/>
      <c r="L348" s="90"/>
      <c r="M348" s="91"/>
      <c r="N348" s="91"/>
      <c r="O348" s="91">
        <f>O$39*$E$56</f>
        <v>5.8515367680000283</v>
      </c>
      <c r="P348" s="91">
        <f>O$39*$F$56</f>
        <v>11.117919859200054</v>
      </c>
      <c r="Q348" s="91">
        <f>O$39*$G$56</f>
        <v>10.006127873280048</v>
      </c>
      <c r="R348" s="90">
        <f>O$39*$H$56</f>
        <v>9.0113666227200433</v>
      </c>
      <c r="S348" s="91">
        <f>O$39*$I$56</f>
        <v>8.1102299604480397</v>
      </c>
      <c r="T348" s="91">
        <f>O$39*$J$56</f>
        <v>7.2910148129280348</v>
      </c>
      <c r="U348" s="91">
        <f>O$39*$K$56</f>
        <v>6.9048133862400327</v>
      </c>
      <c r="V348" s="91">
        <f>O$39*$L$56</f>
        <v>6.9048133862400327</v>
      </c>
      <c r="W348" s="91">
        <f>O$39*$M$56</f>
        <v>6.9165164597760329</v>
      </c>
      <c r="X348" s="91">
        <f>O$39*$N$56</f>
        <v>6.9048133862400327</v>
      </c>
      <c r="Y348" s="91">
        <f>O$39*$O$56</f>
        <v>6.9165164597760329</v>
      </c>
      <c r="Z348" s="91">
        <f>O$39*$P$56</f>
        <v>6.9048133862400327</v>
      </c>
      <c r="AA348" s="91">
        <f>O$39*$Q$56</f>
        <v>6.9165164597760329</v>
      </c>
      <c r="AB348" s="91">
        <f>O$39*$R$56</f>
        <v>6.9048133862400327</v>
      </c>
      <c r="AC348" s="91">
        <f>O$39*$S$56</f>
        <v>6.9165164597760329</v>
      </c>
      <c r="AD348" s="91">
        <f>O$39*$T$56</f>
        <v>3.4524066931200164</v>
      </c>
      <c r="AE348" s="91"/>
      <c r="AF348" s="91"/>
      <c r="AG348" s="91"/>
      <c r="AH348" s="91"/>
      <c r="AI348" s="91"/>
      <c r="AJ348" s="91"/>
      <c r="AK348" s="91"/>
      <c r="AL348" s="91"/>
      <c r="AM348" s="91"/>
      <c r="AN348" s="91"/>
      <c r="AO348" s="91"/>
      <c r="AP348" s="91"/>
      <c r="AQ348" s="91"/>
      <c r="AR348" s="91"/>
      <c r="AS348" s="92"/>
    </row>
    <row r="349" spans="1:50" x14ac:dyDescent="0.8">
      <c r="A349" s="35" t="s">
        <v>316</v>
      </c>
      <c r="B349" s="40">
        <v>5</v>
      </c>
      <c r="C349" s="40"/>
      <c r="D349" s="40"/>
      <c r="E349" s="40"/>
      <c r="F349" s="40"/>
      <c r="G349" s="40"/>
      <c r="H349" s="40"/>
      <c r="I349" s="40"/>
      <c r="J349" s="40"/>
      <c r="K349" s="40"/>
      <c r="L349" s="90"/>
      <c r="M349" s="91"/>
      <c r="N349" s="91"/>
      <c r="O349" s="91"/>
      <c r="P349" s="91">
        <f>P$39*$E$56</f>
        <v>23.512538649599993</v>
      </c>
      <c r="Q349" s="91">
        <f>P$39*$F$56</f>
        <v>44.673823434239985</v>
      </c>
      <c r="R349" s="90">
        <f>P$39*$G$56</f>
        <v>40.206441090815986</v>
      </c>
      <c r="S349" s="91">
        <f>P$39*$H$56</f>
        <v>36.209309520383989</v>
      </c>
      <c r="T349" s="91">
        <f>P$39*$I$56</f>
        <v>32.58837856834559</v>
      </c>
      <c r="U349" s="91">
        <f>P$39*$J$56</f>
        <v>29.296623157401591</v>
      </c>
      <c r="V349" s="91">
        <f>P$39*$K$56</f>
        <v>27.74479560652799</v>
      </c>
      <c r="W349" s="91">
        <f>P$39*$L$56</f>
        <v>27.74479560652799</v>
      </c>
      <c r="X349" s="91">
        <f>P$39*$M$56</f>
        <v>27.79182068382719</v>
      </c>
      <c r="Y349" s="91">
        <f>P$39*$N$56</f>
        <v>27.74479560652799</v>
      </c>
      <c r="Z349" s="91">
        <f>P$39*$O$56</f>
        <v>27.79182068382719</v>
      </c>
      <c r="AA349" s="91">
        <f>P$39*$P$56</f>
        <v>27.74479560652799</v>
      </c>
      <c r="AB349" s="91">
        <f>P$39*$Q$56</f>
        <v>27.79182068382719</v>
      </c>
      <c r="AC349" s="91">
        <f>P$39*$R$56</f>
        <v>27.74479560652799</v>
      </c>
      <c r="AD349" s="91">
        <f>P$39*$S$56</f>
        <v>27.79182068382719</v>
      </c>
      <c r="AE349" s="91">
        <f>P$39*$T$56</f>
        <v>13.872397803263995</v>
      </c>
      <c r="AF349" s="91"/>
      <c r="AG349" s="91"/>
      <c r="AH349" s="91"/>
      <c r="AI349" s="91"/>
      <c r="AJ349" s="91"/>
      <c r="AK349" s="91"/>
      <c r="AL349" s="91"/>
      <c r="AM349" s="91"/>
      <c r="AN349" s="91"/>
      <c r="AO349" s="91"/>
      <c r="AP349" s="91"/>
      <c r="AQ349" s="91"/>
      <c r="AR349" s="91"/>
      <c r="AS349" s="92"/>
    </row>
    <row r="350" spans="1:50" x14ac:dyDescent="0.8">
      <c r="A350" s="35" t="s">
        <v>316</v>
      </c>
      <c r="B350" s="40">
        <v>6</v>
      </c>
      <c r="C350" s="40"/>
      <c r="D350" s="40"/>
      <c r="E350" s="40"/>
      <c r="F350" s="40"/>
      <c r="G350" s="40"/>
      <c r="H350" s="40"/>
      <c r="I350" s="40"/>
      <c r="J350" s="40"/>
      <c r="K350" s="40"/>
      <c r="L350" s="90"/>
      <c r="M350" s="91"/>
      <c r="N350" s="91"/>
      <c r="O350" s="91"/>
      <c r="P350" s="91"/>
      <c r="Q350" s="91">
        <f>Q$39*$E$56</f>
        <v>12.696770870784007</v>
      </c>
      <c r="R350" s="90">
        <f>Q$39*$F$56</f>
        <v>24.123864654489616</v>
      </c>
      <c r="S350" s="91">
        <f>Q$39*$G$56</f>
        <v>21.711478189040655</v>
      </c>
      <c r="T350" s="91">
        <f>Q$39*$H$56</f>
        <v>19.553027141007369</v>
      </c>
      <c r="U350" s="91">
        <f>Q$39*$I$56</f>
        <v>17.597724426906634</v>
      </c>
      <c r="V350" s="91">
        <f>Q$39*$J$56</f>
        <v>15.820176504996873</v>
      </c>
      <c r="W350" s="91">
        <f>Q$39*$K$56</f>
        <v>14.982189627525129</v>
      </c>
      <c r="X350" s="91">
        <f>Q$39*$L$56</f>
        <v>14.982189627525129</v>
      </c>
      <c r="Y350" s="91">
        <f>Q$39*$M$56</f>
        <v>15.007583169266697</v>
      </c>
      <c r="Z350" s="91">
        <f>Q$39*$N$56</f>
        <v>14.982189627525129</v>
      </c>
      <c r="AA350" s="91">
        <f>Q$39*$O$56</f>
        <v>15.007583169266697</v>
      </c>
      <c r="AB350" s="91">
        <f>Q$39*$P$56</f>
        <v>14.982189627525129</v>
      </c>
      <c r="AC350" s="91">
        <f>Q$39*$Q$56</f>
        <v>15.007583169266697</v>
      </c>
      <c r="AD350" s="91">
        <f>Q$39*$R$56</f>
        <v>14.982189627525129</v>
      </c>
      <c r="AE350" s="91">
        <f>Q$39*$S$56</f>
        <v>15.007583169266697</v>
      </c>
      <c r="AF350" s="91">
        <f>Q$39*$T$56</f>
        <v>7.4910948137625644</v>
      </c>
      <c r="AG350" s="91"/>
      <c r="AH350" s="91"/>
      <c r="AI350" s="91"/>
      <c r="AJ350" s="91"/>
      <c r="AK350" s="91"/>
      <c r="AL350" s="91"/>
      <c r="AM350" s="91"/>
      <c r="AN350" s="91"/>
      <c r="AO350" s="91"/>
      <c r="AP350" s="91"/>
      <c r="AQ350" s="91"/>
      <c r="AR350" s="91"/>
      <c r="AS350" s="92"/>
    </row>
    <row r="351" spans="1:50" x14ac:dyDescent="0.8">
      <c r="A351" s="35" t="s">
        <v>316</v>
      </c>
      <c r="B351" s="40">
        <v>7</v>
      </c>
      <c r="C351" s="40"/>
      <c r="D351" s="40"/>
      <c r="E351" s="40"/>
      <c r="F351" s="40"/>
      <c r="G351" s="40"/>
      <c r="H351" s="40"/>
      <c r="I351" s="40"/>
      <c r="J351" s="40"/>
      <c r="K351" s="40"/>
      <c r="L351" s="90"/>
      <c r="M351" s="91"/>
      <c r="N351" s="91"/>
      <c r="O351" s="91"/>
      <c r="P351" s="91"/>
      <c r="Q351" s="91"/>
      <c r="R351" s="90">
        <f>R$39*$E$56</f>
        <v>41.789803105290254</v>
      </c>
      <c r="S351" s="91">
        <f>R$39*$F$56</f>
        <v>79.40062590005148</v>
      </c>
      <c r="T351" s="91">
        <f>R$39*$G$56</f>
        <v>71.460563310046339</v>
      </c>
      <c r="U351" s="91">
        <f>R$39*$H$56</f>
        <v>64.356296782146984</v>
      </c>
      <c r="V351" s="91">
        <f>R$39*$I$56</f>
        <v>57.920667103932288</v>
      </c>
      <c r="W351" s="91">
        <f>R$39*$J$56</f>
        <v>52.070094669191654</v>
      </c>
      <c r="X351" s="91">
        <f>R$39*$K$56</f>
        <v>49.311967664242495</v>
      </c>
      <c r="Y351" s="91">
        <f>R$39*$L$56</f>
        <v>49.311967664242495</v>
      </c>
      <c r="Z351" s="91">
        <f>R$39*$M$56</f>
        <v>49.395547270453079</v>
      </c>
      <c r="AA351" s="91">
        <f>R$39*$N$56</f>
        <v>49.311967664242495</v>
      </c>
      <c r="AB351" s="91">
        <f>R$39*$O$56</f>
        <v>49.395547270453079</v>
      </c>
      <c r="AC351" s="91">
        <f>R$39*$P$56</f>
        <v>49.311967664242495</v>
      </c>
      <c r="AD351" s="91">
        <f>R$39*$Q$56</f>
        <v>49.395547270453079</v>
      </c>
      <c r="AE351" s="91">
        <f>R$39*$R$56</f>
        <v>49.311967664242495</v>
      </c>
      <c r="AF351" s="91">
        <f>R$39*$S$56</f>
        <v>49.395547270453079</v>
      </c>
      <c r="AG351" s="91">
        <f>R$39*$T$56</f>
        <v>24.655983832121247</v>
      </c>
      <c r="AH351" s="91"/>
      <c r="AI351" s="91"/>
      <c r="AJ351" s="91"/>
      <c r="AK351" s="91"/>
      <c r="AL351" s="91"/>
      <c r="AM351" s="91"/>
      <c r="AN351" s="91"/>
      <c r="AO351" s="91"/>
      <c r="AP351" s="91"/>
      <c r="AQ351" s="91"/>
      <c r="AR351" s="91"/>
      <c r="AS351" s="92"/>
    </row>
    <row r="352" spans="1:50" x14ac:dyDescent="0.8">
      <c r="A352" s="35" t="s">
        <v>316</v>
      </c>
      <c r="B352" s="40">
        <v>8</v>
      </c>
      <c r="C352" s="40"/>
      <c r="D352" s="40"/>
      <c r="E352" s="40"/>
      <c r="F352" s="40"/>
      <c r="G352" s="40"/>
      <c r="H352" s="40"/>
      <c r="I352" s="40"/>
      <c r="J352" s="40"/>
      <c r="K352" s="40"/>
      <c r="L352" s="90"/>
      <c r="M352" s="91"/>
      <c r="N352" s="91"/>
      <c r="O352" s="91"/>
      <c r="P352" s="91"/>
      <c r="Q352" s="91"/>
      <c r="R352" s="90"/>
      <c r="S352" s="91">
        <f>S$39*$E$56</f>
        <v>14.256455648190832</v>
      </c>
      <c r="T352" s="91">
        <f>S$39*$F$56</f>
        <v>27.087265731562578</v>
      </c>
      <c r="U352" s="91">
        <f>S$39*$G$56</f>
        <v>24.378539158406323</v>
      </c>
      <c r="V352" s="91">
        <f>S$39*$H$56</f>
        <v>21.954941698213879</v>
      </c>
      <c r="W352" s="91">
        <f>S$39*$I$56</f>
        <v>19.759447528392492</v>
      </c>
      <c r="X352" s="91">
        <f>S$39*$J$56</f>
        <v>17.763543737645776</v>
      </c>
      <c r="Y352" s="91">
        <f>S$39*$K$56</f>
        <v>16.822617664865181</v>
      </c>
      <c r="Z352" s="91">
        <f>S$39*$L$56</f>
        <v>16.822617664865181</v>
      </c>
      <c r="AA352" s="91">
        <f>S$39*$M$56</f>
        <v>16.851130576161562</v>
      </c>
      <c r="AB352" s="91">
        <f>S$39*$N$56</f>
        <v>16.822617664865181</v>
      </c>
      <c r="AC352" s="91">
        <f>S$39*$O$56</f>
        <v>16.851130576161562</v>
      </c>
      <c r="AD352" s="91">
        <f>S$39*$P$56</f>
        <v>16.822617664865181</v>
      </c>
      <c r="AE352" s="91">
        <f>S$39*$Q$56</f>
        <v>16.851130576161562</v>
      </c>
      <c r="AF352" s="91">
        <f>S$39*$R$56</f>
        <v>16.822617664865181</v>
      </c>
      <c r="AG352" s="91">
        <f>S$39*$S$56</f>
        <v>16.851130576161562</v>
      </c>
      <c r="AH352" s="91">
        <f>S$39*$T$56</f>
        <v>8.4113088324325904</v>
      </c>
      <c r="AI352" s="91"/>
      <c r="AJ352" s="91"/>
      <c r="AK352" s="91"/>
      <c r="AL352" s="91"/>
      <c r="AM352" s="91"/>
      <c r="AN352" s="91"/>
      <c r="AO352" s="91"/>
      <c r="AP352" s="91"/>
      <c r="AQ352" s="91"/>
      <c r="AR352" s="91"/>
      <c r="AS352" s="92"/>
    </row>
    <row r="353" spans="1:60" x14ac:dyDescent="0.8">
      <c r="A353" s="35" t="s">
        <v>316</v>
      </c>
      <c r="B353" s="40">
        <v>9</v>
      </c>
      <c r="C353" s="40"/>
      <c r="D353" s="40"/>
      <c r="E353" s="40"/>
      <c r="F353" s="40"/>
      <c r="G353" s="40"/>
      <c r="H353" s="40"/>
      <c r="I353" s="40"/>
      <c r="J353" s="40"/>
      <c r="K353" s="40"/>
      <c r="L353" s="90"/>
      <c r="M353" s="91"/>
      <c r="N353" s="91"/>
      <c r="O353" s="91"/>
      <c r="P353" s="91"/>
      <c r="Q353" s="91"/>
      <c r="R353" s="90"/>
      <c r="S353" s="91"/>
      <c r="T353" s="91">
        <f>T$39*$E$56</f>
        <v>13.766176138449556</v>
      </c>
      <c r="U353" s="91">
        <f>T$39*$F$56</f>
        <v>26.155734663054155</v>
      </c>
      <c r="V353" s="91">
        <f>T$39*$G$56</f>
        <v>23.540161196748741</v>
      </c>
      <c r="W353" s="91">
        <f>T$39*$H$56</f>
        <v>21.199911253212314</v>
      </c>
      <c r="X353" s="91">
        <f>T$39*$I$56</f>
        <v>19.079920127891082</v>
      </c>
      <c r="Y353" s="91">
        <f>T$39*$J$56</f>
        <v>17.152655468508147</v>
      </c>
      <c r="Z353" s="91">
        <f>T$39*$K$56</f>
        <v>16.244087843370473</v>
      </c>
      <c r="AA353" s="91">
        <f>T$39*$L$56</f>
        <v>16.244087843370473</v>
      </c>
      <c r="AB353" s="91">
        <f>T$39*$M$56</f>
        <v>16.271620195647372</v>
      </c>
      <c r="AC353" s="91">
        <f>T$39*$N$56</f>
        <v>16.244087843370473</v>
      </c>
      <c r="AD353" s="91">
        <f>T$39*$O$56</f>
        <v>16.271620195647372</v>
      </c>
      <c r="AE353" s="91">
        <f>T$39*$P$56</f>
        <v>16.244087843370473</v>
      </c>
      <c r="AF353" s="91">
        <f>T$39*$Q$56</f>
        <v>16.271620195647372</v>
      </c>
      <c r="AG353" s="91">
        <f>T$39*$R$56</f>
        <v>16.244087843370473</v>
      </c>
      <c r="AH353" s="91">
        <f>T$39*$S$56</f>
        <v>16.271620195647372</v>
      </c>
      <c r="AI353" s="91">
        <f>T$39*$T$56</f>
        <v>8.1220439216852363</v>
      </c>
      <c r="AJ353" s="91"/>
      <c r="AK353" s="91"/>
      <c r="AL353" s="91"/>
      <c r="AM353" s="91"/>
      <c r="AN353" s="91"/>
      <c r="AO353" s="91"/>
      <c r="AP353" s="91"/>
      <c r="AQ353" s="91"/>
      <c r="AR353" s="91"/>
      <c r="AS353" s="92"/>
    </row>
    <row r="354" spans="1:60" x14ac:dyDescent="0.8">
      <c r="A354" s="35" t="s">
        <v>316</v>
      </c>
      <c r="B354" s="40">
        <v>10</v>
      </c>
      <c r="C354" s="40"/>
      <c r="D354" s="40"/>
      <c r="E354" s="40"/>
      <c r="F354" s="40"/>
      <c r="G354" s="40"/>
      <c r="H354" s="40"/>
      <c r="I354" s="40"/>
      <c r="J354" s="40"/>
      <c r="K354" s="40"/>
      <c r="L354" s="90"/>
      <c r="M354" s="91"/>
      <c r="N354" s="91"/>
      <c r="O354" s="91"/>
      <c r="P354" s="91"/>
      <c r="Q354" s="91"/>
      <c r="R354" s="90"/>
      <c r="S354" s="91"/>
      <c r="T354" s="91"/>
      <c r="U354" s="91">
        <f>U$39*$E$56</f>
        <v>13.202437459403928</v>
      </c>
      <c r="V354" s="91">
        <f>U$39*$F$56</f>
        <v>25.084631172867461</v>
      </c>
      <c r="W354" s="91">
        <f>U$39*$G$56</f>
        <v>22.576168055580716</v>
      </c>
      <c r="X354" s="91">
        <f>U$39*$H$56</f>
        <v>20.331753687482049</v>
      </c>
      <c r="Y354" s="91">
        <f>U$39*$I$56</f>
        <v>18.298578318733842</v>
      </c>
      <c r="Z354" s="91">
        <f>U$39*$J$56</f>
        <v>16.450237074417295</v>
      </c>
      <c r="AA354" s="91">
        <f>U$39*$K$56</f>
        <v>15.578876202096634</v>
      </c>
      <c r="AB354" s="91">
        <f>U$39*$L$56</f>
        <v>15.578876202096634</v>
      </c>
      <c r="AC354" s="91">
        <f>U$39*$M$56</f>
        <v>15.605281077015443</v>
      </c>
      <c r="AD354" s="91">
        <f>U$39*$N$56</f>
        <v>15.578876202096634</v>
      </c>
      <c r="AE354" s="91">
        <f>U$39*$O$56</f>
        <v>15.605281077015443</v>
      </c>
      <c r="AF354" s="91">
        <f>U$39*$P$56</f>
        <v>15.578876202096634</v>
      </c>
      <c r="AG354" s="91">
        <f>U$39*$Q$56</f>
        <v>15.605281077015443</v>
      </c>
      <c r="AH354" s="91">
        <f>U$39*$R$56</f>
        <v>15.578876202096634</v>
      </c>
      <c r="AI354" s="91">
        <f>U$39*$S$56</f>
        <v>15.605281077015443</v>
      </c>
      <c r="AJ354" s="91">
        <f>U$39*$T$56</f>
        <v>7.7894381010483169</v>
      </c>
      <c r="AK354" s="91"/>
      <c r="AL354" s="91"/>
      <c r="AM354" s="91"/>
      <c r="AN354" s="91"/>
      <c r="AO354" s="91"/>
      <c r="AP354" s="91"/>
      <c r="AQ354" s="91"/>
      <c r="AR354" s="91"/>
      <c r="AS354" s="92"/>
    </row>
    <row r="355" spans="1:60" x14ac:dyDescent="0.8">
      <c r="A355" s="35" t="s">
        <v>316</v>
      </c>
      <c r="B355" s="40">
        <v>11</v>
      </c>
      <c r="C355" s="40"/>
      <c r="D355" s="40"/>
      <c r="E355" s="40"/>
      <c r="F355" s="40"/>
      <c r="G355" s="40"/>
      <c r="H355" s="40"/>
      <c r="I355" s="40"/>
      <c r="J355" s="40"/>
      <c r="K355" s="40"/>
      <c r="L355" s="90"/>
      <c r="M355" s="91"/>
      <c r="N355" s="91"/>
      <c r="O355" s="91"/>
      <c r="P355" s="91"/>
      <c r="Q355" s="91"/>
      <c r="R355" s="90"/>
      <c r="S355" s="91"/>
      <c r="T355" s="91"/>
      <c r="U355" s="91"/>
      <c r="V355" s="91">
        <f>V$39*$E$56</f>
        <v>12.583825370049773</v>
      </c>
      <c r="W355" s="91">
        <f>V$39*$F$56</f>
        <v>23.909268203094566</v>
      </c>
      <c r="X355" s="91">
        <f>V$39*$G$56</f>
        <v>21.51834138278511</v>
      </c>
      <c r="Y355" s="91">
        <f>V$39*$H$56</f>
        <v>19.379091069876647</v>
      </c>
      <c r="Z355" s="91">
        <f>V$39*$I$56</f>
        <v>17.441181962888983</v>
      </c>
      <c r="AA355" s="91">
        <f>V$39*$J$56</f>
        <v>15.679446411082015</v>
      </c>
      <c r="AB355" s="91">
        <f>V$39*$K$56</f>
        <v>14.848913936658731</v>
      </c>
      <c r="AC355" s="91">
        <f>V$39*$L$56</f>
        <v>14.848913936658731</v>
      </c>
      <c r="AD355" s="91">
        <f>V$39*$M$56</f>
        <v>14.87408158739883</v>
      </c>
      <c r="AE355" s="91">
        <f>V$39*$N$56</f>
        <v>14.848913936658731</v>
      </c>
      <c r="AF355" s="91">
        <f>V$39*$O$56</f>
        <v>14.87408158739883</v>
      </c>
      <c r="AG355" s="91">
        <f>V$39*$P$56</f>
        <v>14.848913936658731</v>
      </c>
      <c r="AH355" s="91">
        <f>V$39*$Q$56</f>
        <v>14.87408158739883</v>
      </c>
      <c r="AI355" s="91">
        <f>V$39*$R$56</f>
        <v>14.848913936658731</v>
      </c>
      <c r="AJ355" s="91">
        <f>V$39*$S$56</f>
        <v>14.87408158739883</v>
      </c>
      <c r="AK355" s="91">
        <f>V$39*$T$56</f>
        <v>7.4244569683293653</v>
      </c>
      <c r="AL355" s="91"/>
      <c r="AM355" s="91"/>
      <c r="AN355" s="91"/>
      <c r="AO355" s="91"/>
      <c r="AP355" s="91"/>
      <c r="AQ355" s="91"/>
      <c r="AR355" s="91"/>
      <c r="AS355" s="92"/>
    </row>
    <row r="356" spans="1:60" x14ac:dyDescent="0.8">
      <c r="A356" s="35" t="s">
        <v>316</v>
      </c>
      <c r="B356" s="40">
        <v>12</v>
      </c>
      <c r="C356" s="40"/>
      <c r="D356" s="40"/>
      <c r="E356" s="40"/>
      <c r="F356" s="40"/>
      <c r="G356" s="40"/>
      <c r="H356" s="40"/>
      <c r="I356" s="40"/>
      <c r="J356" s="40"/>
      <c r="K356" s="40"/>
      <c r="L356" s="90"/>
      <c r="M356" s="91"/>
      <c r="N356" s="91"/>
      <c r="O356" s="91"/>
      <c r="P356" s="91"/>
      <c r="Q356" s="91"/>
      <c r="R356" s="90"/>
      <c r="S356" s="91"/>
      <c r="T356" s="91"/>
      <c r="U356" s="91"/>
      <c r="V356" s="91"/>
      <c r="W356" s="91">
        <f>W$39*$E$56</f>
        <v>11.927323299508453</v>
      </c>
      <c r="X356" s="91">
        <f>W$39*$F$56</f>
        <v>22.66191426906606</v>
      </c>
      <c r="Y356" s="91">
        <f>W$39*$G$56</f>
        <v>20.395722842159454</v>
      </c>
      <c r="Z356" s="91">
        <f>W$39*$H$56</f>
        <v>18.368077881243018</v>
      </c>
      <c r="AA356" s="91">
        <f>W$39*$I$56</f>
        <v>16.531270093118717</v>
      </c>
      <c r="AB356" s="91">
        <f>W$39*$J$56</f>
        <v>14.861444831187532</v>
      </c>
      <c r="AC356" s="91">
        <f>W$39*$K$56</f>
        <v>14.074241493419974</v>
      </c>
      <c r="AD356" s="91">
        <f>W$39*$L$56</f>
        <v>14.074241493419974</v>
      </c>
      <c r="AE356" s="91">
        <f>W$39*$M$56</f>
        <v>14.09809614001899</v>
      </c>
      <c r="AF356" s="91">
        <f>W$39*$N$56</f>
        <v>14.074241493419974</v>
      </c>
      <c r="AG356" s="91">
        <f>W$39*$O$56</f>
        <v>14.09809614001899</v>
      </c>
      <c r="AH356" s="91">
        <f>W$39*$P$56</f>
        <v>14.074241493419974</v>
      </c>
      <c r="AI356" s="91">
        <f>W$39*$Q$56</f>
        <v>14.09809614001899</v>
      </c>
      <c r="AJ356" s="91">
        <f>W$39*$R$56</f>
        <v>14.074241493419974</v>
      </c>
      <c r="AK356" s="91">
        <f>W$39*$S$56</f>
        <v>14.09809614001899</v>
      </c>
      <c r="AL356" s="91">
        <f>W$39*$T$56</f>
        <v>7.037120746709987</v>
      </c>
      <c r="AM356" s="91"/>
      <c r="AN356" s="91"/>
      <c r="AO356" s="91"/>
      <c r="AP356" s="91"/>
      <c r="AQ356" s="91"/>
      <c r="AR356" s="91"/>
      <c r="AS356" s="92"/>
    </row>
    <row r="357" spans="1:60" x14ac:dyDescent="0.8">
      <c r="A357" s="35" t="s">
        <v>316</v>
      </c>
      <c r="B357" s="40">
        <v>13</v>
      </c>
      <c r="C357" s="40"/>
      <c r="D357" s="40"/>
      <c r="E357" s="40"/>
      <c r="F357" s="40"/>
      <c r="G357" s="40"/>
      <c r="H357" s="40"/>
      <c r="I357" s="40"/>
      <c r="J357" s="40"/>
      <c r="K357" s="40"/>
      <c r="L357" s="90"/>
      <c r="M357" s="91"/>
      <c r="N357" s="91"/>
      <c r="O357" s="91"/>
      <c r="P357" s="91"/>
      <c r="Q357" s="91"/>
      <c r="R357" s="90"/>
      <c r="S357" s="91"/>
      <c r="T357" s="91"/>
      <c r="U357" s="91"/>
      <c r="V357" s="91"/>
      <c r="W357" s="91"/>
      <c r="X357" s="91">
        <f>X$39*$E$56</f>
        <v>11.248023127908391</v>
      </c>
      <c r="Y357" s="91">
        <f>X$39*$F$56</f>
        <v>21.371243943025942</v>
      </c>
      <c r="Z357" s="91">
        <f>X$39*$G$56</f>
        <v>19.234119548723349</v>
      </c>
      <c r="AA357" s="91">
        <f>X$39*$H$56</f>
        <v>17.321955616978922</v>
      </c>
      <c r="AB357" s="91">
        <f>X$39*$I$56</f>
        <v>15.58976005528103</v>
      </c>
      <c r="AC357" s="91">
        <f>X$39*$J$56</f>
        <v>14.015036817373856</v>
      </c>
      <c r="AD357" s="91">
        <f>X$39*$K$56</f>
        <v>13.272667290931901</v>
      </c>
      <c r="AE357" s="91">
        <f>X$39*$L$56</f>
        <v>13.272667290931901</v>
      </c>
      <c r="AF357" s="91">
        <f>X$39*$M$56</f>
        <v>13.295163337187718</v>
      </c>
      <c r="AG357" s="91">
        <f>X$39*$N$56</f>
        <v>13.272667290931901</v>
      </c>
      <c r="AH357" s="91">
        <f>X$39*$O$56</f>
        <v>13.295163337187718</v>
      </c>
      <c r="AI357" s="91">
        <f>X$39*$P$56</f>
        <v>13.272667290931901</v>
      </c>
      <c r="AJ357" s="91">
        <f>X$39*$Q$56</f>
        <v>13.295163337187718</v>
      </c>
      <c r="AK357" s="91">
        <f>X$39*$R$56</f>
        <v>13.272667290931901</v>
      </c>
      <c r="AL357" s="91">
        <f>X$39*$S$56</f>
        <v>13.295163337187718</v>
      </c>
      <c r="AM357" s="91">
        <f>X$39*$T$56</f>
        <v>6.6363336454659505</v>
      </c>
      <c r="AN357" s="91"/>
      <c r="AO357" s="91"/>
      <c r="AP357" s="91"/>
      <c r="AQ357" s="91"/>
      <c r="AR357" s="91"/>
      <c r="AS357" s="92"/>
    </row>
    <row r="358" spans="1:60" x14ac:dyDescent="0.8">
      <c r="A358" s="35" t="s">
        <v>316</v>
      </c>
      <c r="B358" s="40">
        <v>14</v>
      </c>
      <c r="C358" s="40"/>
      <c r="D358" s="40"/>
      <c r="E358" s="40"/>
      <c r="F358" s="40"/>
      <c r="G358" s="40"/>
      <c r="H358" s="40"/>
      <c r="I358" s="40"/>
      <c r="J358" s="40"/>
      <c r="K358" s="40"/>
      <c r="L358" s="90"/>
      <c r="M358" s="91"/>
      <c r="N358" s="91"/>
      <c r="O358" s="91"/>
      <c r="P358" s="91"/>
      <c r="Q358" s="91"/>
      <c r="R358" s="90"/>
      <c r="S358" s="91"/>
      <c r="T358" s="91"/>
      <c r="U358" s="91"/>
      <c r="V358" s="91"/>
      <c r="W358" s="91"/>
      <c r="X358" s="91"/>
      <c r="Y358" s="91">
        <f>Y$39*$E$56</f>
        <v>9.3857709130375948</v>
      </c>
      <c r="Z358" s="91">
        <f>Y$39*$F$56</f>
        <v>17.83296473477143</v>
      </c>
      <c r="AA358" s="91">
        <f>Y$39*$G$56</f>
        <v>16.04966826129429</v>
      </c>
      <c r="AB358" s="91">
        <f>Y$39*$H$56</f>
        <v>14.454087206077896</v>
      </c>
      <c r="AC358" s="91">
        <f>Y$39*$I$56</f>
        <v>13.008678485470107</v>
      </c>
      <c r="AD358" s="91">
        <f>Y$39*$J$56</f>
        <v>11.694670557644844</v>
      </c>
      <c r="AE358" s="91">
        <f>Y$39*$K$56</f>
        <v>11.075209677384361</v>
      </c>
      <c r="AF358" s="91">
        <f>Y$39*$L$56</f>
        <v>11.075209677384361</v>
      </c>
      <c r="AG358" s="91">
        <f>Y$39*$M$56</f>
        <v>11.093981219210438</v>
      </c>
      <c r="AH358" s="91">
        <f>Y$39*$N$56</f>
        <v>11.075209677384361</v>
      </c>
      <c r="AI358" s="91">
        <f>Y$39*$O$56</f>
        <v>11.093981219210438</v>
      </c>
      <c r="AJ358" s="91">
        <f>Y$39*$P$56</f>
        <v>11.075209677384361</v>
      </c>
      <c r="AK358" s="91">
        <f>Y$39*$Q$56</f>
        <v>11.093981219210438</v>
      </c>
      <c r="AL358" s="91">
        <f>Y$39*$R$56</f>
        <v>11.075209677384361</v>
      </c>
      <c r="AM358" s="91">
        <f>Y$39*$S$56</f>
        <v>11.093981219210438</v>
      </c>
      <c r="AN358" s="91">
        <f>Y$39*$T$56</f>
        <v>5.5376048386921806</v>
      </c>
      <c r="AO358" s="91"/>
      <c r="AP358" s="91"/>
      <c r="AQ358" s="91"/>
      <c r="AR358" s="91"/>
      <c r="AS358" s="92"/>
    </row>
    <row r="359" spans="1:60" x14ac:dyDescent="0.8">
      <c r="A359" s="35" t="s">
        <v>316</v>
      </c>
      <c r="B359" s="40">
        <v>15</v>
      </c>
      <c r="C359" s="40"/>
      <c r="D359" s="40"/>
      <c r="E359" s="40"/>
      <c r="F359" s="40"/>
      <c r="G359" s="40"/>
      <c r="H359" s="40"/>
      <c r="I359" s="40"/>
      <c r="J359" s="40"/>
      <c r="K359" s="40"/>
      <c r="L359" s="90"/>
      <c r="M359" s="91"/>
      <c r="N359" s="91"/>
      <c r="O359" s="91"/>
      <c r="P359" s="91"/>
      <c r="Q359" s="91"/>
      <c r="R359" s="90"/>
      <c r="S359" s="91"/>
      <c r="T359" s="91"/>
      <c r="U359" s="91"/>
      <c r="V359" s="91"/>
      <c r="W359" s="91"/>
      <c r="X359" s="91"/>
      <c r="Y359" s="91"/>
      <c r="Z359" s="91">
        <f>Z$39*$E$56</f>
        <v>7.7671937940226599</v>
      </c>
      <c r="AA359" s="91">
        <f>Z$39*$F$56</f>
        <v>14.757668208643054</v>
      </c>
      <c r="AB359" s="91">
        <f>Z$39*$G$56</f>
        <v>13.281901387778749</v>
      </c>
      <c r="AC359" s="91">
        <f>Z$39*$H$56</f>
        <v>11.961478442794895</v>
      </c>
      <c r="AD359" s="91">
        <f>Z$39*$I$56</f>
        <v>10.765330598515407</v>
      </c>
      <c r="AE359" s="91">
        <f>Z$39*$J$56</f>
        <v>9.677923467352235</v>
      </c>
      <c r="AF359" s="91">
        <f>Z$39*$K$56</f>
        <v>9.165288676946739</v>
      </c>
      <c r="AG359" s="91">
        <f>Z$39*$L$56</f>
        <v>9.165288676946739</v>
      </c>
      <c r="AH359" s="91">
        <f>Z$39*$M$56</f>
        <v>9.180823064534783</v>
      </c>
      <c r="AI359" s="91">
        <f>Z$39*$N$56</f>
        <v>9.165288676946739</v>
      </c>
      <c r="AJ359" s="91">
        <f>Z$39*$O$56</f>
        <v>9.180823064534783</v>
      </c>
      <c r="AK359" s="91">
        <f>Z$39*$P$56</f>
        <v>9.165288676946739</v>
      </c>
      <c r="AL359" s="91">
        <f>Z$39*$Q$56</f>
        <v>9.180823064534783</v>
      </c>
      <c r="AM359" s="91">
        <f>Z$39*$R$56</f>
        <v>9.165288676946739</v>
      </c>
      <c r="AN359" s="91">
        <f>Z$39*$S$56</f>
        <v>9.180823064534783</v>
      </c>
      <c r="AO359" s="91">
        <f>Z$39*$T$56</f>
        <v>4.5826443384733695</v>
      </c>
      <c r="AP359" s="91"/>
      <c r="AQ359" s="91"/>
      <c r="AR359" s="91"/>
      <c r="AS359" s="92"/>
    </row>
    <row r="360" spans="1:60" x14ac:dyDescent="0.8">
      <c r="A360" s="35" t="s">
        <v>316</v>
      </c>
      <c r="B360" s="40">
        <v>16</v>
      </c>
      <c r="C360" s="40"/>
      <c r="D360" s="40"/>
      <c r="E360" s="40"/>
      <c r="F360" s="40"/>
      <c r="G360" s="40"/>
      <c r="H360" s="40"/>
      <c r="I360" s="40"/>
      <c r="J360" s="40"/>
      <c r="K360" s="40"/>
      <c r="L360" s="90"/>
      <c r="M360" s="91"/>
      <c r="N360" s="91"/>
      <c r="O360" s="91"/>
      <c r="P360" s="91"/>
      <c r="Q360" s="91"/>
      <c r="R360" s="90"/>
      <c r="S360" s="91"/>
      <c r="T360" s="91"/>
      <c r="U360" s="91"/>
      <c r="V360" s="91"/>
      <c r="W360" s="91"/>
      <c r="X360" s="91"/>
      <c r="Y360" s="91"/>
      <c r="Z360" s="91"/>
      <c r="AA360" s="91">
        <f>AA$39*$E$56</f>
        <v>6.384943374010664</v>
      </c>
      <c r="AB360" s="91">
        <f>AA$39*$F$56</f>
        <v>12.131392410620261</v>
      </c>
      <c r="AC360" s="91">
        <f>AA$39*$G$56</f>
        <v>10.918253169558236</v>
      </c>
      <c r="AD360" s="91">
        <f>AA$39*$H$56</f>
        <v>9.8328127959764213</v>
      </c>
      <c r="AE360" s="91">
        <f>AA$39*$I$56</f>
        <v>8.8495315163787787</v>
      </c>
      <c r="AF360" s="91">
        <f>AA$39*$J$56</f>
        <v>7.9556394440172866</v>
      </c>
      <c r="AG360" s="91">
        <f>AA$39*$K$56</f>
        <v>7.5342331813325822</v>
      </c>
      <c r="AH360" s="91">
        <f>AA$39*$L$56</f>
        <v>7.5342331813325822</v>
      </c>
      <c r="AI360" s="91">
        <f>AA$39*$M$56</f>
        <v>7.5470030680806044</v>
      </c>
      <c r="AJ360" s="91">
        <f>AA$39*$N$56</f>
        <v>7.5342331813325822</v>
      </c>
      <c r="AK360" s="91">
        <f>AA$39*$O$56</f>
        <v>7.5470030680806044</v>
      </c>
      <c r="AL360" s="91">
        <f>AA$39*$P$56</f>
        <v>7.5342331813325822</v>
      </c>
      <c r="AM360" s="91">
        <f>AA$39*$Q$56</f>
        <v>7.5470030680806044</v>
      </c>
      <c r="AN360" s="91">
        <f>AA$39*$R$56</f>
        <v>7.5342331813325822</v>
      </c>
      <c r="AO360" s="91">
        <f>AA$39*$S$56</f>
        <v>7.5470030680806044</v>
      </c>
      <c r="AP360" s="91">
        <f>AA$39*$T$56</f>
        <v>3.7671165906662911</v>
      </c>
      <c r="AQ360" s="91"/>
      <c r="AR360" s="91"/>
      <c r="AS360" s="92"/>
    </row>
    <row r="361" spans="1:60" x14ac:dyDescent="0.8">
      <c r="A361" s="35" t="s">
        <v>316</v>
      </c>
      <c r="B361" s="40">
        <v>17</v>
      </c>
      <c r="C361" s="40"/>
      <c r="D361" s="40"/>
      <c r="E361" s="40"/>
      <c r="F361" s="40"/>
      <c r="G361" s="40"/>
      <c r="H361" s="40"/>
      <c r="I361" s="40"/>
      <c r="J361" s="40"/>
      <c r="K361" s="40"/>
      <c r="L361" s="90"/>
      <c r="M361" s="91"/>
      <c r="N361" s="91"/>
      <c r="O361" s="91"/>
      <c r="P361" s="91"/>
      <c r="Q361" s="91"/>
      <c r="R361" s="90"/>
      <c r="S361" s="91"/>
      <c r="T361" s="91"/>
      <c r="U361" s="91"/>
      <c r="V361" s="91"/>
      <c r="W361" s="91"/>
      <c r="X361" s="91"/>
      <c r="Y361" s="91"/>
      <c r="Z361" s="91"/>
      <c r="AA361" s="91"/>
      <c r="AB361" s="91">
        <f>AB$39*$E$56</f>
        <v>5.2205336180271393</v>
      </c>
      <c r="AC361" s="91">
        <f>AB$39*$F$56</f>
        <v>9.9190138742515632</v>
      </c>
      <c r="AD361" s="91">
        <f>AB$39*$G$56</f>
        <v>8.9271124868264078</v>
      </c>
      <c r="AE361" s="91">
        <f>AB$39*$H$56</f>
        <v>8.0396217717617944</v>
      </c>
      <c r="AF361" s="91">
        <f>AB$39*$I$56</f>
        <v>7.2356595945856146</v>
      </c>
      <c r="AG361" s="91">
        <f>AB$39*$J$56</f>
        <v>6.5047848880618151</v>
      </c>
      <c r="AH361" s="91">
        <f>AB$39*$K$56</f>
        <v>6.1602296692720238</v>
      </c>
      <c r="AI361" s="91">
        <f>AB$39*$L$56</f>
        <v>6.1602296692720238</v>
      </c>
      <c r="AJ361" s="91">
        <f>AB$39*$M$56</f>
        <v>6.170670736508078</v>
      </c>
      <c r="AK361" s="91">
        <f>AB$39*$N$56</f>
        <v>6.1602296692720238</v>
      </c>
      <c r="AL361" s="91">
        <f>AB$39*$O$56</f>
        <v>6.170670736508078</v>
      </c>
      <c r="AM361" s="91">
        <f>AB$39*$P$56</f>
        <v>6.1602296692720238</v>
      </c>
      <c r="AN361" s="91">
        <f>AB$39*$Q$56</f>
        <v>6.170670736508078</v>
      </c>
      <c r="AO361" s="91">
        <f>AB$39*$R$56</f>
        <v>6.1602296692720238</v>
      </c>
      <c r="AP361" s="91">
        <f>AB$39*$S$56</f>
        <v>6.170670736508078</v>
      </c>
      <c r="AQ361" s="91">
        <f>AB$39*$T$56</f>
        <v>3.0801148346360119</v>
      </c>
      <c r="AR361" s="91"/>
      <c r="AS361" s="92"/>
    </row>
    <row r="362" spans="1:60" x14ac:dyDescent="0.8">
      <c r="A362" s="35" t="s">
        <v>316</v>
      </c>
      <c r="B362" s="40">
        <v>18</v>
      </c>
      <c r="C362" s="40"/>
      <c r="D362" s="40"/>
      <c r="E362" s="40"/>
      <c r="F362" s="40"/>
      <c r="G362" s="40"/>
      <c r="H362" s="40"/>
      <c r="I362" s="40"/>
      <c r="J362" s="40"/>
      <c r="K362" s="40"/>
      <c r="L362" s="90"/>
      <c r="M362" s="91"/>
      <c r="N362" s="91"/>
      <c r="O362" s="91"/>
      <c r="P362" s="91"/>
      <c r="Q362" s="91"/>
      <c r="R362" s="90"/>
      <c r="S362" s="91"/>
      <c r="T362" s="91"/>
      <c r="U362" s="91"/>
      <c r="V362" s="91"/>
      <c r="W362" s="91"/>
      <c r="X362" s="91"/>
      <c r="Y362" s="91"/>
      <c r="Z362" s="91"/>
      <c r="AA362" s="91"/>
      <c r="AB362" s="91"/>
      <c r="AC362" s="91">
        <f>AC$39*$E$56</f>
        <v>4.2500653899817733</v>
      </c>
      <c r="AD362" s="91">
        <f>AC$39*$F$56</f>
        <v>8.0751242409653692</v>
      </c>
      <c r="AE362" s="91">
        <f>AC$39*$G$56</f>
        <v>7.2676118168688335</v>
      </c>
      <c r="AF362" s="91">
        <f>AC$39*$H$56</f>
        <v>6.5451007005719308</v>
      </c>
      <c r="AG362" s="91">
        <f>AC$39*$I$56</f>
        <v>5.8905906305147377</v>
      </c>
      <c r="AH362" s="91">
        <f>AC$39*$J$56</f>
        <v>5.2955814759172899</v>
      </c>
      <c r="AI362" s="91">
        <f>AC$39*$K$56</f>
        <v>5.0150771601784925</v>
      </c>
      <c r="AJ362" s="91">
        <f>AC$39*$L$56</f>
        <v>5.0150771601784925</v>
      </c>
      <c r="AK362" s="91">
        <f>AC$39*$M$56</f>
        <v>5.023577290958456</v>
      </c>
      <c r="AL362" s="91">
        <f>AC$39*$N$56</f>
        <v>5.0150771601784925</v>
      </c>
      <c r="AM362" s="91">
        <f>AC$39*$O$56</f>
        <v>5.023577290958456</v>
      </c>
      <c r="AN362" s="91">
        <f>AC$39*$P$56</f>
        <v>5.0150771601784925</v>
      </c>
      <c r="AO362" s="91">
        <f>AC$39*$Q$56</f>
        <v>5.023577290958456</v>
      </c>
      <c r="AP362" s="91">
        <f>AC$39*$R$56</f>
        <v>5.0150771601784925</v>
      </c>
      <c r="AQ362" s="91">
        <f>AC$39*$S$56</f>
        <v>5.023577290958456</v>
      </c>
      <c r="AR362" s="91">
        <f>AC$39*$T$56</f>
        <v>2.5075385800892462</v>
      </c>
      <c r="AS362" s="92"/>
    </row>
    <row r="363" spans="1:60" x14ac:dyDescent="0.8">
      <c r="A363" s="35" t="s">
        <v>316</v>
      </c>
      <c r="B363" s="40">
        <v>19</v>
      </c>
      <c r="C363" s="40"/>
      <c r="D363" s="40"/>
      <c r="E363" s="40"/>
      <c r="F363" s="40"/>
      <c r="G363" s="40"/>
      <c r="H363" s="40"/>
      <c r="I363" s="40"/>
      <c r="J363" s="40"/>
      <c r="K363" s="40"/>
      <c r="L363" s="90"/>
      <c r="M363" s="91"/>
      <c r="N363" s="91"/>
      <c r="O363" s="91"/>
      <c r="P363" s="91"/>
      <c r="Q363" s="91"/>
      <c r="R363" s="90"/>
      <c r="S363" s="91"/>
      <c r="T363" s="91"/>
      <c r="U363" s="91"/>
      <c r="V363" s="91"/>
      <c r="W363" s="91"/>
      <c r="X363" s="91"/>
      <c r="Y363" s="91"/>
      <c r="Z363" s="91"/>
      <c r="AA363" s="91"/>
      <c r="AB363" s="91"/>
      <c r="AC363" s="91"/>
      <c r="AD363" s="91">
        <f>AD$39*$E$56</f>
        <v>3.4480119183014724</v>
      </c>
      <c r="AE363" s="91">
        <f>AD$39*$F$56</f>
        <v>6.551222644772797</v>
      </c>
      <c r="AF363" s="91">
        <f>AD$39*$G$56</f>
        <v>5.8961003802955183</v>
      </c>
      <c r="AG363" s="91">
        <f>AD$39*$H$56</f>
        <v>5.3099383541842675</v>
      </c>
      <c r="AH363" s="91">
        <f>AD$39*$I$56</f>
        <v>4.7789445187658401</v>
      </c>
      <c r="AI363" s="91">
        <f>AD$39*$J$56</f>
        <v>4.2962228502036348</v>
      </c>
      <c r="AJ363" s="91">
        <f>AD$39*$K$56</f>
        <v>4.0686540635957371</v>
      </c>
      <c r="AK363" s="91">
        <f>AD$39*$L$56</f>
        <v>4.0686540635957371</v>
      </c>
      <c r="AL363" s="91">
        <f>AD$39*$M$56</f>
        <v>4.0755500874323403</v>
      </c>
      <c r="AM363" s="91">
        <f>AD$39*$N$56</f>
        <v>4.0686540635957371</v>
      </c>
      <c r="AN363" s="91">
        <f>AD$39*$O$56</f>
        <v>4.0755500874323403</v>
      </c>
      <c r="AO363" s="91">
        <f>AD$39*$P$56</f>
        <v>4.0686540635957371</v>
      </c>
      <c r="AP363" s="91">
        <f>AD$39*$Q$56</f>
        <v>4.0755500874323403</v>
      </c>
      <c r="AQ363" s="91">
        <f>AD$39*$R$56</f>
        <v>4.0686540635957371</v>
      </c>
      <c r="AR363" s="91">
        <f>AD$39*$S$56</f>
        <v>4.0755500874323403</v>
      </c>
      <c r="AS363" s="91">
        <f>AD$39*$T$56</f>
        <v>2.0343270317978686</v>
      </c>
      <c r="AT363" s="124"/>
      <c r="AU363" s="107"/>
      <c r="AV363" s="107"/>
      <c r="AW363" s="107"/>
      <c r="AX363" s="107"/>
      <c r="AY363" s="107"/>
      <c r="AZ363" s="107"/>
      <c r="BA363" s="107"/>
      <c r="BB363" s="107"/>
      <c r="BC363" s="107"/>
      <c r="BD363" s="107"/>
      <c r="BE363" s="107"/>
      <c r="BF363" s="107"/>
      <c r="BG363" s="107"/>
      <c r="BH363" s="107"/>
    </row>
    <row r="364" spans="1:60" x14ac:dyDescent="0.8">
      <c r="A364" s="35" t="s">
        <v>316</v>
      </c>
      <c r="B364" s="40">
        <v>20</v>
      </c>
      <c r="C364" s="40"/>
      <c r="D364" s="40"/>
      <c r="E364" s="40"/>
      <c r="F364" s="40"/>
      <c r="G364" s="40"/>
      <c r="H364" s="40"/>
      <c r="I364" s="40"/>
      <c r="J364" s="40"/>
      <c r="K364" s="40"/>
      <c r="L364" s="90"/>
      <c r="M364" s="91"/>
      <c r="N364" s="91"/>
      <c r="O364" s="91"/>
      <c r="P364" s="91"/>
      <c r="Q364" s="91"/>
      <c r="R364" s="90"/>
      <c r="S364" s="91"/>
      <c r="T364" s="91"/>
      <c r="U364" s="91"/>
      <c r="V364" s="91"/>
      <c r="W364" s="91"/>
      <c r="X364" s="91"/>
      <c r="Y364" s="91"/>
      <c r="Z364" s="91"/>
      <c r="AA364" s="91"/>
      <c r="AB364" s="91"/>
      <c r="AC364" s="91"/>
      <c r="AD364" s="91"/>
      <c r="AE364" s="91">
        <f>AE$39*$E$56</f>
        <v>1.6995141125789814E-2</v>
      </c>
      <c r="AF364" s="91">
        <f>AE$39*$F$56</f>
        <v>3.2290768139000649E-2</v>
      </c>
      <c r="AG364" s="91">
        <f>AE$39*$G$56</f>
        <v>2.9061691325100586E-2</v>
      </c>
      <c r="AH364" s="91">
        <f>AE$39*$H$56</f>
        <v>2.6172517333716314E-2</v>
      </c>
      <c r="AI364" s="91">
        <f>AE$39*$I$56</f>
        <v>2.3555265600344683E-2</v>
      </c>
      <c r="AJ364" s="91">
        <f>AE$39*$J$56</f>
        <v>2.117594584273411E-2</v>
      </c>
      <c r="AK364" s="91">
        <f>AE$39*$K$56</f>
        <v>2.005426652843198E-2</v>
      </c>
      <c r="AL364" s="91">
        <f>AE$39*$L$56</f>
        <v>2.005426652843198E-2</v>
      </c>
      <c r="AM364" s="91">
        <f>AE$39*$M$56</f>
        <v>2.0088256810683561E-2</v>
      </c>
      <c r="AN364" s="91">
        <f>AE$39*$N$56</f>
        <v>2.005426652843198E-2</v>
      </c>
      <c r="AO364" s="91">
        <f>AE$39*$O$56</f>
        <v>2.0088256810683561E-2</v>
      </c>
      <c r="AP364" s="91">
        <f>AE$39*$P$56</f>
        <v>2.005426652843198E-2</v>
      </c>
      <c r="AQ364" s="91">
        <f>AE$39*$Q$56</f>
        <v>2.0088256810683561E-2</v>
      </c>
      <c r="AR364" s="91">
        <f>AE$39*$R$56</f>
        <v>2.005426652843198E-2</v>
      </c>
      <c r="AS364" s="91">
        <f>AE$39*$S$56</f>
        <v>2.0088256810683561E-2</v>
      </c>
      <c r="AT364" s="124">
        <f>AE$39*$T$56</f>
        <v>1.002713326421599E-2</v>
      </c>
      <c r="AU364" s="107"/>
      <c r="AV364" s="107"/>
      <c r="AW364" s="107"/>
      <c r="AX364" s="107"/>
      <c r="AY364" s="107"/>
      <c r="AZ364" s="107"/>
      <c r="BA364" s="107"/>
      <c r="BB364" s="107"/>
      <c r="BC364" s="107"/>
      <c r="BD364" s="107"/>
      <c r="BE364" s="107"/>
      <c r="BF364" s="107"/>
      <c r="BG364" s="107"/>
      <c r="BH364" s="107"/>
    </row>
    <row r="365" spans="1:60" x14ac:dyDescent="0.8">
      <c r="A365" s="35" t="s">
        <v>316</v>
      </c>
      <c r="B365" s="40">
        <v>21</v>
      </c>
      <c r="C365" s="40"/>
      <c r="D365" s="40"/>
      <c r="E365" s="40"/>
      <c r="F365" s="40"/>
      <c r="G365" s="40"/>
      <c r="H365" s="40"/>
      <c r="I365" s="40"/>
      <c r="J365" s="40"/>
      <c r="K365" s="40"/>
      <c r="L365" s="90"/>
      <c r="M365" s="91"/>
      <c r="N365" s="91"/>
      <c r="O365" s="91"/>
      <c r="P365" s="91"/>
      <c r="Q365" s="91"/>
      <c r="R365" s="90"/>
      <c r="S365" s="91"/>
      <c r="T365" s="91"/>
      <c r="U365" s="91"/>
      <c r="V365" s="91"/>
      <c r="W365" s="91"/>
      <c r="X365" s="91"/>
      <c r="Y365" s="91"/>
      <c r="Z365" s="91"/>
      <c r="AA365" s="91"/>
      <c r="AB365" s="91"/>
      <c r="AC365" s="91"/>
      <c r="AD365" s="91"/>
      <c r="AE365" s="91"/>
      <c r="AF365" s="91">
        <f>AF$39*$E$56</f>
        <v>1.6996075858605766E-2</v>
      </c>
      <c r="AG365" s="91">
        <f>AF$39*$F$56</f>
        <v>3.229254413135095E-2</v>
      </c>
      <c r="AH365" s="91">
        <f>AF$39*$G$56</f>
        <v>2.9063289718215857E-2</v>
      </c>
      <c r="AI365" s="91">
        <f>AF$39*$H$56</f>
        <v>2.6173956822252875E-2</v>
      </c>
      <c r="AJ365" s="91">
        <f>AF$39*$I$56</f>
        <v>2.3556561140027587E-2</v>
      </c>
      <c r="AK365" s="91">
        <f>AF$39*$J$56</f>
        <v>2.1177110519822781E-2</v>
      </c>
      <c r="AL365" s="91">
        <f>AF$39*$K$56</f>
        <v>2.00553695131548E-2</v>
      </c>
      <c r="AM365" s="91">
        <f>AF$39*$L$56</f>
        <v>2.00553695131548E-2</v>
      </c>
      <c r="AN365" s="91">
        <f>AF$39*$M$56</f>
        <v>2.0089361664872012E-2</v>
      </c>
      <c r="AO365" s="91">
        <f>AF$39*$N$56</f>
        <v>2.00553695131548E-2</v>
      </c>
      <c r="AP365" s="91">
        <f>AF$39*$O$56</f>
        <v>2.0089361664872012E-2</v>
      </c>
      <c r="AQ365" s="91">
        <f>AF$39*$P$56</f>
        <v>2.00553695131548E-2</v>
      </c>
      <c r="AR365" s="91">
        <f>AF$39*$Q$56</f>
        <v>2.0089361664872012E-2</v>
      </c>
      <c r="AS365" s="91">
        <f>AF$39*$R$56</f>
        <v>2.00553695131548E-2</v>
      </c>
      <c r="AT365" s="124">
        <f>AF$39*$S$56</f>
        <v>2.0089361664872012E-2</v>
      </c>
      <c r="AU365" s="107">
        <f>AF$39*$T$56</f>
        <v>1.00276847565774E-2</v>
      </c>
      <c r="AV365" s="107"/>
      <c r="AW365" s="107"/>
      <c r="AX365" s="107"/>
      <c r="AY365" s="107"/>
      <c r="AZ365" s="107"/>
      <c r="BA365" s="107"/>
      <c r="BB365" s="107"/>
      <c r="BC365" s="107"/>
      <c r="BD365" s="107"/>
      <c r="BE365" s="107"/>
      <c r="BF365" s="107"/>
      <c r="BG365" s="107"/>
      <c r="BH365" s="107"/>
    </row>
    <row r="366" spans="1:60" x14ac:dyDescent="0.8">
      <c r="A366" s="35" t="s">
        <v>316</v>
      </c>
      <c r="B366" s="40">
        <v>22</v>
      </c>
      <c r="C366" s="40"/>
      <c r="D366" s="40"/>
      <c r="E366" s="40"/>
      <c r="F366" s="40"/>
      <c r="G366" s="40"/>
      <c r="H366" s="40"/>
      <c r="I366" s="40"/>
      <c r="J366" s="40"/>
      <c r="K366" s="40"/>
      <c r="L366" s="90"/>
      <c r="M366" s="91"/>
      <c r="N366" s="91"/>
      <c r="O366" s="91"/>
      <c r="P366" s="91"/>
      <c r="Q366" s="91"/>
      <c r="R366" s="90"/>
      <c r="S366" s="91"/>
      <c r="T366" s="91"/>
      <c r="U366" s="91"/>
      <c r="V366" s="91"/>
      <c r="W366" s="91"/>
      <c r="X366" s="91"/>
      <c r="Y366" s="91"/>
      <c r="Z366" s="91"/>
      <c r="AA366" s="91"/>
      <c r="AB366" s="91"/>
      <c r="AC366" s="91"/>
      <c r="AD366" s="91"/>
      <c r="AE366" s="91"/>
      <c r="AF366" s="91"/>
      <c r="AG366" s="91">
        <f>AG$39*$E$56</f>
        <v>1.699701064276269E-2</v>
      </c>
      <c r="AH366" s="91">
        <f>AG$39*$F$56</f>
        <v>3.2294320221249111E-2</v>
      </c>
      <c r="AI366" s="91">
        <f>AG$39*$G$56</f>
        <v>2.90648881991242E-2</v>
      </c>
      <c r="AJ366" s="91">
        <f>AG$39*$H$56</f>
        <v>2.6175396389854541E-2</v>
      </c>
      <c r="AK366" s="91">
        <f>AG$39*$I$56</f>
        <v>2.3557856750869088E-2</v>
      </c>
      <c r="AL366" s="91">
        <f>AG$39*$J$56</f>
        <v>2.1178275260882312E-2</v>
      </c>
      <c r="AM366" s="91">
        <f>AG$39*$K$56</f>
        <v>2.0056472558459972E-2</v>
      </c>
      <c r="AN366" s="91">
        <f>AG$39*$L$56</f>
        <v>2.0056472558459972E-2</v>
      </c>
      <c r="AO366" s="91">
        <f>AG$39*$M$56</f>
        <v>2.0090466579745499E-2</v>
      </c>
      <c r="AP366" s="91">
        <f>AG$39*$N$56</f>
        <v>2.0056472558459972E-2</v>
      </c>
      <c r="AQ366" s="91">
        <f>AG$39*$O$56</f>
        <v>2.0090466579745499E-2</v>
      </c>
      <c r="AR366" s="91">
        <f>AG$39*$P$56</f>
        <v>2.0056472558459972E-2</v>
      </c>
      <c r="AS366" s="91">
        <f>AG$39*$Q$56</f>
        <v>2.0090466579745499E-2</v>
      </c>
      <c r="AT366" s="124">
        <f>AG$39*$R$56</f>
        <v>2.0056472558459972E-2</v>
      </c>
      <c r="AU366" s="107">
        <f>AG$39*$S$56</f>
        <v>2.0090466579745499E-2</v>
      </c>
      <c r="AV366" s="107">
        <f>AG$39*$T$56</f>
        <v>1.0028236279229986E-2</v>
      </c>
      <c r="AW366" s="107"/>
      <c r="AX366" s="107"/>
      <c r="AY366" s="107"/>
      <c r="AZ366" s="107"/>
      <c r="BA366" s="107"/>
      <c r="BB366" s="107"/>
      <c r="BC366" s="107"/>
      <c r="BD366" s="107"/>
      <c r="BE366" s="107"/>
      <c r="BF366" s="107"/>
      <c r="BG366" s="107"/>
      <c r="BH366" s="107"/>
    </row>
    <row r="367" spans="1:60" x14ac:dyDescent="0.8">
      <c r="A367" s="35" t="s">
        <v>316</v>
      </c>
      <c r="B367" s="40">
        <v>23</v>
      </c>
      <c r="C367" s="40"/>
      <c r="D367" s="40"/>
      <c r="E367" s="40"/>
      <c r="F367" s="40"/>
      <c r="G367" s="40"/>
      <c r="H367" s="40"/>
      <c r="I367" s="40"/>
      <c r="J367" s="40"/>
      <c r="K367" s="40"/>
      <c r="L367" s="90"/>
      <c r="M367" s="91"/>
      <c r="N367" s="91"/>
      <c r="O367" s="91"/>
      <c r="P367" s="91"/>
      <c r="Q367" s="91"/>
      <c r="R367" s="90"/>
      <c r="S367" s="91"/>
      <c r="T367" s="91"/>
      <c r="U367" s="91"/>
      <c r="V367" s="91"/>
      <c r="W367" s="91"/>
      <c r="X367" s="91"/>
      <c r="Y367" s="91"/>
      <c r="Z367" s="91"/>
      <c r="AA367" s="91"/>
      <c r="AB367" s="91"/>
      <c r="AC367" s="91"/>
      <c r="AD367" s="91"/>
      <c r="AE367" s="91"/>
      <c r="AF367" s="91"/>
      <c r="AG367" s="91"/>
      <c r="AH367" s="91">
        <f>AH$39*$E$56</f>
        <v>1.6997945478397013E-2</v>
      </c>
      <c r="AI367" s="91">
        <f>AH$39*$F$56</f>
        <v>3.2296096408954325E-2</v>
      </c>
      <c r="AJ367" s="91">
        <f>AH$39*$G$56</f>
        <v>2.9066486768058897E-2</v>
      </c>
      <c r="AK367" s="91">
        <f>AH$39*$H$56</f>
        <v>2.6176836036731401E-2</v>
      </c>
      <c r="AL367" s="91">
        <f>AH$39*$I$56</f>
        <v>2.3559152433058263E-2</v>
      </c>
      <c r="AM367" s="91">
        <f>AH$39*$J$56</f>
        <v>2.1179440066082678E-2</v>
      </c>
      <c r="AN367" s="91">
        <f>AH$39*$K$56</f>
        <v>2.0057575664508477E-2</v>
      </c>
      <c r="AO367" s="91">
        <f>AH$39*$L$56</f>
        <v>2.0057575664508477E-2</v>
      </c>
      <c r="AP367" s="91">
        <f>AH$39*$M$56</f>
        <v>2.009157155546527E-2</v>
      </c>
      <c r="AQ367" s="91">
        <f>AH$39*$N$56</f>
        <v>2.0057575664508477E-2</v>
      </c>
      <c r="AR367" s="91">
        <f>AH$39*$O$56</f>
        <v>2.009157155546527E-2</v>
      </c>
      <c r="AS367" s="91">
        <f>AH$39*$P$56</f>
        <v>2.0057575664508477E-2</v>
      </c>
      <c r="AT367" s="124">
        <f>AH$39*$Q$56</f>
        <v>2.009157155546527E-2</v>
      </c>
      <c r="AU367" s="107">
        <f>AH$39*$R$56</f>
        <v>2.0057575664508477E-2</v>
      </c>
      <c r="AV367" s="107">
        <f>AH$39*$S$56</f>
        <v>2.009157155546527E-2</v>
      </c>
      <c r="AW367" s="107">
        <f>AH$39*$T$56</f>
        <v>1.0028787832254239E-2</v>
      </c>
      <c r="AX367" s="107"/>
      <c r="AY367" s="107"/>
      <c r="AZ367" s="107"/>
      <c r="BA367" s="107"/>
      <c r="BB367" s="107"/>
      <c r="BC367" s="107"/>
      <c r="BD367" s="107"/>
      <c r="BE367" s="107"/>
      <c r="BF367" s="107"/>
      <c r="BG367" s="107"/>
      <c r="BH367" s="107"/>
    </row>
    <row r="368" spans="1:60" x14ac:dyDescent="0.8">
      <c r="A368" s="35" t="s">
        <v>316</v>
      </c>
      <c r="B368" s="40">
        <v>24</v>
      </c>
      <c r="C368" s="40"/>
      <c r="D368" s="40"/>
      <c r="E368" s="40"/>
      <c r="F368" s="40"/>
      <c r="G368" s="40"/>
      <c r="H368" s="40"/>
      <c r="I368" s="40"/>
      <c r="J368" s="40"/>
      <c r="K368" s="40"/>
      <c r="L368" s="90"/>
      <c r="M368" s="91"/>
      <c r="N368" s="91"/>
      <c r="O368" s="91"/>
      <c r="P368" s="91"/>
      <c r="Q368" s="91"/>
      <c r="R368" s="90"/>
      <c r="S368" s="91"/>
      <c r="T368" s="91"/>
      <c r="U368" s="91"/>
      <c r="V368" s="91"/>
      <c r="W368" s="91"/>
      <c r="X368" s="91"/>
      <c r="Y368" s="91"/>
      <c r="Z368" s="91"/>
      <c r="AA368" s="91"/>
      <c r="AB368" s="91"/>
      <c r="AC368" s="91"/>
      <c r="AD368" s="91"/>
      <c r="AE368" s="91"/>
      <c r="AF368" s="91"/>
      <c r="AG368" s="91"/>
      <c r="AH368" s="91"/>
      <c r="AI368" s="91">
        <f>AI$39*$E$56</f>
        <v>1.6998880365326843E-2</v>
      </c>
      <c r="AJ368" s="91">
        <f>AI$39*$F$56</f>
        <v>3.2297872694120995E-2</v>
      </c>
      <c r="AK368" s="91">
        <f>AI$39*$G$56</f>
        <v>2.90680854247089E-2</v>
      </c>
      <c r="AL368" s="91">
        <f>AI$39*$H$56</f>
        <v>2.6178275762603335E-2</v>
      </c>
      <c r="AM368" s="91">
        <f>AI$39*$I$56</f>
        <v>2.3560448186343001E-2</v>
      </c>
      <c r="AN368" s="91">
        <f>AI$39*$J$56</f>
        <v>2.1180604935197245E-2</v>
      </c>
      <c r="AO368" s="91">
        <f>AI$39*$K$56</f>
        <v>2.0058678831085672E-2</v>
      </c>
      <c r="AP368" s="91">
        <f>AI$39*$L$56</f>
        <v>2.0058678831085672E-2</v>
      </c>
      <c r="AQ368" s="91">
        <f>AI$39*$M$56</f>
        <v>2.0092676591816325E-2</v>
      </c>
      <c r="AR368" s="91">
        <f>AI$39*$N$56</f>
        <v>2.0058678831085672E-2</v>
      </c>
      <c r="AS368" s="91">
        <f>AI$39*$O$56</f>
        <v>2.0092676591816325E-2</v>
      </c>
      <c r="AT368" s="124">
        <f>AI$39*$P$56</f>
        <v>2.0058678831085672E-2</v>
      </c>
      <c r="AU368" s="107">
        <f>AI$39*$Q$56</f>
        <v>2.0092676591816325E-2</v>
      </c>
      <c r="AV368" s="107">
        <f>AI$39*$R$56</f>
        <v>2.0058678831085672E-2</v>
      </c>
      <c r="AW368" s="107">
        <f>AI$39*$S$56</f>
        <v>2.0092676591816325E-2</v>
      </c>
      <c r="AX368" s="107">
        <f>AI$39*$T$56</f>
        <v>1.0029339415542836E-2</v>
      </c>
      <c r="AY368" s="107"/>
      <c r="AZ368" s="107"/>
      <c r="BA368" s="107"/>
      <c r="BB368" s="107"/>
      <c r="BC368" s="107"/>
      <c r="BD368" s="107"/>
      <c r="BE368" s="107"/>
      <c r="BF368" s="107"/>
      <c r="BG368" s="107"/>
      <c r="BH368" s="107"/>
    </row>
    <row r="369" spans="1:61" x14ac:dyDescent="0.8">
      <c r="A369" s="35" t="s">
        <v>316</v>
      </c>
      <c r="B369" s="40">
        <v>25</v>
      </c>
      <c r="C369" s="40"/>
      <c r="D369" s="40"/>
      <c r="E369" s="40"/>
      <c r="F369" s="40"/>
      <c r="G369" s="40"/>
      <c r="H369" s="40"/>
      <c r="I369" s="40"/>
      <c r="J369" s="40"/>
      <c r="K369" s="40"/>
      <c r="L369" s="90"/>
      <c r="M369" s="91"/>
      <c r="N369" s="91"/>
      <c r="O369" s="91"/>
      <c r="P369" s="91"/>
      <c r="Q369" s="91"/>
      <c r="R369" s="90"/>
      <c r="S369" s="91"/>
      <c r="T369" s="91"/>
      <c r="U369" s="91"/>
      <c r="V369" s="91"/>
      <c r="W369" s="91"/>
      <c r="X369" s="91"/>
      <c r="Y369" s="91"/>
      <c r="Z369" s="91"/>
      <c r="AA369" s="91"/>
      <c r="AB369" s="91"/>
      <c r="AC369" s="91"/>
      <c r="AD369" s="91"/>
      <c r="AE369" s="91"/>
      <c r="AF369" s="91"/>
      <c r="AG369" s="91"/>
      <c r="AH369" s="91"/>
      <c r="AI369" s="91"/>
      <c r="AJ369" s="91">
        <f>AJ$39*$E$56</f>
        <v>1.6999815303779541E-2</v>
      </c>
      <c r="AK369" s="91">
        <f>AJ$39*$F$56</f>
        <v>3.2299649077181129E-2</v>
      </c>
      <c r="AL369" s="91">
        <f>AJ$39*$G$56</f>
        <v>2.9069684169463018E-2</v>
      </c>
      <c r="AM369" s="91">
        <f>AJ$39*$H$56</f>
        <v>2.6179715567820495E-2</v>
      </c>
      <c r="AN369" s="91">
        <f>AJ$39*$I$56</f>
        <v>2.3561744011038444E-2</v>
      </c>
      <c r="AO369" s="91">
        <f>AJ$39*$J$56</f>
        <v>2.1181769868509309E-2</v>
      </c>
      <c r="AP369" s="91">
        <f>AJ$39*$K$56</f>
        <v>2.0059782058459857E-2</v>
      </c>
      <c r="AQ369" s="91">
        <f>AJ$39*$L$56</f>
        <v>2.0059782058459857E-2</v>
      </c>
      <c r="AR369" s="91">
        <f>AJ$39*$M$56</f>
        <v>2.0093781689067419E-2</v>
      </c>
      <c r="AS369" s="91">
        <f>AJ$39*$N$56</f>
        <v>2.0059782058459857E-2</v>
      </c>
      <c r="AT369" s="124">
        <f>AJ$39*$O$56</f>
        <v>2.0093781689067419E-2</v>
      </c>
      <c r="AU369" s="107">
        <f>AJ$39*$P$56</f>
        <v>2.0059782058459857E-2</v>
      </c>
      <c r="AV369" s="107">
        <f>AJ$39*$Q$56</f>
        <v>2.0093781689067419E-2</v>
      </c>
      <c r="AW369" s="107">
        <f>AJ$39*$R$56</f>
        <v>2.0059782058459857E-2</v>
      </c>
      <c r="AX369" s="107">
        <f>AJ$39*$S$56</f>
        <v>2.0093781689067419E-2</v>
      </c>
      <c r="AY369" s="107">
        <f>AJ$39*$T$56</f>
        <v>1.0029891029229928E-2</v>
      </c>
      <c r="AZ369" s="107"/>
      <c r="BA369" s="107"/>
      <c r="BB369" s="107"/>
      <c r="BC369" s="107"/>
      <c r="BD369" s="107"/>
      <c r="BE369" s="107"/>
      <c r="BF369" s="107"/>
      <c r="BG369" s="107"/>
      <c r="BH369" s="107"/>
    </row>
    <row r="370" spans="1:61" x14ac:dyDescent="0.8">
      <c r="A370" s="35" t="s">
        <v>316</v>
      </c>
      <c r="B370" s="40">
        <v>26</v>
      </c>
      <c r="C370" s="40"/>
      <c r="D370" s="40"/>
      <c r="E370" s="40"/>
      <c r="F370" s="40"/>
      <c r="G370" s="40"/>
      <c r="H370" s="40"/>
      <c r="I370" s="40"/>
      <c r="J370" s="40"/>
      <c r="K370" s="40"/>
      <c r="L370" s="90"/>
      <c r="M370" s="91"/>
      <c r="N370" s="91"/>
      <c r="O370" s="91"/>
      <c r="P370" s="91"/>
      <c r="Q370" s="91"/>
      <c r="R370" s="90"/>
      <c r="S370" s="91"/>
      <c r="T370" s="91"/>
      <c r="U370" s="91"/>
      <c r="V370" s="91"/>
      <c r="W370" s="91"/>
      <c r="X370" s="91"/>
      <c r="Y370" s="91"/>
      <c r="Z370" s="91"/>
      <c r="AA370" s="91"/>
      <c r="AB370" s="91"/>
      <c r="AC370" s="91"/>
      <c r="AD370" s="91"/>
      <c r="AE370" s="91"/>
      <c r="AF370" s="91"/>
      <c r="AG370" s="91"/>
      <c r="AH370" s="91"/>
      <c r="AI370" s="91"/>
      <c r="AJ370" s="91"/>
      <c r="AK370" s="91">
        <f>AK$39*$E$56</f>
        <v>1.700075029357322E-2</v>
      </c>
      <c r="AL370" s="91">
        <f>AK$39*$F$56</f>
        <v>3.2301425557789115E-2</v>
      </c>
      <c r="AM370" s="91">
        <f>AK$39*$G$56</f>
        <v>2.9071283002010208E-2</v>
      </c>
      <c r="AN370" s="91">
        <f>AK$39*$H$56</f>
        <v>2.6181155452102756E-2</v>
      </c>
      <c r="AO370" s="91">
        <f>AK$39*$I$56</f>
        <v>2.3563039906892482E-2</v>
      </c>
      <c r="AP370" s="91">
        <f>AK$39*$J$56</f>
        <v>2.118293486579223E-2</v>
      </c>
      <c r="AQ370" s="91">
        <f>AK$39*$K$56</f>
        <v>2.0060885346416396E-2</v>
      </c>
      <c r="AR370" s="91">
        <f>AK$39*$L$56</f>
        <v>2.0060885346416396E-2</v>
      </c>
      <c r="AS370" s="91">
        <f>AK$39*$M$56</f>
        <v>2.0094886847003546E-2</v>
      </c>
      <c r="AT370" s="124">
        <f>AK$39*$N$56</f>
        <v>2.0060885346416396E-2</v>
      </c>
      <c r="AU370" s="107">
        <f>AK$39*$O$56</f>
        <v>2.0094886847003546E-2</v>
      </c>
      <c r="AV370" s="107">
        <f>AK$39*$P$56</f>
        <v>2.0060885346416396E-2</v>
      </c>
      <c r="AW370" s="107">
        <f>AK$39*$Q$56</f>
        <v>2.0094886847003546E-2</v>
      </c>
      <c r="AX370" s="107">
        <f>AK$39*$R$56</f>
        <v>2.0060885346416396E-2</v>
      </c>
      <c r="AY370" s="107">
        <f>AK$39*$S$56</f>
        <v>2.0094886847003546E-2</v>
      </c>
      <c r="AZ370" s="107">
        <f>AK$39*$T$56</f>
        <v>1.0030442673208198E-2</v>
      </c>
      <c r="BA370" s="107"/>
      <c r="BB370" s="107"/>
      <c r="BC370" s="107"/>
      <c r="BD370" s="107"/>
      <c r="BE370" s="107"/>
      <c r="BF370" s="107"/>
      <c r="BG370" s="107"/>
      <c r="BH370" s="107"/>
    </row>
    <row r="371" spans="1:61" x14ac:dyDescent="0.8">
      <c r="A371" s="35" t="s">
        <v>316</v>
      </c>
      <c r="B371" s="40">
        <v>27</v>
      </c>
      <c r="C371" s="40"/>
      <c r="D371" s="40"/>
      <c r="E371" s="40"/>
      <c r="F371" s="40"/>
      <c r="G371" s="40"/>
      <c r="H371" s="40"/>
      <c r="I371" s="40"/>
      <c r="J371" s="40"/>
      <c r="K371" s="40"/>
      <c r="L371" s="90"/>
      <c r="M371" s="91"/>
      <c r="N371" s="91"/>
      <c r="O371" s="91"/>
      <c r="P371" s="91"/>
      <c r="Q371" s="91"/>
      <c r="R371" s="90"/>
      <c r="S371" s="91"/>
      <c r="T371" s="91"/>
      <c r="U371" s="91"/>
      <c r="V371" s="91"/>
      <c r="W371" s="91"/>
      <c r="X371" s="91"/>
      <c r="Y371" s="91"/>
      <c r="Z371" s="91"/>
      <c r="AA371" s="91"/>
      <c r="AB371" s="91"/>
      <c r="AC371" s="91"/>
      <c r="AD371" s="91"/>
      <c r="AE371" s="91"/>
      <c r="AF371" s="91"/>
      <c r="AG371" s="91"/>
      <c r="AH371" s="91"/>
      <c r="AI371" s="91"/>
      <c r="AJ371" s="91"/>
      <c r="AK371" s="91"/>
      <c r="AL371" s="91">
        <f>AL$39*$E$56</f>
        <v>1.7001685334889771E-2</v>
      </c>
      <c r="AM371" s="91">
        <f>AL$39*$F$56</f>
        <v>3.2303202136290565E-2</v>
      </c>
      <c r="AN371" s="91">
        <f>AL$39*$G$56</f>
        <v>2.9072881922661512E-2</v>
      </c>
      <c r="AO371" s="91">
        <f>AL$39*$H$56</f>
        <v>2.6182595415730248E-2</v>
      </c>
      <c r="AP371" s="91">
        <f>AL$39*$I$56</f>
        <v>2.3564335874157225E-2</v>
      </c>
      <c r="AQ371" s="91">
        <f>AL$39*$J$56</f>
        <v>2.1184099927272656E-2</v>
      </c>
      <c r="AR371" s="91">
        <f>AL$39*$K$56</f>
        <v>2.0061988695169928E-2</v>
      </c>
      <c r="AS371" s="91">
        <f>AL$39*$L$56</f>
        <v>2.0061988695169928E-2</v>
      </c>
      <c r="AT371" s="124">
        <f>AL$39*$M$56</f>
        <v>2.0095992065839709E-2</v>
      </c>
      <c r="AU371" s="107">
        <f>AL$39*$N$56</f>
        <v>2.0061988695169928E-2</v>
      </c>
      <c r="AV371" s="107">
        <f>AL$39*$O$56</f>
        <v>2.0095992065839709E-2</v>
      </c>
      <c r="AW371" s="107">
        <f>AL$39*$P$56</f>
        <v>2.0061988695169928E-2</v>
      </c>
      <c r="AX371" s="107">
        <f>AL$39*$Q$56</f>
        <v>2.0095992065839709E-2</v>
      </c>
      <c r="AY371" s="107">
        <f>AL$39*$R$56</f>
        <v>2.0061988695169928E-2</v>
      </c>
      <c r="AZ371" s="107">
        <f>AL$39*$S$56</f>
        <v>2.0095992065839709E-2</v>
      </c>
      <c r="BA371" s="107">
        <f>AL$39*$T$56</f>
        <v>1.0030994347584964E-2</v>
      </c>
      <c r="BB371" s="107"/>
      <c r="BC371" s="107"/>
      <c r="BD371" s="107"/>
      <c r="BE371" s="107"/>
      <c r="BF371" s="107"/>
      <c r="BG371" s="107"/>
      <c r="BH371" s="107"/>
    </row>
    <row r="372" spans="1:61" x14ac:dyDescent="0.8">
      <c r="A372" s="35" t="s">
        <v>316</v>
      </c>
      <c r="B372" s="40">
        <v>28</v>
      </c>
      <c r="C372" s="40"/>
      <c r="D372" s="40"/>
      <c r="E372" s="40"/>
      <c r="F372" s="40"/>
      <c r="G372" s="40"/>
      <c r="H372" s="40"/>
      <c r="I372" s="40"/>
      <c r="J372" s="40"/>
      <c r="K372" s="40"/>
      <c r="L372" s="90"/>
      <c r="M372" s="91"/>
      <c r="N372" s="91"/>
      <c r="O372" s="91"/>
      <c r="P372" s="91"/>
      <c r="Q372" s="91"/>
      <c r="R372" s="90"/>
      <c r="S372" s="91"/>
      <c r="T372" s="91"/>
      <c r="U372" s="91"/>
      <c r="V372" s="91"/>
      <c r="W372" s="91"/>
      <c r="X372" s="91"/>
      <c r="Y372" s="91"/>
      <c r="Z372" s="91"/>
      <c r="AA372" s="91"/>
      <c r="AB372" s="91"/>
      <c r="AC372" s="91"/>
      <c r="AD372" s="91"/>
      <c r="AE372" s="91"/>
      <c r="AF372" s="91"/>
      <c r="AG372" s="91"/>
      <c r="AH372" s="91"/>
      <c r="AI372" s="91"/>
      <c r="AJ372" s="91"/>
      <c r="AK372" s="91"/>
      <c r="AL372" s="91"/>
      <c r="AM372" s="91">
        <f>AM$39*$E$56</f>
        <v>1.7002620427592773E-2</v>
      </c>
      <c r="AN372" s="91">
        <f>AM$39*$F$56</f>
        <v>3.230497881242627E-2</v>
      </c>
      <c r="AO372" s="91">
        <f>AM$39*$G$56</f>
        <v>2.9074480931183647E-2</v>
      </c>
      <c r="AP372" s="91">
        <f>AM$39*$H$56</f>
        <v>2.618403545849287E-2</v>
      </c>
      <c r="AQ372" s="91">
        <f>AM$39*$I$56</f>
        <v>2.3565631912643586E-2</v>
      </c>
      <c r="AR372" s="91">
        <f>AM$39*$J$56</f>
        <v>2.1185265052780598E-2</v>
      </c>
      <c r="AS372" s="91">
        <f>AM$39*$K$56</f>
        <v>2.0063092104559473E-2</v>
      </c>
      <c r="AT372" s="124">
        <f>AM$39*$L$56</f>
        <v>2.0063092104559473E-2</v>
      </c>
      <c r="AU372" s="107">
        <f>AM$39*$M$56</f>
        <v>2.009709734541466E-2</v>
      </c>
      <c r="AV372" s="107">
        <f>AM$39*$N$56</f>
        <v>2.0063092104559473E-2</v>
      </c>
      <c r="AW372" s="107">
        <f>AM$39*$O$56</f>
        <v>2.009709734541466E-2</v>
      </c>
      <c r="AX372" s="107">
        <f>AM$39*$P$56</f>
        <v>2.0063092104559473E-2</v>
      </c>
      <c r="AY372" s="107">
        <f>AM$39*$Q$56</f>
        <v>2.009709734541466E-2</v>
      </c>
      <c r="AZ372" s="107">
        <f>AM$39*$R$56</f>
        <v>2.0063092104559473E-2</v>
      </c>
      <c r="BA372" s="107">
        <f>AM$39*$S$56</f>
        <v>2.009709734541466E-2</v>
      </c>
      <c r="BB372" s="107">
        <f>AM$39*$T$56</f>
        <v>1.0031546052279737E-2</v>
      </c>
      <c r="BC372" s="107"/>
      <c r="BD372" s="107"/>
      <c r="BE372" s="107"/>
      <c r="BF372" s="107"/>
      <c r="BG372" s="107"/>
      <c r="BH372" s="107"/>
    </row>
    <row r="373" spans="1:61" x14ac:dyDescent="0.8">
      <c r="A373" s="35" t="s">
        <v>316</v>
      </c>
      <c r="B373" s="40">
        <v>29</v>
      </c>
      <c r="C373" s="40"/>
      <c r="D373" s="40"/>
      <c r="E373" s="40"/>
      <c r="F373" s="40"/>
      <c r="G373" s="40"/>
      <c r="H373" s="40"/>
      <c r="I373" s="40"/>
      <c r="J373" s="40"/>
      <c r="K373" s="40"/>
      <c r="L373" s="90"/>
      <c r="M373" s="91"/>
      <c r="N373" s="91"/>
      <c r="O373" s="91"/>
      <c r="P373" s="91"/>
      <c r="Q373" s="91"/>
      <c r="R373" s="90"/>
      <c r="S373" s="91"/>
      <c r="T373" s="91"/>
      <c r="U373" s="91"/>
      <c r="V373" s="91"/>
      <c r="W373" s="91"/>
      <c r="X373" s="91"/>
      <c r="Y373" s="91"/>
      <c r="Z373" s="91"/>
      <c r="AA373" s="91"/>
      <c r="AB373" s="91"/>
      <c r="AC373" s="91"/>
      <c r="AD373" s="91"/>
      <c r="AE373" s="91"/>
      <c r="AF373" s="91"/>
      <c r="AG373" s="91"/>
      <c r="AH373" s="91"/>
      <c r="AI373" s="91"/>
      <c r="AJ373" s="91"/>
      <c r="AK373" s="91"/>
      <c r="AL373" s="91"/>
      <c r="AM373" s="91"/>
      <c r="AN373" s="91">
        <f>AN$39*$E$56</f>
        <v>1.7003555571727703E-2</v>
      </c>
      <c r="AO373" s="91">
        <f>AN$39*$F$56</f>
        <v>3.2306755586282633E-2</v>
      </c>
      <c r="AP373" s="91">
        <f>AN$39*$G$56</f>
        <v>2.9076080027654373E-2</v>
      </c>
      <c r="AQ373" s="91">
        <f>AN$39*$H$56</f>
        <v>2.6185475580460662E-2</v>
      </c>
      <c r="AR373" s="91">
        <f>AN$39*$I$56</f>
        <v>2.3566928022414595E-2</v>
      </c>
      <c r="AS373" s="91">
        <f>AN$39*$J$56</f>
        <v>2.1186430242372718E-2</v>
      </c>
      <c r="AT373" s="124">
        <f>AN$39*$K$56</f>
        <v>2.0064195574638687E-2</v>
      </c>
      <c r="AU373" s="107">
        <f>AN$39*$L$56</f>
        <v>2.0064195574638687E-2</v>
      </c>
      <c r="AV373" s="107">
        <f>AN$39*$M$56</f>
        <v>2.0098202685782145E-2</v>
      </c>
      <c r="AW373" s="107">
        <f>AN$39*$N$56</f>
        <v>2.0064195574638687E-2</v>
      </c>
      <c r="AX373" s="107">
        <f>AN$39*$O$56</f>
        <v>2.0098202685782145E-2</v>
      </c>
      <c r="AY373" s="107">
        <f>AN$39*$P$56</f>
        <v>2.0064195574638687E-2</v>
      </c>
      <c r="AZ373" s="107">
        <f>AN$39*$Q$56</f>
        <v>2.0098202685782145E-2</v>
      </c>
      <c r="BA373" s="107">
        <f>AN$39*$R$56</f>
        <v>2.0064195574638687E-2</v>
      </c>
      <c r="BB373" s="107">
        <f>AN$39*$S$56</f>
        <v>2.0098202685782145E-2</v>
      </c>
      <c r="BC373" s="107">
        <f>AN$39*$T$56</f>
        <v>1.0032097787319344E-2</v>
      </c>
      <c r="BD373" s="107"/>
      <c r="BE373" s="107"/>
      <c r="BF373" s="107"/>
      <c r="BG373" s="107"/>
      <c r="BH373" s="107"/>
    </row>
    <row r="374" spans="1:61" x14ac:dyDescent="0.8">
      <c r="A374" s="35" t="s">
        <v>316</v>
      </c>
      <c r="B374" s="40">
        <v>30</v>
      </c>
      <c r="C374" s="40"/>
      <c r="D374" s="40"/>
      <c r="E374" s="40"/>
      <c r="F374" s="40"/>
      <c r="G374" s="40"/>
      <c r="H374" s="40"/>
      <c r="I374" s="40"/>
      <c r="J374" s="40"/>
      <c r="K374" s="40"/>
      <c r="L374" s="90"/>
      <c r="M374" s="91"/>
      <c r="N374" s="91"/>
      <c r="O374" s="91"/>
      <c r="P374" s="91"/>
      <c r="Q374" s="91"/>
      <c r="R374" s="90"/>
      <c r="S374" s="91"/>
      <c r="T374" s="91"/>
      <c r="U374" s="91"/>
      <c r="V374" s="91"/>
      <c r="W374" s="91"/>
      <c r="X374" s="91"/>
      <c r="Y374" s="91"/>
      <c r="Z374" s="91"/>
      <c r="AA374" s="91"/>
      <c r="AB374" s="91"/>
      <c r="AC374" s="91"/>
      <c r="AD374" s="91"/>
      <c r="AE374" s="91"/>
      <c r="AF374" s="91"/>
      <c r="AG374" s="91"/>
      <c r="AH374" s="91"/>
      <c r="AI374" s="91"/>
      <c r="AJ374" s="91"/>
      <c r="AK374" s="91"/>
      <c r="AL374" s="91"/>
      <c r="AM374" s="91"/>
      <c r="AN374" s="91"/>
      <c r="AO374" s="91">
        <f>AO$39*$E$56</f>
        <v>1.7004490767249081E-2</v>
      </c>
      <c r="AP374" s="91">
        <f>AO$39*$F$56</f>
        <v>3.2308532457773251E-2</v>
      </c>
      <c r="AQ374" s="91">
        <f>AO$39*$G$56</f>
        <v>2.907767921199593E-2</v>
      </c>
      <c r="AR374" s="91">
        <f>AO$39*$H$56</f>
        <v>2.6186915781563583E-2</v>
      </c>
      <c r="AS374" s="91">
        <f>AO$39*$I$56</f>
        <v>2.3568224203407227E-2</v>
      </c>
      <c r="AT374" s="124">
        <f>AO$39*$J$56</f>
        <v>2.1187595495992355E-2</v>
      </c>
      <c r="AU374" s="107">
        <f>AO$39*$K$56</f>
        <v>2.0065299105353915E-2</v>
      </c>
      <c r="AV374" s="107">
        <f>AO$39*$L$56</f>
        <v>2.0065299105353915E-2</v>
      </c>
      <c r="AW374" s="107">
        <f>AO$39*$M$56</f>
        <v>2.0099308086888413E-2</v>
      </c>
      <c r="AX374" s="107">
        <f>AO$39*$N$56</f>
        <v>2.0065299105353915E-2</v>
      </c>
      <c r="AY374" s="107">
        <f>AO$39*$O$56</f>
        <v>2.0099308086888413E-2</v>
      </c>
      <c r="AZ374" s="107">
        <f>AO$39*$P$56</f>
        <v>2.0065299105353915E-2</v>
      </c>
      <c r="BA374" s="107">
        <f>AO$39*$Q$56</f>
        <v>2.0099308086888413E-2</v>
      </c>
      <c r="BB374" s="107">
        <f>AO$39*$R$56</f>
        <v>2.0065299105353915E-2</v>
      </c>
      <c r="BC374" s="107">
        <f>AO$39*$S$56</f>
        <v>2.0099308086888413E-2</v>
      </c>
      <c r="BD374" s="107">
        <f>AO$39*$T$56</f>
        <v>1.0032649552676957E-2</v>
      </c>
      <c r="BE374" s="107"/>
      <c r="BF374" s="107"/>
      <c r="BG374" s="107"/>
      <c r="BH374" s="107"/>
    </row>
    <row r="375" spans="1:61" x14ac:dyDescent="0.8">
      <c r="A375" s="35" t="s">
        <v>316</v>
      </c>
      <c r="B375" s="40">
        <v>31</v>
      </c>
      <c r="C375" s="40"/>
      <c r="D375" s="40"/>
      <c r="E375" s="40"/>
      <c r="F375" s="40"/>
      <c r="G375" s="40"/>
      <c r="H375" s="40"/>
      <c r="I375" s="40"/>
      <c r="J375" s="40"/>
      <c r="K375" s="40"/>
      <c r="L375" s="90"/>
      <c r="M375" s="91"/>
      <c r="N375" s="91"/>
      <c r="O375" s="91"/>
      <c r="P375" s="91"/>
      <c r="Q375" s="91"/>
      <c r="R375" s="90"/>
      <c r="S375" s="91"/>
      <c r="T375" s="91"/>
      <c r="U375" s="91"/>
      <c r="V375" s="91"/>
      <c r="W375" s="91"/>
      <c r="X375" s="91"/>
      <c r="Y375" s="91"/>
      <c r="Z375" s="91"/>
      <c r="AA375" s="91"/>
      <c r="AB375" s="91"/>
      <c r="AC375" s="91"/>
      <c r="AD375" s="91"/>
      <c r="AE375" s="91"/>
      <c r="AF375" s="91"/>
      <c r="AG375" s="91"/>
      <c r="AH375" s="91"/>
      <c r="AI375" s="91"/>
      <c r="AJ375" s="91"/>
      <c r="AK375" s="91"/>
      <c r="AL375" s="91"/>
      <c r="AM375" s="91"/>
      <c r="AN375" s="91"/>
      <c r="AO375" s="91"/>
      <c r="AP375" s="91">
        <f>AP$39*$E$56</f>
        <v>1.700542601424786E-2</v>
      </c>
      <c r="AQ375" s="91">
        <f>AP$39*$F$56</f>
        <v>3.2310309427070937E-2</v>
      </c>
      <c r="AR375" s="91">
        <f>AP$39*$G$56</f>
        <v>2.9079278484363841E-2</v>
      </c>
      <c r="AS375" s="91">
        <f>AP$39*$H$56</f>
        <v>2.6188356061941705E-2</v>
      </c>
      <c r="AT375" s="124">
        <f>AP$39*$I$56</f>
        <v>2.3569520455747534E-2</v>
      </c>
      <c r="AU375" s="107">
        <f>AP$39*$J$56</f>
        <v>2.1188760813752833E-2</v>
      </c>
      <c r="AV375" s="107">
        <f>AP$39*$K$56</f>
        <v>2.0066402696812473E-2</v>
      </c>
      <c r="AW375" s="107">
        <f>AP$39*$L$56</f>
        <v>2.0066402696812473E-2</v>
      </c>
      <c r="AX375" s="107">
        <f>AP$39*$M$56</f>
        <v>2.010041354884097E-2</v>
      </c>
      <c r="AY375" s="107">
        <f>AP$39*$N$56</f>
        <v>2.0066402696812473E-2</v>
      </c>
      <c r="AZ375" s="107">
        <f>AP$39*$O$56</f>
        <v>2.010041354884097E-2</v>
      </c>
      <c r="BA375" s="107">
        <f>AP$39*$P$56</f>
        <v>2.0066402696812473E-2</v>
      </c>
      <c r="BB375" s="107">
        <f>AP$39*$Q$56</f>
        <v>2.010041354884097E-2</v>
      </c>
      <c r="BC375" s="107">
        <f>AP$39*$R$56</f>
        <v>2.0066402696812473E-2</v>
      </c>
      <c r="BD375" s="107">
        <f>AP$39*$S$56</f>
        <v>2.010041354884097E-2</v>
      </c>
      <c r="BE375" s="107">
        <f>AP$39*$T$56</f>
        <v>1.0033201348406236E-2</v>
      </c>
      <c r="BF375" s="107"/>
      <c r="BG375" s="107"/>
      <c r="BH375" s="107"/>
    </row>
    <row r="376" spans="1:61" x14ac:dyDescent="0.8">
      <c r="A376" s="35" t="s">
        <v>316</v>
      </c>
      <c r="B376" s="40">
        <v>32</v>
      </c>
      <c r="C376" s="40"/>
      <c r="D376" s="40"/>
      <c r="E376" s="40"/>
      <c r="F376" s="40"/>
      <c r="G376" s="40"/>
      <c r="H376" s="40"/>
      <c r="I376" s="40"/>
      <c r="J376" s="40"/>
      <c r="K376" s="40"/>
      <c r="L376" s="90"/>
      <c r="M376" s="91"/>
      <c r="N376" s="91"/>
      <c r="O376" s="91"/>
      <c r="P376" s="91"/>
      <c r="Q376" s="91"/>
      <c r="R376" s="90"/>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f>AQ$39*$E$56</f>
        <v>1.7006361312724039E-2</v>
      </c>
      <c r="AR376" s="91">
        <f>AQ$39*$F$56</f>
        <v>3.2312086494175676E-2</v>
      </c>
      <c r="AS376" s="91">
        <f>AQ$39*$G$56</f>
        <v>2.9080877844758109E-2</v>
      </c>
      <c r="AT376" s="124">
        <f>AQ$39*$H$56</f>
        <v>2.6189796421595021E-2</v>
      </c>
      <c r="AU376" s="107">
        <f>AQ$39*$I$56</f>
        <v>2.3570816779435518E-2</v>
      </c>
      <c r="AV376" s="107">
        <f>AQ$39*$J$56</f>
        <v>2.1189926195654154E-2</v>
      </c>
      <c r="AW376" s="107">
        <f>AQ$39*$K$56</f>
        <v>2.0067506349014365E-2</v>
      </c>
      <c r="AX376" s="107">
        <f>AQ$39*$L$56</f>
        <v>2.0067506349014365E-2</v>
      </c>
      <c r="AY376" s="107">
        <f>AQ$39*$M$56</f>
        <v>2.0101519071639814E-2</v>
      </c>
      <c r="AZ376" s="107">
        <f>AQ$39*$N$56</f>
        <v>2.0067506349014365E-2</v>
      </c>
      <c r="BA376" s="107">
        <f>AQ$39*$O$56</f>
        <v>2.0101519071639814E-2</v>
      </c>
      <c r="BB376" s="107">
        <f>AQ$39*$P$56</f>
        <v>2.0067506349014365E-2</v>
      </c>
      <c r="BC376" s="107">
        <f>AQ$39*$Q$56</f>
        <v>2.0101519071639814E-2</v>
      </c>
      <c r="BD376" s="107">
        <f>AQ$39*$R$56</f>
        <v>2.0067506349014365E-2</v>
      </c>
      <c r="BE376" s="107">
        <f>AQ$39*$S$56</f>
        <v>2.0101519071639814E-2</v>
      </c>
      <c r="BF376" s="107">
        <f>AQ$39*$T$56</f>
        <v>1.0033753174507182E-2</v>
      </c>
      <c r="BG376" s="107"/>
      <c r="BH376" s="107"/>
    </row>
    <row r="377" spans="1:61" x14ac:dyDescent="0.8">
      <c r="A377" s="35" t="s">
        <v>316</v>
      </c>
      <c r="B377" s="40">
        <v>33</v>
      </c>
      <c r="C377" s="40"/>
      <c r="D377" s="40"/>
      <c r="E377" s="40"/>
      <c r="F377" s="40"/>
      <c r="G377" s="40"/>
      <c r="H377" s="40"/>
      <c r="I377" s="40"/>
      <c r="J377" s="40"/>
      <c r="K377" s="40"/>
      <c r="L377" s="90"/>
      <c r="M377" s="91"/>
      <c r="N377" s="91"/>
      <c r="O377" s="91"/>
      <c r="P377" s="91"/>
      <c r="Q377" s="91"/>
      <c r="R377" s="90"/>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c r="AR377" s="91">
        <f>AR$39*$E$56</f>
        <v>1.7007296662541194E-2</v>
      </c>
      <c r="AS377" s="91">
        <f>AR$39*$F$56</f>
        <v>3.2313863658828268E-2</v>
      </c>
      <c r="AT377" s="124">
        <f>AR$39*$G$56</f>
        <v>2.9082477292945445E-2</v>
      </c>
      <c r="AU377" s="107">
        <f>AR$39*$H$56</f>
        <v>2.6191236860313438E-2</v>
      </c>
      <c r="AV377" s="107">
        <f>AR$39*$I$56</f>
        <v>2.3572113174282094E-2</v>
      </c>
      <c r="AW377" s="107">
        <f>AR$39*$J$56</f>
        <v>2.1191091641526327E-2</v>
      </c>
      <c r="AX377" s="107">
        <f>AR$39*$K$56</f>
        <v>2.0068610061798609E-2</v>
      </c>
      <c r="AY377" s="107">
        <f>AR$39*$L$56</f>
        <v>2.0068610061798609E-2</v>
      </c>
      <c r="AZ377" s="107">
        <f>AR$39*$M$56</f>
        <v>2.0102624655123691E-2</v>
      </c>
      <c r="BA377" s="107">
        <f>AR$39*$N$56</f>
        <v>2.0068610061798609E-2</v>
      </c>
      <c r="BB377" s="107">
        <f>AR$39*$O$56</f>
        <v>2.0102624655123691E-2</v>
      </c>
      <c r="BC377" s="107">
        <f>AR$39*$P$56</f>
        <v>2.0068610061798609E-2</v>
      </c>
      <c r="BD377" s="107">
        <f>AR$39*$Q$56</f>
        <v>2.0102624655123691E-2</v>
      </c>
      <c r="BE377" s="107">
        <f>AR$39*$R$56</f>
        <v>2.0068610061798609E-2</v>
      </c>
      <c r="BF377" s="107">
        <f>AR$39*$S$56</f>
        <v>2.0102624655123691E-2</v>
      </c>
      <c r="BG377" s="107">
        <f>AR$39*$T$56</f>
        <v>1.0034305030899304E-2</v>
      </c>
      <c r="BH377" s="107"/>
    </row>
    <row r="378" spans="1:61" x14ac:dyDescent="0.8">
      <c r="A378" s="35" t="s">
        <v>316</v>
      </c>
      <c r="B378" s="40">
        <v>34</v>
      </c>
      <c r="C378" s="40"/>
      <c r="D378" s="40"/>
      <c r="E378" s="40"/>
      <c r="F378" s="40"/>
      <c r="G378" s="40"/>
      <c r="H378" s="40"/>
      <c r="I378" s="40"/>
      <c r="J378" s="40"/>
      <c r="K378" s="40"/>
      <c r="L378" s="90"/>
      <c r="M378" s="91"/>
      <c r="N378" s="91"/>
      <c r="O378" s="91"/>
      <c r="P378" s="91"/>
      <c r="Q378" s="91"/>
      <c r="R378" s="90"/>
      <c r="S378" s="91"/>
      <c r="T378" s="91"/>
      <c r="U378" s="91"/>
      <c r="V378" s="91"/>
      <c r="W378" s="91"/>
      <c r="X378" s="91"/>
      <c r="Y378" s="91"/>
      <c r="Z378" s="91"/>
      <c r="AA378" s="91"/>
      <c r="AB378" s="91"/>
      <c r="AC378" s="91"/>
      <c r="AD378" s="91"/>
      <c r="AE378" s="91"/>
      <c r="AF378" s="91"/>
      <c r="AG378" s="91"/>
      <c r="AH378" s="91"/>
      <c r="AI378" s="91"/>
      <c r="AJ378" s="91"/>
      <c r="AK378" s="91"/>
      <c r="AL378" s="91"/>
      <c r="AM378" s="91"/>
      <c r="AN378" s="91"/>
      <c r="AO378" s="91"/>
      <c r="AP378" s="91"/>
      <c r="AQ378" s="91"/>
      <c r="AR378" s="91"/>
      <c r="AS378" s="91">
        <f>AS$39*$E$56</f>
        <v>1.7008232063835751E-2</v>
      </c>
      <c r="AT378" s="124">
        <f>AS$39*$F$56</f>
        <v>3.2315640921287921E-2</v>
      </c>
      <c r="AU378" s="107">
        <f>AS$39*$G$56</f>
        <v>2.9084076829159134E-2</v>
      </c>
      <c r="AV378" s="107">
        <f>AS$39*$H$56</f>
        <v>2.6192677378307053E-2</v>
      </c>
      <c r="AW378" s="107">
        <f>AS$39*$I$56</f>
        <v>2.3573409640476349E-2</v>
      </c>
      <c r="AX378" s="107">
        <f>AS$39*$J$56</f>
        <v>2.1192257151539343E-2</v>
      </c>
      <c r="AY378" s="107">
        <f>AS$39*$K$56</f>
        <v>2.0069713835326183E-2</v>
      </c>
      <c r="AZ378" s="107">
        <f>AS$39*$L$56</f>
        <v>2.0069713835326183E-2</v>
      </c>
      <c r="BA378" s="107">
        <f>AS$39*$M$56</f>
        <v>2.0103730299453854E-2</v>
      </c>
      <c r="BB378" s="107">
        <f>AS$39*$N$56</f>
        <v>2.0069713835326183E-2</v>
      </c>
      <c r="BC378" s="107">
        <f>AS$39*$O$56</f>
        <v>2.0103730299453854E-2</v>
      </c>
      <c r="BD378" s="107">
        <f>AS$39*$P$56</f>
        <v>2.0069713835326183E-2</v>
      </c>
      <c r="BE378" s="107">
        <f>AS$39*$Q$56</f>
        <v>2.0103730299453854E-2</v>
      </c>
      <c r="BF378" s="107">
        <f>AS$39*$R$56</f>
        <v>2.0069713835326183E-2</v>
      </c>
      <c r="BG378" s="107">
        <f>AS$39*$S$56</f>
        <v>2.0103730299453854E-2</v>
      </c>
      <c r="BH378" s="107">
        <f>AS$39*$T$56</f>
        <v>1.0034856917663091E-2</v>
      </c>
    </row>
    <row r="379" spans="1:61" x14ac:dyDescent="0.8">
      <c r="A379" s="125" t="s">
        <v>317</v>
      </c>
      <c r="B379" s="86"/>
      <c r="C379" s="86"/>
      <c r="D379" s="86"/>
      <c r="E379" s="86"/>
      <c r="F379" s="86"/>
      <c r="G379" s="86"/>
      <c r="H379" s="86"/>
      <c r="I379" s="86"/>
      <c r="J379" s="86"/>
      <c r="K379" s="126"/>
      <c r="L379" s="113">
        <f t="shared" ref="L379:AS379" si="138">SUM(L345:L378)</f>
        <v>19.237760000000005</v>
      </c>
      <c r="M379" s="113">
        <f t="shared" si="138"/>
        <v>42.990123200000006</v>
      </c>
      <c r="N379" s="113">
        <f t="shared" si="138"/>
        <v>65.964507359999985</v>
      </c>
      <c r="O379" s="113">
        <f t="shared" si="138"/>
        <v>86.073848431999991</v>
      </c>
      <c r="P379" s="113">
        <f t="shared" si="138"/>
        <v>106.83697738560001</v>
      </c>
      <c r="Q379" s="113">
        <f t="shared" si="138"/>
        <v>132.35649132070401</v>
      </c>
      <c r="R379" s="112">
        <f t="shared" si="138"/>
        <v>174.73158670659586</v>
      </c>
      <c r="S379" s="113">
        <f t="shared" si="138"/>
        <v>215.94637500499496</v>
      </c>
      <c r="T379" s="113">
        <f t="shared" si="138"/>
        <v>226.66806586873946</v>
      </c>
      <c r="U379" s="113">
        <f t="shared" si="138"/>
        <v>236.78821043835961</v>
      </c>
      <c r="V379" s="113">
        <f t="shared" si="138"/>
        <v>246.517322240537</v>
      </c>
      <c r="W379" s="113">
        <f t="shared" si="138"/>
        <v>255.98175610760933</v>
      </c>
      <c r="X379" s="113">
        <f t="shared" si="138"/>
        <v>266.55759789557328</v>
      </c>
      <c r="Y379" s="113">
        <f t="shared" si="138"/>
        <v>276.68258452482002</v>
      </c>
      <c r="Z379" s="113">
        <f t="shared" si="138"/>
        <v>284.19816167330777</v>
      </c>
      <c r="AA379" s="113">
        <f t="shared" si="138"/>
        <v>277.92567249136948</v>
      </c>
      <c r="AB379" s="113">
        <f t="shared" si="138"/>
        <v>266.56115262924595</v>
      </c>
      <c r="AC379" s="113">
        <f t="shared" si="138"/>
        <v>252.96970420106979</v>
      </c>
      <c r="AD379" s="113">
        <f t="shared" si="138"/>
        <v>239.25913130751528</v>
      </c>
      <c r="AE379" s="113">
        <f t="shared" si="138"/>
        <v>220.59024153657487</v>
      </c>
      <c r="AF379" s="113">
        <f t="shared" si="138"/>
        <v>195.72552788263042</v>
      </c>
      <c r="AG379" s="113">
        <f t="shared" si="138"/>
        <v>161.15332889262811</v>
      </c>
      <c r="AH379" s="113">
        <f t="shared" si="138"/>
        <v>126.63484130814157</v>
      </c>
      <c r="AI379" s="113">
        <f t="shared" si="138"/>
        <v>109.35289409759824</v>
      </c>
      <c r="AJ379" s="113">
        <f t="shared" si="138"/>
        <v>93.226864480727428</v>
      </c>
      <c r="AK379" s="113">
        <f t="shared" si="138"/>
        <v>78.023288941975579</v>
      </c>
      <c r="AL379" s="113">
        <f t="shared" si="138"/>
        <v>63.573246125828611</v>
      </c>
      <c r="AM379" s="113">
        <f t="shared" si="138"/>
        <v>49.904564441798385</v>
      </c>
      <c r="AN379" s="113">
        <f t="shared" si="138"/>
        <v>37.743521665799875</v>
      </c>
      <c r="AO379" s="113">
        <f t="shared" si="138"/>
        <v>27.631771910255218</v>
      </c>
      <c r="AP379" s="113">
        <f t="shared" si="138"/>
        <v>19.298146052680089</v>
      </c>
      <c r="AQ379" s="113">
        <f t="shared" si="138"/>
        <v>12.462180759127156</v>
      </c>
      <c r="AR379" s="113">
        <f t="shared" si="138"/>
        <v>6.8929934448883943</v>
      </c>
      <c r="AS379" s="114">
        <f t="shared" si="138"/>
        <v>2.3643371107381146</v>
      </c>
      <c r="BG379" s="91"/>
      <c r="BI379" s="91"/>
    </row>
  </sheetData>
  <mergeCells count="3">
    <mergeCell ref="E1:K2"/>
    <mergeCell ref="L1:Q2"/>
    <mergeCell ref="R1:AS2"/>
  </mergeCells>
  <hyperlinks>
    <hyperlink ref="A1" location="'Cover Page '!A1" display="Back to cover page "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BQ118"/>
  <sheetViews>
    <sheetView showGridLines="0" zoomScale="55" zoomScaleNormal="55" zoomScalePageLayoutView="55" workbookViewId="0">
      <pane xSplit="1" ySplit="3" topLeftCell="AI16" activePane="bottomRight" state="frozen"/>
      <selection pane="topRight" activeCell="B1" sqref="B1"/>
      <selection pane="bottomLeft" activeCell="A2" sqref="A2"/>
      <selection pane="bottomRight" activeCell="BJ26" sqref="BJ26"/>
    </sheetView>
  </sheetViews>
  <sheetFormatPr defaultColWidth="10.83203125" defaultRowHeight="14.75" x14ac:dyDescent="0.75"/>
  <cols>
    <col min="1" max="1" width="64.6640625" style="179" bestFit="1" customWidth="1"/>
    <col min="2" max="2" width="11.1640625" style="30" bestFit="1" customWidth="1"/>
    <col min="3" max="3" width="12.1640625" style="179" bestFit="1" customWidth="1"/>
    <col min="4" max="8" width="11.1640625" style="179" bestFit="1" customWidth="1"/>
    <col min="9" max="32" width="15.5" style="179" bestFit="1" customWidth="1"/>
    <col min="33" max="33" width="14.6640625" style="179" bestFit="1" customWidth="1"/>
    <col min="34" max="35" width="15.5" style="179" bestFit="1" customWidth="1"/>
    <col min="36" max="42" width="16" style="179" bestFit="1" customWidth="1"/>
    <col min="43" max="43" width="12.5" style="179" bestFit="1" customWidth="1"/>
    <col min="44" max="45" width="12.5" style="179" customWidth="1"/>
    <col min="46" max="46" width="21.6640625" style="179" customWidth="1"/>
    <col min="47" max="47" width="0.6640625" style="179" customWidth="1"/>
    <col min="48" max="16384" width="10.83203125" style="179"/>
  </cols>
  <sheetData>
    <row r="1" spans="1:45" ht="15" customHeight="1" x14ac:dyDescent="0.9">
      <c r="A1" s="1195" t="s">
        <v>534</v>
      </c>
      <c r="B1" s="1735"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5" ht="15" customHeight="1" x14ac:dyDescent="0.75">
      <c r="A2" s="30"/>
      <c r="B2" s="1735"/>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5" ht="16.75" thickBot="1" x14ac:dyDescent="0.9">
      <c r="A3" s="1045"/>
      <c r="B3" s="1036">
        <v>2010</v>
      </c>
      <c r="C3" s="313">
        <v>2011</v>
      </c>
      <c r="D3" s="803">
        <v>2012</v>
      </c>
      <c r="E3" s="803">
        <v>2013</v>
      </c>
      <c r="F3" s="803">
        <v>2014</v>
      </c>
      <c r="G3" s="803">
        <v>2015</v>
      </c>
      <c r="H3" s="803">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5" ht="16.75" thickBot="1" x14ac:dyDescent="0.95">
      <c r="A4" s="221" t="s">
        <v>218</v>
      </c>
      <c r="B4" s="1030"/>
      <c r="C4" s="1030"/>
      <c r="D4" s="1030"/>
      <c r="E4" s="1030"/>
      <c r="F4" s="1031"/>
      <c r="G4" s="1031"/>
      <c r="H4" s="1031"/>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4"/>
      <c r="AR4" s="1034"/>
      <c r="AS4" s="1034"/>
    </row>
    <row r="5" spans="1:45" x14ac:dyDescent="0.75">
      <c r="A5" s="1043" t="s">
        <v>219</v>
      </c>
      <c r="B5" s="1044">
        <v>4418</v>
      </c>
      <c r="C5" s="1044">
        <v>23546</v>
      </c>
      <c r="D5" s="1044">
        <v>15015</v>
      </c>
      <c r="E5" s="1044">
        <v>7359</v>
      </c>
      <c r="F5" s="1030">
        <v>7104</v>
      </c>
      <c r="G5" s="1030">
        <v>3390</v>
      </c>
      <c r="H5" s="1030">
        <v>9030</v>
      </c>
      <c r="I5" s="1392"/>
      <c r="J5" s="1030"/>
      <c r="K5" s="1030"/>
      <c r="L5" s="1030"/>
      <c r="M5" s="1030"/>
      <c r="N5" s="1030"/>
      <c r="O5" s="1392"/>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7"/>
    </row>
    <row r="6" spans="1:45" x14ac:dyDescent="0.75">
      <c r="A6" s="1032" t="s">
        <v>220</v>
      </c>
      <c r="B6" s="1033">
        <v>-2084</v>
      </c>
      <c r="C6" s="1033">
        <v>19354</v>
      </c>
      <c r="D6" s="1033">
        <v>25526</v>
      </c>
      <c r="E6" s="1033">
        <v>7323</v>
      </c>
      <c r="F6" s="1034">
        <v>6355</v>
      </c>
      <c r="G6" s="1034">
        <v>27040</v>
      </c>
      <c r="H6" s="1034">
        <v>14459</v>
      </c>
      <c r="I6" s="1393"/>
      <c r="J6" s="1034"/>
      <c r="K6" s="1034"/>
      <c r="L6" s="1034"/>
      <c r="M6" s="1034"/>
      <c r="N6" s="1034"/>
      <c r="O6" s="1393"/>
      <c r="P6" s="1034"/>
      <c r="Q6" s="1034"/>
      <c r="R6" s="1034"/>
      <c r="S6" s="1034"/>
      <c r="T6" s="1034"/>
      <c r="U6" s="1034"/>
      <c r="V6" s="1034"/>
      <c r="W6" s="1034"/>
      <c r="X6" s="1034"/>
      <c r="Y6" s="1034"/>
      <c r="Z6" s="1034"/>
      <c r="AA6" s="1034"/>
      <c r="AB6" s="1034"/>
      <c r="AC6" s="1034"/>
      <c r="AD6" s="1034"/>
      <c r="AE6" s="1034"/>
      <c r="AF6" s="1034"/>
      <c r="AG6" s="1034"/>
      <c r="AH6" s="1034"/>
      <c r="AI6" s="1034"/>
      <c r="AJ6" s="1034"/>
      <c r="AK6" s="1034"/>
      <c r="AL6" s="1034"/>
      <c r="AM6" s="1034"/>
      <c r="AN6" s="1034"/>
      <c r="AO6" s="1034"/>
      <c r="AP6" s="1038"/>
    </row>
    <row r="7" spans="1:45" ht="15.5" thickBot="1" x14ac:dyDescent="0.9">
      <c r="A7" s="1035" t="s">
        <v>160</v>
      </c>
      <c r="B7" s="1039">
        <f t="shared" ref="B7" si="0">SUM(B5:B6)</f>
        <v>2334</v>
      </c>
      <c r="C7" s="1039">
        <f t="shared" ref="C7:H7" si="1">SUM(C5:C6)</f>
        <v>42900</v>
      </c>
      <c r="D7" s="1039">
        <f t="shared" si="1"/>
        <v>40541</v>
      </c>
      <c r="E7" s="1039">
        <f t="shared" si="1"/>
        <v>14682</v>
      </c>
      <c r="F7" s="1040">
        <f t="shared" si="1"/>
        <v>13459</v>
      </c>
      <c r="G7" s="1041">
        <f t="shared" si="1"/>
        <v>30430</v>
      </c>
      <c r="H7" s="1040">
        <f t="shared" si="1"/>
        <v>23489</v>
      </c>
      <c r="I7" s="1394">
        <f>'Income Statement '!H21</f>
        <v>16584.695440494619</v>
      </c>
      <c r="J7" s="1040">
        <f>'Income Statement '!I21</f>
        <v>25063.78764767028</v>
      </c>
      <c r="K7" s="1040">
        <f>'Income Statement '!J21</f>
        <v>19464.946085684798</v>
      </c>
      <c r="L7" s="1040">
        <f>'Income Statement '!K21</f>
        <v>19706.24663109133</v>
      </c>
      <c r="M7" s="1040">
        <f>'Income Statement '!L21</f>
        <v>12068.134515575695</v>
      </c>
      <c r="N7" s="1040">
        <f>'Income Statement '!M21</f>
        <v>19095.438400689483</v>
      </c>
      <c r="O7" s="1394">
        <f>'Income Statement '!N21</f>
        <v>19038.849901617963</v>
      </c>
      <c r="P7" s="1040">
        <f>'Income Statement '!O21</f>
        <v>16973.307354685672</v>
      </c>
      <c r="Q7" s="1040">
        <f>'Income Statement '!P21</f>
        <v>16261.08722745733</v>
      </c>
      <c r="R7" s="1040">
        <f>'Income Statement '!Q21</f>
        <v>12487.358197048041</v>
      </c>
      <c r="S7" s="1040">
        <f>'Income Statement '!R21</f>
        <v>4881.4981087585493</v>
      </c>
      <c r="T7" s="1040">
        <f>'Income Statement '!S21</f>
        <v>3081.9522707616634</v>
      </c>
      <c r="U7" s="1040">
        <f>'Income Statement '!T21</f>
        <v>3211.8417646215548</v>
      </c>
      <c r="V7" s="1040">
        <f>'Income Statement '!U21</f>
        <v>4475.3313911433434</v>
      </c>
      <c r="W7" s="1040">
        <f>'Income Statement '!V21</f>
        <v>6983.0371953546173</v>
      </c>
      <c r="X7" s="1040">
        <f>'Income Statement '!W21</f>
        <v>8114.321938654246</v>
      </c>
      <c r="Y7" s="1040">
        <f>'Income Statement '!X21</f>
        <v>8405.8886715095723</v>
      </c>
      <c r="Z7" s="1040">
        <f>'Income Statement '!Y21</f>
        <v>9014.6056534145464</v>
      </c>
      <c r="AA7" s="1040">
        <f>'Income Statement '!Z21</f>
        <v>10152.56751601856</v>
      </c>
      <c r="AB7" s="1040">
        <f>'Income Statement '!AA21</f>
        <v>11196.771280171462</v>
      </c>
      <c r="AC7" s="1040">
        <f>'Income Statement '!AB21</f>
        <v>12917.124705394755</v>
      </c>
      <c r="AD7" s="1040">
        <f>'Income Statement '!AC21</f>
        <v>14343.067740426975</v>
      </c>
      <c r="AE7" s="1040">
        <f>'Income Statement '!AD21</f>
        <v>15358.16937999107</v>
      </c>
      <c r="AF7" s="1040">
        <f>'Income Statement '!AE21</f>
        <v>15983.904156504699</v>
      </c>
      <c r="AG7" s="1040">
        <f>'Income Statement '!AF21</f>
        <v>16355.457896079246</v>
      </c>
      <c r="AH7" s="1040">
        <f>'Income Statement '!AG21</f>
        <v>16597.77532712647</v>
      </c>
      <c r="AI7" s="1040">
        <f>'Income Statement '!AH21</f>
        <v>16700.774693659045</v>
      </c>
      <c r="AJ7" s="1040">
        <f>'Income Statement '!AI21</f>
        <v>16175.258726224241</v>
      </c>
      <c r="AK7" s="1040">
        <f>'Income Statement '!AJ21</f>
        <v>15662.321927047502</v>
      </c>
      <c r="AL7" s="1040">
        <f>'Income Statement '!AK21</f>
        <v>15204.821411915378</v>
      </c>
      <c r="AM7" s="1040">
        <f>'Income Statement '!AL21</f>
        <v>14766.75143874732</v>
      </c>
      <c r="AN7" s="1040">
        <f>'Income Statement '!AM21</f>
        <v>14348.855830432469</v>
      </c>
      <c r="AO7" s="1040">
        <f>'Income Statement '!AN21</f>
        <v>13948.911744313325</v>
      </c>
      <c r="AP7" s="1042">
        <f>'Income Statement '!AO21</f>
        <v>13567.12410224128</v>
      </c>
    </row>
    <row r="8" spans="1:45" x14ac:dyDescent="0.75">
      <c r="A8" s="31"/>
      <c r="B8" s="179"/>
    </row>
    <row r="9" spans="1:45" ht="16.75" thickBot="1" x14ac:dyDescent="0.95">
      <c r="A9" s="89" t="s">
        <v>221</v>
      </c>
      <c r="B9" s="179"/>
    </row>
    <row r="10" spans="1:45" x14ac:dyDescent="0.75">
      <c r="A10" s="1046" t="s">
        <v>434</v>
      </c>
      <c r="B10" s="1030"/>
      <c r="C10" s="1030"/>
      <c r="D10" s="1030"/>
      <c r="E10" s="1030"/>
      <c r="F10" s="1030"/>
      <c r="G10" s="1031"/>
      <c r="H10" s="1031"/>
      <c r="I10" s="1395"/>
      <c r="J10" s="1030"/>
      <c r="K10" s="1030"/>
      <c r="L10" s="1030"/>
      <c r="M10" s="1030"/>
      <c r="N10" s="1030"/>
      <c r="O10" s="1392"/>
      <c r="P10" s="1030"/>
      <c r="Q10" s="1030"/>
      <c r="R10" s="1030"/>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7"/>
    </row>
    <row r="11" spans="1:45" x14ac:dyDescent="0.75">
      <c r="A11" s="1032" t="s">
        <v>222</v>
      </c>
      <c r="B11" s="1033">
        <v>2415</v>
      </c>
      <c r="C11" s="1033">
        <v>8125</v>
      </c>
      <c r="D11" s="1033">
        <v>3080</v>
      </c>
      <c r="E11" s="1033">
        <v>1795</v>
      </c>
      <c r="F11" s="1033">
        <v>4804</v>
      </c>
      <c r="G11" s="1034">
        <v>201</v>
      </c>
      <c r="H11" s="1033">
        <v>1418</v>
      </c>
      <c r="I11" s="1396"/>
      <c r="J11" s="1034"/>
      <c r="K11" s="1034"/>
      <c r="L11" s="1034"/>
      <c r="M11" s="1034"/>
      <c r="N11" s="1034"/>
      <c r="O11" s="1393"/>
      <c r="P11" s="1033"/>
      <c r="Q11" s="1034"/>
      <c r="R11" s="1034"/>
      <c r="S11" s="1033"/>
      <c r="T11" s="1034"/>
      <c r="U11" s="1034"/>
      <c r="V11" s="1034"/>
      <c r="W11" s="1034"/>
      <c r="X11" s="1034"/>
      <c r="Y11" s="1034"/>
      <c r="Z11" s="1034"/>
      <c r="AA11" s="1034"/>
      <c r="AB11" s="1034"/>
      <c r="AC11" s="1034"/>
      <c r="AD11" s="1034"/>
      <c r="AE11" s="1034"/>
      <c r="AF11" s="1034"/>
      <c r="AG11" s="1034"/>
      <c r="AH11" s="1034"/>
      <c r="AI11" s="1034"/>
      <c r="AJ11" s="1034"/>
      <c r="AK11" s="1034"/>
      <c r="AL11" s="1034"/>
      <c r="AM11" s="1034"/>
      <c r="AN11" s="1034"/>
      <c r="AO11" s="1034"/>
      <c r="AP11" s="1038"/>
    </row>
    <row r="12" spans="1:45" x14ac:dyDescent="0.75">
      <c r="A12" s="1032" t="s">
        <v>223</v>
      </c>
      <c r="B12" s="1034">
        <v>124</v>
      </c>
      <c r="C12" s="1034">
        <v>836</v>
      </c>
      <c r="D12" s="1034">
        <v>467</v>
      </c>
      <c r="E12" s="1034">
        <v>278</v>
      </c>
      <c r="F12" s="1034">
        <v>73</v>
      </c>
      <c r="G12" s="1034">
        <v>83</v>
      </c>
      <c r="H12" s="1034">
        <v>126</v>
      </c>
      <c r="I12" s="1396"/>
      <c r="J12" s="1034"/>
      <c r="K12" s="1034"/>
      <c r="L12" s="1034"/>
      <c r="M12" s="1034"/>
      <c r="N12" s="1034"/>
      <c r="O12" s="1393"/>
      <c r="P12" s="1034"/>
      <c r="Q12" s="1034"/>
      <c r="R12" s="1034"/>
      <c r="S12" s="1034"/>
      <c r="T12" s="1034"/>
      <c r="U12" s="1034"/>
      <c r="V12" s="1034"/>
      <c r="W12" s="1034"/>
      <c r="X12" s="1034"/>
      <c r="Y12" s="1034"/>
      <c r="Z12" s="1034"/>
      <c r="AA12" s="1034"/>
      <c r="AB12" s="1034"/>
      <c r="AC12" s="1034"/>
      <c r="AD12" s="1034"/>
      <c r="AE12" s="1034"/>
      <c r="AF12" s="1034"/>
      <c r="AG12" s="1034"/>
      <c r="AH12" s="1034"/>
      <c r="AI12" s="1034"/>
      <c r="AJ12" s="1034"/>
      <c r="AK12" s="1034"/>
      <c r="AL12" s="1034"/>
      <c r="AM12" s="1034"/>
      <c r="AN12" s="1034"/>
      <c r="AO12" s="1034"/>
      <c r="AP12" s="1038"/>
    </row>
    <row r="13" spans="1:45" x14ac:dyDescent="0.75">
      <c r="A13" s="1032" t="s">
        <v>224</v>
      </c>
      <c r="B13" s="1033">
        <v>1830</v>
      </c>
      <c r="C13" s="1033">
        <v>2690</v>
      </c>
      <c r="D13" s="1033">
        <v>4992</v>
      </c>
      <c r="E13" s="1033">
        <v>2466</v>
      </c>
      <c r="F13" s="1033">
        <v>3087</v>
      </c>
      <c r="G13" s="1033">
        <v>5066</v>
      </c>
      <c r="H13" s="1033">
        <v>3436</v>
      </c>
      <c r="I13" s="1396"/>
      <c r="J13" s="1034"/>
      <c r="K13" s="1034"/>
      <c r="L13" s="1034"/>
      <c r="M13" s="1034"/>
      <c r="N13" s="1034"/>
      <c r="O13" s="1393"/>
      <c r="P13" s="1033"/>
      <c r="Q13" s="1034"/>
      <c r="R13" s="1034"/>
      <c r="S13" s="1034"/>
      <c r="T13" s="1034"/>
      <c r="U13" s="1034"/>
      <c r="V13" s="1034"/>
      <c r="W13" s="1034"/>
      <c r="X13" s="1034"/>
      <c r="Y13" s="1034"/>
      <c r="Z13" s="1034"/>
      <c r="AA13" s="1034"/>
      <c r="AB13" s="1034"/>
      <c r="AC13" s="1034"/>
      <c r="AD13" s="1034"/>
      <c r="AE13" s="1034"/>
      <c r="AF13" s="1034"/>
      <c r="AG13" s="1034"/>
      <c r="AH13" s="1034"/>
      <c r="AI13" s="1034"/>
      <c r="AJ13" s="1034"/>
      <c r="AK13" s="1034"/>
      <c r="AL13" s="1034"/>
      <c r="AM13" s="1034"/>
      <c r="AN13" s="1034"/>
      <c r="AO13" s="1034"/>
      <c r="AP13" s="1038"/>
    </row>
    <row r="14" spans="1:45" ht="15.5" thickBot="1" x14ac:dyDescent="0.9">
      <c r="A14" s="1051" t="s">
        <v>160</v>
      </c>
      <c r="B14" s="1052">
        <f t="shared" ref="B14" si="2">SUM(B11:B13)</f>
        <v>4369</v>
      </c>
      <c r="C14" s="1052">
        <f t="shared" ref="C14:H14" si="3">SUM(C11:C13)</f>
        <v>11651</v>
      </c>
      <c r="D14" s="1052">
        <f t="shared" si="3"/>
        <v>8539</v>
      </c>
      <c r="E14" s="1052">
        <f t="shared" si="3"/>
        <v>4539</v>
      </c>
      <c r="F14" s="1052">
        <f t="shared" si="3"/>
        <v>7964</v>
      </c>
      <c r="G14" s="1052">
        <f t="shared" si="3"/>
        <v>5350</v>
      </c>
      <c r="H14" s="1052">
        <f t="shared" si="3"/>
        <v>4980</v>
      </c>
      <c r="I14" s="1397">
        <f t="shared" ref="I14:AP14" si="4">I20-I19</f>
        <v>2618.9062283513249</v>
      </c>
      <c r="J14" s="1053">
        <f t="shared" si="4"/>
        <v>3829.4674589231781</v>
      </c>
      <c r="K14" s="1053">
        <f t="shared" si="4"/>
        <v>5594.798128264476</v>
      </c>
      <c r="L14" s="1053">
        <f t="shared" si="4"/>
        <v>5758.6501682540766</v>
      </c>
      <c r="M14" s="1053">
        <f t="shared" si="4"/>
        <v>3125.2073008606194</v>
      </c>
      <c r="N14" s="1053">
        <f t="shared" si="4"/>
        <v>1473.0700163204083</v>
      </c>
      <c r="O14" s="1397">
        <f t="shared" si="4"/>
        <v>4168.4447672860479</v>
      </c>
      <c r="P14" s="1053">
        <f t="shared" si="4"/>
        <v>5898.3821711816472</v>
      </c>
      <c r="Q14" s="1053">
        <f t="shared" si="4"/>
        <v>3712.180980442231</v>
      </c>
      <c r="R14" s="1053">
        <f t="shared" si="4"/>
        <v>4190.0900679051501</v>
      </c>
      <c r="S14" s="1053">
        <f t="shared" si="4"/>
        <v>1361.9870721501927</v>
      </c>
      <c r="T14" s="1053">
        <f t="shared" si="4"/>
        <v>1252.5423438507587</v>
      </c>
      <c r="U14" s="1053">
        <f t="shared" si="4"/>
        <v>-87.578961595439637</v>
      </c>
      <c r="V14" s="1053">
        <f t="shared" si="4"/>
        <v>1049.1517841542809</v>
      </c>
      <c r="W14" s="1053">
        <f t="shared" si="4"/>
        <v>810.61171902922524</v>
      </c>
      <c r="X14" s="1053">
        <f t="shared" si="4"/>
        <v>2108.9818750390509</v>
      </c>
      <c r="Y14" s="1053">
        <f t="shared" si="4"/>
        <v>1850.7765112737893</v>
      </c>
      <c r="Z14" s="1053">
        <f t="shared" si="4"/>
        <v>2097.669682259942</v>
      </c>
      <c r="AA14" s="1053">
        <f t="shared" si="4"/>
        <v>2377.5974050179375</v>
      </c>
      <c r="AB14" s="1053">
        <f t="shared" si="4"/>
        <v>2631.0906747332633</v>
      </c>
      <c r="AC14" s="1053">
        <f t="shared" si="4"/>
        <v>3161.1577543197773</v>
      </c>
      <c r="AD14" s="1053">
        <f t="shared" si="4"/>
        <v>3726.47439795845</v>
      </c>
      <c r="AE14" s="1053">
        <f t="shared" si="4"/>
        <v>4088.6858340120907</v>
      </c>
      <c r="AF14" s="1053">
        <f t="shared" si="4"/>
        <v>4398.3694943035698</v>
      </c>
      <c r="AG14" s="1053">
        <f t="shared" si="4"/>
        <v>4547.3232976541385</v>
      </c>
      <c r="AH14" s="1053">
        <f t="shared" si="4"/>
        <v>4678.7446309142606</v>
      </c>
      <c r="AI14" s="1053">
        <f t="shared" si="4"/>
        <v>4747.6210551202239</v>
      </c>
      <c r="AJ14" s="1053">
        <f t="shared" si="4"/>
        <v>4720.7884763709999</v>
      </c>
      <c r="AK14" s="1053">
        <f t="shared" si="4"/>
        <v>4573.2999137719007</v>
      </c>
      <c r="AL14" s="1053">
        <f t="shared" si="4"/>
        <v>4442.9640536244669</v>
      </c>
      <c r="AM14" s="1053">
        <f t="shared" si="4"/>
        <v>4317.5398387247797</v>
      </c>
      <c r="AN14" s="1053">
        <f t="shared" si="4"/>
        <v>4198.3636717955878</v>
      </c>
      <c r="AO14" s="1053">
        <f t="shared" si="4"/>
        <v>4083.8584189562489</v>
      </c>
      <c r="AP14" s="1054">
        <f t="shared" si="4"/>
        <v>3974.8820687062744</v>
      </c>
    </row>
    <row r="15" spans="1:45" ht="15.5" thickTop="1" x14ac:dyDescent="0.75">
      <c r="A15" s="1048" t="s">
        <v>225</v>
      </c>
      <c r="B15" s="1034"/>
      <c r="C15" s="1034"/>
      <c r="D15" s="1034" t="s">
        <v>226</v>
      </c>
      <c r="E15" s="1034"/>
      <c r="F15" s="1034"/>
      <c r="G15" s="1034"/>
      <c r="H15" s="1034"/>
      <c r="I15" s="1393"/>
      <c r="J15" s="1034"/>
      <c r="K15" s="1034"/>
      <c r="L15" s="1034"/>
      <c r="M15" s="1034"/>
      <c r="N15" s="1034"/>
      <c r="O15" s="1393"/>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8"/>
    </row>
    <row r="16" spans="1:45" x14ac:dyDescent="0.75">
      <c r="A16" s="1032" t="s">
        <v>222</v>
      </c>
      <c r="B16" s="1033">
        <v>-1290</v>
      </c>
      <c r="C16" s="1033">
        <v>-7253</v>
      </c>
      <c r="D16" s="1034">
        <v>772</v>
      </c>
      <c r="E16" s="1033">
        <v>1734</v>
      </c>
      <c r="F16" s="1034">
        <v>183</v>
      </c>
      <c r="G16" s="1034">
        <v>945</v>
      </c>
      <c r="H16" s="1033">
        <v>3554</v>
      </c>
      <c r="I16" s="1398"/>
      <c r="J16" s="1033"/>
      <c r="K16" s="1033"/>
      <c r="L16" s="1033"/>
      <c r="M16" s="1033"/>
      <c r="N16" s="1033"/>
      <c r="O16" s="1398"/>
      <c r="P16" s="1033"/>
      <c r="Q16" s="1033"/>
      <c r="R16" s="1033"/>
      <c r="S16" s="1033"/>
      <c r="T16" s="103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49"/>
    </row>
    <row r="17" spans="1:69" x14ac:dyDescent="0.75">
      <c r="A17" s="1032" t="s">
        <v>223</v>
      </c>
      <c r="B17" s="1033">
        <v>946</v>
      </c>
      <c r="C17" s="1033">
        <v>-1054</v>
      </c>
      <c r="D17" s="1034">
        <v>326</v>
      </c>
      <c r="E17" s="1034">
        <v>-102</v>
      </c>
      <c r="F17" s="1034">
        <v>86</v>
      </c>
      <c r="G17" s="1034">
        <v>20</v>
      </c>
      <c r="H17" s="1034">
        <v>189</v>
      </c>
      <c r="I17" s="1393"/>
      <c r="J17" s="1034"/>
      <c r="K17" s="1034"/>
      <c r="L17" s="1034"/>
      <c r="M17" s="1034"/>
      <c r="N17" s="1034"/>
      <c r="O17" s="1393"/>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8"/>
    </row>
    <row r="18" spans="1:69" ht="15.5" thickBot="1" x14ac:dyDescent="0.9">
      <c r="A18" s="1032" t="s">
        <v>224</v>
      </c>
      <c r="B18" s="1033">
        <v>-1014</v>
      </c>
      <c r="C18" s="1033">
        <v>2909</v>
      </c>
      <c r="D18" s="1034">
        <v>598</v>
      </c>
      <c r="E18" s="1034">
        <v>863</v>
      </c>
      <c r="F18" s="1034">
        <v>-820</v>
      </c>
      <c r="G18" s="1034">
        <v>375</v>
      </c>
      <c r="H18" s="1034">
        <v>25</v>
      </c>
      <c r="I18" s="1393"/>
      <c r="J18" s="1034"/>
      <c r="K18" s="1034"/>
      <c r="L18" s="1034"/>
      <c r="M18" s="1034"/>
      <c r="N18" s="1034"/>
      <c r="O18" s="1393"/>
      <c r="P18" s="1034"/>
      <c r="Q18" s="1034"/>
      <c r="R18" s="1034"/>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8"/>
    </row>
    <row r="19" spans="1:69" ht="15.5" thickBot="1" x14ac:dyDescent="0.9">
      <c r="A19" s="1051" t="s">
        <v>160</v>
      </c>
      <c r="B19" s="1052">
        <f t="shared" ref="B19" si="5">SUM(B16:B18)</f>
        <v>-1358</v>
      </c>
      <c r="C19" s="1052">
        <f t="shared" ref="C19:H19" si="6">SUM(C16:C18)</f>
        <v>-5398</v>
      </c>
      <c r="D19" s="1052">
        <f t="shared" si="6"/>
        <v>1696</v>
      </c>
      <c r="E19" s="1052">
        <f t="shared" si="6"/>
        <v>2495</v>
      </c>
      <c r="F19" s="1052">
        <f t="shared" si="6"/>
        <v>-551</v>
      </c>
      <c r="G19" s="1052">
        <f t="shared" si="6"/>
        <v>1340</v>
      </c>
      <c r="H19" s="1052">
        <f t="shared" si="6"/>
        <v>3768</v>
      </c>
      <c r="I19" s="1399">
        <f t="shared" ref="I19:AP19" si="7">H46-I46</f>
        <v>2302.9950376583038</v>
      </c>
      <c r="J19" s="1056">
        <f t="shared" si="7"/>
        <v>2425.5524892822577</v>
      </c>
      <c r="K19" s="1056">
        <f t="shared" si="7"/>
        <v>-869.3956620691315</v>
      </c>
      <c r="L19" s="1056">
        <f t="shared" si="7"/>
        <v>-648.71391680142551</v>
      </c>
      <c r="M19" s="1056">
        <f t="shared" si="7"/>
        <v>1177.921638114447</v>
      </c>
      <c r="N19" s="1056">
        <f t="shared" si="7"/>
        <v>5088.4359435949518</v>
      </c>
      <c r="O19" s="1399">
        <f t="shared" si="7"/>
        <v>1734.0026915521739</v>
      </c>
      <c r="P19" s="1056">
        <f t="shared" si="7"/>
        <v>-790.33922168580102</v>
      </c>
      <c r="Q19" s="1056">
        <f t="shared" si="7"/>
        <v>1314.0364503630499</v>
      </c>
      <c r="R19" s="1056">
        <f t="shared" si="7"/>
        <v>-424.32112804595636</v>
      </c>
      <c r="S19" s="1056">
        <f t="shared" si="7"/>
        <v>129.80558592140369</v>
      </c>
      <c r="T19" s="1056">
        <f t="shared" si="7"/>
        <v>-316.48797924385872</v>
      </c>
      <c r="U19" s="1056">
        <f t="shared" si="7"/>
        <v>1062.8180390698399</v>
      </c>
      <c r="V19" s="1056">
        <f t="shared" si="7"/>
        <v>312.78784163493765</v>
      </c>
      <c r="W19" s="1056">
        <f t="shared" si="7"/>
        <v>1311.4910407129028</v>
      </c>
      <c r="X19" s="1056">
        <f t="shared" si="7"/>
        <v>357.37968643852946</v>
      </c>
      <c r="Y19" s="1056">
        <f t="shared" si="7"/>
        <v>705.08247570535605</v>
      </c>
      <c r="Z19" s="1056">
        <f t="shared" si="7"/>
        <v>642.47411172399916</v>
      </c>
      <c r="AA19" s="1056">
        <f t="shared" si="7"/>
        <v>708.69710016015779</v>
      </c>
      <c r="AB19" s="1056">
        <f t="shared" si="7"/>
        <v>772.78168851187002</v>
      </c>
      <c r="AC19" s="1056">
        <f t="shared" si="7"/>
        <v>765.49086638357221</v>
      </c>
      <c r="AD19" s="1056">
        <f t="shared" si="7"/>
        <v>633.74248517569322</v>
      </c>
      <c r="AE19" s="1056">
        <f t="shared" si="7"/>
        <v>580.132940505433</v>
      </c>
      <c r="AF19" s="1056">
        <f t="shared" si="7"/>
        <v>460.67001552251713</v>
      </c>
      <c r="AG19" s="1056">
        <f t="shared" si="7"/>
        <v>424.66698333142449</v>
      </c>
      <c r="AH19" s="1056">
        <f t="shared" si="7"/>
        <v>366.90912802070306</v>
      </c>
      <c r="AI19" s="1056">
        <f t="shared" si="7"/>
        <v>329.3440772169115</v>
      </c>
      <c r="AJ19" s="1056">
        <f t="shared" si="7"/>
        <v>196.422016310652</v>
      </c>
      <c r="AK19" s="1056">
        <f t="shared" si="7"/>
        <v>187.97995339800946</v>
      </c>
      <c r="AL19" s="1056">
        <f t="shared" si="7"/>
        <v>179.23758478315995</v>
      </c>
      <c r="AM19" s="1056">
        <f t="shared" si="7"/>
        <v>171.49037380027767</v>
      </c>
      <c r="AN19" s="1056">
        <f t="shared" si="7"/>
        <v>163.62803675055784</v>
      </c>
      <c r="AO19" s="1056">
        <f t="shared" si="7"/>
        <v>156.55197271348425</v>
      </c>
      <c r="AP19" s="1057">
        <f t="shared" si="7"/>
        <v>149.46648856885895</v>
      </c>
      <c r="AT19" s="1435" t="s">
        <v>715</v>
      </c>
      <c r="AU19" s="1030"/>
      <c r="AV19" s="1030"/>
      <c r="AW19" s="1030"/>
      <c r="AX19" s="1030"/>
      <c r="AY19" s="1030"/>
      <c r="AZ19" s="1030"/>
      <c r="BA19" s="1030"/>
      <c r="BB19" s="1030"/>
      <c r="BC19" s="1030"/>
      <c r="BD19" s="1030"/>
      <c r="BE19" s="1030"/>
      <c r="BF19" s="1030"/>
      <c r="BG19" s="1030"/>
      <c r="BH19" s="1030"/>
      <c r="BI19" s="1030"/>
      <c r="BJ19" s="1030"/>
      <c r="BK19" s="1030"/>
      <c r="BL19" s="1030"/>
      <c r="BM19" s="1030"/>
      <c r="BN19" s="1030"/>
      <c r="BO19" s="1030"/>
      <c r="BP19" s="1030"/>
      <c r="BQ19" s="1037"/>
    </row>
    <row r="20" spans="1:69" ht="17.25" customHeight="1" thickTop="1" thickBot="1" x14ac:dyDescent="0.9">
      <c r="A20" s="1055" t="s">
        <v>433</v>
      </c>
      <c r="B20" s="1058">
        <f t="shared" ref="B20" si="8">SUM(B19,B14)</f>
        <v>3011</v>
      </c>
      <c r="C20" s="1058">
        <f t="shared" ref="C20:H20" si="9">SUM(C19,C14)</f>
        <v>6253</v>
      </c>
      <c r="D20" s="1058">
        <f t="shared" si="9"/>
        <v>10235</v>
      </c>
      <c r="E20" s="1058">
        <f t="shared" si="9"/>
        <v>7034</v>
      </c>
      <c r="F20" s="1058">
        <f t="shared" si="9"/>
        <v>7413</v>
      </c>
      <c r="G20" s="1058">
        <f t="shared" si="9"/>
        <v>6690</v>
      </c>
      <c r="H20" s="1058">
        <f t="shared" si="9"/>
        <v>8748</v>
      </c>
      <c r="I20" s="1400">
        <f t="shared" ref="I20:AP20" si="10">I7*I35</f>
        <v>4921.9012660096287</v>
      </c>
      <c r="J20" s="1059">
        <f t="shared" si="10"/>
        <v>6255.0199482054359</v>
      </c>
      <c r="K20" s="1059">
        <f t="shared" si="10"/>
        <v>4725.4024661953445</v>
      </c>
      <c r="L20" s="1059">
        <f t="shared" si="10"/>
        <v>5109.936251452651</v>
      </c>
      <c r="M20" s="1059">
        <f t="shared" si="10"/>
        <v>4303.1289389750664</v>
      </c>
      <c r="N20" s="1059">
        <f t="shared" si="10"/>
        <v>6561.5059599153601</v>
      </c>
      <c r="O20" s="1400">
        <f t="shared" si="10"/>
        <v>5902.4474588382218</v>
      </c>
      <c r="P20" s="1059">
        <f t="shared" si="10"/>
        <v>5108.0429494958462</v>
      </c>
      <c r="Q20" s="1059">
        <f t="shared" si="10"/>
        <v>5026.2174308052809</v>
      </c>
      <c r="R20" s="1059">
        <f t="shared" si="10"/>
        <v>3765.7689398591938</v>
      </c>
      <c r="S20" s="1059">
        <f t="shared" si="10"/>
        <v>1491.7926580715964</v>
      </c>
      <c r="T20" s="1059">
        <f t="shared" si="10"/>
        <v>936.05436460689987</v>
      </c>
      <c r="U20" s="1059">
        <f t="shared" si="10"/>
        <v>975.23907747440023</v>
      </c>
      <c r="V20" s="1059">
        <f t="shared" si="10"/>
        <v>1361.9396257892186</v>
      </c>
      <c r="W20" s="1059">
        <f t="shared" si="10"/>
        <v>2122.102759742128</v>
      </c>
      <c r="X20" s="1059">
        <f t="shared" si="10"/>
        <v>2466.3615614775804</v>
      </c>
      <c r="Y20" s="1059">
        <f t="shared" si="10"/>
        <v>2555.8589869791454</v>
      </c>
      <c r="Z20" s="1059">
        <f t="shared" si="10"/>
        <v>2740.1437939839411</v>
      </c>
      <c r="AA20" s="1059">
        <f t="shared" si="10"/>
        <v>3086.2945051780953</v>
      </c>
      <c r="AB20" s="1059">
        <f t="shared" si="10"/>
        <v>3403.8723632451333</v>
      </c>
      <c r="AC20" s="1059">
        <f t="shared" si="10"/>
        <v>3926.6486207033495</v>
      </c>
      <c r="AD20" s="1059">
        <f t="shared" si="10"/>
        <v>4360.2168831341432</v>
      </c>
      <c r="AE20" s="1059">
        <f t="shared" si="10"/>
        <v>4668.8187745175237</v>
      </c>
      <c r="AF20" s="1059">
        <f t="shared" si="10"/>
        <v>4859.0395098260869</v>
      </c>
      <c r="AG20" s="1059">
        <f t="shared" si="10"/>
        <v>4971.990280985563</v>
      </c>
      <c r="AH20" s="1059">
        <f t="shared" si="10"/>
        <v>5045.6537589349637</v>
      </c>
      <c r="AI20" s="1059">
        <f t="shared" si="10"/>
        <v>5076.9651323371354</v>
      </c>
      <c r="AJ20" s="1059">
        <f t="shared" si="10"/>
        <v>4917.2104926816519</v>
      </c>
      <c r="AK20" s="1059">
        <f t="shared" si="10"/>
        <v>4761.2798671699102</v>
      </c>
      <c r="AL20" s="1059">
        <f t="shared" si="10"/>
        <v>4622.2016384076269</v>
      </c>
      <c r="AM20" s="1059">
        <f t="shared" si="10"/>
        <v>4489.0302125250573</v>
      </c>
      <c r="AN20" s="1059">
        <f t="shared" si="10"/>
        <v>4361.9917085461457</v>
      </c>
      <c r="AO20" s="1059">
        <f t="shared" si="10"/>
        <v>4240.4103916697331</v>
      </c>
      <c r="AP20" s="1060">
        <f t="shared" si="10"/>
        <v>4124.3485572751333</v>
      </c>
      <c r="AT20" s="1429"/>
      <c r="AU20" s="1425"/>
      <c r="AV20" s="1733" t="s">
        <v>695</v>
      </c>
      <c r="AW20" s="1733"/>
      <c r="AX20" s="1733"/>
      <c r="AY20" s="1733"/>
      <c r="AZ20" s="1733"/>
      <c r="BA20" s="1733"/>
      <c r="BB20" s="1733"/>
      <c r="BC20" s="1733"/>
      <c r="BD20" s="1733"/>
      <c r="BE20" s="1733"/>
      <c r="BF20" s="1733"/>
      <c r="BG20" s="1733"/>
      <c r="BH20" s="1733"/>
      <c r="BI20" s="1733"/>
      <c r="BJ20" s="1733"/>
      <c r="BK20" s="1733"/>
      <c r="BL20" s="1733"/>
      <c r="BM20" s="1733"/>
      <c r="BN20" s="1733"/>
      <c r="BO20" s="1733"/>
      <c r="BP20" s="1733"/>
      <c r="BQ20" s="1734"/>
    </row>
    <row r="21" spans="1:69" ht="15.75" customHeight="1" x14ac:dyDescent="0.75">
      <c r="B21" s="179"/>
      <c r="E21" s="179" t="s">
        <v>226</v>
      </c>
      <c r="F21" s="179" t="s">
        <v>226</v>
      </c>
      <c r="AT21" s="1429"/>
      <c r="AU21" s="1425"/>
      <c r="AV21" s="1731" t="s">
        <v>713</v>
      </c>
      <c r="AW21" s="1731"/>
      <c r="AX21" s="1731"/>
      <c r="AY21" s="1731"/>
      <c r="AZ21" s="1731"/>
      <c r="BA21" s="1731"/>
      <c r="BB21" s="1731"/>
      <c r="BC21" s="1731"/>
      <c r="BD21" s="1731"/>
      <c r="BE21" s="1731"/>
      <c r="BF21" s="1731"/>
      <c r="BG21" s="1731"/>
      <c r="BH21" s="1731"/>
      <c r="BI21" s="1731"/>
      <c r="BJ21" s="1731"/>
      <c r="BK21" s="1731"/>
      <c r="BL21" s="1731"/>
      <c r="BM21" s="1731"/>
      <c r="BN21" s="1731"/>
      <c r="BO21" s="1731"/>
      <c r="BP21" s="1731"/>
      <c r="BQ21" s="1732"/>
    </row>
    <row r="22" spans="1:69" ht="16.75" thickBot="1" x14ac:dyDescent="0.95">
      <c r="A22" s="19" t="s">
        <v>435</v>
      </c>
      <c r="B22" s="179"/>
      <c r="E22" s="179" t="s">
        <v>226</v>
      </c>
      <c r="J22" s="1739" t="s">
        <v>695</v>
      </c>
      <c r="K22" s="1740"/>
      <c r="L22" s="1741"/>
      <c r="M22" s="1739" t="s">
        <v>693</v>
      </c>
      <c r="N22" s="1740"/>
      <c r="O22" s="1740"/>
      <c r="P22" s="1741"/>
      <c r="Q22" s="1739" t="s">
        <v>714</v>
      </c>
      <c r="R22" s="1740"/>
      <c r="S22" s="1740"/>
      <c r="T22" s="1740"/>
      <c r="U22" s="1740"/>
      <c r="V22" s="1740"/>
      <c r="W22" s="1740"/>
      <c r="X22" s="1740"/>
      <c r="Y22" s="1740"/>
      <c r="Z22" s="1740"/>
      <c r="AA22" s="1740"/>
      <c r="AB22" s="1740"/>
      <c r="AC22" s="1740"/>
      <c r="AD22" s="1740"/>
      <c r="AE22" s="1740"/>
      <c r="AF22" s="1740"/>
      <c r="AG22" s="1740"/>
      <c r="AH22" s="1740"/>
      <c r="AI22" s="1740"/>
      <c r="AJ22" s="1740"/>
      <c r="AK22" s="1740"/>
      <c r="AL22" s="1740"/>
      <c r="AM22" s="1740"/>
      <c r="AN22" s="1740"/>
      <c r="AO22" s="1740"/>
      <c r="AP22" s="1741"/>
      <c r="AT22" s="1430"/>
      <c r="AU22" s="1034"/>
      <c r="AV22" s="1436">
        <f>'APV Valuation'!B36</f>
        <v>10.653657453279301</v>
      </c>
      <c r="AW22" s="1439">
        <f t="shared" ref="AW22:BE22" si="11">AX22-0.005</f>
        <v>0.14999999999999997</v>
      </c>
      <c r="AX22" s="1439">
        <f t="shared" si="11"/>
        <v>0.15499999999999997</v>
      </c>
      <c r="AY22" s="1439">
        <f t="shared" si="11"/>
        <v>0.15999999999999998</v>
      </c>
      <c r="AZ22" s="1439">
        <f t="shared" si="11"/>
        <v>0.16499999999999998</v>
      </c>
      <c r="BA22" s="1439">
        <f t="shared" si="11"/>
        <v>0.16999999999999998</v>
      </c>
      <c r="BB22" s="1439">
        <f t="shared" si="11"/>
        <v>0.17499999999999999</v>
      </c>
      <c r="BC22" s="1439">
        <f t="shared" si="11"/>
        <v>0.18</v>
      </c>
      <c r="BD22" s="1439">
        <f t="shared" si="11"/>
        <v>0.185</v>
      </c>
      <c r="BE22" s="1439">
        <f t="shared" si="11"/>
        <v>0.19</v>
      </c>
      <c r="BF22" s="1439">
        <f>BG22-0.005</f>
        <v>0.19500000000000001</v>
      </c>
      <c r="BG22" s="1534">
        <v>0.2</v>
      </c>
      <c r="BH22" s="1439">
        <f>BG22+0.005</f>
        <v>0.20500000000000002</v>
      </c>
      <c r="BI22" s="1439">
        <f t="shared" ref="BI22:BQ22" si="12">BH22+0.005</f>
        <v>0.21000000000000002</v>
      </c>
      <c r="BJ22" s="1439">
        <f t="shared" si="12"/>
        <v>0.21500000000000002</v>
      </c>
      <c r="BK22" s="1439">
        <f t="shared" si="12"/>
        <v>0.22000000000000003</v>
      </c>
      <c r="BL22" s="1439">
        <f t="shared" si="12"/>
        <v>0.22500000000000003</v>
      </c>
      <c r="BM22" s="1439">
        <f t="shared" si="12"/>
        <v>0.23000000000000004</v>
      </c>
      <c r="BN22" s="1439">
        <f t="shared" si="12"/>
        <v>0.23500000000000004</v>
      </c>
      <c r="BO22" s="1439">
        <f t="shared" si="12"/>
        <v>0.24000000000000005</v>
      </c>
      <c r="BP22" s="1439">
        <f t="shared" si="12"/>
        <v>0.24500000000000005</v>
      </c>
      <c r="BQ22" s="1440">
        <f t="shared" si="12"/>
        <v>0.25000000000000006</v>
      </c>
    </row>
    <row r="23" spans="1:69" x14ac:dyDescent="0.75">
      <c r="A23" s="1043" t="s">
        <v>227</v>
      </c>
      <c r="B23" s="1061">
        <v>0.35</v>
      </c>
      <c r="C23" s="1061">
        <v>0.35</v>
      </c>
      <c r="D23" s="1061">
        <v>0.35</v>
      </c>
      <c r="E23" s="1061">
        <v>0.35</v>
      </c>
      <c r="F23" s="1061">
        <v>0.35</v>
      </c>
      <c r="G23" s="1061">
        <v>0.35</v>
      </c>
      <c r="H23" s="1061">
        <v>0.35</v>
      </c>
      <c r="I23" s="1401">
        <v>0.35</v>
      </c>
      <c r="J23" s="1401">
        <v>0.2</v>
      </c>
      <c r="K23" s="1062">
        <f>J23</f>
        <v>0.2</v>
      </c>
      <c r="L23" s="1062">
        <f>J23</f>
        <v>0.2</v>
      </c>
      <c r="M23" s="1401">
        <v>0.4</v>
      </c>
      <c r="N23" s="1062">
        <f>M23</f>
        <v>0.4</v>
      </c>
      <c r="O23" s="1401">
        <f>N23</f>
        <v>0.4</v>
      </c>
      <c r="P23" s="1062">
        <f>O23</f>
        <v>0.4</v>
      </c>
      <c r="Q23" s="1062">
        <v>0.35</v>
      </c>
      <c r="R23" s="1062">
        <f>Q23</f>
        <v>0.35</v>
      </c>
      <c r="S23" s="1062">
        <f t="shared" ref="S23:AP23" si="13">R23</f>
        <v>0.35</v>
      </c>
      <c r="T23" s="1062">
        <f t="shared" si="13"/>
        <v>0.35</v>
      </c>
      <c r="U23" s="1062">
        <f t="shared" si="13"/>
        <v>0.35</v>
      </c>
      <c r="V23" s="1062">
        <f t="shared" si="13"/>
        <v>0.35</v>
      </c>
      <c r="W23" s="1062">
        <f t="shared" si="13"/>
        <v>0.35</v>
      </c>
      <c r="X23" s="1062">
        <f t="shared" si="13"/>
        <v>0.35</v>
      </c>
      <c r="Y23" s="1062">
        <f t="shared" si="13"/>
        <v>0.35</v>
      </c>
      <c r="Z23" s="1062">
        <f t="shared" si="13"/>
        <v>0.35</v>
      </c>
      <c r="AA23" s="1062">
        <f t="shared" si="13"/>
        <v>0.35</v>
      </c>
      <c r="AB23" s="1062">
        <f t="shared" si="13"/>
        <v>0.35</v>
      </c>
      <c r="AC23" s="1062">
        <f t="shared" si="13"/>
        <v>0.35</v>
      </c>
      <c r="AD23" s="1062">
        <f t="shared" si="13"/>
        <v>0.35</v>
      </c>
      <c r="AE23" s="1062">
        <f t="shared" si="13"/>
        <v>0.35</v>
      </c>
      <c r="AF23" s="1062">
        <f t="shared" si="13"/>
        <v>0.35</v>
      </c>
      <c r="AG23" s="1062">
        <f t="shared" si="13"/>
        <v>0.35</v>
      </c>
      <c r="AH23" s="1062">
        <f t="shared" si="13"/>
        <v>0.35</v>
      </c>
      <c r="AI23" s="1062">
        <f t="shared" si="13"/>
        <v>0.35</v>
      </c>
      <c r="AJ23" s="1062">
        <f t="shared" si="13"/>
        <v>0.35</v>
      </c>
      <c r="AK23" s="1062">
        <f t="shared" si="13"/>
        <v>0.35</v>
      </c>
      <c r="AL23" s="1062">
        <f t="shared" si="13"/>
        <v>0.35</v>
      </c>
      <c r="AM23" s="1062">
        <f t="shared" si="13"/>
        <v>0.35</v>
      </c>
      <c r="AN23" s="1062">
        <f t="shared" si="13"/>
        <v>0.35</v>
      </c>
      <c r="AO23" s="1062">
        <f t="shared" si="13"/>
        <v>0.35</v>
      </c>
      <c r="AP23" s="1063">
        <f t="shared" si="13"/>
        <v>0.35</v>
      </c>
      <c r="AT23" s="1736" t="s">
        <v>712</v>
      </c>
      <c r="AU23" s="1428" t="str">
        <f>""</f>
        <v/>
      </c>
      <c r="AV23" s="1437">
        <f t="shared" ref="AV23:AV27" si="14">AV24-0.005</f>
        <v>3.4537537707466592E-2</v>
      </c>
      <c r="AW23" s="1426">
        <f t="dataTable" ref="AW23:BQ35" dt2D="1" dtr="1" r1="J23" r2="AU23" ca="1"/>
        <v>14.636872211796504</v>
      </c>
      <c r="AX23" s="1426">
        <v>14.633113674271751</v>
      </c>
      <c r="AY23" s="1426">
        <v>14.629355136746996</v>
      </c>
      <c r="AZ23" s="1426">
        <v>14.625596599222243</v>
      </c>
      <c r="BA23" s="1426">
        <v>14.621838061697488</v>
      </c>
      <c r="BB23" s="1426">
        <v>14.618079524172733</v>
      </c>
      <c r="BC23" s="1426">
        <v>14.61432098664798</v>
      </c>
      <c r="BD23" s="1426">
        <v>14.610562449123227</v>
      </c>
      <c r="BE23" s="1426">
        <v>14.606803911598472</v>
      </c>
      <c r="BF23" s="1426">
        <v>14.603045374073718</v>
      </c>
      <c r="BG23" s="1533">
        <v>14.599286836548965</v>
      </c>
      <c r="BH23" s="1426">
        <v>14.59552829902421</v>
      </c>
      <c r="BI23" s="1426">
        <v>14.591769761499455</v>
      </c>
      <c r="BJ23" s="1426">
        <v>14.588011223974702</v>
      </c>
      <c r="BK23" s="1426">
        <v>14.584252686449949</v>
      </c>
      <c r="BL23" s="1426">
        <v>14.580494148925194</v>
      </c>
      <c r="BM23" s="1426">
        <v>14.576735611400439</v>
      </c>
      <c r="BN23" s="1426">
        <v>14.572977073875684</v>
      </c>
      <c r="BO23" s="1426">
        <v>14.569218536350931</v>
      </c>
      <c r="BP23" s="1426">
        <v>14.565459998826178</v>
      </c>
      <c r="BQ23" s="1431">
        <v>14.561701461301423</v>
      </c>
    </row>
    <row r="24" spans="1:69" x14ac:dyDescent="0.75">
      <c r="A24" s="1032" t="s">
        <v>228</v>
      </c>
      <c r="B24" s="1064">
        <v>0.3</v>
      </c>
      <c r="C24" s="1064">
        <v>-0.01</v>
      </c>
      <c r="D24" s="1064">
        <v>0.02</v>
      </c>
      <c r="E24" s="1064">
        <v>0.01</v>
      </c>
      <c r="F24" s="1064">
        <v>0.01</v>
      </c>
      <c r="G24" s="1064">
        <v>0.01</v>
      </c>
      <c r="H24" s="1064">
        <v>0.01</v>
      </c>
      <c r="I24" s="1402">
        <v>0.01</v>
      </c>
      <c r="J24" s="1402">
        <v>0.01</v>
      </c>
      <c r="K24" s="1065">
        <v>0.01</v>
      </c>
      <c r="L24" s="1065">
        <v>0.01</v>
      </c>
      <c r="M24" s="1402">
        <v>0.01</v>
      </c>
      <c r="N24" s="1065">
        <v>0.01</v>
      </c>
      <c r="O24" s="1402">
        <v>0.01</v>
      </c>
      <c r="P24" s="1065">
        <v>0.01</v>
      </c>
      <c r="Q24" s="1065">
        <v>0.01</v>
      </c>
      <c r="R24" s="1065">
        <v>0.01</v>
      </c>
      <c r="S24" s="1065">
        <v>0.01</v>
      </c>
      <c r="T24" s="1065">
        <v>0.01</v>
      </c>
      <c r="U24" s="1065">
        <v>0.01</v>
      </c>
      <c r="V24" s="1065">
        <v>0.01</v>
      </c>
      <c r="W24" s="1065">
        <v>0.01</v>
      </c>
      <c r="X24" s="1065">
        <v>0.01</v>
      </c>
      <c r="Y24" s="1065">
        <v>0.01</v>
      </c>
      <c r="Z24" s="1065">
        <v>0.01</v>
      </c>
      <c r="AA24" s="1065">
        <v>0.01</v>
      </c>
      <c r="AB24" s="1065">
        <v>0.01</v>
      </c>
      <c r="AC24" s="1065">
        <v>0.01</v>
      </c>
      <c r="AD24" s="1065">
        <v>0.01</v>
      </c>
      <c r="AE24" s="1065">
        <v>0.01</v>
      </c>
      <c r="AF24" s="1065">
        <v>0.01</v>
      </c>
      <c r="AG24" s="1065">
        <v>0.01</v>
      </c>
      <c r="AH24" s="1065">
        <v>0.01</v>
      </c>
      <c r="AI24" s="1065">
        <v>0.01</v>
      </c>
      <c r="AJ24" s="1065">
        <v>0.01</v>
      </c>
      <c r="AK24" s="1065">
        <v>0.01</v>
      </c>
      <c r="AL24" s="1065">
        <v>0.01</v>
      </c>
      <c r="AM24" s="1065">
        <v>0.01</v>
      </c>
      <c r="AN24" s="1065">
        <v>0.01</v>
      </c>
      <c r="AO24" s="1065">
        <v>0.01</v>
      </c>
      <c r="AP24" s="1066">
        <v>0.01</v>
      </c>
      <c r="AT24" s="1737"/>
      <c r="AU24" s="1427"/>
      <c r="AV24" s="1437">
        <f t="shared" si="14"/>
        <v>3.953753770746659E-2</v>
      </c>
      <c r="AW24" s="1426">
        <v>13.691492243619447</v>
      </c>
      <c r="AX24" s="1426">
        <v>13.687785809924915</v>
      </c>
      <c r="AY24" s="1426">
        <v>13.684079376230384</v>
      </c>
      <c r="AZ24" s="1426">
        <v>13.68037294253585</v>
      </c>
      <c r="BA24" s="1426">
        <v>13.676666508841322</v>
      </c>
      <c r="BB24" s="1426">
        <v>13.672960075146788</v>
      </c>
      <c r="BC24" s="1426">
        <v>13.66925364145226</v>
      </c>
      <c r="BD24" s="1426">
        <v>13.665547207757726</v>
      </c>
      <c r="BE24" s="1426">
        <v>13.661840774063196</v>
      </c>
      <c r="BF24" s="1426">
        <v>13.658134340368663</v>
      </c>
      <c r="BG24" s="1533">
        <v>13.654427906674131</v>
      </c>
      <c r="BH24" s="1426">
        <v>13.650721472979601</v>
      </c>
      <c r="BI24" s="1426">
        <v>13.647015039285069</v>
      </c>
      <c r="BJ24" s="1426">
        <v>13.643308605590539</v>
      </c>
      <c r="BK24" s="1426">
        <v>13.639602171896007</v>
      </c>
      <c r="BL24" s="1426">
        <v>13.635895738201476</v>
      </c>
      <c r="BM24" s="1426">
        <v>13.632189304506944</v>
      </c>
      <c r="BN24" s="1426">
        <v>13.628482870812414</v>
      </c>
      <c r="BO24" s="1426">
        <v>13.624776437117882</v>
      </c>
      <c r="BP24" s="1426">
        <v>13.621070003423352</v>
      </c>
      <c r="BQ24" s="1431">
        <v>13.61736356972882</v>
      </c>
    </row>
    <row r="25" spans="1:69" x14ac:dyDescent="0.75">
      <c r="A25" s="1032" t="s">
        <v>229</v>
      </c>
      <c r="B25" s="1064">
        <v>0.94</v>
      </c>
      <c r="C25" s="1064">
        <v>-0.08</v>
      </c>
      <c r="D25" s="1064">
        <v>-0.05</v>
      </c>
      <c r="E25" s="1064">
        <v>0</v>
      </c>
      <c r="F25" s="1064">
        <v>0</v>
      </c>
      <c r="G25" s="1064">
        <v>-0.15</v>
      </c>
      <c r="H25" s="1064">
        <v>-0.1</v>
      </c>
      <c r="I25" s="1403">
        <f t="shared" ref="I25:AP25" si="15">-J81</f>
        <v>-8.1255539143279168E-2</v>
      </c>
      <c r="J25" s="1403">
        <f t="shared" si="15"/>
        <v>1.4125500667556736E-2</v>
      </c>
      <c r="K25" s="1067">
        <f t="shared" si="15"/>
        <v>1.3939393939393935E-2</v>
      </c>
      <c r="L25" s="1067">
        <f t="shared" si="15"/>
        <v>1.5212038303693567E-2</v>
      </c>
      <c r="M25" s="1403">
        <f t="shared" si="15"/>
        <v>-0.10898751733703192</v>
      </c>
      <c r="N25" s="1067">
        <f t="shared" si="15"/>
        <v>-0.11120516499282641</v>
      </c>
      <c r="O25" s="1403">
        <f t="shared" si="15"/>
        <v>-0.10953323903818955</v>
      </c>
      <c r="P25" s="1067">
        <f t="shared" si="15"/>
        <v>-0.1077106741573034</v>
      </c>
      <c r="Q25" s="1067">
        <f t="shared" si="15"/>
        <v>-7.8093220338983041E-2</v>
      </c>
      <c r="R25" s="1067">
        <f t="shared" si="15"/>
        <v>-8.0492040520984062E-2</v>
      </c>
      <c r="S25" s="1067">
        <f t="shared" si="15"/>
        <v>-7.6457142857142849E-2</v>
      </c>
      <c r="T25" s="1067">
        <f t="shared" si="15"/>
        <v>-7.8337303477846579E-2</v>
      </c>
      <c r="U25" s="1067">
        <f t="shared" si="15"/>
        <v>-7.8419961734693858E-2</v>
      </c>
      <c r="V25" s="1067">
        <f t="shared" si="15"/>
        <v>-7.773702898934759E-2</v>
      </c>
      <c r="W25" s="1067">
        <f t="shared" si="15"/>
        <v>-7.8164592760180979E-2</v>
      </c>
      <c r="X25" s="1067">
        <f t="shared" si="15"/>
        <v>-7.810689083952814E-2</v>
      </c>
      <c r="Y25" s="1067">
        <f t="shared" si="15"/>
        <v>-7.8002769158254437E-2</v>
      </c>
      <c r="Z25" s="1067">
        <f t="shared" si="15"/>
        <v>-7.809141486992692E-2</v>
      </c>
      <c r="AA25" s="1067">
        <f t="shared" si="15"/>
        <v>-7.806701595730281E-2</v>
      </c>
      <c r="AB25" s="1067">
        <f t="shared" si="15"/>
        <v>-7.8053729895684293E-2</v>
      </c>
      <c r="AC25" s="1067">
        <f t="shared" si="15"/>
        <v>-7.8070720092207682E-2</v>
      </c>
      <c r="AD25" s="1067">
        <f t="shared" si="15"/>
        <v>-7.806382175913755E-2</v>
      </c>
      <c r="AE25" s="1067">
        <f t="shared" si="15"/>
        <v>-7.8062757102625918E-2</v>
      </c>
      <c r="AF25" s="1067">
        <f t="shared" si="15"/>
        <v>-7.8062757102625918E-2</v>
      </c>
      <c r="AG25" s="1067">
        <f t="shared" si="15"/>
        <v>-7.8062757102625918E-2</v>
      </c>
      <c r="AH25" s="1067">
        <f t="shared" si="15"/>
        <v>-7.8062757102625918E-2</v>
      </c>
      <c r="AI25" s="1067">
        <f t="shared" si="15"/>
        <v>-7.8062757102625918E-2</v>
      </c>
      <c r="AJ25" s="1067">
        <f t="shared" si="15"/>
        <v>-7.8062757102625918E-2</v>
      </c>
      <c r="AK25" s="1067">
        <f t="shared" si="15"/>
        <v>-7.8062757102625918E-2</v>
      </c>
      <c r="AL25" s="1067">
        <f t="shared" si="15"/>
        <v>-7.8062757102625918E-2</v>
      </c>
      <c r="AM25" s="1067">
        <f t="shared" si="15"/>
        <v>-7.8062757102625918E-2</v>
      </c>
      <c r="AN25" s="1067">
        <f t="shared" si="15"/>
        <v>-7.8062757102625918E-2</v>
      </c>
      <c r="AO25" s="1067">
        <f t="shared" si="15"/>
        <v>-7.8062757102625918E-2</v>
      </c>
      <c r="AP25" s="1068">
        <f t="shared" si="15"/>
        <v>-7.8062757102625918E-2</v>
      </c>
      <c r="AT25" s="1737"/>
      <c r="AU25" s="1427"/>
      <c r="AV25" s="1437">
        <f t="shared" si="14"/>
        <v>4.4537537707466587E-2</v>
      </c>
      <c r="AW25" s="1426">
        <v>12.895056585553155</v>
      </c>
      <c r="AX25" s="1426">
        <v>12.891401231158463</v>
      </c>
      <c r="AY25" s="1426">
        <v>12.887745876763772</v>
      </c>
      <c r="AZ25" s="1426">
        <v>12.88409052236908</v>
      </c>
      <c r="BA25" s="1426">
        <v>12.880435167974388</v>
      </c>
      <c r="BB25" s="1426">
        <v>12.876779813579697</v>
      </c>
      <c r="BC25" s="1426">
        <v>12.873124459185009</v>
      </c>
      <c r="BD25" s="1426">
        <v>12.869469104790316</v>
      </c>
      <c r="BE25" s="1426">
        <v>12.865813750395626</v>
      </c>
      <c r="BF25" s="1426">
        <v>12.862158396000934</v>
      </c>
      <c r="BG25" s="1533">
        <v>12.858503041606243</v>
      </c>
      <c r="BH25" s="1426">
        <v>12.854847687211551</v>
      </c>
      <c r="BI25" s="1426">
        <v>12.85119233281686</v>
      </c>
      <c r="BJ25" s="1426">
        <v>12.847536978422168</v>
      </c>
      <c r="BK25" s="1426">
        <v>12.843881624027476</v>
      </c>
      <c r="BL25" s="1426">
        <v>12.840226269632785</v>
      </c>
      <c r="BM25" s="1426">
        <v>12.836570915238095</v>
      </c>
      <c r="BN25" s="1426">
        <v>12.832915560843404</v>
      </c>
      <c r="BO25" s="1426">
        <v>12.829260206448714</v>
      </c>
      <c r="BP25" s="1426">
        <v>12.82560485205402</v>
      </c>
      <c r="BQ25" s="1431">
        <v>12.821949497659331</v>
      </c>
    </row>
    <row r="26" spans="1:69" x14ac:dyDescent="0.75">
      <c r="A26" s="1032" t="s">
        <v>230</v>
      </c>
      <c r="B26" s="1064">
        <v>0</v>
      </c>
      <c r="C26" s="1064">
        <v>-0.01</v>
      </c>
      <c r="D26" s="1064">
        <v>-0.01</v>
      </c>
      <c r="E26" s="1064">
        <v>-0.04</v>
      </c>
      <c r="F26" s="1064">
        <v>-0.01</v>
      </c>
      <c r="G26" s="1064">
        <v>-0.01</v>
      </c>
      <c r="H26" s="1064">
        <v>-0.03</v>
      </c>
      <c r="I26" s="1404">
        <f>'R&amp;D Schedule '!J10</f>
        <v>-1.5304104032808784E-2</v>
      </c>
      <c r="J26" s="1404">
        <f>'R&amp;D Schedule '!K10</f>
        <v>-1.5816798165877288E-2</v>
      </c>
      <c r="K26" s="1069">
        <f>'R&amp;D Schedule '!L10</f>
        <v>-1.6346667775113444E-2</v>
      </c>
      <c r="L26" s="1069">
        <f>'R&amp;D Schedule '!M10</f>
        <v>-1.6894288246429755E-2</v>
      </c>
      <c r="M26" s="1404">
        <f>'R&amp;D Schedule '!N10</f>
        <v>-1.7460254241416721E-2</v>
      </c>
      <c r="N26" s="1069">
        <f>'R&amp;D Schedule '!O10</f>
        <v>-1.8045180343086449E-2</v>
      </c>
      <c r="O26" s="1404">
        <f>'R&amp;D Schedule '!P10</f>
        <v>-1.8045180343086449E-2</v>
      </c>
      <c r="P26" s="1069">
        <f>'R&amp;D Schedule '!Q10</f>
        <v>-1.8045180343086449E-2</v>
      </c>
      <c r="Q26" s="1069">
        <f>'R&amp;D Schedule '!R10</f>
        <v>-1.8045180343086449E-2</v>
      </c>
      <c r="R26" s="1069">
        <f>'R&amp;D Schedule '!S10</f>
        <v>-1.8045180343086449E-2</v>
      </c>
      <c r="S26" s="1069">
        <f>'R&amp;D Schedule '!T10</f>
        <v>-1.8045180343086449E-2</v>
      </c>
      <c r="T26" s="1069">
        <f>'R&amp;D Schedule '!U10</f>
        <v>-1.8045180343086449E-2</v>
      </c>
      <c r="U26" s="1069">
        <f>'R&amp;D Schedule '!V10</f>
        <v>-1.8045180343086449E-2</v>
      </c>
      <c r="V26" s="1069">
        <f>'R&amp;D Schedule '!W10</f>
        <v>-1.8045180343086449E-2</v>
      </c>
      <c r="W26" s="1069">
        <f>'R&amp;D Schedule '!X10</f>
        <v>-1.8045180343086449E-2</v>
      </c>
      <c r="X26" s="1069">
        <f>'R&amp;D Schedule '!Y10</f>
        <v>-1.8045180343086449E-2</v>
      </c>
      <c r="Y26" s="1069">
        <f>'R&amp;D Schedule '!Z10</f>
        <v>-1.8045180343086449E-2</v>
      </c>
      <c r="Z26" s="1069">
        <f>'R&amp;D Schedule '!AA10</f>
        <v>-1.8045180343086449E-2</v>
      </c>
      <c r="AA26" s="1069">
        <f>'R&amp;D Schedule '!AB10</f>
        <v>-1.8045180343086449E-2</v>
      </c>
      <c r="AB26" s="1069">
        <f>'R&amp;D Schedule '!AC10</f>
        <v>-1.8045180343086449E-2</v>
      </c>
      <c r="AC26" s="1069">
        <f>'R&amp;D Schedule '!AD10</f>
        <v>-1.8045180343086449E-2</v>
      </c>
      <c r="AD26" s="1069">
        <f>'R&amp;D Schedule '!AE10</f>
        <v>-1.8045180343086449E-2</v>
      </c>
      <c r="AE26" s="1069">
        <f>'R&amp;D Schedule '!AF10</f>
        <v>-1.8045180343086449E-2</v>
      </c>
      <c r="AF26" s="1069">
        <f>'R&amp;D Schedule '!AG10</f>
        <v>-1.8045180343086449E-2</v>
      </c>
      <c r="AG26" s="1069">
        <f>'R&amp;D Schedule '!AH10</f>
        <v>-1.8045180343086449E-2</v>
      </c>
      <c r="AH26" s="1069">
        <f>'R&amp;D Schedule '!AI10</f>
        <v>-1.8045180343086449E-2</v>
      </c>
      <c r="AI26" s="1069">
        <f>'R&amp;D Schedule '!AJ10</f>
        <v>-1.8045180343086449E-2</v>
      </c>
      <c r="AJ26" s="1069">
        <f>'R&amp;D Schedule '!AK10</f>
        <v>-1.8045180343086449E-2</v>
      </c>
      <c r="AK26" s="1065">
        <f>'R&amp;D Schedule '!AL10</f>
        <v>-1.8045180343086449E-2</v>
      </c>
      <c r="AL26" s="1065">
        <f>'R&amp;D Schedule '!AM10</f>
        <v>-1.8045180343086449E-2</v>
      </c>
      <c r="AM26" s="1065">
        <f>'R&amp;D Schedule '!AN10</f>
        <v>-1.8045180343086449E-2</v>
      </c>
      <c r="AN26" s="1065">
        <f>'R&amp;D Schedule '!AO10</f>
        <v>-1.8045180343086449E-2</v>
      </c>
      <c r="AO26" s="1065">
        <f>'R&amp;D Schedule '!AP10</f>
        <v>-1.8045180343086449E-2</v>
      </c>
      <c r="AP26" s="1066">
        <f>'R&amp;D Schedule '!AQ10</f>
        <v>-1.8045180343086449E-2</v>
      </c>
      <c r="AT26" s="1737"/>
      <c r="AU26" s="1427"/>
      <c r="AV26" s="1437">
        <f t="shared" si="14"/>
        <v>4.9537537707466585E-2</v>
      </c>
      <c r="AW26" s="1426">
        <v>12.216882728930596</v>
      </c>
      <c r="AX26" s="1426">
        <v>12.213277454975279</v>
      </c>
      <c r="AY26" s="1426">
        <v>12.209672181019963</v>
      </c>
      <c r="AZ26" s="1426">
        <v>12.206066907064645</v>
      </c>
      <c r="BA26" s="1426">
        <v>12.20246163310933</v>
      </c>
      <c r="BB26" s="1426">
        <v>12.198856359154012</v>
      </c>
      <c r="BC26" s="1426">
        <v>12.195251085198699</v>
      </c>
      <c r="BD26" s="1426">
        <v>12.191645811243381</v>
      </c>
      <c r="BE26" s="1426">
        <v>12.188040537288066</v>
      </c>
      <c r="BF26" s="1426">
        <v>12.184435263332748</v>
      </c>
      <c r="BG26" s="1533">
        <v>12.180829989377433</v>
      </c>
      <c r="BH26" s="1426">
        <v>12.177224715422115</v>
      </c>
      <c r="BI26" s="1426">
        <v>12.1736194414668</v>
      </c>
      <c r="BJ26" s="1426">
        <v>12.170014167511482</v>
      </c>
      <c r="BK26" s="1426">
        <v>12.166408893556168</v>
      </c>
      <c r="BL26" s="1426">
        <v>12.162803619600851</v>
      </c>
      <c r="BM26" s="1426">
        <v>12.159198345645535</v>
      </c>
      <c r="BN26" s="1426">
        <v>12.155593071690218</v>
      </c>
      <c r="BO26" s="1426">
        <v>12.151987797734902</v>
      </c>
      <c r="BP26" s="1426">
        <v>12.148382523779585</v>
      </c>
      <c r="BQ26" s="1431">
        <v>12.144777249824267</v>
      </c>
    </row>
    <row r="27" spans="1:69" x14ac:dyDescent="0.75">
      <c r="A27" s="1032" t="s">
        <v>231</v>
      </c>
      <c r="B27" s="1064">
        <v>-0.82</v>
      </c>
      <c r="C27" s="1064">
        <v>-0.19</v>
      </c>
      <c r="D27" s="1064">
        <v>-0.04</v>
      </c>
      <c r="E27" s="1064">
        <v>0.06</v>
      </c>
      <c r="F27" s="1064">
        <v>0.02</v>
      </c>
      <c r="G27" s="1064">
        <v>0</v>
      </c>
      <c r="H27" s="1064">
        <v>0.03</v>
      </c>
      <c r="I27" s="1402">
        <f t="shared" ref="I27:N28" si="16">AVERAGE(C27:H27)</f>
        <v>-2.0000000000000004E-2</v>
      </c>
      <c r="J27" s="1402">
        <f t="shared" si="16"/>
        <v>8.3333333333333315E-3</v>
      </c>
      <c r="K27" s="1065">
        <f t="shared" si="16"/>
        <v>1.6388888888888887E-2</v>
      </c>
      <c r="L27" s="1065">
        <f t="shared" si="16"/>
        <v>9.120370370370369E-3</v>
      </c>
      <c r="M27" s="1402">
        <f t="shared" si="16"/>
        <v>7.3070987654320968E-3</v>
      </c>
      <c r="N27" s="1335">
        <f t="shared" si="16"/>
        <v>8.5249485596707794E-3</v>
      </c>
      <c r="O27" s="1410">
        <f>N27</f>
        <v>8.5249485596707794E-3</v>
      </c>
      <c r="P27" s="1334">
        <f t="shared" ref="P27:AP27" si="17">O27</f>
        <v>8.5249485596707794E-3</v>
      </c>
      <c r="Q27" s="1334">
        <f t="shared" si="17"/>
        <v>8.5249485596707794E-3</v>
      </c>
      <c r="R27" s="1334">
        <f t="shared" si="17"/>
        <v>8.5249485596707794E-3</v>
      </c>
      <c r="S27" s="1334">
        <f t="shared" si="17"/>
        <v>8.5249485596707794E-3</v>
      </c>
      <c r="T27" s="1334">
        <f t="shared" si="17"/>
        <v>8.5249485596707794E-3</v>
      </c>
      <c r="U27" s="1334">
        <f t="shared" si="17"/>
        <v>8.5249485596707794E-3</v>
      </c>
      <c r="V27" s="1334">
        <f t="shared" si="17"/>
        <v>8.5249485596707794E-3</v>
      </c>
      <c r="W27" s="1334">
        <f t="shared" si="17"/>
        <v>8.5249485596707794E-3</v>
      </c>
      <c r="X27" s="1334">
        <f t="shared" si="17"/>
        <v>8.5249485596707794E-3</v>
      </c>
      <c r="Y27" s="1334">
        <f t="shared" si="17"/>
        <v>8.5249485596707794E-3</v>
      </c>
      <c r="Z27" s="1334">
        <f t="shared" si="17"/>
        <v>8.5249485596707794E-3</v>
      </c>
      <c r="AA27" s="1334">
        <f t="shared" si="17"/>
        <v>8.5249485596707794E-3</v>
      </c>
      <c r="AB27" s="1334">
        <f t="shared" si="17"/>
        <v>8.5249485596707794E-3</v>
      </c>
      <c r="AC27" s="1334">
        <f t="shared" si="17"/>
        <v>8.5249485596707794E-3</v>
      </c>
      <c r="AD27" s="1334">
        <f t="shared" si="17"/>
        <v>8.5249485596707794E-3</v>
      </c>
      <c r="AE27" s="1334">
        <f t="shared" si="17"/>
        <v>8.5249485596707794E-3</v>
      </c>
      <c r="AF27" s="1334">
        <f t="shared" si="17"/>
        <v>8.5249485596707794E-3</v>
      </c>
      <c r="AG27" s="1334">
        <f t="shared" si="17"/>
        <v>8.5249485596707794E-3</v>
      </c>
      <c r="AH27" s="1334">
        <f t="shared" si="17"/>
        <v>8.5249485596707794E-3</v>
      </c>
      <c r="AI27" s="1065">
        <f t="shared" si="17"/>
        <v>8.5249485596707794E-3</v>
      </c>
      <c r="AJ27" s="1065">
        <f t="shared" si="17"/>
        <v>8.5249485596707794E-3</v>
      </c>
      <c r="AK27" s="1065">
        <f t="shared" si="17"/>
        <v>8.5249485596707794E-3</v>
      </c>
      <c r="AL27" s="1065">
        <f t="shared" si="17"/>
        <v>8.5249485596707794E-3</v>
      </c>
      <c r="AM27" s="1065">
        <f t="shared" si="17"/>
        <v>8.5249485596707794E-3</v>
      </c>
      <c r="AN27" s="1065">
        <f t="shared" si="17"/>
        <v>8.5249485596707794E-3</v>
      </c>
      <c r="AO27" s="1065">
        <f t="shared" si="17"/>
        <v>8.5249485596707794E-3</v>
      </c>
      <c r="AP27" s="1066">
        <f t="shared" si="17"/>
        <v>8.5249485596707794E-3</v>
      </c>
      <c r="AT27" s="1737"/>
      <c r="AU27" s="1427"/>
      <c r="AV27" s="1437">
        <f t="shared" si="14"/>
        <v>5.4537537707466582E-2</v>
      </c>
      <c r="AW27" s="1426">
        <v>11.63402874471009</v>
      </c>
      <c r="AX27" s="1426">
        <v>11.630472577228888</v>
      </c>
      <c r="AY27" s="1426">
        <v>11.626916409747686</v>
      </c>
      <c r="AZ27" s="1426">
        <v>11.623360242266484</v>
      </c>
      <c r="BA27" s="1426">
        <v>11.619804074785284</v>
      </c>
      <c r="BB27" s="1426">
        <v>11.616247907304082</v>
      </c>
      <c r="BC27" s="1426">
        <v>11.61269173982288</v>
      </c>
      <c r="BD27" s="1426">
        <v>11.609135572341678</v>
      </c>
      <c r="BE27" s="1426">
        <v>11.605579404860478</v>
      </c>
      <c r="BF27" s="1426">
        <v>11.602023237379276</v>
      </c>
      <c r="BG27" s="1533">
        <v>11.598467069898074</v>
      </c>
      <c r="BH27" s="1426">
        <v>11.594910902416872</v>
      </c>
      <c r="BI27" s="1426">
        <v>11.591354734935672</v>
      </c>
      <c r="BJ27" s="1426">
        <v>11.58779856745447</v>
      </c>
      <c r="BK27" s="1426">
        <v>11.584242399973268</v>
      </c>
      <c r="BL27" s="1426">
        <v>11.580686232492067</v>
      </c>
      <c r="BM27" s="1426">
        <v>11.577130065010868</v>
      </c>
      <c r="BN27" s="1426">
        <v>11.573573897529666</v>
      </c>
      <c r="BO27" s="1426">
        <v>11.570017730048464</v>
      </c>
      <c r="BP27" s="1426">
        <v>11.566461562567262</v>
      </c>
      <c r="BQ27" s="1431">
        <v>11.562905395086062</v>
      </c>
    </row>
    <row r="28" spans="1:69" x14ac:dyDescent="0.75">
      <c r="A28" s="1032" t="s">
        <v>232</v>
      </c>
      <c r="B28" s="1064">
        <v>0</v>
      </c>
      <c r="C28" s="1064">
        <v>0.03</v>
      </c>
      <c r="D28" s="1064">
        <v>0.03</v>
      </c>
      <c r="E28" s="1064">
        <v>0.04</v>
      </c>
      <c r="F28" s="1064">
        <v>0.03</v>
      </c>
      <c r="G28" s="1064">
        <v>0</v>
      </c>
      <c r="H28" s="1064">
        <v>-0.05</v>
      </c>
      <c r="I28" s="1402">
        <f t="shared" si="16"/>
        <v>1.3333333333333334E-2</v>
      </c>
      <c r="J28" s="1402">
        <f t="shared" si="16"/>
        <v>1.0555555555555556E-2</v>
      </c>
      <c r="K28" s="1065">
        <f t="shared" si="16"/>
        <v>7.3148148148148157E-3</v>
      </c>
      <c r="L28" s="1065">
        <f t="shared" si="16"/>
        <v>1.8672839506172836E-3</v>
      </c>
      <c r="M28" s="1402">
        <f t="shared" si="16"/>
        <v>-2.821502057613169E-3</v>
      </c>
      <c r="N28" s="1335">
        <f t="shared" ref="N28" si="18">AVERAGE(H28:M28)</f>
        <v>-3.2917524005486969E-3</v>
      </c>
      <c r="O28" s="1410">
        <f>N28</f>
        <v>-3.2917524005486969E-3</v>
      </c>
      <c r="P28" s="1334">
        <f t="shared" ref="P28:AP28" si="19">O28</f>
        <v>-3.2917524005486969E-3</v>
      </c>
      <c r="Q28" s="1334">
        <f t="shared" si="19"/>
        <v>-3.2917524005486969E-3</v>
      </c>
      <c r="R28" s="1334">
        <f t="shared" si="19"/>
        <v>-3.2917524005486969E-3</v>
      </c>
      <c r="S28" s="1334">
        <f t="shared" si="19"/>
        <v>-3.2917524005486969E-3</v>
      </c>
      <c r="T28" s="1334">
        <f t="shared" si="19"/>
        <v>-3.2917524005486969E-3</v>
      </c>
      <c r="U28" s="1334">
        <f t="shared" si="19"/>
        <v>-3.2917524005486969E-3</v>
      </c>
      <c r="V28" s="1334">
        <f t="shared" si="19"/>
        <v>-3.2917524005486969E-3</v>
      </c>
      <c r="W28" s="1334">
        <f t="shared" si="19"/>
        <v>-3.2917524005486969E-3</v>
      </c>
      <c r="X28" s="1334">
        <f t="shared" si="19"/>
        <v>-3.2917524005486969E-3</v>
      </c>
      <c r="Y28" s="1334">
        <f t="shared" si="19"/>
        <v>-3.2917524005486969E-3</v>
      </c>
      <c r="Z28" s="1334">
        <f t="shared" si="19"/>
        <v>-3.2917524005486969E-3</v>
      </c>
      <c r="AA28" s="1334">
        <f t="shared" si="19"/>
        <v>-3.2917524005486969E-3</v>
      </c>
      <c r="AB28" s="1334">
        <f t="shared" si="19"/>
        <v>-3.2917524005486969E-3</v>
      </c>
      <c r="AC28" s="1334">
        <f t="shared" si="19"/>
        <v>-3.2917524005486969E-3</v>
      </c>
      <c r="AD28" s="1334">
        <f t="shared" si="19"/>
        <v>-3.2917524005486969E-3</v>
      </c>
      <c r="AE28" s="1334">
        <f t="shared" si="19"/>
        <v>-3.2917524005486969E-3</v>
      </c>
      <c r="AF28" s="1334">
        <f t="shared" si="19"/>
        <v>-3.2917524005486969E-3</v>
      </c>
      <c r="AG28" s="1334">
        <f t="shared" si="19"/>
        <v>-3.2917524005486969E-3</v>
      </c>
      <c r="AH28" s="1334">
        <f t="shared" si="19"/>
        <v>-3.2917524005486969E-3</v>
      </c>
      <c r="AI28" s="1065">
        <f t="shared" si="19"/>
        <v>-3.2917524005486969E-3</v>
      </c>
      <c r="AJ28" s="1065">
        <f t="shared" si="19"/>
        <v>-3.2917524005486969E-3</v>
      </c>
      <c r="AK28" s="1065">
        <f t="shared" si="19"/>
        <v>-3.2917524005486969E-3</v>
      </c>
      <c r="AL28" s="1065">
        <f t="shared" si="19"/>
        <v>-3.2917524005486969E-3</v>
      </c>
      <c r="AM28" s="1065">
        <f t="shared" si="19"/>
        <v>-3.2917524005486969E-3</v>
      </c>
      <c r="AN28" s="1065">
        <f t="shared" si="19"/>
        <v>-3.2917524005486969E-3</v>
      </c>
      <c r="AO28" s="1065">
        <f t="shared" si="19"/>
        <v>-3.2917524005486969E-3</v>
      </c>
      <c r="AP28" s="1066">
        <f t="shared" si="19"/>
        <v>-3.2917524005486969E-3</v>
      </c>
      <c r="AT28" s="1737"/>
      <c r="AU28" s="1427"/>
      <c r="AV28" s="1437">
        <f>AV29-0.005</f>
        <v>5.953753770746658E-2</v>
      </c>
      <c r="AW28" s="1426">
        <v>11.129007524423125</v>
      </c>
      <c r="AX28" s="1426">
        <v>11.125499513598477</v>
      </c>
      <c r="AY28" s="1426">
        <v>11.121991502773831</v>
      </c>
      <c r="AZ28" s="1426">
        <v>11.118483491949181</v>
      </c>
      <c r="BA28" s="1426">
        <v>11.114975481124535</v>
      </c>
      <c r="BB28" s="1426">
        <v>11.111467470299889</v>
      </c>
      <c r="BC28" s="1426">
        <v>11.107959459475241</v>
      </c>
      <c r="BD28" s="1426">
        <v>11.104451448650593</v>
      </c>
      <c r="BE28" s="1426">
        <v>11.100943437825945</v>
      </c>
      <c r="BF28" s="1426">
        <v>11.097435427001297</v>
      </c>
      <c r="BG28" s="1533">
        <v>11.093927416176649</v>
      </c>
      <c r="BH28" s="1426">
        <v>11.090419405352002</v>
      </c>
      <c r="BI28" s="1426">
        <v>11.086911394527354</v>
      </c>
      <c r="BJ28" s="1426">
        <v>11.083403383702706</v>
      </c>
      <c r="BK28" s="1426">
        <v>11.079895372878058</v>
      </c>
      <c r="BL28" s="1426">
        <v>11.07638736205341</v>
      </c>
      <c r="BM28" s="1426">
        <v>11.072879351228762</v>
      </c>
      <c r="BN28" s="1426">
        <v>11.069371340404114</v>
      </c>
      <c r="BO28" s="1426">
        <v>11.065863329579466</v>
      </c>
      <c r="BP28" s="1426">
        <v>11.062355318754818</v>
      </c>
      <c r="BQ28" s="1431">
        <v>11.05884730793017</v>
      </c>
    </row>
    <row r="29" spans="1:69" x14ac:dyDescent="0.75">
      <c r="A29" s="1032" t="s">
        <v>233</v>
      </c>
      <c r="B29" s="1064">
        <v>0.22</v>
      </c>
      <c r="C29" s="1064">
        <v>0.05</v>
      </c>
      <c r="D29" s="1064">
        <v>-0.06</v>
      </c>
      <c r="E29" s="1064">
        <v>0.03</v>
      </c>
      <c r="F29" s="1064">
        <v>0.02</v>
      </c>
      <c r="G29" s="1064">
        <v>0</v>
      </c>
      <c r="H29" s="1064">
        <v>0</v>
      </c>
      <c r="I29" s="1402">
        <v>0</v>
      </c>
      <c r="J29" s="1402">
        <v>0</v>
      </c>
      <c r="K29" s="1065">
        <v>0</v>
      </c>
      <c r="L29" s="1065">
        <v>0</v>
      </c>
      <c r="M29" s="1402">
        <v>0</v>
      </c>
      <c r="N29" s="1065">
        <v>0</v>
      </c>
      <c r="O29" s="1402">
        <v>0</v>
      </c>
      <c r="P29" s="1065">
        <v>0</v>
      </c>
      <c r="Q29" s="1065">
        <v>0</v>
      </c>
      <c r="R29" s="1065">
        <v>0</v>
      </c>
      <c r="S29" s="1065">
        <v>0</v>
      </c>
      <c r="T29" s="1065">
        <v>0</v>
      </c>
      <c r="U29" s="1065">
        <v>0</v>
      </c>
      <c r="V29" s="1065">
        <v>0</v>
      </c>
      <c r="W29" s="1065">
        <v>0</v>
      </c>
      <c r="X29" s="1065">
        <v>0</v>
      </c>
      <c r="Y29" s="1065">
        <v>0</v>
      </c>
      <c r="Z29" s="1065">
        <v>0</v>
      </c>
      <c r="AA29" s="1065">
        <v>0</v>
      </c>
      <c r="AB29" s="1065">
        <v>0</v>
      </c>
      <c r="AC29" s="1065">
        <v>0</v>
      </c>
      <c r="AD29" s="1065">
        <v>0</v>
      </c>
      <c r="AE29" s="1065">
        <v>0</v>
      </c>
      <c r="AF29" s="1065">
        <v>0</v>
      </c>
      <c r="AG29" s="1065">
        <v>0</v>
      </c>
      <c r="AH29" s="1065">
        <v>0</v>
      </c>
      <c r="AI29" s="1065">
        <v>0</v>
      </c>
      <c r="AJ29" s="1065">
        <v>0</v>
      </c>
      <c r="AK29" s="1065">
        <v>0</v>
      </c>
      <c r="AL29" s="1065">
        <v>0</v>
      </c>
      <c r="AM29" s="1065">
        <v>0</v>
      </c>
      <c r="AN29" s="1065">
        <v>0</v>
      </c>
      <c r="AO29" s="1065">
        <v>0</v>
      </c>
      <c r="AP29" s="1066">
        <v>0</v>
      </c>
      <c r="AT29" s="1737"/>
      <c r="AU29" s="1427"/>
      <c r="AV29" s="1532">
        <v>6.4537537707466577E-2</v>
      </c>
      <c r="AW29" s="1533">
        <v>10.688265258872732</v>
      </c>
      <c r="AX29" s="1533">
        <v>10.684804478313387</v>
      </c>
      <c r="AY29" s="1533">
        <v>10.681343697754045</v>
      </c>
      <c r="AZ29" s="1533">
        <v>10.677882917194701</v>
      </c>
      <c r="BA29" s="1533">
        <v>10.674422136635359</v>
      </c>
      <c r="BB29" s="1533">
        <v>10.670961356076017</v>
      </c>
      <c r="BC29" s="1533">
        <v>10.667500575516673</v>
      </c>
      <c r="BD29" s="1533">
        <v>10.664039794957329</v>
      </c>
      <c r="BE29" s="1533">
        <v>10.660579014397985</v>
      </c>
      <c r="BF29" s="1533">
        <v>10.657118233838643</v>
      </c>
      <c r="BG29" s="1441">
        <v>10.653657453279301</v>
      </c>
      <c r="BH29" s="1533">
        <v>10.650196672719956</v>
      </c>
      <c r="BI29" s="1533">
        <v>10.646735892160613</v>
      </c>
      <c r="BJ29" s="1533">
        <v>10.64327511160127</v>
      </c>
      <c r="BK29" s="1533">
        <v>10.639814331041928</v>
      </c>
      <c r="BL29" s="1533">
        <v>10.636353550482584</v>
      </c>
      <c r="BM29" s="1533">
        <v>10.63289276992324</v>
      </c>
      <c r="BN29" s="1533">
        <v>10.629431989363898</v>
      </c>
      <c r="BO29" s="1533">
        <v>10.625971208804554</v>
      </c>
      <c r="BP29" s="1533">
        <v>10.62251042824521</v>
      </c>
      <c r="BQ29" s="1536">
        <v>10.619049647685868</v>
      </c>
    </row>
    <row r="30" spans="1:69" x14ac:dyDescent="0.75">
      <c r="A30" s="1032" t="s">
        <v>234</v>
      </c>
      <c r="B30" s="1064">
        <v>0</v>
      </c>
      <c r="C30" s="1064">
        <v>0</v>
      </c>
      <c r="D30" s="1064">
        <v>0</v>
      </c>
      <c r="E30" s="1064">
        <v>0</v>
      </c>
      <c r="F30" s="1064">
        <v>0</v>
      </c>
      <c r="G30" s="1064">
        <v>0</v>
      </c>
      <c r="H30" s="1064">
        <v>0.1</v>
      </c>
      <c r="I30" s="1402">
        <v>0</v>
      </c>
      <c r="J30" s="1402">
        <v>0</v>
      </c>
      <c r="K30" s="1065">
        <v>0</v>
      </c>
      <c r="L30" s="1065">
        <v>0</v>
      </c>
      <c r="M30" s="1402">
        <v>0</v>
      </c>
      <c r="N30" s="1065">
        <v>0</v>
      </c>
      <c r="O30" s="1402">
        <v>0</v>
      </c>
      <c r="P30" s="1065">
        <v>0</v>
      </c>
      <c r="Q30" s="1065">
        <v>0</v>
      </c>
      <c r="R30" s="1065">
        <v>0</v>
      </c>
      <c r="S30" s="1065">
        <v>0</v>
      </c>
      <c r="T30" s="1065">
        <v>0</v>
      </c>
      <c r="U30" s="1065">
        <v>0</v>
      </c>
      <c r="V30" s="1065">
        <v>0</v>
      </c>
      <c r="W30" s="1065">
        <v>0</v>
      </c>
      <c r="X30" s="1065">
        <v>0</v>
      </c>
      <c r="Y30" s="1065">
        <v>0</v>
      </c>
      <c r="Z30" s="1065">
        <v>0</v>
      </c>
      <c r="AA30" s="1065">
        <v>0</v>
      </c>
      <c r="AB30" s="1065">
        <v>0</v>
      </c>
      <c r="AC30" s="1065">
        <v>0</v>
      </c>
      <c r="AD30" s="1065">
        <v>0</v>
      </c>
      <c r="AE30" s="1065">
        <v>0</v>
      </c>
      <c r="AF30" s="1065">
        <v>0</v>
      </c>
      <c r="AG30" s="1065">
        <v>0</v>
      </c>
      <c r="AH30" s="1065">
        <v>0</v>
      </c>
      <c r="AI30" s="1065">
        <v>0</v>
      </c>
      <c r="AJ30" s="1065">
        <v>0</v>
      </c>
      <c r="AK30" s="1065">
        <v>0</v>
      </c>
      <c r="AL30" s="1065">
        <v>0</v>
      </c>
      <c r="AM30" s="1065">
        <v>0</v>
      </c>
      <c r="AN30" s="1065">
        <v>0</v>
      </c>
      <c r="AO30" s="1065">
        <v>0</v>
      </c>
      <c r="AP30" s="1066">
        <v>0</v>
      </c>
      <c r="AT30" s="1737"/>
      <c r="AU30" s="1427"/>
      <c r="AV30" s="1437">
        <f>AV29+0.005</f>
        <v>6.9537537707466582E-2</v>
      </c>
      <c r="AW30" s="1426">
        <v>10.301141774709716</v>
      </c>
      <c r="AX30" s="1426">
        <v>10.297727320754438</v>
      </c>
      <c r="AY30" s="1426">
        <v>10.294312866799158</v>
      </c>
      <c r="AZ30" s="1426">
        <v>10.290898412843879</v>
      </c>
      <c r="BA30" s="1426">
        <v>10.2874839588886</v>
      </c>
      <c r="BB30" s="1426">
        <v>10.284069504933322</v>
      </c>
      <c r="BC30" s="1426">
        <v>10.280655050978043</v>
      </c>
      <c r="BD30" s="1426">
        <v>10.277240597022763</v>
      </c>
      <c r="BE30" s="1426">
        <v>10.273826143067483</v>
      </c>
      <c r="BF30" s="1426">
        <v>10.270411689112205</v>
      </c>
      <c r="BG30" s="1533">
        <v>10.266997235156927</v>
      </c>
      <c r="BH30" s="1426">
        <v>10.263582781201647</v>
      </c>
      <c r="BI30" s="1426">
        <v>10.260168327246367</v>
      </c>
      <c r="BJ30" s="1426">
        <v>10.256753873291087</v>
      </c>
      <c r="BK30" s="1426">
        <v>10.253339419335811</v>
      </c>
      <c r="BL30" s="1426">
        <v>10.249924965380531</v>
      </c>
      <c r="BM30" s="1426">
        <v>10.246510511425251</v>
      </c>
      <c r="BN30" s="1426">
        <v>10.243096057469971</v>
      </c>
      <c r="BO30" s="1426">
        <v>10.239681603514693</v>
      </c>
      <c r="BP30" s="1426">
        <v>10.236267149559415</v>
      </c>
      <c r="BQ30" s="1431">
        <v>10.232852695604135</v>
      </c>
    </row>
    <row r="31" spans="1:69" x14ac:dyDescent="0.75">
      <c r="A31" s="1032" t="s">
        <v>235</v>
      </c>
      <c r="B31" s="1064">
        <v>0</v>
      </c>
      <c r="C31" s="1064">
        <v>0</v>
      </c>
      <c r="D31" s="1064">
        <v>0</v>
      </c>
      <c r="E31" s="1064">
        <v>0</v>
      </c>
      <c r="F31" s="1064">
        <v>0.01</v>
      </c>
      <c r="G31" s="1064">
        <v>0</v>
      </c>
      <c r="H31" s="1064">
        <v>0</v>
      </c>
      <c r="I31" s="1402">
        <v>0</v>
      </c>
      <c r="J31" s="1402">
        <v>0</v>
      </c>
      <c r="K31" s="1065">
        <v>0</v>
      </c>
      <c r="L31" s="1065">
        <v>0</v>
      </c>
      <c r="M31" s="1402">
        <v>0</v>
      </c>
      <c r="N31" s="1065">
        <v>0</v>
      </c>
      <c r="O31" s="1402">
        <v>0</v>
      </c>
      <c r="P31" s="1065">
        <v>0</v>
      </c>
      <c r="Q31" s="1065">
        <v>0</v>
      </c>
      <c r="R31" s="1065">
        <v>0</v>
      </c>
      <c r="S31" s="1065">
        <v>0</v>
      </c>
      <c r="T31" s="1065">
        <v>0</v>
      </c>
      <c r="U31" s="1065">
        <v>0</v>
      </c>
      <c r="V31" s="1065">
        <v>0</v>
      </c>
      <c r="W31" s="1065">
        <v>0</v>
      </c>
      <c r="X31" s="1065">
        <v>0</v>
      </c>
      <c r="Y31" s="1065">
        <v>0</v>
      </c>
      <c r="Z31" s="1065">
        <v>0</v>
      </c>
      <c r="AA31" s="1065">
        <v>0</v>
      </c>
      <c r="AB31" s="1065">
        <v>0</v>
      </c>
      <c r="AC31" s="1065">
        <v>0</v>
      </c>
      <c r="AD31" s="1065">
        <v>0</v>
      </c>
      <c r="AE31" s="1065">
        <v>0</v>
      </c>
      <c r="AF31" s="1065">
        <v>0</v>
      </c>
      <c r="AG31" s="1065">
        <v>0</v>
      </c>
      <c r="AH31" s="1065">
        <v>0</v>
      </c>
      <c r="AI31" s="1065">
        <v>0</v>
      </c>
      <c r="AJ31" s="1065">
        <v>0</v>
      </c>
      <c r="AK31" s="1065">
        <v>0</v>
      </c>
      <c r="AL31" s="1065">
        <v>0</v>
      </c>
      <c r="AM31" s="1065">
        <v>0</v>
      </c>
      <c r="AN31" s="1065">
        <v>0</v>
      </c>
      <c r="AO31" s="1065">
        <v>0</v>
      </c>
      <c r="AP31" s="1066">
        <v>0</v>
      </c>
      <c r="AT31" s="1737"/>
      <c r="AU31" s="1427"/>
      <c r="AV31" s="1437">
        <f t="shared" ref="AV31:AV35" si="20">AV30+0.005</f>
        <v>7.4537537707466586E-2</v>
      </c>
      <c r="AW31" s="1426">
        <v>9.9591436226950734</v>
      </c>
      <c r="AX31" s="1426">
        <v>9.9557746137404131</v>
      </c>
      <c r="AY31" s="1426">
        <v>9.9524056047857545</v>
      </c>
      <c r="AZ31" s="1426">
        <v>9.9490365958310942</v>
      </c>
      <c r="BA31" s="1426">
        <v>9.9456675868764339</v>
      </c>
      <c r="BB31" s="1426">
        <v>9.9422985779217736</v>
      </c>
      <c r="BC31" s="1426">
        <v>9.9389295689671151</v>
      </c>
      <c r="BD31" s="1426">
        <v>9.9355605600124548</v>
      </c>
      <c r="BE31" s="1426">
        <v>9.9321915510577945</v>
      </c>
      <c r="BF31" s="1426">
        <v>9.928822542103136</v>
      </c>
      <c r="BG31" s="1533">
        <v>9.9254535331484757</v>
      </c>
      <c r="BH31" s="1426">
        <v>9.9220845241938154</v>
      </c>
      <c r="BI31" s="1426">
        <v>9.9187155152391551</v>
      </c>
      <c r="BJ31" s="1426">
        <v>9.9153465062844965</v>
      </c>
      <c r="BK31" s="1426">
        <v>9.9119774973298362</v>
      </c>
      <c r="BL31" s="1426">
        <v>9.9086084883751759</v>
      </c>
      <c r="BM31" s="1426">
        <v>9.9052394794205174</v>
      </c>
      <c r="BN31" s="1426">
        <v>9.9018704704658571</v>
      </c>
      <c r="BO31" s="1426">
        <v>9.8985014615111968</v>
      </c>
      <c r="BP31" s="1426">
        <v>9.8951324525565365</v>
      </c>
      <c r="BQ31" s="1431">
        <v>9.891763443601878</v>
      </c>
    </row>
    <row r="32" spans="1:69" x14ac:dyDescent="0.75">
      <c r="A32" s="1032" t="s">
        <v>236</v>
      </c>
      <c r="B32" s="1064">
        <v>0.03</v>
      </c>
      <c r="C32" s="1064">
        <v>0.01</v>
      </c>
      <c r="D32" s="1064">
        <v>0.01</v>
      </c>
      <c r="E32" s="1064">
        <v>0.02</v>
      </c>
      <c r="F32" s="1064">
        <v>0</v>
      </c>
      <c r="G32" s="1064">
        <v>0</v>
      </c>
      <c r="H32" s="1064">
        <v>0</v>
      </c>
      <c r="I32" s="1402">
        <v>0</v>
      </c>
      <c r="J32" s="1402">
        <v>0</v>
      </c>
      <c r="K32" s="1065">
        <v>0</v>
      </c>
      <c r="L32" s="1065">
        <v>0</v>
      </c>
      <c r="M32" s="1402">
        <v>0</v>
      </c>
      <c r="N32" s="1065">
        <v>0</v>
      </c>
      <c r="O32" s="1402">
        <v>0</v>
      </c>
      <c r="P32" s="1065">
        <v>0</v>
      </c>
      <c r="Q32" s="1065">
        <v>0</v>
      </c>
      <c r="R32" s="1065">
        <v>0</v>
      </c>
      <c r="S32" s="1065">
        <v>0</v>
      </c>
      <c r="T32" s="1065">
        <v>0</v>
      </c>
      <c r="U32" s="1065">
        <v>0</v>
      </c>
      <c r="V32" s="1065">
        <v>0</v>
      </c>
      <c r="W32" s="1065">
        <v>0</v>
      </c>
      <c r="X32" s="1065">
        <v>0</v>
      </c>
      <c r="Y32" s="1065">
        <v>0</v>
      </c>
      <c r="Z32" s="1065">
        <v>0</v>
      </c>
      <c r="AA32" s="1065">
        <v>0</v>
      </c>
      <c r="AB32" s="1065">
        <v>0</v>
      </c>
      <c r="AC32" s="1065">
        <v>0</v>
      </c>
      <c r="AD32" s="1065">
        <v>0</v>
      </c>
      <c r="AE32" s="1065">
        <v>0</v>
      </c>
      <c r="AF32" s="1065">
        <v>0</v>
      </c>
      <c r="AG32" s="1065">
        <v>0</v>
      </c>
      <c r="AH32" s="1065">
        <v>0</v>
      </c>
      <c r="AI32" s="1065">
        <v>0</v>
      </c>
      <c r="AJ32" s="1065">
        <v>0</v>
      </c>
      <c r="AK32" s="1065">
        <v>0</v>
      </c>
      <c r="AL32" s="1065">
        <v>0</v>
      </c>
      <c r="AM32" s="1065">
        <v>0</v>
      </c>
      <c r="AN32" s="1065">
        <v>0</v>
      </c>
      <c r="AO32" s="1065">
        <v>0</v>
      </c>
      <c r="AP32" s="1066">
        <v>0</v>
      </c>
      <c r="AT32" s="1737"/>
      <c r="AU32" s="1427"/>
      <c r="AV32" s="1437">
        <f t="shared" si="20"/>
        <v>7.9537537707466591E-2</v>
      </c>
      <c r="AW32" s="1426">
        <v>9.655425405251119</v>
      </c>
      <c r="AX32" s="1426">
        <v>9.652100981102361</v>
      </c>
      <c r="AY32" s="1426">
        <v>9.648776556953603</v>
      </c>
      <c r="AZ32" s="1426">
        <v>9.6454521328048433</v>
      </c>
      <c r="BA32" s="1426">
        <v>9.6421277086560835</v>
      </c>
      <c r="BB32" s="1426">
        <v>9.6388032845073237</v>
      </c>
      <c r="BC32" s="1426">
        <v>9.6354788603585675</v>
      </c>
      <c r="BD32" s="1426">
        <v>9.6321544362098077</v>
      </c>
      <c r="BE32" s="1426">
        <v>9.6288300120610479</v>
      </c>
      <c r="BF32" s="1426">
        <v>9.6255055879122899</v>
      </c>
      <c r="BG32" s="1533">
        <v>9.6221811637635319</v>
      </c>
      <c r="BH32" s="1426">
        <v>9.6188567396147722</v>
      </c>
      <c r="BI32" s="1426">
        <v>9.6155323154660142</v>
      </c>
      <c r="BJ32" s="1426">
        <v>9.6122078913172544</v>
      </c>
      <c r="BK32" s="1426">
        <v>9.6088834671684964</v>
      </c>
      <c r="BL32" s="1426">
        <v>9.6055590430197366</v>
      </c>
      <c r="BM32" s="1426">
        <v>9.6022346188709786</v>
      </c>
      <c r="BN32" s="1426">
        <v>9.5989101947222188</v>
      </c>
      <c r="BO32" s="1426">
        <v>9.5955857705734626</v>
      </c>
      <c r="BP32" s="1426">
        <v>9.5922613464247029</v>
      </c>
      <c r="BQ32" s="1431">
        <v>9.5889369222759449</v>
      </c>
    </row>
    <row r="33" spans="1:69" x14ac:dyDescent="0.75">
      <c r="A33" s="1032" t="s">
        <v>237</v>
      </c>
      <c r="B33" s="1064">
        <v>0.19</v>
      </c>
      <c r="C33" s="1064">
        <v>0</v>
      </c>
      <c r="D33" s="1064">
        <v>0</v>
      </c>
      <c r="E33" s="1064">
        <v>0</v>
      </c>
      <c r="F33" s="1064">
        <v>0</v>
      </c>
      <c r="G33" s="1064">
        <v>0</v>
      </c>
      <c r="H33" s="1064">
        <v>0</v>
      </c>
      <c r="I33" s="1402">
        <v>0</v>
      </c>
      <c r="J33" s="1402">
        <v>0</v>
      </c>
      <c r="K33" s="1065">
        <v>0</v>
      </c>
      <c r="L33" s="1065">
        <v>0</v>
      </c>
      <c r="M33" s="1402">
        <v>0</v>
      </c>
      <c r="N33" s="1065">
        <v>0</v>
      </c>
      <c r="O33" s="1402">
        <v>0</v>
      </c>
      <c r="P33" s="1065">
        <v>0</v>
      </c>
      <c r="Q33" s="1065">
        <v>0</v>
      </c>
      <c r="R33" s="1065">
        <v>0</v>
      </c>
      <c r="S33" s="1065">
        <v>0</v>
      </c>
      <c r="T33" s="1065">
        <v>0</v>
      </c>
      <c r="U33" s="1065">
        <v>0</v>
      </c>
      <c r="V33" s="1065">
        <v>0</v>
      </c>
      <c r="W33" s="1065">
        <v>0</v>
      </c>
      <c r="X33" s="1065">
        <v>0</v>
      </c>
      <c r="Y33" s="1065">
        <v>0</v>
      </c>
      <c r="Z33" s="1065">
        <v>0</v>
      </c>
      <c r="AA33" s="1065">
        <v>0</v>
      </c>
      <c r="AB33" s="1065">
        <v>0</v>
      </c>
      <c r="AC33" s="1065">
        <v>0</v>
      </c>
      <c r="AD33" s="1065">
        <v>0</v>
      </c>
      <c r="AE33" s="1065">
        <v>0</v>
      </c>
      <c r="AF33" s="1065">
        <v>0</v>
      </c>
      <c r="AG33" s="1065">
        <v>0</v>
      </c>
      <c r="AH33" s="1065">
        <v>0</v>
      </c>
      <c r="AI33" s="1065">
        <v>0</v>
      </c>
      <c r="AJ33" s="1065">
        <v>0</v>
      </c>
      <c r="AK33" s="1065">
        <v>0</v>
      </c>
      <c r="AL33" s="1065">
        <v>0</v>
      </c>
      <c r="AM33" s="1065">
        <v>0</v>
      </c>
      <c r="AN33" s="1065">
        <v>0</v>
      </c>
      <c r="AO33" s="1065">
        <v>0</v>
      </c>
      <c r="AP33" s="1066">
        <v>0</v>
      </c>
      <c r="AT33" s="1737"/>
      <c r="AU33" s="1427"/>
      <c r="AV33" s="1437">
        <f t="shared" si="20"/>
        <v>8.4537537707466595E-2</v>
      </c>
      <c r="AW33" s="1426">
        <v>9.3844129307833803</v>
      </c>
      <c r="AX33" s="1426">
        <v>9.3811322520276974</v>
      </c>
      <c r="AY33" s="1426">
        <v>9.3778515732720162</v>
      </c>
      <c r="AZ33" s="1426">
        <v>9.3745708945163333</v>
      </c>
      <c r="BA33" s="1426">
        <v>9.3712902157606539</v>
      </c>
      <c r="BB33" s="1426">
        <v>9.368009537004971</v>
      </c>
      <c r="BC33" s="1426">
        <v>9.3647288582492898</v>
      </c>
      <c r="BD33" s="1426">
        <v>9.3614481794936086</v>
      </c>
      <c r="BE33" s="1426">
        <v>9.3581675007379257</v>
      </c>
      <c r="BF33" s="1426">
        <v>9.3548868219822445</v>
      </c>
      <c r="BG33" s="1533">
        <v>9.3516061432265634</v>
      </c>
      <c r="BH33" s="1426">
        <v>9.3483254644708804</v>
      </c>
      <c r="BI33" s="1426">
        <v>9.3450447857151993</v>
      </c>
      <c r="BJ33" s="1426">
        <v>9.3417641069595163</v>
      </c>
      <c r="BK33" s="1426">
        <v>9.3384834282038351</v>
      </c>
      <c r="BL33" s="1426">
        <v>9.3352027494481522</v>
      </c>
      <c r="BM33" s="1426">
        <v>9.331922070692471</v>
      </c>
      <c r="BN33" s="1426">
        <v>9.3286413919367899</v>
      </c>
      <c r="BO33" s="1426">
        <v>9.3253607131811087</v>
      </c>
      <c r="BP33" s="1426">
        <v>9.3220800344254275</v>
      </c>
      <c r="BQ33" s="1431">
        <v>9.3187993556697446</v>
      </c>
    </row>
    <row r="34" spans="1:69" x14ac:dyDescent="0.75">
      <c r="A34" s="1032" t="s">
        <v>238</v>
      </c>
      <c r="B34" s="1064">
        <v>0.08</v>
      </c>
      <c r="C34" s="1064">
        <v>0</v>
      </c>
      <c r="D34" s="1064">
        <v>0</v>
      </c>
      <c r="E34" s="1064">
        <v>0.01</v>
      </c>
      <c r="F34" s="1064">
        <v>0.12</v>
      </c>
      <c r="G34" s="1064">
        <v>0.02</v>
      </c>
      <c r="H34" s="1064">
        <v>0.06</v>
      </c>
      <c r="I34" s="1404">
        <f t="array" ref="I34:AP34">TRANSPOSE(D85:D118)</f>
        <v>0.04</v>
      </c>
      <c r="J34" s="1404">
        <v>2.2366442431225101E-2</v>
      </c>
      <c r="K34" s="1069">
        <v>1.1468304511145199E-2</v>
      </c>
      <c r="L34" s="1069">
        <v>3.9999999999997884E-2</v>
      </c>
      <c r="M34" s="1404">
        <v>6.8531695488853489E-2</v>
      </c>
      <c r="N34" s="1069">
        <v>5.7633557568778325E-2</v>
      </c>
      <c r="O34" s="1404">
        <v>2.2366442431231145E-2</v>
      </c>
      <c r="P34" s="1069">
        <v>1.1468304511147109E-2</v>
      </c>
      <c r="Q34" s="1069">
        <v>3.9999999999990418E-2</v>
      </c>
      <c r="R34" s="1069">
        <v>3.4870527438040963E-2</v>
      </c>
      <c r="S34" s="1069">
        <v>3.4870527438040963E-2</v>
      </c>
      <c r="T34" s="1069">
        <v>3.4870527438040963E-2</v>
      </c>
      <c r="U34" s="1069">
        <v>3.4870527438040963E-2</v>
      </c>
      <c r="V34" s="1069">
        <v>3.4870527438040963E-2</v>
      </c>
      <c r="W34" s="1069">
        <v>3.4870527438040963E-2</v>
      </c>
      <c r="X34" s="1069">
        <v>3.4870527438040963E-2</v>
      </c>
      <c r="Y34" s="1069">
        <v>3.4870527438040963E-2</v>
      </c>
      <c r="Z34" s="1069">
        <v>3.4870527438040963E-2</v>
      </c>
      <c r="AA34" s="1069">
        <v>3.4870527438040963E-2</v>
      </c>
      <c r="AB34" s="1069">
        <v>3.4870527438040963E-2</v>
      </c>
      <c r="AC34" s="1069">
        <v>3.4870527438040963E-2</v>
      </c>
      <c r="AD34" s="1069">
        <v>3.4870527438040963E-2</v>
      </c>
      <c r="AE34" s="1069">
        <v>3.4870527438040963E-2</v>
      </c>
      <c r="AF34" s="1069">
        <v>3.4870527438040963E-2</v>
      </c>
      <c r="AG34" s="1069">
        <v>3.4870527438040963E-2</v>
      </c>
      <c r="AH34" s="1069">
        <v>3.4870527438040963E-2</v>
      </c>
      <c r="AI34" s="1069">
        <v>3.4870527438040963E-2</v>
      </c>
      <c r="AJ34" s="1069">
        <v>3.4870527438040963E-2</v>
      </c>
      <c r="AK34" s="1069">
        <v>3.4870527438040963E-2</v>
      </c>
      <c r="AL34" s="1069">
        <v>3.4870527438040963E-2</v>
      </c>
      <c r="AM34" s="1069">
        <v>3.4870527438040963E-2</v>
      </c>
      <c r="AN34" s="1069">
        <v>3.4870527438040963E-2</v>
      </c>
      <c r="AO34" s="1069">
        <v>3.4870527438040963E-2</v>
      </c>
      <c r="AP34" s="1070">
        <v>3.4870527438040963E-2</v>
      </c>
      <c r="AT34" s="1737"/>
      <c r="AU34" s="1427"/>
      <c r="AV34" s="1437">
        <f t="shared" si="20"/>
        <v>8.95375377074666E-2</v>
      </c>
      <c r="AW34" s="1426">
        <v>9.1415249364894571</v>
      </c>
      <c r="AX34" s="1426">
        <v>9.138287183890462</v>
      </c>
      <c r="AY34" s="1426">
        <v>9.135049431291467</v>
      </c>
      <c r="AZ34" s="1426">
        <v>9.1318116786924701</v>
      </c>
      <c r="BA34" s="1426">
        <v>9.1285739260934751</v>
      </c>
      <c r="BB34" s="1426">
        <v>9.1253361734944818</v>
      </c>
      <c r="BC34" s="1426">
        <v>9.1220984208954867</v>
      </c>
      <c r="BD34" s="1426">
        <v>9.1188606682964899</v>
      </c>
      <c r="BE34" s="1426">
        <v>9.1156229156974948</v>
      </c>
      <c r="BF34" s="1426">
        <v>9.1123851630984998</v>
      </c>
      <c r="BG34" s="1533">
        <v>9.1091474104995047</v>
      </c>
      <c r="BH34" s="1426">
        <v>9.1059096579005079</v>
      </c>
      <c r="BI34" s="1426">
        <v>9.1026719053015146</v>
      </c>
      <c r="BJ34" s="1426">
        <v>9.0994341527025195</v>
      </c>
      <c r="BK34" s="1426">
        <v>9.0961964001035227</v>
      </c>
      <c r="BL34" s="1426">
        <v>9.0929586475045276</v>
      </c>
      <c r="BM34" s="1426">
        <v>9.0897208949055344</v>
      </c>
      <c r="BN34" s="1426">
        <v>9.0864831423065375</v>
      </c>
      <c r="BO34" s="1426">
        <v>9.0832453897075425</v>
      </c>
      <c r="BP34" s="1426">
        <v>9.0800076371085456</v>
      </c>
      <c r="BQ34" s="1431">
        <v>9.0767698845095524</v>
      </c>
    </row>
    <row r="35" spans="1:69" ht="15.5" thickBot="1" x14ac:dyDescent="0.9">
      <c r="A35" s="1050" t="s">
        <v>239</v>
      </c>
      <c r="B35" s="1071">
        <v>1.29</v>
      </c>
      <c r="C35" s="1071">
        <f t="shared" ref="C35:AP35" si="21">SUM(C23:C34)</f>
        <v>0.14999999999999997</v>
      </c>
      <c r="D35" s="1071">
        <f t="shared" si="21"/>
        <v>0.25000000000000006</v>
      </c>
      <c r="E35" s="1071">
        <f t="shared" si="21"/>
        <v>0.48</v>
      </c>
      <c r="F35" s="1071">
        <f t="shared" si="21"/>
        <v>0.55000000000000004</v>
      </c>
      <c r="G35" s="1071">
        <f t="shared" si="21"/>
        <v>0.21999999999999997</v>
      </c>
      <c r="H35" s="1071">
        <f t="shared" si="21"/>
        <v>0.37000000000000005</v>
      </c>
      <c r="I35" s="1405">
        <f t="shared" si="21"/>
        <v>0.29677369015724531</v>
      </c>
      <c r="J35" s="1405">
        <f t="shared" si="21"/>
        <v>0.24956403382179349</v>
      </c>
      <c r="K35" s="1072">
        <f t="shared" si="21"/>
        <v>0.2427647343791294</v>
      </c>
      <c r="L35" s="1072">
        <f t="shared" si="21"/>
        <v>0.25930540437824934</v>
      </c>
      <c r="M35" s="1405">
        <f t="shared" si="21"/>
        <v>0.35656952061822378</v>
      </c>
      <c r="N35" s="1072">
        <f t="shared" si="21"/>
        <v>0.34361640839198759</v>
      </c>
      <c r="O35" s="1405">
        <f t="shared" si="21"/>
        <v>0.31002121920907727</v>
      </c>
      <c r="P35" s="1072">
        <f t="shared" si="21"/>
        <v>0.3009456461698794</v>
      </c>
      <c r="Q35" s="1072">
        <f t="shared" si="21"/>
        <v>0.30909479547704305</v>
      </c>
      <c r="R35" s="1072">
        <f t="shared" si="21"/>
        <v>0.30156650273309255</v>
      </c>
      <c r="S35" s="1072">
        <f t="shared" si="21"/>
        <v>0.30560140039693379</v>
      </c>
      <c r="T35" s="1072">
        <f t="shared" si="21"/>
        <v>0.30372123977623006</v>
      </c>
      <c r="U35" s="1072">
        <f t="shared" si="21"/>
        <v>0.30363858151938278</v>
      </c>
      <c r="V35" s="1072">
        <f t="shared" si="21"/>
        <v>0.30432151426472903</v>
      </c>
      <c r="W35" s="1072">
        <f t="shared" si="21"/>
        <v>0.30389395049389567</v>
      </c>
      <c r="X35" s="1072">
        <f t="shared" si="21"/>
        <v>0.30395165241454847</v>
      </c>
      <c r="Y35" s="1072">
        <f t="shared" si="21"/>
        <v>0.30405577409582218</v>
      </c>
      <c r="Z35" s="1072">
        <f t="shared" si="21"/>
        <v>0.30396712838414969</v>
      </c>
      <c r="AA35" s="1072">
        <f t="shared" si="21"/>
        <v>0.30399152729677381</v>
      </c>
      <c r="AB35" s="1072">
        <f t="shared" si="21"/>
        <v>0.30400481335839236</v>
      </c>
      <c r="AC35" s="1072">
        <f t="shared" si="21"/>
        <v>0.30398782316186895</v>
      </c>
      <c r="AD35" s="1072">
        <f t="shared" si="21"/>
        <v>0.30399472149493906</v>
      </c>
      <c r="AE35" s="1072">
        <f t="shared" si="21"/>
        <v>0.30399578615145073</v>
      </c>
      <c r="AF35" s="1072">
        <f t="shared" si="21"/>
        <v>0.30399578615145073</v>
      </c>
      <c r="AG35" s="1072">
        <f t="shared" si="21"/>
        <v>0.30399578615145073</v>
      </c>
      <c r="AH35" s="1072">
        <f t="shared" si="21"/>
        <v>0.30399578615145073</v>
      </c>
      <c r="AI35" s="1072">
        <f t="shared" si="21"/>
        <v>0.30399578615145073</v>
      </c>
      <c r="AJ35" s="1072">
        <f t="shared" si="21"/>
        <v>0.30399578615145073</v>
      </c>
      <c r="AK35" s="1072">
        <f t="shared" si="21"/>
        <v>0.30399578615145073</v>
      </c>
      <c r="AL35" s="1072">
        <f t="shared" si="21"/>
        <v>0.30399578615145073</v>
      </c>
      <c r="AM35" s="1072">
        <f t="shared" si="21"/>
        <v>0.30399578615145073</v>
      </c>
      <c r="AN35" s="1072">
        <f t="shared" si="21"/>
        <v>0.30399578615145073</v>
      </c>
      <c r="AO35" s="1072">
        <f t="shared" si="21"/>
        <v>0.30399578615145073</v>
      </c>
      <c r="AP35" s="1073">
        <f t="shared" si="21"/>
        <v>0.30399578615145073</v>
      </c>
      <c r="AT35" s="1738"/>
      <c r="AU35" s="1432"/>
      <c r="AV35" s="1438">
        <f t="shared" si="20"/>
        <v>9.4537537707466604E-2</v>
      </c>
      <c r="AW35" s="1433">
        <v>8.9229645723634192</v>
      </c>
      <c r="AX35" s="1433">
        <v>8.9197689462762355</v>
      </c>
      <c r="AY35" s="1433">
        <v>8.9165733201890518</v>
      </c>
      <c r="AZ35" s="1433">
        <v>8.9133776941018645</v>
      </c>
      <c r="BA35" s="1433">
        <v>8.9101820680146808</v>
      </c>
      <c r="BB35" s="1433">
        <v>8.9069864419274971</v>
      </c>
      <c r="BC35" s="1433">
        <v>8.9037908158403134</v>
      </c>
      <c r="BD35" s="1433">
        <v>8.9005951897531261</v>
      </c>
      <c r="BE35" s="1433">
        <v>8.8973995636659424</v>
      </c>
      <c r="BF35" s="1433">
        <v>8.8942039375787587</v>
      </c>
      <c r="BG35" s="1535">
        <v>8.891008311491575</v>
      </c>
      <c r="BH35" s="1433">
        <v>8.8878126854043877</v>
      </c>
      <c r="BI35" s="1433">
        <v>8.884617059317204</v>
      </c>
      <c r="BJ35" s="1433">
        <v>8.8814214332300185</v>
      </c>
      <c r="BK35" s="1433">
        <v>8.878225807142833</v>
      </c>
      <c r="BL35" s="1433">
        <v>8.8750301810556493</v>
      </c>
      <c r="BM35" s="1433">
        <v>8.8718345549684656</v>
      </c>
      <c r="BN35" s="1433">
        <v>8.8686389288812819</v>
      </c>
      <c r="BO35" s="1433">
        <v>8.8654433027940982</v>
      </c>
      <c r="BP35" s="1433">
        <v>8.8622476767069109</v>
      </c>
      <c r="BQ35" s="1434">
        <v>8.8590520506197272</v>
      </c>
    </row>
    <row r="36" spans="1:69" ht="15.5" thickBot="1" x14ac:dyDescent="0.9">
      <c r="B36" s="179"/>
    </row>
    <row r="37" spans="1:69" ht="16.75" thickBot="1" x14ac:dyDescent="0.95">
      <c r="A37" s="89" t="s">
        <v>240</v>
      </c>
      <c r="B37" s="179"/>
      <c r="D37" s="180"/>
      <c r="I37" s="179" t="s">
        <v>226</v>
      </c>
      <c r="T37" s="180"/>
      <c r="AT37" s="1435" t="s">
        <v>715</v>
      </c>
      <c r="AU37" s="1030"/>
      <c r="AV37" s="1030"/>
      <c r="AW37" s="1030"/>
      <c r="AX37" s="1030"/>
      <c r="AY37" s="1030"/>
      <c r="AZ37" s="1030"/>
      <c r="BA37" s="1030"/>
      <c r="BB37" s="1030"/>
      <c r="BC37" s="1030"/>
      <c r="BD37" s="1030"/>
      <c r="BE37" s="1030"/>
      <c r="BF37" s="1030"/>
      <c r="BG37" s="1030"/>
      <c r="BH37" s="1030"/>
      <c r="BI37" s="1030"/>
      <c r="BJ37" s="1030"/>
      <c r="BK37" s="1030"/>
      <c r="BL37" s="1030"/>
      <c r="BM37" s="1030"/>
      <c r="BN37" s="1030"/>
      <c r="BO37" s="1030"/>
      <c r="BP37" s="1030"/>
      <c r="BQ37" s="1037"/>
    </row>
    <row r="38" spans="1:69" x14ac:dyDescent="0.75">
      <c r="A38" s="1074" t="s">
        <v>241</v>
      </c>
      <c r="B38" s="1075">
        <v>5855</v>
      </c>
      <c r="C38" s="1075">
        <v>7607</v>
      </c>
      <c r="D38" s="1076">
        <v>6369</v>
      </c>
      <c r="E38" s="1076">
        <v>6254</v>
      </c>
      <c r="F38" s="1076">
        <v>6384</v>
      </c>
      <c r="G38" s="1076">
        <v>5612</v>
      </c>
      <c r="H38" s="1076">
        <v>6018</v>
      </c>
      <c r="I38" s="1406">
        <f>I59*'Income Statement '!H4</f>
        <v>5835.2607637999999</v>
      </c>
      <c r="J38" s="1076">
        <f>J59*'Income Statement '!I4</f>
        <v>6387.3987017609461</v>
      </c>
      <c r="K38" s="1076">
        <f>K59*'Income Statement '!J4</f>
        <v>6294.1623115098928</v>
      </c>
      <c r="L38" s="1076">
        <f>L59*'Income Statement '!K4</f>
        <v>6493.0321533818869</v>
      </c>
      <c r="M38" s="1076">
        <f>M59*'Income Statement '!L4</f>
        <v>6249.0349865645821</v>
      </c>
      <c r="N38" s="1076">
        <f>N59*'Income Statement '!M4</f>
        <v>6449.3320288989808</v>
      </c>
      <c r="O38" s="1406">
        <f>O59*'Income Statement '!N4</f>
        <v>5738.3062236361839</v>
      </c>
      <c r="P38" s="1076">
        <f>P59*'Income Statement '!O4</f>
        <v>5889.768956014791</v>
      </c>
      <c r="Q38" s="1076">
        <f>Q59*'Income Statement '!P4</f>
        <v>5468.8937470195933</v>
      </c>
      <c r="R38" s="1076">
        <f>R59*'Income Statement '!Q4</f>
        <v>5574.4175569562403</v>
      </c>
      <c r="S38" s="1076">
        <f>S59*'Income Statement '!R4</f>
        <v>5150.0146733470783</v>
      </c>
      <c r="T38" s="1076">
        <f>T59*'Income Statement '!S4</f>
        <v>5220.0858089339063</v>
      </c>
      <c r="U38" s="1076">
        <f>U59*'Income Statement '!T4</f>
        <v>4923.2658577723932</v>
      </c>
      <c r="V38" s="1076">
        <f>V59*'Income Statement '!U4</f>
        <v>4969.5165002460262</v>
      </c>
      <c r="W38" s="1076">
        <f>W59*'Income Statement '!V4</f>
        <v>4749.8983090590418</v>
      </c>
      <c r="X38" s="1076">
        <f>X59*'Income Statement '!W4</f>
        <v>4757.0391959920153</v>
      </c>
      <c r="Y38" s="1076">
        <f>Y59*'Income Statement '!X4</f>
        <v>4587.8368175104169</v>
      </c>
      <c r="Z38" s="1076">
        <f>Z59*'Income Statement '!Y4</f>
        <v>4453.8976912095759</v>
      </c>
      <c r="AA38" s="1076">
        <f>AA59*'Income Statement '!Z4</f>
        <v>4294.2233258490141</v>
      </c>
      <c r="AB38" s="1076">
        <f>AB59*'Income Statement '!AA4</f>
        <v>4166.9307685942294</v>
      </c>
      <c r="AC38" s="1076">
        <f>AC59*'Income Statement '!AB4</f>
        <v>4024.6468518078109</v>
      </c>
      <c r="AD38" s="1076">
        <f>AD59*'Income Statement '!AC4</f>
        <v>3905.1517338028871</v>
      </c>
      <c r="AE38" s="1076">
        <f>AE59*'Income Statement '!AD4</f>
        <v>3777.5155330641278</v>
      </c>
      <c r="AF38" s="1076">
        <f>AF59*'Income Statement '!AE4</f>
        <v>3666.260592493516</v>
      </c>
      <c r="AG38" s="1076">
        <f>AG59*'Income Statement '!AF4</f>
        <v>3551.1819144267893</v>
      </c>
      <c r="AH38" s="1076">
        <f>AH59*'Income Statement '!AG4</f>
        <v>3448.1705379759478</v>
      </c>
      <c r="AI38" s="1076">
        <f>AI59*'Income Statement '!AH4</f>
        <v>3349.5092264679065</v>
      </c>
      <c r="AJ38" s="1076">
        <f>AJ59*'Income Statement '!AI4</f>
        <v>3255.5570479973221</v>
      </c>
      <c r="AK38" s="1076">
        <f>AK59*'Income Statement '!AJ4</f>
        <v>3165.5926252251697</v>
      </c>
      <c r="AL38" s="1076">
        <f>AL59*'Income Statement '!AK4</f>
        <v>3079.83771217086</v>
      </c>
      <c r="AM38" s="1076">
        <f>AM59*'Income Statement '!AL4</f>
        <v>2997.7544860432158</v>
      </c>
      <c r="AN38" s="1076">
        <f>AN59*'Income Statement '!AM4</f>
        <v>2919.4488866477982</v>
      </c>
      <c r="AO38" s="1076">
        <f>AO59*'Income Statement '!AN4</f>
        <v>2844.5124520151362</v>
      </c>
      <c r="AP38" s="1077">
        <f>AP59*'Income Statement '!AO4</f>
        <v>2772.9766388628332</v>
      </c>
      <c r="AT38" s="1429"/>
      <c r="AU38" s="1425"/>
      <c r="AV38" s="1733" t="s">
        <v>693</v>
      </c>
      <c r="AW38" s="1733"/>
      <c r="AX38" s="1733"/>
      <c r="AY38" s="1733"/>
      <c r="AZ38" s="1733"/>
      <c r="BA38" s="1733"/>
      <c r="BB38" s="1733"/>
      <c r="BC38" s="1733"/>
      <c r="BD38" s="1733"/>
      <c r="BE38" s="1733"/>
      <c r="BF38" s="1733"/>
      <c r="BG38" s="1733"/>
      <c r="BH38" s="1733"/>
      <c r="BI38" s="1733"/>
      <c r="BJ38" s="1733"/>
      <c r="BK38" s="1733"/>
      <c r="BL38" s="1733"/>
      <c r="BM38" s="1733"/>
      <c r="BN38" s="1733"/>
      <c r="BO38" s="1733"/>
      <c r="BP38" s="1733"/>
      <c r="BQ38" s="1734"/>
    </row>
    <row r="39" spans="1:69" x14ac:dyDescent="0.75">
      <c r="A39" s="1078" t="s">
        <v>242</v>
      </c>
      <c r="B39" s="1079">
        <v>7165</v>
      </c>
      <c r="C39" s="1079">
        <v>4197</v>
      </c>
      <c r="D39" s="1079">
        <v>3790</v>
      </c>
      <c r="E39" s="1079">
        <v>3496</v>
      </c>
      <c r="F39" s="1079">
        <v>4564</v>
      </c>
      <c r="G39" s="1079">
        <v>5929</v>
      </c>
      <c r="H39" s="1079">
        <v>6176</v>
      </c>
      <c r="I39" s="1407">
        <f>I60*'Balance Sheet '!H34</f>
        <v>5607.5593686309803</v>
      </c>
      <c r="J39" s="1079">
        <f>J60*'Balance Sheet '!I34</f>
        <v>3705.8691295811213</v>
      </c>
      <c r="K39" s="1079">
        <f>K60*'Balance Sheet '!J34</f>
        <v>3641.2852402265953</v>
      </c>
      <c r="L39" s="1079">
        <f>L60*'Balance Sheet '!K34</f>
        <v>3707.6592209567875</v>
      </c>
      <c r="M39" s="1079">
        <f>M60*'Balance Sheet '!L34</f>
        <v>3616.5493259233422</v>
      </c>
      <c r="N39" s="1079">
        <f>N60*'Balance Sheet '!M34</f>
        <v>3762.141322041799</v>
      </c>
      <c r="O39" s="1407">
        <f>O60*'Balance Sheet '!N34</f>
        <v>3513.8172558732331</v>
      </c>
      <c r="P39" s="1079">
        <f>P60*'Balance Sheet '!O34</f>
        <v>3461.219423190274</v>
      </c>
      <c r="Q39" s="1079">
        <f>Q60*'Balance Sheet '!P34</f>
        <v>3264.6156430061751</v>
      </c>
      <c r="R39" s="1079">
        <f>R60*'Balance Sheet '!Q34</f>
        <v>3249.8602428930935</v>
      </c>
      <c r="S39" s="1079">
        <f>S60*'Balance Sheet '!R34</f>
        <v>3090.1620519643525</v>
      </c>
      <c r="T39" s="1079">
        <f>T60*'Balance Sheet '!S34</f>
        <v>3049.8650486131478</v>
      </c>
      <c r="U39" s="1079">
        <f>U60*'Balance Sheet '!T34</f>
        <v>3010.7420475093568</v>
      </c>
      <c r="V39" s="1079">
        <f>V60*'Balance Sheet '!U34</f>
        <v>2964.7415039934785</v>
      </c>
      <c r="W39" s="1079">
        <f>W60*'Balance Sheet '!V34</f>
        <v>2868.0711994334952</v>
      </c>
      <c r="X39" s="1079">
        <f>X60*'Balance Sheet '!W34</f>
        <v>2837.7655598313895</v>
      </c>
      <c r="Y39" s="1079">
        <f>Y60*'Balance Sheet '!X34</f>
        <v>2758.0107296276778</v>
      </c>
      <c r="Z39" s="1079">
        <f>Z60*'Balance Sheet '!Y34</f>
        <v>2693.5938647982398</v>
      </c>
      <c r="AA39" s="1079">
        <f>AA60*'Balance Sheet '!Z34</f>
        <v>2599.8914305489393</v>
      </c>
      <c r="AB39" s="1079">
        <f>AB60*'Balance Sheet '!AA34</f>
        <v>2520.2674623834846</v>
      </c>
      <c r="AC39" s="1079">
        <f>AC60*'Balance Sheet '!AB34</f>
        <v>2432.9774167433184</v>
      </c>
      <c r="AD39" s="1079">
        <f>AD60*'Balance Sheet '!AC34</f>
        <v>2365.8317754195809</v>
      </c>
      <c r="AE39" s="1079">
        <f>AE60*'Balance Sheet '!AD34</f>
        <v>2297.7200710182224</v>
      </c>
      <c r="AF39" s="1079">
        <f>AF60*'Balance Sheet '!AE34</f>
        <v>2235.7364518799141</v>
      </c>
      <c r="AG39" s="1079">
        <f>AG60*'Balance Sheet '!AF34</f>
        <v>2173.9304721680105</v>
      </c>
      <c r="AH39" s="1079">
        <f>AH60*'Balance Sheet '!AG34</f>
        <v>2116.8825046804031</v>
      </c>
      <c r="AI39" s="1079">
        <f>AI60*'Balance Sheet '!AH34</f>
        <v>2062.0623477182712</v>
      </c>
      <c r="AJ39" s="1079">
        <f>AJ60*'Balance Sheet '!AI34</f>
        <v>2010.6873876223722</v>
      </c>
      <c r="AK39" s="1079">
        <f>AK60*'Balance Sheet '!AJ34</f>
        <v>1961.5618771520403</v>
      </c>
      <c r="AL39" s="1079">
        <f>AL60*'Balance Sheet '!AK34</f>
        <v>1914.6914541639751</v>
      </c>
      <c r="AM39" s="1079">
        <f>AM60*'Balance Sheet '!AL34</f>
        <v>1869.8723426069917</v>
      </c>
      <c r="AN39" s="1079">
        <f>AN60*'Balance Sheet '!AM34</f>
        <v>1827.0875157442449</v>
      </c>
      <c r="AO39" s="1079">
        <f>AO60*'Balance Sheet '!AN34</f>
        <v>1786.1749795589151</v>
      </c>
      <c r="AP39" s="1080">
        <f>AP60*'Balance Sheet '!AO34</f>
        <v>1747.1008979296494</v>
      </c>
      <c r="AT39" s="1429"/>
      <c r="AU39" s="1425"/>
      <c r="AV39" s="1731" t="s">
        <v>713</v>
      </c>
      <c r="AW39" s="1731"/>
      <c r="AX39" s="1731"/>
      <c r="AY39" s="1731"/>
      <c r="AZ39" s="1731"/>
      <c r="BA39" s="1731"/>
      <c r="BB39" s="1731"/>
      <c r="BC39" s="1731"/>
      <c r="BD39" s="1731"/>
      <c r="BE39" s="1731"/>
      <c r="BF39" s="1731"/>
      <c r="BG39" s="1731"/>
      <c r="BH39" s="1731"/>
      <c r="BI39" s="1731"/>
      <c r="BJ39" s="1731"/>
      <c r="BK39" s="1731"/>
      <c r="BL39" s="1731"/>
      <c r="BM39" s="1731"/>
      <c r="BN39" s="1731"/>
      <c r="BO39" s="1731"/>
      <c r="BP39" s="1731"/>
      <c r="BQ39" s="1732"/>
    </row>
    <row r="40" spans="1:69" x14ac:dyDescent="0.75">
      <c r="A40" s="1078" t="s">
        <v>243</v>
      </c>
      <c r="B40" s="1081">
        <v>1659</v>
      </c>
      <c r="C40" s="1081">
        <v>1996</v>
      </c>
      <c r="D40" s="1079">
        <v>3114</v>
      </c>
      <c r="E40" s="1079">
        <v>1959</v>
      </c>
      <c r="F40" s="1079">
        <v>2883</v>
      </c>
      <c r="G40" s="1079">
        <v>2951</v>
      </c>
      <c r="H40" s="1079">
        <v>83</v>
      </c>
      <c r="I40" s="1407">
        <f>I61*'Statement of Cash Flows '!H7</f>
        <v>3693.3096924469937</v>
      </c>
      <c r="J40" s="1079">
        <f>J61*'Statement of Cash Flows '!I7</f>
        <v>3167.9728579921816</v>
      </c>
      <c r="K40" s="1079">
        <f>K61*'Statement of Cash Flows '!J7</f>
        <v>4243.6717225974398</v>
      </c>
      <c r="L40" s="1079">
        <f>L61*'Statement of Cash Flows '!K7</f>
        <v>4523.7294990232422</v>
      </c>
      <c r="M40" s="1079">
        <f>M61*'Statement of Cash Flows '!L7</f>
        <v>5671.6157435520317</v>
      </c>
      <c r="N40" s="1079">
        <f>N61*'Statement of Cash Flows '!M7</f>
        <v>4982.0784642523449</v>
      </c>
      <c r="O40" s="1407">
        <f>O61*'Statement of Cash Flows '!N7</f>
        <v>4577.1590628681952</v>
      </c>
      <c r="P40" s="1079">
        <f>P61*'Statement of Cash Flows '!O7</f>
        <v>5189.8727640214674</v>
      </c>
      <c r="Q40" s="1079">
        <f>Q61*'Statement of Cash Flows '!P7</f>
        <v>4712.1704115152161</v>
      </c>
      <c r="R40" s="1079">
        <f>R61*'Statement of Cash Flows '!Q7</f>
        <v>4990.8507485705541</v>
      </c>
      <c r="S40" s="1079">
        <f>S61*'Statement of Cash Flows '!R7</f>
        <v>5665.835736663812</v>
      </c>
      <c r="T40" s="1079">
        <f>T61*'Statement of Cash Flows '!S7</f>
        <v>5916.1125931669003</v>
      </c>
      <c r="U40" s="1079">
        <f>U61*'Statement of Cash Flows '!T7</f>
        <v>5343.583880966351</v>
      </c>
      <c r="V40" s="1079">
        <f>V61*'Statement of Cash Flows '!U7</f>
        <v>5006.4956062873689</v>
      </c>
      <c r="W40" s="1079">
        <f>W61*'Statement of Cash Flows '!V7</f>
        <v>4125.4945207386663</v>
      </c>
      <c r="X40" s="1079">
        <f>X61*'Statement of Cash Flows '!W7</f>
        <v>3787.5663257641218</v>
      </c>
      <c r="Y40" s="1079">
        <f>Y61*'Statement of Cash Flows '!X7</f>
        <v>3419.4262955545096</v>
      </c>
      <c r="Z40" s="1079">
        <f>Z61*'Statement of Cash Flows '!Y7</f>
        <v>3044.9565206372245</v>
      </c>
      <c r="AA40" s="1079">
        <f>AA61*'Statement of Cash Flows '!Z7</f>
        <v>2672.666890074423</v>
      </c>
      <c r="AB40" s="1079">
        <f>AB61*'Statement of Cash Flows '!AA7</f>
        <v>2172.993856755279</v>
      </c>
      <c r="AC40" s="1079">
        <f>AC61*'Statement of Cash Flows '!AB7</f>
        <v>1711.0645895272289</v>
      </c>
      <c r="AD40" s="1079">
        <f>AD61*'Statement of Cash Flows '!AC7</f>
        <v>1326.1003250427582</v>
      </c>
      <c r="AE40" s="1079">
        <f>AE61*'Statement of Cash Flows '!AD7</f>
        <v>1008.0861140615978</v>
      </c>
      <c r="AF40" s="1079">
        <f>AF61*'Statement of Cash Flows '!AE7</f>
        <v>778.50722734471776</v>
      </c>
      <c r="AG40" s="1079">
        <f>AG61*'Statement of Cash Flows '!AF7</f>
        <v>590.5658143866234</v>
      </c>
      <c r="AH40" s="1079">
        <f>AH61*'Statement of Cash Flows '!AG7</f>
        <v>437.28194605880503</v>
      </c>
      <c r="AI40" s="1079">
        <f>AI61*'Statement of Cash Flows '!AH7</f>
        <v>312.72321929624911</v>
      </c>
      <c r="AJ40" s="1079">
        <f>AJ61*'Statement of Cash Flows '!AI7</f>
        <v>310.48347435678312</v>
      </c>
      <c r="AK40" s="1079">
        <f>AK61*'Statement of Cash Flows '!AJ7</f>
        <v>308.37495404277831</v>
      </c>
      <c r="AL40" s="1079">
        <f>AL61*'Statement of Cash Flows '!AK7</f>
        <v>306.35526009023442</v>
      </c>
      <c r="AM40" s="1079">
        <f>AM61*'Statement of Cash Flows '!AL7</f>
        <v>304.4505015609592</v>
      </c>
      <c r="AN40" s="1079">
        <f>AN61*'Statement of Cash Flows '!AM7</f>
        <v>302.63180275418262</v>
      </c>
      <c r="AO40" s="1079">
        <f>AO61*'Statement of Cash Flows '!AN7</f>
        <v>300.89574686767475</v>
      </c>
      <c r="AP40" s="1080">
        <f>AP61*'Statement of Cash Flows '!AO7</f>
        <v>299.23777591958304</v>
      </c>
      <c r="AT40" s="1430"/>
      <c r="AU40" s="1034"/>
      <c r="AV40" s="1436">
        <f>'APV Valuation'!B36</f>
        <v>10.653657453279301</v>
      </c>
      <c r="AW40" s="1439">
        <f t="shared" ref="AW40:BE40" si="22">AX40-0.005</f>
        <v>0.35</v>
      </c>
      <c r="AX40" s="1439">
        <f t="shared" si="22"/>
        <v>0.35499999999999998</v>
      </c>
      <c r="AY40" s="1439">
        <f t="shared" si="22"/>
        <v>0.36</v>
      </c>
      <c r="AZ40" s="1439">
        <f t="shared" si="22"/>
        <v>0.36499999999999999</v>
      </c>
      <c r="BA40" s="1439">
        <f t="shared" si="22"/>
        <v>0.37</v>
      </c>
      <c r="BB40" s="1439">
        <f t="shared" si="22"/>
        <v>0.375</v>
      </c>
      <c r="BC40" s="1439">
        <f t="shared" si="22"/>
        <v>0.38</v>
      </c>
      <c r="BD40" s="1439">
        <f t="shared" si="22"/>
        <v>0.38500000000000001</v>
      </c>
      <c r="BE40" s="1439">
        <f t="shared" si="22"/>
        <v>0.39</v>
      </c>
      <c r="BF40" s="1439">
        <f>BG40-0.005</f>
        <v>0.39500000000000002</v>
      </c>
      <c r="BG40" s="1534">
        <v>0.4</v>
      </c>
      <c r="BH40" s="1439">
        <f>BG40+0.005</f>
        <v>0.40500000000000003</v>
      </c>
      <c r="BI40" s="1439">
        <f t="shared" ref="BI40:BQ40" si="23">BH40+0.005</f>
        <v>0.41000000000000003</v>
      </c>
      <c r="BJ40" s="1439">
        <f t="shared" si="23"/>
        <v>0.41500000000000004</v>
      </c>
      <c r="BK40" s="1439">
        <f t="shared" si="23"/>
        <v>0.42000000000000004</v>
      </c>
      <c r="BL40" s="1439">
        <f t="shared" si="23"/>
        <v>0.42500000000000004</v>
      </c>
      <c r="BM40" s="1439">
        <f t="shared" si="23"/>
        <v>0.43000000000000005</v>
      </c>
      <c r="BN40" s="1439">
        <f t="shared" si="23"/>
        <v>0.43500000000000005</v>
      </c>
      <c r="BO40" s="1439">
        <f t="shared" si="23"/>
        <v>0.44000000000000006</v>
      </c>
      <c r="BP40" s="1439">
        <f t="shared" si="23"/>
        <v>0.44500000000000006</v>
      </c>
      <c r="BQ40" s="1440">
        <f t="shared" si="23"/>
        <v>0.45000000000000007</v>
      </c>
    </row>
    <row r="41" spans="1:69" x14ac:dyDescent="0.75">
      <c r="A41" s="1078" t="s">
        <v>244</v>
      </c>
      <c r="B41" s="1081">
        <v>24100</v>
      </c>
      <c r="C41" s="1081">
        <v>21039</v>
      </c>
      <c r="D41" s="1079">
        <v>18469</v>
      </c>
      <c r="E41" s="1079">
        <v>17261</v>
      </c>
      <c r="F41" s="1079">
        <v>15216</v>
      </c>
      <c r="G41" s="1079">
        <v>13993</v>
      </c>
      <c r="H41" s="1079">
        <v>11675</v>
      </c>
      <c r="I41" s="1407">
        <f>$H$53*$I$56</f>
        <v>6712.7644588094972</v>
      </c>
      <c r="J41" s="1079">
        <f t="shared" ref="J41:L41" si="24">$H$53*$I$56</f>
        <v>6712.7644588094972</v>
      </c>
      <c r="K41" s="1079">
        <f t="shared" si="24"/>
        <v>6712.7644588094972</v>
      </c>
      <c r="L41" s="1079">
        <f t="shared" si="24"/>
        <v>6712.7644588094972</v>
      </c>
      <c r="M41" s="1079">
        <f>L53</f>
        <v>4848.9421647620075</v>
      </c>
      <c r="N41" s="1079">
        <v>0</v>
      </c>
      <c r="O41" s="1407">
        <v>0</v>
      </c>
      <c r="P41" s="1079">
        <v>0</v>
      </c>
      <c r="Q41" s="1079">
        <v>0</v>
      </c>
      <c r="R41" s="1079">
        <v>0</v>
      </c>
      <c r="S41" s="1079">
        <v>0</v>
      </c>
      <c r="T41" s="1079">
        <v>0</v>
      </c>
      <c r="U41" s="1079">
        <v>0</v>
      </c>
      <c r="V41" s="1079">
        <v>0</v>
      </c>
      <c r="W41" s="1079">
        <v>0</v>
      </c>
      <c r="X41" s="1079">
        <v>0</v>
      </c>
      <c r="Y41" s="1079">
        <v>0</v>
      </c>
      <c r="Z41" s="1079">
        <v>0</v>
      </c>
      <c r="AA41" s="1079">
        <v>0</v>
      </c>
      <c r="AB41" s="1079">
        <v>0</v>
      </c>
      <c r="AC41" s="1079">
        <v>0</v>
      </c>
      <c r="AD41" s="1079">
        <v>0</v>
      </c>
      <c r="AE41" s="1079">
        <v>0</v>
      </c>
      <c r="AF41" s="1079">
        <v>0</v>
      </c>
      <c r="AG41" s="1079">
        <v>0</v>
      </c>
      <c r="AH41" s="1079">
        <v>0</v>
      </c>
      <c r="AI41" s="1079">
        <v>0</v>
      </c>
      <c r="AJ41" s="1079">
        <v>0</v>
      </c>
      <c r="AK41" s="1079">
        <v>0</v>
      </c>
      <c r="AL41" s="1079">
        <v>0</v>
      </c>
      <c r="AM41" s="1079">
        <v>0</v>
      </c>
      <c r="AN41" s="1079">
        <v>0</v>
      </c>
      <c r="AO41" s="1079">
        <v>0</v>
      </c>
      <c r="AP41" s="1080">
        <v>0</v>
      </c>
      <c r="AT41" s="1736" t="s">
        <v>712</v>
      </c>
      <c r="AU41" s="1428"/>
      <c r="AV41" s="1437">
        <f t="shared" ref="AV41:AV45" si="25">AV42-0.005</f>
        <v>3.4537537707466592E-2</v>
      </c>
      <c r="AW41" s="1426">
        <f t="dataTable" ref="AW41:BQ53" dt2D="1" dtr="1" r1="M23" r2="AU23" ca="1"/>
        <v>14.633073418476949</v>
      </c>
      <c r="AX41" s="1426">
        <v>14.629694760284151</v>
      </c>
      <c r="AY41" s="1426">
        <v>14.626316102091353</v>
      </c>
      <c r="AZ41" s="1426">
        <v>14.622937443898554</v>
      </c>
      <c r="BA41" s="1426">
        <v>14.619558785705756</v>
      </c>
      <c r="BB41" s="1426">
        <v>14.616180127512957</v>
      </c>
      <c r="BC41" s="1426">
        <v>14.612801469320157</v>
      </c>
      <c r="BD41" s="1426">
        <v>14.609422811127359</v>
      </c>
      <c r="BE41" s="1426">
        <v>14.60604415293456</v>
      </c>
      <c r="BF41" s="1426">
        <v>14.602665494741762</v>
      </c>
      <c r="BG41" s="1533">
        <v>14.599286836548965</v>
      </c>
      <c r="BH41" s="1426">
        <v>14.595908178356165</v>
      </c>
      <c r="BI41" s="1426">
        <v>14.592529520163367</v>
      </c>
      <c r="BJ41" s="1426">
        <v>14.589150861970568</v>
      </c>
      <c r="BK41" s="1426">
        <v>14.58577220377777</v>
      </c>
      <c r="BL41" s="1426">
        <v>14.582393545584971</v>
      </c>
      <c r="BM41" s="1426">
        <v>14.579014887392173</v>
      </c>
      <c r="BN41" s="1426">
        <v>14.575636229199375</v>
      </c>
      <c r="BO41" s="1426">
        <v>14.572257571006574</v>
      </c>
      <c r="BP41" s="1426">
        <v>14.568878912813776</v>
      </c>
      <c r="BQ41" s="1431">
        <v>14.565500254620977</v>
      </c>
    </row>
    <row r="42" spans="1:69" x14ac:dyDescent="0.75">
      <c r="A42" s="1078" t="s">
        <v>245</v>
      </c>
      <c r="B42" s="1081">
        <v>2978</v>
      </c>
      <c r="C42" s="1081">
        <v>2984</v>
      </c>
      <c r="D42" s="1079">
        <v>3696</v>
      </c>
      <c r="E42" s="1079">
        <v>4431</v>
      </c>
      <c r="F42" s="1079">
        <v>4777</v>
      </c>
      <c r="G42" s="1079">
        <v>4971</v>
      </c>
      <c r="H42" s="1079">
        <v>5098</v>
      </c>
      <c r="I42" s="1407">
        <f>H63*'Income Statement '!H4</f>
        <v>4689.0471855862224</v>
      </c>
      <c r="J42" s="1079">
        <f>J63*'Income Statement '!I4</f>
        <v>4215.683143162224</v>
      </c>
      <c r="K42" s="1079">
        <f>K63*'Income Statement '!J4</f>
        <v>4154.1471255965298</v>
      </c>
      <c r="L42" s="1079">
        <f>L63*'Income Statement '!K4</f>
        <v>4285.4012212320449</v>
      </c>
      <c r="M42" s="1079">
        <f>M63*'Income Statement '!L4</f>
        <v>4124.3630911326245</v>
      </c>
      <c r="N42" s="1079">
        <f>N63*'Income Statement '!M4</f>
        <v>4256.5591390733271</v>
      </c>
      <c r="O42" s="1407">
        <f>O63*'Income Statement '!N4</f>
        <v>3787.2821075998809</v>
      </c>
      <c r="P42" s="1079">
        <f>P63*'Income Statement '!O4</f>
        <v>3887.2475109697621</v>
      </c>
      <c r="Q42" s="1079">
        <f>Q63*'Income Statement '!P4</f>
        <v>3609.4698730329314</v>
      </c>
      <c r="R42" s="1079">
        <f>R63*'Income Statement '!Q4</f>
        <v>3679.1155875911186</v>
      </c>
      <c r="S42" s="1079">
        <f>S63*'Income Statement '!R4</f>
        <v>3399.0096844090717</v>
      </c>
      <c r="T42" s="1079">
        <f>T63*'Income Statement '!S4</f>
        <v>3445.2566338963784</v>
      </c>
      <c r="U42" s="1079">
        <f>U63*'Income Statement '!T4</f>
        <v>3249.3554661297794</v>
      </c>
      <c r="V42" s="1079">
        <f>V63*'Income Statement '!U4</f>
        <v>3279.880890162377</v>
      </c>
      <c r="W42" s="1079">
        <f>W63*'Income Statement '!V4</f>
        <v>3134.9328839789678</v>
      </c>
      <c r="X42" s="1079">
        <f>X63*'Income Statement '!W4</f>
        <v>3139.6458693547302</v>
      </c>
      <c r="Y42" s="1079">
        <f>Y63*'Income Statement '!X4</f>
        <v>3027.972299556875</v>
      </c>
      <c r="Z42" s="1079">
        <f>Z63*'Income Statement '!Y4</f>
        <v>2939.5724761983201</v>
      </c>
      <c r="AA42" s="1079">
        <f>AA63*'Income Statement '!Z4</f>
        <v>2834.187395060349</v>
      </c>
      <c r="AB42" s="1079">
        <f>AB63*'Income Statement '!AA4</f>
        <v>2750.1743072721915</v>
      </c>
      <c r="AC42" s="1079">
        <f>AC63*'Income Statement '!AB4</f>
        <v>2656.2669221931551</v>
      </c>
      <c r="AD42" s="1079">
        <f>AD63*'Income Statement '!AC4</f>
        <v>2577.4001443099055</v>
      </c>
      <c r="AE42" s="1079">
        <f>AE63*'Income Statement '!AD4</f>
        <v>2493.1602518223244</v>
      </c>
      <c r="AF42" s="1079">
        <f>AF63*'Income Statement '!AE4</f>
        <v>2419.7319910457209</v>
      </c>
      <c r="AG42" s="1079">
        <f>AG63*'Income Statement '!AF4</f>
        <v>2343.7800635216809</v>
      </c>
      <c r="AH42" s="1079">
        <f>AH63*'Income Statement '!AG4</f>
        <v>2275.7925550641257</v>
      </c>
      <c r="AI42" s="1079">
        <f>AI63*'Income Statement '!AH4</f>
        <v>2210.6760894688182</v>
      </c>
      <c r="AJ42" s="1079">
        <f>AJ63*'Income Statement '!AI4</f>
        <v>2148.6676516782327</v>
      </c>
      <c r="AK42" s="1079">
        <f>AK63*'Income Statement '!AJ4</f>
        <v>2089.2911326486119</v>
      </c>
      <c r="AL42" s="1079">
        <f>AL63*'Income Statement '!AK4</f>
        <v>2032.6928900327675</v>
      </c>
      <c r="AM42" s="1079">
        <f>AM63*'Income Statement '!AL4</f>
        <v>1978.5179607885223</v>
      </c>
      <c r="AN42" s="1079">
        <f>AN63*'Income Statement '!AM4</f>
        <v>1926.8362651875468</v>
      </c>
      <c r="AO42" s="1079">
        <f>AO63*'Income Statement '!AN4</f>
        <v>1877.37821832999</v>
      </c>
      <c r="AP42" s="1080">
        <f>AP63*'Income Statement '!AO4</f>
        <v>1830.1645816494697</v>
      </c>
      <c r="AT42" s="1737"/>
      <c r="AU42" s="1427"/>
      <c r="AV42" s="1437">
        <f t="shared" si="25"/>
        <v>3.953753770746659E-2</v>
      </c>
      <c r="AW42" s="1426">
        <v>13.687161158128285</v>
      </c>
      <c r="AX42" s="1426">
        <v>13.683887832982869</v>
      </c>
      <c r="AY42" s="1426">
        <v>13.680614507837454</v>
      </c>
      <c r="AZ42" s="1426">
        <v>13.677341182692039</v>
      </c>
      <c r="BA42" s="1426">
        <v>13.674067857546623</v>
      </c>
      <c r="BB42" s="1426">
        <v>13.670794532401208</v>
      </c>
      <c r="BC42" s="1426">
        <v>13.667521207255794</v>
      </c>
      <c r="BD42" s="1426">
        <v>13.664247882110377</v>
      </c>
      <c r="BE42" s="1426">
        <v>13.660974556964963</v>
      </c>
      <c r="BF42" s="1426">
        <v>13.657701231819546</v>
      </c>
      <c r="BG42" s="1533">
        <v>13.654427906674131</v>
      </c>
      <c r="BH42" s="1426">
        <v>13.651154581528719</v>
      </c>
      <c r="BI42" s="1426">
        <v>13.6478812563833</v>
      </c>
      <c r="BJ42" s="1426">
        <v>13.644607931237887</v>
      </c>
      <c r="BK42" s="1426">
        <v>13.641334606092473</v>
      </c>
      <c r="BL42" s="1426">
        <v>13.638061280947056</v>
      </c>
      <c r="BM42" s="1426">
        <v>13.634787955801642</v>
      </c>
      <c r="BN42" s="1426">
        <v>13.631514630656227</v>
      </c>
      <c r="BO42" s="1426">
        <v>13.62824130551081</v>
      </c>
      <c r="BP42" s="1426">
        <v>13.624967980365396</v>
      </c>
      <c r="BQ42" s="1431">
        <v>13.621694655219979</v>
      </c>
    </row>
    <row r="43" spans="1:69" x14ac:dyDescent="0.75">
      <c r="A43" s="1078" t="s">
        <v>246</v>
      </c>
      <c r="B43" s="1081">
        <v>1511</v>
      </c>
      <c r="C43" s="1081">
        <v>2489</v>
      </c>
      <c r="D43" s="1079">
        <v>2300</v>
      </c>
      <c r="E43" s="1079">
        <v>2396</v>
      </c>
      <c r="F43" s="1079">
        <v>2337</v>
      </c>
      <c r="G43" s="1079">
        <v>2403</v>
      </c>
      <c r="H43" s="1079">
        <v>2440</v>
      </c>
      <c r="I43" s="1407">
        <f>I64*'Income Statement '!H4</f>
        <v>2100.6938749679998</v>
      </c>
      <c r="J43" s="1079">
        <f>J64*'Income Statement '!I4</f>
        <v>2299.4635326339403</v>
      </c>
      <c r="K43" s="1079">
        <f>K64*'Income Statement '!J4</f>
        <v>2265.8984321435614</v>
      </c>
      <c r="L43" s="1079">
        <f>L64*'Income Statement '!K4</f>
        <v>2337.4915752174793</v>
      </c>
      <c r="M43" s="1079">
        <f>M64*'Income Statement '!L4</f>
        <v>2249.6525951632493</v>
      </c>
      <c r="N43" s="1079">
        <f>N64*'Income Statement '!M4</f>
        <v>2321.7595304036331</v>
      </c>
      <c r="O43" s="1407">
        <f>O64*'Income Statement '!N4</f>
        <v>2065.7902405090258</v>
      </c>
      <c r="P43" s="1079">
        <f>P64*'Income Statement '!O4</f>
        <v>2120.3168241653248</v>
      </c>
      <c r="Q43" s="1079">
        <f>Q64*'Income Statement '!P4</f>
        <v>1968.8017489270535</v>
      </c>
      <c r="R43" s="1079">
        <f>R64*'Income Statement '!Q4</f>
        <v>2006.7903205042464</v>
      </c>
      <c r="S43" s="1079">
        <f>S64*'Income Statement '!R4</f>
        <v>1854.0052824049483</v>
      </c>
      <c r="T43" s="1079">
        <f>T64*'Income Statement '!S4</f>
        <v>1879.2308912162061</v>
      </c>
      <c r="U43" s="1079">
        <f>U64*'Income Statement '!T4</f>
        <v>1772.3757087980614</v>
      </c>
      <c r="V43" s="1079">
        <f>V64*'Income Statement '!U4</f>
        <v>1789.0259400885693</v>
      </c>
      <c r="W43" s="1079">
        <f>W64*'Income Statement '!V4</f>
        <v>1709.9633912612551</v>
      </c>
      <c r="X43" s="1079">
        <f>X64*'Income Statement '!W4</f>
        <v>1712.5341105571254</v>
      </c>
      <c r="Y43" s="1079">
        <f>Y64*'Income Statement '!X4</f>
        <v>1651.62125430375</v>
      </c>
      <c r="Z43" s="1079">
        <f>Z64*'Income Statement '!Y4</f>
        <v>1603.4031688354473</v>
      </c>
      <c r="AA43" s="1079">
        <f>AA64*'Income Statement '!Z4</f>
        <v>1545.9203973056449</v>
      </c>
      <c r="AB43" s="1079">
        <f>AB64*'Income Statement '!AA4</f>
        <v>1500.0950766939227</v>
      </c>
      <c r="AC43" s="1079">
        <f>AC64*'Income Statement '!AB4</f>
        <v>1448.8728666508118</v>
      </c>
      <c r="AD43" s="1079">
        <f>AD64*'Income Statement '!AC4</f>
        <v>1405.8546241690392</v>
      </c>
      <c r="AE43" s="1079">
        <f>AE64*'Income Statement '!AD4</f>
        <v>1359.9055919030859</v>
      </c>
      <c r="AF43" s="1079">
        <f>AF64*'Income Statement '!AE4</f>
        <v>1319.8538132976657</v>
      </c>
      <c r="AG43" s="1079">
        <f>AG64*'Income Statement '!AF4</f>
        <v>1278.4254891936441</v>
      </c>
      <c r="AH43" s="1079">
        <f>AH64*'Income Statement '!AG4</f>
        <v>1241.3413936713412</v>
      </c>
      <c r="AI43" s="1079">
        <f>AI64*'Income Statement '!AH4</f>
        <v>1205.8233215284463</v>
      </c>
      <c r="AJ43" s="1079">
        <f>AJ64*'Income Statement '!AI4</f>
        <v>1172.0005372790358</v>
      </c>
      <c r="AK43" s="1079">
        <f>AK64*'Income Statement '!AJ4</f>
        <v>1139.613345081061</v>
      </c>
      <c r="AL43" s="1079">
        <f>AL64*'Income Statement '!AK4</f>
        <v>1108.7415763815095</v>
      </c>
      <c r="AM43" s="1079">
        <f>AM64*'Income Statement '!AL4</f>
        <v>1079.1916149755577</v>
      </c>
      <c r="AN43" s="1079">
        <f>AN64*'Income Statement '!AM4</f>
        <v>1051.0015991932073</v>
      </c>
      <c r="AO43" s="1079">
        <f>AO64*'Income Statement '!AN4</f>
        <v>1024.0244827254492</v>
      </c>
      <c r="AP43" s="1080">
        <f>AP64*'Income Statement '!AO4</f>
        <v>998.27158999061987</v>
      </c>
      <c r="AT43" s="1737"/>
      <c r="AU43" s="1427"/>
      <c r="AV43" s="1437">
        <f t="shared" si="25"/>
        <v>4.4537537707466587E-2</v>
      </c>
      <c r="AW43" s="1426">
        <v>12.890221449829571</v>
      </c>
      <c r="AX43" s="1426">
        <v>12.887049609007239</v>
      </c>
      <c r="AY43" s="1426">
        <v>12.883877768184906</v>
      </c>
      <c r="AZ43" s="1426">
        <v>12.880705927362571</v>
      </c>
      <c r="BA43" s="1426">
        <v>12.877534086540239</v>
      </c>
      <c r="BB43" s="1426">
        <v>12.874362245717908</v>
      </c>
      <c r="BC43" s="1426">
        <v>12.871190404895575</v>
      </c>
      <c r="BD43" s="1426">
        <v>12.868018564073241</v>
      </c>
      <c r="BE43" s="1426">
        <v>12.864846723250908</v>
      </c>
      <c r="BF43" s="1426">
        <v>12.861674882428575</v>
      </c>
      <c r="BG43" s="1533">
        <v>12.858503041606243</v>
      </c>
      <c r="BH43" s="1426">
        <v>12.85533120078391</v>
      </c>
      <c r="BI43" s="1426">
        <v>12.852159359961577</v>
      </c>
      <c r="BJ43" s="1426">
        <v>12.848987519139243</v>
      </c>
      <c r="BK43" s="1426">
        <v>12.84581567831691</v>
      </c>
      <c r="BL43" s="1426">
        <v>12.842643837494577</v>
      </c>
      <c r="BM43" s="1426">
        <v>12.839471996672245</v>
      </c>
      <c r="BN43" s="1426">
        <v>12.83630015584991</v>
      </c>
      <c r="BO43" s="1426">
        <v>12.833128315027578</v>
      </c>
      <c r="BP43" s="1426">
        <v>12.829956474205245</v>
      </c>
      <c r="BQ43" s="1431">
        <v>12.826784633382912</v>
      </c>
    </row>
    <row r="44" spans="1:69" x14ac:dyDescent="0.75">
      <c r="A44" s="1082" t="s">
        <v>247</v>
      </c>
      <c r="B44" s="1018">
        <f t="shared" ref="B44" si="26">SUM(B38:B43)</f>
        <v>43268</v>
      </c>
      <c r="C44" s="1018">
        <f t="shared" ref="C44:AP44" si="27">SUM(C38:C43)</f>
        <v>40312</v>
      </c>
      <c r="D44" s="1018">
        <f t="shared" si="27"/>
        <v>37738</v>
      </c>
      <c r="E44" s="1018">
        <f t="shared" si="27"/>
        <v>35797</v>
      </c>
      <c r="F44" s="1018">
        <f t="shared" si="27"/>
        <v>36161</v>
      </c>
      <c r="G44" s="1018">
        <f t="shared" si="27"/>
        <v>35859</v>
      </c>
      <c r="H44" s="1018">
        <f t="shared" si="27"/>
        <v>31490</v>
      </c>
      <c r="I44" s="1408">
        <f t="shared" si="27"/>
        <v>28638.635344241695</v>
      </c>
      <c r="J44" s="1018">
        <f t="shared" si="27"/>
        <v>26489.151823939912</v>
      </c>
      <c r="K44" s="1018">
        <f t="shared" si="27"/>
        <v>27311.929290883516</v>
      </c>
      <c r="L44" s="1018">
        <f t="shared" si="27"/>
        <v>28060.078128620939</v>
      </c>
      <c r="M44" s="1018">
        <f t="shared" si="27"/>
        <v>26760.157907097841</v>
      </c>
      <c r="N44" s="1018">
        <f t="shared" si="27"/>
        <v>21771.870484670086</v>
      </c>
      <c r="O44" s="1408">
        <f t="shared" si="27"/>
        <v>19682.354890486517</v>
      </c>
      <c r="P44" s="1018">
        <f t="shared" si="27"/>
        <v>20548.42547836162</v>
      </c>
      <c r="Q44" s="1018">
        <f t="shared" si="27"/>
        <v>19023.95142350097</v>
      </c>
      <c r="R44" s="1018">
        <f t="shared" si="27"/>
        <v>19501.034456515252</v>
      </c>
      <c r="S44" s="1018">
        <f t="shared" si="27"/>
        <v>19159.027428789264</v>
      </c>
      <c r="T44" s="1018">
        <f t="shared" si="27"/>
        <v>19510.55097582654</v>
      </c>
      <c r="U44" s="1018">
        <f t="shared" si="27"/>
        <v>18299.322961175942</v>
      </c>
      <c r="V44" s="1018">
        <f t="shared" si="27"/>
        <v>18009.660440777821</v>
      </c>
      <c r="W44" s="1018">
        <f t="shared" si="27"/>
        <v>16588.360304471425</v>
      </c>
      <c r="X44" s="1018">
        <f t="shared" si="27"/>
        <v>16234.551061499384</v>
      </c>
      <c r="Y44" s="1018">
        <f t="shared" si="27"/>
        <v>15444.867396553229</v>
      </c>
      <c r="Z44" s="1018">
        <f t="shared" si="27"/>
        <v>14735.423721678808</v>
      </c>
      <c r="AA44" s="1018">
        <f t="shared" si="27"/>
        <v>13946.889438838371</v>
      </c>
      <c r="AB44" s="1018">
        <f t="shared" si="27"/>
        <v>13110.461471699107</v>
      </c>
      <c r="AC44" s="1018">
        <f t="shared" si="27"/>
        <v>12273.828646922326</v>
      </c>
      <c r="AD44" s="1018">
        <f t="shared" si="27"/>
        <v>11580.33860274417</v>
      </c>
      <c r="AE44" s="1018">
        <f t="shared" si="27"/>
        <v>10936.387561869358</v>
      </c>
      <c r="AF44" s="1018">
        <f t="shared" si="27"/>
        <v>10420.090076061535</v>
      </c>
      <c r="AG44" s="1018">
        <f t="shared" si="27"/>
        <v>9937.8837536967476</v>
      </c>
      <c r="AH44" s="1018">
        <f t="shared" si="27"/>
        <v>9519.4689374506233</v>
      </c>
      <c r="AI44" s="1018">
        <f t="shared" si="27"/>
        <v>9140.794204479691</v>
      </c>
      <c r="AJ44" s="1018">
        <f t="shared" si="27"/>
        <v>8897.3960989337465</v>
      </c>
      <c r="AK44" s="1018">
        <f t="shared" si="27"/>
        <v>8664.4339341496616</v>
      </c>
      <c r="AL44" s="1018">
        <f t="shared" si="27"/>
        <v>8442.3188928393465</v>
      </c>
      <c r="AM44" s="1018">
        <f t="shared" si="27"/>
        <v>8229.7869059752466</v>
      </c>
      <c r="AN44" s="1018">
        <f t="shared" si="27"/>
        <v>8027.0060695269804</v>
      </c>
      <c r="AO44" s="1018">
        <f t="shared" si="27"/>
        <v>7832.9858794971651</v>
      </c>
      <c r="AP44" s="1019">
        <f t="shared" si="27"/>
        <v>7647.7514843521549</v>
      </c>
      <c r="AT44" s="1737"/>
      <c r="AU44" s="1427"/>
      <c r="AV44" s="1437">
        <f t="shared" si="25"/>
        <v>4.9537537707466585E-2</v>
      </c>
      <c r="AW44" s="1426">
        <v>12.211570436561786</v>
      </c>
      <c r="AX44" s="1426">
        <v>12.208496391843349</v>
      </c>
      <c r="AY44" s="1426">
        <v>12.205422347124914</v>
      </c>
      <c r="AZ44" s="1426">
        <v>12.202348302406479</v>
      </c>
      <c r="BA44" s="1426">
        <v>12.199274257688044</v>
      </c>
      <c r="BB44" s="1426">
        <v>12.196200212969609</v>
      </c>
      <c r="BC44" s="1426">
        <v>12.193126168251174</v>
      </c>
      <c r="BD44" s="1426">
        <v>12.190052123532737</v>
      </c>
      <c r="BE44" s="1426">
        <v>12.186978078814303</v>
      </c>
      <c r="BF44" s="1426">
        <v>12.183904034095868</v>
      </c>
      <c r="BG44" s="1533">
        <v>12.180829989377433</v>
      </c>
      <c r="BH44" s="1426">
        <v>12.177755944658996</v>
      </c>
      <c r="BI44" s="1426">
        <v>12.174681899940561</v>
      </c>
      <c r="BJ44" s="1426">
        <v>12.171607855222126</v>
      </c>
      <c r="BK44" s="1426">
        <v>12.168533810503691</v>
      </c>
      <c r="BL44" s="1426">
        <v>12.165459765785254</v>
      </c>
      <c r="BM44" s="1426">
        <v>12.162385721066819</v>
      </c>
      <c r="BN44" s="1426">
        <v>12.159311676348384</v>
      </c>
      <c r="BO44" s="1426">
        <v>12.156237631629947</v>
      </c>
      <c r="BP44" s="1426">
        <v>12.153163586911514</v>
      </c>
      <c r="BQ44" s="1431">
        <v>12.150089542193077</v>
      </c>
    </row>
    <row r="45" spans="1:69" x14ac:dyDescent="0.75">
      <c r="A45" s="1078" t="s">
        <v>248</v>
      </c>
      <c r="B45" s="1081">
        <v>-12902</v>
      </c>
      <c r="C45" s="1081">
        <v>-4878</v>
      </c>
      <c r="D45" s="1079">
        <v>-3659</v>
      </c>
      <c r="E45" s="1079">
        <v>-3783</v>
      </c>
      <c r="F45" s="1079">
        <v>-3870</v>
      </c>
      <c r="G45" s="1079">
        <v>-3902</v>
      </c>
      <c r="H45" s="1079">
        <v>-3466</v>
      </c>
      <c r="I45" s="1407">
        <f>I66*'Income Statement '!H4</f>
        <v>-2917.6303819</v>
      </c>
      <c r="J45" s="1079">
        <f>J66*'Income Statement '!I4</f>
        <v>-3193.699350880473</v>
      </c>
      <c r="K45" s="1079">
        <f>K66*'Income Statement '!J4</f>
        <v>-3147.0811557549464</v>
      </c>
      <c r="L45" s="1079">
        <f>L66*'Income Statement '!K4</f>
        <v>-3246.5160766909435</v>
      </c>
      <c r="M45" s="1079">
        <f>M66*'Income Statement '!L4</f>
        <v>-3124.5174932822911</v>
      </c>
      <c r="N45" s="1079">
        <f>N66*'Income Statement '!M4</f>
        <v>-3224.6660144494904</v>
      </c>
      <c r="O45" s="1407">
        <f>O66*'Income Statement '!N4</f>
        <v>-2869.1531118180919</v>
      </c>
      <c r="P45" s="1079">
        <f>P66*'Income Statement '!O4</f>
        <v>-2944.8844780073955</v>
      </c>
      <c r="Q45" s="1079">
        <f>Q66*'Income Statement '!P4</f>
        <v>-2734.4468735097967</v>
      </c>
      <c r="R45" s="1079">
        <f>R66*'Income Statement '!Q4</f>
        <v>-2787.2087784781202</v>
      </c>
      <c r="S45" s="1079">
        <f>S66*'Income Statement '!R4</f>
        <v>-2575.0073366735392</v>
      </c>
      <c r="T45" s="1079">
        <f>T66*'Income Statement '!S4</f>
        <v>-2610.0429044669531</v>
      </c>
      <c r="U45" s="1079">
        <f>U66*'Income Statement '!T4</f>
        <v>-2461.6329288861966</v>
      </c>
      <c r="V45" s="1079">
        <f>V66*'Income Statement '!U4</f>
        <v>-2484.7582501230131</v>
      </c>
      <c r="W45" s="1079">
        <f>W66*'Income Statement '!V4</f>
        <v>-2374.9491545295209</v>
      </c>
      <c r="X45" s="1079">
        <f>X66*'Income Statement '!W4</f>
        <v>-2378.5195979960076</v>
      </c>
      <c r="Y45" s="1079">
        <f>Y66*'Income Statement '!X4</f>
        <v>-2293.9184087552085</v>
      </c>
      <c r="Z45" s="1079">
        <f>Z66*'Income Statement '!Y4</f>
        <v>-2226.9488456047879</v>
      </c>
      <c r="AA45" s="1079">
        <f>AA66*'Income Statement '!Z4</f>
        <v>-2147.1116629245071</v>
      </c>
      <c r="AB45" s="1079">
        <f>AB66*'Income Statement '!AA4</f>
        <v>-2083.4653842971147</v>
      </c>
      <c r="AC45" s="1079">
        <f>AC66*'Income Statement '!AB4</f>
        <v>-2012.3234259039054</v>
      </c>
      <c r="AD45" s="1079">
        <f>AD66*'Income Statement '!AC4</f>
        <v>-1952.5758669014435</v>
      </c>
      <c r="AE45" s="1079">
        <f>AE66*'Income Statement '!AD4</f>
        <v>-1888.7577665320639</v>
      </c>
      <c r="AF45" s="1079">
        <f>AF66*'Income Statement '!AE4</f>
        <v>-1833.130296246758</v>
      </c>
      <c r="AG45" s="1079">
        <f>AG66*'Income Statement '!AF4</f>
        <v>-1775.5909572133946</v>
      </c>
      <c r="AH45" s="1079">
        <f>AH66*'Income Statement '!AG4</f>
        <v>-1724.0852689879739</v>
      </c>
      <c r="AI45" s="1079">
        <f>AI66*'Income Statement '!AH4</f>
        <v>-1674.7546132339533</v>
      </c>
      <c r="AJ45" s="1079">
        <f>AJ66*'Income Statement '!AI4</f>
        <v>-1627.7785239986611</v>
      </c>
      <c r="AK45" s="1079">
        <f>AK66*'Income Statement '!AJ4</f>
        <v>-1582.7963126125849</v>
      </c>
      <c r="AL45" s="1079">
        <f>AL66*'Income Statement '!AK4</f>
        <v>-1539.91885608543</v>
      </c>
      <c r="AM45" s="1079">
        <f>AM66*'Income Statement '!AL4</f>
        <v>-1498.8772430216079</v>
      </c>
      <c r="AN45" s="1079">
        <f>AN66*'Income Statement '!AM4</f>
        <v>-1459.7244433238991</v>
      </c>
      <c r="AO45" s="1079">
        <f>AO66*'Income Statement '!AN4</f>
        <v>-1422.2562260075681</v>
      </c>
      <c r="AP45" s="1080">
        <f>AP66*'Income Statement '!AO4</f>
        <v>-1386.4883194314166</v>
      </c>
      <c r="AT45" s="1737"/>
      <c r="AU45" s="1427"/>
      <c r="AV45" s="1437">
        <f t="shared" si="25"/>
        <v>5.4537537707466582E-2</v>
      </c>
      <c r="AW45" s="1426">
        <v>11.628264908148722</v>
      </c>
      <c r="AX45" s="1426">
        <v>11.625285124323657</v>
      </c>
      <c r="AY45" s="1426">
        <v>11.62230534049859</v>
      </c>
      <c r="AZ45" s="1426">
        <v>11.619325556673527</v>
      </c>
      <c r="BA45" s="1426">
        <v>11.616345772848462</v>
      </c>
      <c r="BB45" s="1426">
        <v>11.613365989023398</v>
      </c>
      <c r="BC45" s="1426">
        <v>11.610386205198333</v>
      </c>
      <c r="BD45" s="1426">
        <v>11.607406421373268</v>
      </c>
      <c r="BE45" s="1426">
        <v>11.604426637548205</v>
      </c>
      <c r="BF45" s="1426">
        <v>11.601446853723139</v>
      </c>
      <c r="BG45" s="1533">
        <v>11.598467069898074</v>
      </c>
      <c r="BH45" s="1426">
        <v>11.595487286073009</v>
      </c>
      <c r="BI45" s="1426">
        <v>11.592507502247946</v>
      </c>
      <c r="BJ45" s="1426">
        <v>11.589527718422881</v>
      </c>
      <c r="BK45" s="1426">
        <v>11.586547934597817</v>
      </c>
      <c r="BL45" s="1426">
        <v>11.583568150772752</v>
      </c>
      <c r="BM45" s="1426">
        <v>11.580588366947687</v>
      </c>
      <c r="BN45" s="1426">
        <v>11.577608583122624</v>
      </c>
      <c r="BO45" s="1426">
        <v>11.574628799297559</v>
      </c>
      <c r="BP45" s="1426">
        <v>11.571649015472493</v>
      </c>
      <c r="BQ45" s="1431">
        <v>11.56866923164743</v>
      </c>
    </row>
    <row r="46" spans="1:69" ht="15.5" thickBot="1" x14ac:dyDescent="0.9">
      <c r="A46" s="1083" t="s">
        <v>249</v>
      </c>
      <c r="B46" s="1084">
        <f t="shared" ref="B46" si="28">SUM(B44:B45)</f>
        <v>30366</v>
      </c>
      <c r="C46" s="1084">
        <f t="shared" ref="C46:AP46" si="29">SUM(C44:C45)</f>
        <v>35434</v>
      </c>
      <c r="D46" s="1084">
        <f t="shared" si="29"/>
        <v>34079</v>
      </c>
      <c r="E46" s="1084">
        <f t="shared" si="29"/>
        <v>32014</v>
      </c>
      <c r="F46" s="1084">
        <f t="shared" si="29"/>
        <v>32291</v>
      </c>
      <c r="G46" s="1084">
        <f t="shared" si="29"/>
        <v>31957</v>
      </c>
      <c r="H46" s="1084">
        <f t="shared" si="29"/>
        <v>28024</v>
      </c>
      <c r="I46" s="1409">
        <f t="shared" si="29"/>
        <v>25721.004962341696</v>
      </c>
      <c r="J46" s="1084">
        <f t="shared" si="29"/>
        <v>23295.452473059438</v>
      </c>
      <c r="K46" s="1084">
        <f t="shared" si="29"/>
        <v>24164.84813512857</v>
      </c>
      <c r="L46" s="1084">
        <f t="shared" si="29"/>
        <v>24813.562051929996</v>
      </c>
      <c r="M46" s="1084">
        <f t="shared" si="29"/>
        <v>23635.640413815549</v>
      </c>
      <c r="N46" s="1084">
        <f t="shared" si="29"/>
        <v>18547.204470220597</v>
      </c>
      <c r="O46" s="1409">
        <f t="shared" si="29"/>
        <v>16813.201778668423</v>
      </c>
      <c r="P46" s="1084">
        <f t="shared" si="29"/>
        <v>17603.541000354224</v>
      </c>
      <c r="Q46" s="1084">
        <f t="shared" si="29"/>
        <v>16289.504549991174</v>
      </c>
      <c r="R46" s="1084">
        <f t="shared" si="29"/>
        <v>16713.82567803713</v>
      </c>
      <c r="S46" s="1084">
        <f t="shared" si="29"/>
        <v>16584.020092115727</v>
      </c>
      <c r="T46" s="1084">
        <f t="shared" si="29"/>
        <v>16900.508071359585</v>
      </c>
      <c r="U46" s="1084">
        <f t="shared" si="29"/>
        <v>15837.690032289745</v>
      </c>
      <c r="V46" s="1084">
        <f t="shared" si="29"/>
        <v>15524.902190654808</v>
      </c>
      <c r="W46" s="1084">
        <f t="shared" si="29"/>
        <v>14213.411149941905</v>
      </c>
      <c r="X46" s="1084">
        <f t="shared" si="29"/>
        <v>13856.031463503376</v>
      </c>
      <c r="Y46" s="1084">
        <f t="shared" si="29"/>
        <v>13150.94898779802</v>
      </c>
      <c r="Z46" s="1084">
        <f t="shared" si="29"/>
        <v>12508.47487607402</v>
      </c>
      <c r="AA46" s="1084">
        <f t="shared" si="29"/>
        <v>11799.777775913863</v>
      </c>
      <c r="AB46" s="1084">
        <f t="shared" si="29"/>
        <v>11026.996087401993</v>
      </c>
      <c r="AC46" s="1084">
        <f t="shared" si="29"/>
        <v>10261.50522101842</v>
      </c>
      <c r="AD46" s="1084">
        <f t="shared" si="29"/>
        <v>9627.7627358427271</v>
      </c>
      <c r="AE46" s="1084">
        <f t="shared" si="29"/>
        <v>9047.6297953372941</v>
      </c>
      <c r="AF46" s="1084">
        <f t="shared" si="29"/>
        <v>8586.959779814777</v>
      </c>
      <c r="AG46" s="1084">
        <f t="shared" si="29"/>
        <v>8162.2927964833525</v>
      </c>
      <c r="AH46" s="1084">
        <f t="shared" si="29"/>
        <v>7795.3836684626494</v>
      </c>
      <c r="AI46" s="1084">
        <f t="shared" si="29"/>
        <v>7466.0395912457379</v>
      </c>
      <c r="AJ46" s="1084">
        <f t="shared" si="29"/>
        <v>7269.6175749350859</v>
      </c>
      <c r="AK46" s="1084">
        <f t="shared" si="29"/>
        <v>7081.6376215370765</v>
      </c>
      <c r="AL46" s="1084">
        <f t="shared" si="29"/>
        <v>6902.4000367539165</v>
      </c>
      <c r="AM46" s="1084">
        <f t="shared" si="29"/>
        <v>6730.9096629536389</v>
      </c>
      <c r="AN46" s="1084">
        <f t="shared" si="29"/>
        <v>6567.281626203081</v>
      </c>
      <c r="AO46" s="1084">
        <f t="shared" si="29"/>
        <v>6410.7296534895968</v>
      </c>
      <c r="AP46" s="1085">
        <f t="shared" si="29"/>
        <v>6261.2631649207378</v>
      </c>
      <c r="AT46" s="1737"/>
      <c r="AU46" s="1427"/>
      <c r="AV46" s="1437">
        <f>AV47-0.005</f>
        <v>5.953753770746658E-2</v>
      </c>
      <c r="AW46" s="1426">
        <v>11.122816538610831</v>
      </c>
      <c r="AX46" s="1426">
        <v>11.119927626367412</v>
      </c>
      <c r="AY46" s="1426">
        <v>11.117038714123995</v>
      </c>
      <c r="AZ46" s="1426">
        <v>11.114149801880576</v>
      </c>
      <c r="BA46" s="1426">
        <v>11.111260889637158</v>
      </c>
      <c r="BB46" s="1426">
        <v>11.108371977393739</v>
      </c>
      <c r="BC46" s="1426">
        <v>11.105483065150322</v>
      </c>
      <c r="BD46" s="1426">
        <v>11.102594152906903</v>
      </c>
      <c r="BE46" s="1426">
        <v>11.099705240663486</v>
      </c>
      <c r="BF46" s="1426">
        <v>11.096816328420067</v>
      </c>
      <c r="BG46" s="1533">
        <v>11.093927416176649</v>
      </c>
      <c r="BH46" s="1426">
        <v>11.09103850393323</v>
      </c>
      <c r="BI46" s="1426">
        <v>11.088149591689813</v>
      </c>
      <c r="BJ46" s="1426">
        <v>11.085260679446394</v>
      </c>
      <c r="BK46" s="1426">
        <v>11.082371767202977</v>
      </c>
      <c r="BL46" s="1426">
        <v>11.079482854959558</v>
      </c>
      <c r="BM46" s="1426">
        <v>11.076593942716141</v>
      </c>
      <c r="BN46" s="1426">
        <v>11.073705030472722</v>
      </c>
      <c r="BO46" s="1426">
        <v>11.070816118229304</v>
      </c>
      <c r="BP46" s="1426">
        <v>11.067927205985885</v>
      </c>
      <c r="BQ46" s="1431">
        <v>11.065038293742468</v>
      </c>
    </row>
    <row r="47" spans="1:69" s="181" customFormat="1" x14ac:dyDescent="0.75">
      <c r="A47" s="179"/>
      <c r="B47" s="179"/>
      <c r="C47" s="179"/>
      <c r="D47" s="179"/>
      <c r="E47" s="179"/>
      <c r="F47" s="179"/>
      <c r="G47" s="179"/>
      <c r="H47" s="179"/>
      <c r="I47" s="179"/>
      <c r="Q47" s="182"/>
      <c r="R47" s="182"/>
      <c r="S47" s="179"/>
      <c r="T47" s="179"/>
      <c r="U47" s="179"/>
      <c r="AT47" s="1737"/>
      <c r="AU47" s="1427"/>
      <c r="AV47" s="1532">
        <v>6.4537537707466577E-2</v>
      </c>
      <c r="AW47" s="1533">
        <v>10.681670361476488</v>
      </c>
      <c r="AX47" s="1533">
        <v>10.67886907065677</v>
      </c>
      <c r="AY47" s="1533">
        <v>10.67606777983705</v>
      </c>
      <c r="AZ47" s="1533">
        <v>10.673266489017333</v>
      </c>
      <c r="BA47" s="1533">
        <v>10.670465198197615</v>
      </c>
      <c r="BB47" s="1533">
        <v>10.667663907377893</v>
      </c>
      <c r="BC47" s="1533">
        <v>10.664862616558176</v>
      </c>
      <c r="BD47" s="1533">
        <v>10.662061325738456</v>
      </c>
      <c r="BE47" s="1533">
        <v>10.659260034918736</v>
      </c>
      <c r="BF47" s="1533">
        <v>10.656458744099018</v>
      </c>
      <c r="BG47" s="1441">
        <v>10.653657453279301</v>
      </c>
      <c r="BH47" s="1533">
        <v>10.650856162459579</v>
      </c>
      <c r="BI47" s="1533">
        <v>10.648054871639861</v>
      </c>
      <c r="BJ47" s="1533">
        <v>10.645253580820143</v>
      </c>
      <c r="BK47" s="1533">
        <v>10.642452290000422</v>
      </c>
      <c r="BL47" s="1533">
        <v>10.639650999180704</v>
      </c>
      <c r="BM47" s="1533">
        <v>10.636849708360986</v>
      </c>
      <c r="BN47" s="1533">
        <v>10.634048417541267</v>
      </c>
      <c r="BO47" s="1533">
        <v>10.631247126721547</v>
      </c>
      <c r="BP47" s="1533">
        <v>10.628445835901831</v>
      </c>
      <c r="BQ47" s="1536">
        <v>10.625644545082109</v>
      </c>
    </row>
    <row r="48" spans="1:69" s="181" customFormat="1" ht="16.75" thickBot="1" x14ac:dyDescent="0.95">
      <c r="A48" s="89" t="s">
        <v>250</v>
      </c>
      <c r="B48" s="179"/>
      <c r="C48" s="179"/>
      <c r="D48" s="179"/>
      <c r="E48" s="179"/>
      <c r="F48" s="179"/>
      <c r="G48" s="179"/>
      <c r="H48" s="179"/>
      <c r="I48" s="179"/>
      <c r="Q48" s="182"/>
      <c r="R48" s="182"/>
      <c r="S48" s="179"/>
      <c r="T48" s="179"/>
      <c r="U48" s="179"/>
      <c r="AT48" s="1737"/>
      <c r="AU48" s="1427"/>
      <c r="AV48" s="1437">
        <f>AV47+0.005</f>
        <v>6.9537537707466582E-2</v>
      </c>
      <c r="AW48" s="1426">
        <v>10.294165103165264</v>
      </c>
      <c r="AX48" s="1426">
        <v>10.291448316364431</v>
      </c>
      <c r="AY48" s="1426">
        <v>10.288731529563595</v>
      </c>
      <c r="AZ48" s="1426">
        <v>10.286014742762761</v>
      </c>
      <c r="BA48" s="1426">
        <v>10.283297955961929</v>
      </c>
      <c r="BB48" s="1426">
        <v>10.280581169161096</v>
      </c>
      <c r="BC48" s="1426">
        <v>10.277864382360262</v>
      </c>
      <c r="BD48" s="1426">
        <v>10.275147595559426</v>
      </c>
      <c r="BE48" s="1426">
        <v>10.272430808758594</v>
      </c>
      <c r="BF48" s="1426">
        <v>10.269714021957761</v>
      </c>
      <c r="BG48" s="1533">
        <v>10.266997235156927</v>
      </c>
      <c r="BH48" s="1426">
        <v>10.264280448356091</v>
      </c>
      <c r="BI48" s="1426">
        <v>10.261563661555257</v>
      </c>
      <c r="BJ48" s="1426">
        <v>10.258846874754425</v>
      </c>
      <c r="BK48" s="1426">
        <v>10.256130087953592</v>
      </c>
      <c r="BL48" s="1426">
        <v>10.253413301152758</v>
      </c>
      <c r="BM48" s="1426">
        <v>10.250696514351922</v>
      </c>
      <c r="BN48" s="1426">
        <v>10.24797972755109</v>
      </c>
      <c r="BO48" s="1426">
        <v>10.245262940750257</v>
      </c>
      <c r="BP48" s="1426">
        <v>10.242546153949423</v>
      </c>
      <c r="BQ48" s="1431">
        <v>10.239829367148589</v>
      </c>
    </row>
    <row r="49" spans="1:69" x14ac:dyDescent="0.75">
      <c r="A49" s="1043" t="s">
        <v>251</v>
      </c>
      <c r="B49" s="1076"/>
      <c r="C49" s="1076">
        <v>96600</v>
      </c>
      <c r="D49" s="1076">
        <v>91800</v>
      </c>
      <c r="E49" s="1076">
        <v>86800</v>
      </c>
      <c r="F49" s="1076">
        <v>81800</v>
      </c>
      <c r="G49" s="1089">
        <v>77500</v>
      </c>
      <c r="H49" s="1089">
        <v>27800</v>
      </c>
      <c r="I49" s="1406"/>
      <c r="J49" s="1076"/>
      <c r="K49" s="1076"/>
      <c r="L49" s="1076"/>
      <c r="M49" s="1076"/>
      <c r="N49" s="1076"/>
      <c r="O49" s="1406"/>
      <c r="P49" s="1076"/>
      <c r="Q49" s="1076"/>
      <c r="R49" s="1076"/>
      <c r="S49" s="1076"/>
      <c r="T49" s="1076"/>
      <c r="U49" s="1076"/>
      <c r="V49" s="1076"/>
      <c r="W49" s="1076"/>
      <c r="X49" s="1076"/>
      <c r="Y49" s="1076"/>
      <c r="Z49" s="1076"/>
      <c r="AA49" s="1076"/>
      <c r="AB49" s="1076"/>
      <c r="AC49" s="1076"/>
      <c r="AD49" s="1076"/>
      <c r="AE49" s="1076"/>
      <c r="AF49" s="1076"/>
      <c r="AG49" s="1076"/>
      <c r="AH49" s="1076"/>
      <c r="AI49" s="1076"/>
      <c r="AJ49" s="1076"/>
      <c r="AK49" s="1076"/>
      <c r="AL49" s="1076"/>
      <c r="AM49" s="1076"/>
      <c r="AN49" s="1076"/>
      <c r="AO49" s="1076"/>
      <c r="AP49" s="1077"/>
      <c r="AT49" s="1737"/>
      <c r="AU49" s="1427"/>
      <c r="AV49" s="1437">
        <f t="shared" ref="AV49:AV53" si="30">AV48+0.005</f>
        <v>7.4537537707466586E-2</v>
      </c>
      <c r="AW49" s="1426">
        <v>9.951806268239439</v>
      </c>
      <c r="AX49" s="1426">
        <v>9.9491709947303413</v>
      </c>
      <c r="AY49" s="1426">
        <v>9.9465357212212453</v>
      </c>
      <c r="AZ49" s="1426">
        <v>9.9439004477121493</v>
      </c>
      <c r="BA49" s="1426">
        <v>9.9412651742030533</v>
      </c>
      <c r="BB49" s="1426">
        <v>9.9386299006939574</v>
      </c>
      <c r="BC49" s="1426">
        <v>9.9359946271848596</v>
      </c>
      <c r="BD49" s="1426">
        <v>9.9333593536757636</v>
      </c>
      <c r="BE49" s="1426">
        <v>9.9307240801666676</v>
      </c>
      <c r="BF49" s="1426">
        <v>9.9280888066575717</v>
      </c>
      <c r="BG49" s="1533">
        <v>9.9254535331484757</v>
      </c>
      <c r="BH49" s="1426">
        <v>9.9228182596393779</v>
      </c>
      <c r="BI49" s="1426">
        <v>9.9201829861302819</v>
      </c>
      <c r="BJ49" s="1426">
        <v>9.917547712621186</v>
      </c>
      <c r="BK49" s="1426">
        <v>9.91491243911209</v>
      </c>
      <c r="BL49" s="1426">
        <v>9.9122771656029922</v>
      </c>
      <c r="BM49" s="1426">
        <v>9.909641892093898</v>
      </c>
      <c r="BN49" s="1426">
        <v>9.907006618584802</v>
      </c>
      <c r="BO49" s="1426">
        <v>9.9043713450757043</v>
      </c>
      <c r="BP49" s="1426">
        <v>9.9017360715666101</v>
      </c>
      <c r="BQ49" s="1431">
        <v>9.8991007980575123</v>
      </c>
    </row>
    <row r="50" spans="1:69" x14ac:dyDescent="0.75">
      <c r="A50" s="1032" t="s">
        <v>436</v>
      </c>
      <c r="B50" s="1079"/>
      <c r="C50" s="1079">
        <v>12</v>
      </c>
      <c r="D50" s="1079">
        <v>11</v>
      </c>
      <c r="E50" s="1079">
        <v>10</v>
      </c>
      <c r="F50" s="1079">
        <v>9</v>
      </c>
      <c r="G50" s="1079">
        <v>8</v>
      </c>
      <c r="H50" s="1079">
        <v>7</v>
      </c>
      <c r="I50" s="1407"/>
      <c r="J50" s="1079"/>
      <c r="K50" s="1079"/>
      <c r="L50" s="1079"/>
      <c r="M50" s="1079"/>
      <c r="N50" s="1079"/>
      <c r="O50" s="1407"/>
      <c r="P50" s="1079"/>
      <c r="Q50" s="1079"/>
      <c r="R50" s="1079"/>
      <c r="S50" s="1079"/>
      <c r="T50" s="1079"/>
      <c r="U50" s="1079"/>
      <c r="V50" s="1079"/>
      <c r="W50" s="1079"/>
      <c r="X50" s="1079"/>
      <c r="Y50" s="1079"/>
      <c r="Z50" s="1079"/>
      <c r="AA50" s="1079"/>
      <c r="AB50" s="1079"/>
      <c r="AC50" s="1079"/>
      <c r="AD50" s="1079"/>
      <c r="AE50" s="1079"/>
      <c r="AF50" s="1079"/>
      <c r="AG50" s="1079"/>
      <c r="AH50" s="1079"/>
      <c r="AI50" s="1079"/>
      <c r="AJ50" s="1079"/>
      <c r="AK50" s="1079"/>
      <c r="AL50" s="1079"/>
      <c r="AM50" s="1079"/>
      <c r="AN50" s="1079"/>
      <c r="AO50" s="1079"/>
      <c r="AP50" s="1080"/>
      <c r="AT50" s="1737"/>
      <c r="AU50" s="1427"/>
      <c r="AV50" s="1437">
        <f t="shared" si="30"/>
        <v>7.9537537707466591E-2</v>
      </c>
      <c r="AW50" s="1426">
        <v>9.6477474641153087</v>
      </c>
      <c r="AX50" s="1426">
        <v>9.6451908340801307</v>
      </c>
      <c r="AY50" s="1426">
        <v>9.6426342040449544</v>
      </c>
      <c r="AZ50" s="1426">
        <v>9.6400775740097764</v>
      </c>
      <c r="BA50" s="1426">
        <v>9.6375209439745984</v>
      </c>
      <c r="BB50" s="1426">
        <v>9.6349643139394203</v>
      </c>
      <c r="BC50" s="1426">
        <v>9.6324076839042423</v>
      </c>
      <c r="BD50" s="1426">
        <v>9.6298510538690643</v>
      </c>
      <c r="BE50" s="1426">
        <v>9.627294423833888</v>
      </c>
      <c r="BF50" s="1426">
        <v>9.62473779379871</v>
      </c>
      <c r="BG50" s="1533">
        <v>9.6221811637635319</v>
      </c>
      <c r="BH50" s="1426">
        <v>9.6196245337283521</v>
      </c>
      <c r="BI50" s="1426">
        <v>9.6170679036931759</v>
      </c>
      <c r="BJ50" s="1426">
        <v>9.6145112736579996</v>
      </c>
      <c r="BK50" s="1426">
        <v>9.6119546436228198</v>
      </c>
      <c r="BL50" s="1426">
        <v>9.6093980135876418</v>
      </c>
      <c r="BM50" s="1426">
        <v>9.6068413835524638</v>
      </c>
      <c r="BN50" s="1426">
        <v>9.6042847535172875</v>
      </c>
      <c r="BO50" s="1426">
        <v>9.6017281234821095</v>
      </c>
      <c r="BP50" s="1426">
        <v>9.5991714934469314</v>
      </c>
      <c r="BQ50" s="1431">
        <v>9.5966148634117534</v>
      </c>
    </row>
    <row r="51" spans="1:69" x14ac:dyDescent="0.75">
      <c r="A51" s="1032" t="s">
        <v>252</v>
      </c>
      <c r="B51" s="1079"/>
      <c r="C51" s="1079">
        <v>11300</v>
      </c>
      <c r="D51" s="1079">
        <v>8100</v>
      </c>
      <c r="E51" s="1079">
        <v>10500</v>
      </c>
      <c r="F51" s="1079">
        <v>10600</v>
      </c>
      <c r="G51" s="1079">
        <v>9000</v>
      </c>
      <c r="H51" s="1079">
        <v>17100</v>
      </c>
      <c r="I51" s="1407"/>
      <c r="J51" s="1079"/>
      <c r="K51" s="1079"/>
      <c r="L51" s="1079"/>
      <c r="M51" s="1079"/>
      <c r="N51" s="1079"/>
      <c r="O51" s="1407"/>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c r="AO51" s="1079"/>
      <c r="AP51" s="1080"/>
      <c r="AT51" s="1737"/>
      <c r="AU51" s="1427"/>
      <c r="AV51" s="1437">
        <f t="shared" si="30"/>
        <v>8.4537537707466595E-2</v>
      </c>
      <c r="AW51" s="1426">
        <v>9.3764135527057473</v>
      </c>
      <c r="AX51" s="1426">
        <v>9.3739328117578289</v>
      </c>
      <c r="AY51" s="1426">
        <v>9.3714520708099105</v>
      </c>
      <c r="AZ51" s="1426">
        <v>9.3689713298619921</v>
      </c>
      <c r="BA51" s="1426">
        <v>9.3664905889140737</v>
      </c>
      <c r="BB51" s="1426">
        <v>9.3640098479661553</v>
      </c>
      <c r="BC51" s="1426">
        <v>9.3615291070182369</v>
      </c>
      <c r="BD51" s="1426">
        <v>9.3590483660703185</v>
      </c>
      <c r="BE51" s="1426">
        <v>9.3565676251224001</v>
      </c>
      <c r="BF51" s="1426">
        <v>9.3540868841744818</v>
      </c>
      <c r="BG51" s="1533">
        <v>9.3516061432265634</v>
      </c>
      <c r="BH51" s="1426">
        <v>9.3491254022786432</v>
      </c>
      <c r="BI51" s="1426">
        <v>9.3466446613307248</v>
      </c>
      <c r="BJ51" s="1426">
        <v>9.3441639203828064</v>
      </c>
      <c r="BK51" s="1426">
        <v>9.341683179434888</v>
      </c>
      <c r="BL51" s="1426">
        <v>9.3392024384869696</v>
      </c>
      <c r="BM51" s="1426">
        <v>9.3367216975390512</v>
      </c>
      <c r="BN51" s="1426">
        <v>9.3342409565911328</v>
      </c>
      <c r="BO51" s="1426">
        <v>9.3317602156432145</v>
      </c>
      <c r="BP51" s="1426">
        <v>9.3292794746952961</v>
      </c>
      <c r="BQ51" s="1431">
        <v>9.3267987337473777</v>
      </c>
    </row>
    <row r="52" spans="1:69" x14ac:dyDescent="0.75">
      <c r="A52" s="1032" t="s">
        <v>253</v>
      </c>
      <c r="B52" s="1079"/>
      <c r="C52" s="1079">
        <v>0</v>
      </c>
      <c r="D52" s="1079">
        <v>0</v>
      </c>
      <c r="E52" s="1079">
        <v>0</v>
      </c>
      <c r="F52" s="1079">
        <v>0</v>
      </c>
      <c r="G52" s="1079">
        <v>8900</v>
      </c>
      <c r="H52" s="1079">
        <v>13200</v>
      </c>
      <c r="I52" s="1407"/>
      <c r="J52" s="1079"/>
      <c r="K52" s="1079"/>
      <c r="L52" s="1079"/>
      <c r="M52" s="1079"/>
      <c r="N52" s="1079"/>
      <c r="O52" s="1407"/>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c r="AO52" s="1079"/>
      <c r="AP52" s="1080"/>
      <c r="AT52" s="1737"/>
      <c r="AU52" s="1427"/>
      <c r="AV52" s="1437">
        <f t="shared" si="30"/>
        <v>8.95375377074666E-2</v>
      </c>
      <c r="AW52" s="1426">
        <v>9.133222370700576</v>
      </c>
      <c r="AX52" s="1426">
        <v>9.1308148746804711</v>
      </c>
      <c r="AY52" s="1426">
        <v>9.1284073786603628</v>
      </c>
      <c r="AZ52" s="1426">
        <v>9.1259998826402544</v>
      </c>
      <c r="BA52" s="1426">
        <v>9.1235923866201478</v>
      </c>
      <c r="BB52" s="1426">
        <v>9.1211848906000412</v>
      </c>
      <c r="BC52" s="1426">
        <v>9.1187773945799329</v>
      </c>
      <c r="BD52" s="1426">
        <v>9.1163698985598263</v>
      </c>
      <c r="BE52" s="1426">
        <v>9.1139624025397197</v>
      </c>
      <c r="BF52" s="1426">
        <v>9.1115549065196113</v>
      </c>
      <c r="BG52" s="1533">
        <v>9.1091474104995047</v>
      </c>
      <c r="BH52" s="1426">
        <v>9.1067399144793963</v>
      </c>
      <c r="BI52" s="1426">
        <v>9.1043324184592898</v>
      </c>
      <c r="BJ52" s="1426">
        <v>9.1019249224391832</v>
      </c>
      <c r="BK52" s="1426">
        <v>9.0995174264190766</v>
      </c>
      <c r="BL52" s="1426">
        <v>9.0971099303989664</v>
      </c>
      <c r="BM52" s="1426">
        <v>9.0947024343788616</v>
      </c>
      <c r="BN52" s="1426">
        <v>9.092294938358755</v>
      </c>
      <c r="BO52" s="1426">
        <v>9.0898874423386467</v>
      </c>
      <c r="BP52" s="1426">
        <v>9.0874799463185401</v>
      </c>
      <c r="BQ52" s="1431">
        <v>9.0850724502984335</v>
      </c>
    </row>
    <row r="53" spans="1:69" ht="15.5" thickBot="1" x14ac:dyDescent="0.9">
      <c r="A53" s="1047" t="s">
        <v>254</v>
      </c>
      <c r="B53" s="1094">
        <v>99700</v>
      </c>
      <c r="C53" s="1094">
        <f>C49+C51-C52</f>
        <v>107900</v>
      </c>
      <c r="D53" s="1094">
        <f t="shared" ref="D53:H53" si="31">D49+D51-D52</f>
        <v>99900</v>
      </c>
      <c r="E53" s="1094">
        <f t="shared" si="31"/>
        <v>97300</v>
      </c>
      <c r="F53" s="1094">
        <f t="shared" si="31"/>
        <v>92400</v>
      </c>
      <c r="G53" s="1094">
        <f t="shared" si="31"/>
        <v>77600</v>
      </c>
      <c r="H53" s="1094">
        <f t="shared" si="31"/>
        <v>31700</v>
      </c>
      <c r="I53" s="1411">
        <f>H53-I41</f>
        <v>24987.235541190501</v>
      </c>
      <c r="J53" s="1094">
        <f t="shared" ref="J53:N53" si="32">I53-J41</f>
        <v>18274.471082381002</v>
      </c>
      <c r="K53" s="1094">
        <f t="shared" si="32"/>
        <v>11561.706623571505</v>
      </c>
      <c r="L53" s="1094">
        <f t="shared" si="32"/>
        <v>4848.9421647620075</v>
      </c>
      <c r="M53" s="1094">
        <f t="shared" si="32"/>
        <v>0</v>
      </c>
      <c r="N53" s="1094">
        <f t="shared" si="32"/>
        <v>0</v>
      </c>
      <c r="O53" s="1414"/>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1"/>
      <c r="AT53" s="1738"/>
      <c r="AU53" s="1432"/>
      <c r="AV53" s="1438">
        <f t="shared" si="30"/>
        <v>9.4537537707466604E-2</v>
      </c>
      <c r="AW53" s="1433">
        <v>8.9143762111841713</v>
      </c>
      <c r="AX53" s="1433">
        <v>8.9120394212149119</v>
      </c>
      <c r="AY53" s="1433">
        <v>8.9097026312456507</v>
      </c>
      <c r="AZ53" s="1433">
        <v>8.907365841276393</v>
      </c>
      <c r="BA53" s="1433">
        <v>8.9050290513071317</v>
      </c>
      <c r="BB53" s="1433">
        <v>8.9026922613378705</v>
      </c>
      <c r="BC53" s="1433">
        <v>8.9003554713686128</v>
      </c>
      <c r="BD53" s="1433">
        <v>8.8980186813993516</v>
      </c>
      <c r="BE53" s="1433">
        <v>8.8956818914300939</v>
      </c>
      <c r="BF53" s="1433">
        <v>8.8933451014608327</v>
      </c>
      <c r="BG53" s="1535">
        <v>8.891008311491575</v>
      </c>
      <c r="BH53" s="1433">
        <v>8.8886715215223138</v>
      </c>
      <c r="BI53" s="1433">
        <v>8.8863347315530525</v>
      </c>
      <c r="BJ53" s="1433">
        <v>8.8839979415837949</v>
      </c>
      <c r="BK53" s="1433">
        <v>8.8816611516145336</v>
      </c>
      <c r="BL53" s="1433">
        <v>8.8793243616452742</v>
      </c>
      <c r="BM53" s="1433">
        <v>8.8769875716760147</v>
      </c>
      <c r="BN53" s="1433">
        <v>8.8746507817067535</v>
      </c>
      <c r="BO53" s="1433">
        <v>8.872313991737494</v>
      </c>
      <c r="BP53" s="1433">
        <v>8.8699772017682346</v>
      </c>
      <c r="BQ53" s="1434">
        <v>8.8676404117989751</v>
      </c>
    </row>
    <row r="54" spans="1:69" ht="15.5" thickBot="1" x14ac:dyDescent="0.9">
      <c r="A54" s="1095" t="s">
        <v>255</v>
      </c>
      <c r="B54" s="1096">
        <v>13</v>
      </c>
      <c r="C54" s="1096">
        <f>C41</f>
        <v>21039</v>
      </c>
      <c r="D54" s="1096">
        <f t="shared" ref="D54:AP54" si="33">D41</f>
        <v>18469</v>
      </c>
      <c r="E54" s="1096">
        <f t="shared" si="33"/>
        <v>17261</v>
      </c>
      <c r="F54" s="1096">
        <f t="shared" si="33"/>
        <v>15216</v>
      </c>
      <c r="G54" s="1096">
        <f t="shared" si="33"/>
        <v>13993</v>
      </c>
      <c r="H54" s="1096">
        <f t="shared" si="33"/>
        <v>11675</v>
      </c>
      <c r="I54" s="1412">
        <v>0</v>
      </c>
      <c r="J54" s="1096">
        <f t="shared" si="33"/>
        <v>6712.7644588094972</v>
      </c>
      <c r="K54" s="1096">
        <f t="shared" si="33"/>
        <v>6712.7644588094972</v>
      </c>
      <c r="L54" s="1096">
        <f t="shared" si="33"/>
        <v>6712.7644588094972</v>
      </c>
      <c r="M54" s="1096">
        <f t="shared" si="33"/>
        <v>4848.9421647620075</v>
      </c>
      <c r="N54" s="1096">
        <f t="shared" si="33"/>
        <v>0</v>
      </c>
      <c r="O54" s="1415">
        <f t="shared" si="33"/>
        <v>0</v>
      </c>
      <c r="P54" s="1092">
        <f t="shared" si="33"/>
        <v>0</v>
      </c>
      <c r="Q54" s="1092">
        <f t="shared" si="33"/>
        <v>0</v>
      </c>
      <c r="R54" s="1092">
        <f t="shared" si="33"/>
        <v>0</v>
      </c>
      <c r="S54" s="1092">
        <f t="shared" si="33"/>
        <v>0</v>
      </c>
      <c r="T54" s="1092">
        <f t="shared" si="33"/>
        <v>0</v>
      </c>
      <c r="U54" s="1092">
        <f t="shared" si="33"/>
        <v>0</v>
      </c>
      <c r="V54" s="1092">
        <f t="shared" si="33"/>
        <v>0</v>
      </c>
      <c r="W54" s="1092">
        <f t="shared" si="33"/>
        <v>0</v>
      </c>
      <c r="X54" s="1092">
        <f t="shared" si="33"/>
        <v>0</v>
      </c>
      <c r="Y54" s="1092">
        <f t="shared" si="33"/>
        <v>0</v>
      </c>
      <c r="Z54" s="1092">
        <f t="shared" si="33"/>
        <v>0</v>
      </c>
      <c r="AA54" s="1092">
        <f t="shared" si="33"/>
        <v>0</v>
      </c>
      <c r="AB54" s="1092">
        <f t="shared" si="33"/>
        <v>0</v>
      </c>
      <c r="AC54" s="1092">
        <f t="shared" si="33"/>
        <v>0</v>
      </c>
      <c r="AD54" s="1092">
        <f t="shared" si="33"/>
        <v>0</v>
      </c>
      <c r="AE54" s="1092">
        <f t="shared" si="33"/>
        <v>0</v>
      </c>
      <c r="AF54" s="1092">
        <f t="shared" si="33"/>
        <v>0</v>
      </c>
      <c r="AG54" s="1092">
        <f t="shared" si="33"/>
        <v>0</v>
      </c>
      <c r="AH54" s="1092">
        <f t="shared" si="33"/>
        <v>0</v>
      </c>
      <c r="AI54" s="1092">
        <f t="shared" si="33"/>
        <v>0</v>
      </c>
      <c r="AJ54" s="1092">
        <f t="shared" si="33"/>
        <v>0</v>
      </c>
      <c r="AK54" s="1092">
        <f t="shared" si="33"/>
        <v>0</v>
      </c>
      <c r="AL54" s="1092">
        <f t="shared" si="33"/>
        <v>0</v>
      </c>
      <c r="AM54" s="1092">
        <f t="shared" si="33"/>
        <v>0</v>
      </c>
      <c r="AN54" s="1092">
        <f t="shared" si="33"/>
        <v>0</v>
      </c>
      <c r="AO54" s="1092">
        <f t="shared" si="33"/>
        <v>0</v>
      </c>
      <c r="AP54" s="1093">
        <f t="shared" si="33"/>
        <v>0</v>
      </c>
    </row>
    <row r="55" spans="1:69" x14ac:dyDescent="0.75">
      <c r="A55" s="1087" t="s">
        <v>256</v>
      </c>
      <c r="B55" s="1088">
        <v>9200</v>
      </c>
      <c r="C55" s="1088">
        <f t="shared" ref="C55:H55" si="34">C54/C53</f>
        <v>0.19498609823911028</v>
      </c>
      <c r="D55" s="1088">
        <f t="shared" si="34"/>
        <v>0.18487487487487486</v>
      </c>
      <c r="E55" s="1088">
        <f t="shared" si="34"/>
        <v>0.17739979445015416</v>
      </c>
      <c r="F55" s="1088">
        <f t="shared" si="34"/>
        <v>0.16467532467532467</v>
      </c>
      <c r="G55" s="1088">
        <f t="shared" si="34"/>
        <v>0.1803221649484536</v>
      </c>
      <c r="H55" s="1088">
        <f t="shared" si="34"/>
        <v>0.36829652996845424</v>
      </c>
      <c r="I55" s="1413"/>
      <c r="J55" s="1034"/>
      <c r="K55" s="1034"/>
      <c r="L55" s="1034"/>
      <c r="M55" s="1034"/>
      <c r="N55" s="1034"/>
      <c r="O55" s="1393"/>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8"/>
      <c r="AT55" s="1435" t="s">
        <v>715</v>
      </c>
      <c r="AU55" s="1030"/>
      <c r="AV55" s="1030"/>
      <c r="AW55" s="1030"/>
      <c r="AX55" s="1030"/>
      <c r="AY55" s="1030"/>
      <c r="AZ55" s="1030"/>
      <c r="BA55" s="1030"/>
      <c r="BB55" s="1030"/>
      <c r="BC55" s="1030"/>
      <c r="BD55" s="1030"/>
      <c r="BE55" s="1030"/>
      <c r="BF55" s="1030"/>
      <c r="BG55" s="1030"/>
      <c r="BH55" s="1030"/>
      <c r="BI55" s="1030"/>
      <c r="BJ55" s="1030"/>
      <c r="BK55" s="1030"/>
      <c r="BL55" s="1030"/>
      <c r="BM55" s="1030"/>
      <c r="BN55" s="1030"/>
      <c r="BO55" s="1030"/>
      <c r="BP55" s="1030"/>
      <c r="BQ55" s="1037"/>
    </row>
    <row r="56" spans="1:69" ht="15.5" thickBot="1" x14ac:dyDescent="0.9">
      <c r="A56" s="1050" t="s">
        <v>257</v>
      </c>
      <c r="B56" s="1097">
        <v>0</v>
      </c>
      <c r="C56" s="1097"/>
      <c r="D56" s="1097"/>
      <c r="E56" s="1097"/>
      <c r="F56" s="1097"/>
      <c r="G56" s="1097"/>
      <c r="H56" s="1097"/>
      <c r="I56" s="1405">
        <f>AVERAGE(C55:H55)</f>
        <v>0.21175913119272863</v>
      </c>
      <c r="J56" s="1072">
        <f>I56</f>
        <v>0.21175913119272863</v>
      </c>
      <c r="K56" s="1072">
        <f>J56</f>
        <v>0.21175913119272863</v>
      </c>
      <c r="L56" s="1072">
        <f>K56</f>
        <v>0.21175913119272863</v>
      </c>
      <c r="M56" s="1072">
        <v>0</v>
      </c>
      <c r="N56" s="1072">
        <v>0</v>
      </c>
      <c r="O56" s="1405">
        <v>0</v>
      </c>
      <c r="P56" s="1072">
        <v>0</v>
      </c>
      <c r="Q56" s="1072">
        <v>0</v>
      </c>
      <c r="R56" s="1072">
        <v>0</v>
      </c>
      <c r="S56" s="1072">
        <v>0</v>
      </c>
      <c r="T56" s="1072">
        <v>0</v>
      </c>
      <c r="U56" s="1072">
        <v>0</v>
      </c>
      <c r="V56" s="1072">
        <v>0</v>
      </c>
      <c r="W56" s="1072">
        <v>0</v>
      </c>
      <c r="X56" s="1072">
        <v>0</v>
      </c>
      <c r="Y56" s="1072">
        <v>0</v>
      </c>
      <c r="Z56" s="1072">
        <v>0</v>
      </c>
      <c r="AA56" s="1072">
        <v>0</v>
      </c>
      <c r="AB56" s="1072">
        <v>0</v>
      </c>
      <c r="AC56" s="1072">
        <v>0</v>
      </c>
      <c r="AD56" s="1072">
        <v>0</v>
      </c>
      <c r="AE56" s="1072">
        <v>0</v>
      </c>
      <c r="AF56" s="1072">
        <v>0</v>
      </c>
      <c r="AG56" s="1072">
        <v>0</v>
      </c>
      <c r="AH56" s="1072">
        <v>0</v>
      </c>
      <c r="AI56" s="1072">
        <v>0</v>
      </c>
      <c r="AJ56" s="1072">
        <v>0</v>
      </c>
      <c r="AK56" s="1072">
        <v>0</v>
      </c>
      <c r="AL56" s="1072">
        <v>0</v>
      </c>
      <c r="AM56" s="1072">
        <v>0</v>
      </c>
      <c r="AN56" s="1072">
        <v>0</v>
      </c>
      <c r="AO56" s="1072">
        <v>0</v>
      </c>
      <c r="AP56" s="1073">
        <v>0</v>
      </c>
      <c r="AT56" s="1429"/>
      <c r="AU56" s="1425"/>
      <c r="AV56" s="1733" t="s">
        <v>714</v>
      </c>
      <c r="AW56" s="1733"/>
      <c r="AX56" s="1733"/>
      <c r="AY56" s="1733"/>
      <c r="AZ56" s="1733"/>
      <c r="BA56" s="1733"/>
      <c r="BB56" s="1733"/>
      <c r="BC56" s="1733"/>
      <c r="BD56" s="1733"/>
      <c r="BE56" s="1733"/>
      <c r="BF56" s="1733"/>
      <c r="BG56" s="1733"/>
      <c r="BH56" s="1733"/>
      <c r="BI56" s="1733"/>
      <c r="BJ56" s="1733"/>
      <c r="BK56" s="1733"/>
      <c r="BL56" s="1733"/>
      <c r="BM56" s="1733"/>
      <c r="BN56" s="1733"/>
      <c r="BO56" s="1733"/>
      <c r="BP56" s="1733"/>
      <c r="BQ56" s="1734"/>
    </row>
    <row r="57" spans="1:69" x14ac:dyDescent="0.75">
      <c r="B57" s="179">
        <f t="shared" ref="B57" si="35">B53+B55-B56</f>
        <v>108900</v>
      </c>
      <c r="AT57" s="1429"/>
      <c r="AU57" s="1425"/>
      <c r="AV57" s="1731" t="s">
        <v>713</v>
      </c>
      <c r="AW57" s="1731"/>
      <c r="AX57" s="1731"/>
      <c r="AY57" s="1731"/>
      <c r="AZ57" s="1731"/>
      <c r="BA57" s="1731"/>
      <c r="BB57" s="1731"/>
      <c r="BC57" s="1731"/>
      <c r="BD57" s="1731"/>
      <c r="BE57" s="1731"/>
      <c r="BF57" s="1731"/>
      <c r="BG57" s="1731"/>
      <c r="BH57" s="1731"/>
      <c r="BI57" s="1731"/>
      <c r="BJ57" s="1731"/>
      <c r="BK57" s="1731"/>
      <c r="BL57" s="1731"/>
      <c r="BM57" s="1731"/>
      <c r="BN57" s="1731"/>
      <c r="BO57" s="1731"/>
      <c r="BP57" s="1731"/>
      <c r="BQ57" s="1732"/>
    </row>
    <row r="58" spans="1:69" s="181" customFormat="1" ht="16.75" thickBot="1" x14ac:dyDescent="0.95">
      <c r="A58" s="1115" t="s">
        <v>240</v>
      </c>
      <c r="B58" s="181">
        <f t="shared" ref="B58" si="36">B41</f>
        <v>24100</v>
      </c>
      <c r="AT58" s="1430"/>
      <c r="AU58" s="1034"/>
      <c r="AV58" s="1436">
        <f>'APV Valuation'!B36</f>
        <v>10.653657453279301</v>
      </c>
      <c r="AW58" s="1439">
        <f t="shared" ref="AW58:BE58" si="37">AX58-0.005</f>
        <v>0.29999999999999993</v>
      </c>
      <c r="AX58" s="1439">
        <f t="shared" si="37"/>
        <v>0.30499999999999994</v>
      </c>
      <c r="AY58" s="1439">
        <f t="shared" si="37"/>
        <v>0.30999999999999994</v>
      </c>
      <c r="AZ58" s="1439">
        <f t="shared" si="37"/>
        <v>0.31499999999999995</v>
      </c>
      <c r="BA58" s="1439">
        <f t="shared" si="37"/>
        <v>0.31999999999999995</v>
      </c>
      <c r="BB58" s="1439">
        <f t="shared" si="37"/>
        <v>0.32499999999999996</v>
      </c>
      <c r="BC58" s="1439">
        <f t="shared" si="37"/>
        <v>0.32999999999999996</v>
      </c>
      <c r="BD58" s="1439">
        <f t="shared" si="37"/>
        <v>0.33499999999999996</v>
      </c>
      <c r="BE58" s="1439">
        <f t="shared" si="37"/>
        <v>0.33999999999999997</v>
      </c>
      <c r="BF58" s="1439">
        <f>BG58-0.005</f>
        <v>0.34499999999999997</v>
      </c>
      <c r="BG58" s="1534">
        <v>0.35</v>
      </c>
      <c r="BH58" s="1439">
        <f>BG58+0.005</f>
        <v>0.35499999999999998</v>
      </c>
      <c r="BI58" s="1439">
        <f t="shared" ref="BI58:BQ58" si="38">BH58+0.005</f>
        <v>0.36</v>
      </c>
      <c r="BJ58" s="1439">
        <f t="shared" si="38"/>
        <v>0.36499999999999999</v>
      </c>
      <c r="BK58" s="1439">
        <f t="shared" si="38"/>
        <v>0.37</v>
      </c>
      <c r="BL58" s="1439">
        <f t="shared" si="38"/>
        <v>0.375</v>
      </c>
      <c r="BM58" s="1439">
        <f t="shared" si="38"/>
        <v>0.38</v>
      </c>
      <c r="BN58" s="1439">
        <f t="shared" si="38"/>
        <v>0.38500000000000001</v>
      </c>
      <c r="BO58" s="1439">
        <f t="shared" si="38"/>
        <v>0.39</v>
      </c>
      <c r="BP58" s="1439">
        <f t="shared" si="38"/>
        <v>0.39500000000000002</v>
      </c>
      <c r="BQ58" s="1440">
        <f t="shared" si="38"/>
        <v>0.4</v>
      </c>
    </row>
    <row r="59" spans="1:69" s="181" customFormat="1" x14ac:dyDescent="0.75">
      <c r="A59" s="1098" t="s">
        <v>258</v>
      </c>
      <c r="B59" s="1099">
        <f t="shared" ref="B59" si="39">B58/B57</f>
        <v>0.22130394857667585</v>
      </c>
      <c r="C59" s="1099">
        <f>C38/'Income Statement '!B4</f>
        <v>2.0940174469338487E-2</v>
      </c>
      <c r="D59" s="1099">
        <f>D38/'Income Statement '!C4</f>
        <v>1.7306877099161965E-2</v>
      </c>
      <c r="E59" s="1099">
        <f>E38/'Income Statement '!D4</f>
        <v>2.2334597555836493E-2</v>
      </c>
      <c r="F59" s="1099">
        <f>F38/'Income Statement '!E4</f>
        <v>1.8981357595218983E-2</v>
      </c>
      <c r="G59" s="1099">
        <f>G38/'Income Statement '!F4</f>
        <v>1.656595831353113E-2</v>
      </c>
      <c r="H59" s="1099">
        <f>H38/'Income Statement '!G4</f>
        <v>1.8971718961315727E-2</v>
      </c>
      <c r="I59" s="1416">
        <v>0.02</v>
      </c>
      <c r="J59" s="1100">
        <v>0.02</v>
      </c>
      <c r="K59" s="1100">
        <v>0.02</v>
      </c>
      <c r="L59" s="1100">
        <v>0.02</v>
      </c>
      <c r="M59" s="1100">
        <v>0.02</v>
      </c>
      <c r="N59" s="1100">
        <v>0.02</v>
      </c>
      <c r="O59" s="1416">
        <v>0.02</v>
      </c>
      <c r="P59" s="1100">
        <v>0.02</v>
      </c>
      <c r="Q59" s="1100">
        <v>0.02</v>
      </c>
      <c r="R59" s="1100">
        <v>0.02</v>
      </c>
      <c r="S59" s="1100">
        <v>0.02</v>
      </c>
      <c r="T59" s="1100">
        <v>0.02</v>
      </c>
      <c r="U59" s="1100">
        <v>0.02</v>
      </c>
      <c r="V59" s="1100">
        <v>0.02</v>
      </c>
      <c r="W59" s="1100">
        <v>0.02</v>
      </c>
      <c r="X59" s="1100">
        <v>0.02</v>
      </c>
      <c r="Y59" s="1100">
        <v>0.02</v>
      </c>
      <c r="Z59" s="1100">
        <v>0.02</v>
      </c>
      <c r="AA59" s="1100">
        <v>0.02</v>
      </c>
      <c r="AB59" s="1100">
        <v>0.02</v>
      </c>
      <c r="AC59" s="1100">
        <v>0.02</v>
      </c>
      <c r="AD59" s="1100">
        <v>0.02</v>
      </c>
      <c r="AE59" s="1100">
        <v>0.02</v>
      </c>
      <c r="AF59" s="1100">
        <v>0.02</v>
      </c>
      <c r="AG59" s="1100">
        <v>0.02</v>
      </c>
      <c r="AH59" s="1100">
        <v>0.02</v>
      </c>
      <c r="AI59" s="1100">
        <v>0.02</v>
      </c>
      <c r="AJ59" s="1100">
        <v>0.02</v>
      </c>
      <c r="AK59" s="1100">
        <v>0.02</v>
      </c>
      <c r="AL59" s="1100">
        <v>0.02</v>
      </c>
      <c r="AM59" s="1100">
        <v>0.02</v>
      </c>
      <c r="AN59" s="1100">
        <v>0.02</v>
      </c>
      <c r="AO59" s="1100">
        <v>0.02</v>
      </c>
      <c r="AP59" s="1101">
        <v>0.02</v>
      </c>
      <c r="AT59" s="1736" t="s">
        <v>712</v>
      </c>
      <c r="AU59" s="1428"/>
      <c r="AV59" s="1437">
        <f t="shared" ref="AV59:AV63" si="40">AV60-0.005</f>
        <v>3.4537537707466592E-2</v>
      </c>
      <c r="AW59" s="1426">
        <f t="dataTable" ref="AW59:BQ71" dt2D="1" dtr="1" r1="Q23" r2="AU23" ca="1"/>
        <v>14.72594883454013</v>
      </c>
      <c r="AX59" s="1426">
        <v>14.71328251645561</v>
      </c>
      <c r="AY59" s="1426">
        <v>14.700616224180346</v>
      </c>
      <c r="AZ59" s="1426">
        <v>14.68794995789016</v>
      </c>
      <c r="BA59" s="1426">
        <v>14.675283717762422</v>
      </c>
      <c r="BB59" s="1426">
        <v>14.66261750397619</v>
      </c>
      <c r="BC59" s="1426">
        <v>14.649951316712112</v>
      </c>
      <c r="BD59" s="1426">
        <v>14.637285156152505</v>
      </c>
      <c r="BE59" s="1426">
        <v>14.624619022481371</v>
      </c>
      <c r="BF59" s="1426">
        <v>14.611952915884395</v>
      </c>
      <c r="BG59" s="1533">
        <v>14.599286836548965</v>
      </c>
      <c r="BH59" s="1426">
        <v>14.586620784664241</v>
      </c>
      <c r="BI59" s="1426">
        <v>14.573954760421094</v>
      </c>
      <c r="BJ59" s="1426">
        <v>14.561288764012192</v>
      </c>
      <c r="BK59" s="1426">
        <v>14.54862279563198</v>
      </c>
      <c r="BL59" s="1426">
        <v>14.535956855476739</v>
      </c>
      <c r="BM59" s="1426">
        <v>14.523290943744602</v>
      </c>
      <c r="BN59" s="1426">
        <v>14.510625060635496</v>
      </c>
      <c r="BO59" s="1426">
        <v>14.497959206351293</v>
      </c>
      <c r="BP59" s="1426">
        <v>14.485293381095742</v>
      </c>
      <c r="BQ59" s="1431">
        <v>14.47262758507452</v>
      </c>
    </row>
    <row r="60" spans="1:69" s="181" customFormat="1" x14ac:dyDescent="0.75">
      <c r="A60" s="1102" t="s">
        <v>259</v>
      </c>
      <c r="B60" s="1103"/>
      <c r="C60" s="1103">
        <f>B39/'Balance Sheet '!B34</f>
        <v>7.4666527719883288E-2</v>
      </c>
      <c r="D60" s="1103">
        <f>C39/'Balance Sheet '!C34</f>
        <v>4.6735632439896216E-2</v>
      </c>
      <c r="E60" s="1103">
        <f>D39/'Balance Sheet '!D34</f>
        <v>4.7453297941603648E-2</v>
      </c>
      <c r="F60" s="1103">
        <f>E39/'Balance Sheet '!E34</f>
        <v>3.1061750333185249E-2</v>
      </c>
      <c r="G60" s="1103">
        <f>F39/'Balance Sheet '!F34</f>
        <v>4.2832742083826043E-2</v>
      </c>
      <c r="H60" s="1103">
        <f>G39/'Balance Sheet '!G34</f>
        <v>4.1344155753594687E-2</v>
      </c>
      <c r="I60" s="1417">
        <v>3.5000000000000003E-2</v>
      </c>
      <c r="J60" s="1104">
        <v>3.5000000000000003E-2</v>
      </c>
      <c r="K60" s="1104">
        <v>3.5000000000000003E-2</v>
      </c>
      <c r="L60" s="1104">
        <v>3.5000000000000003E-2</v>
      </c>
      <c r="M60" s="1104">
        <v>3.5000000000000003E-2</v>
      </c>
      <c r="N60" s="1104">
        <v>3.5000000000000003E-2</v>
      </c>
      <c r="O60" s="1417">
        <v>3.5000000000000003E-2</v>
      </c>
      <c r="P60" s="1104">
        <v>3.5000000000000003E-2</v>
      </c>
      <c r="Q60" s="1104">
        <v>3.5000000000000003E-2</v>
      </c>
      <c r="R60" s="1104">
        <v>3.5000000000000003E-2</v>
      </c>
      <c r="S60" s="1104">
        <v>3.5000000000000003E-2</v>
      </c>
      <c r="T60" s="1104">
        <v>3.5000000000000003E-2</v>
      </c>
      <c r="U60" s="1104">
        <v>3.5000000000000003E-2</v>
      </c>
      <c r="V60" s="1104">
        <v>3.5000000000000003E-2</v>
      </c>
      <c r="W60" s="1104">
        <v>3.5000000000000003E-2</v>
      </c>
      <c r="X60" s="1104">
        <v>3.5000000000000003E-2</v>
      </c>
      <c r="Y60" s="1104">
        <v>3.5000000000000003E-2</v>
      </c>
      <c r="Z60" s="1104">
        <v>3.5000000000000003E-2</v>
      </c>
      <c r="AA60" s="1104">
        <v>3.5000000000000003E-2</v>
      </c>
      <c r="AB60" s="1104">
        <v>3.5000000000000003E-2</v>
      </c>
      <c r="AC60" s="1104">
        <v>3.5000000000000003E-2</v>
      </c>
      <c r="AD60" s="1104">
        <v>3.5000000000000003E-2</v>
      </c>
      <c r="AE60" s="1104">
        <v>3.5000000000000003E-2</v>
      </c>
      <c r="AF60" s="1104">
        <v>3.5000000000000003E-2</v>
      </c>
      <c r="AG60" s="1104">
        <v>3.5000000000000003E-2</v>
      </c>
      <c r="AH60" s="1104">
        <v>3.5000000000000003E-2</v>
      </c>
      <c r="AI60" s="1104">
        <v>3.5000000000000003E-2</v>
      </c>
      <c r="AJ60" s="1104">
        <v>3.5000000000000003E-2</v>
      </c>
      <c r="AK60" s="1104">
        <v>3.5000000000000003E-2</v>
      </c>
      <c r="AL60" s="1104">
        <v>3.5000000000000003E-2</v>
      </c>
      <c r="AM60" s="1104">
        <v>3.5000000000000003E-2</v>
      </c>
      <c r="AN60" s="1104">
        <v>3.5000000000000003E-2</v>
      </c>
      <c r="AO60" s="1104">
        <v>3.5000000000000003E-2</v>
      </c>
      <c r="AP60" s="1105">
        <v>3.5000000000000003E-2</v>
      </c>
      <c r="AT60" s="1737"/>
      <c r="AU60" s="1427"/>
      <c r="AV60" s="1437">
        <f t="shared" si="40"/>
        <v>3.953753770746659E-2</v>
      </c>
      <c r="AW60" s="1426">
        <v>13.764224775419759</v>
      </c>
      <c r="AX60" s="1426">
        <v>13.75324500889276</v>
      </c>
      <c r="AY60" s="1426">
        <v>13.742265259746366</v>
      </c>
      <c r="AZ60" s="1426">
        <v>13.731285528098665</v>
      </c>
      <c r="BA60" s="1426">
        <v>13.720305814068771</v>
      </c>
      <c r="BB60" s="1426">
        <v>13.709326117776941</v>
      </c>
      <c r="BC60" s="1426">
        <v>13.69834643934449</v>
      </c>
      <c r="BD60" s="1426">
        <v>13.687366778893855</v>
      </c>
      <c r="BE60" s="1426">
        <v>13.6763871365486</v>
      </c>
      <c r="BF60" s="1426">
        <v>13.665407512433417</v>
      </c>
      <c r="BG60" s="1533">
        <v>13.654427906674131</v>
      </c>
      <c r="BH60" s="1426">
        <v>13.643448319397766</v>
      </c>
      <c r="BI60" s="1426">
        <v>13.632468750732487</v>
      </c>
      <c r="BJ60" s="1426">
        <v>13.621489200807659</v>
      </c>
      <c r="BK60" s="1426">
        <v>13.610509669753833</v>
      </c>
      <c r="BL60" s="1426">
        <v>13.599530157702803</v>
      </c>
      <c r="BM60" s="1426">
        <v>13.588550664787595</v>
      </c>
      <c r="BN60" s="1426">
        <v>13.577571191142434</v>
      </c>
      <c r="BO60" s="1426">
        <v>13.566591736902849</v>
      </c>
      <c r="BP60" s="1426">
        <v>13.555612302205628</v>
      </c>
      <c r="BQ60" s="1431">
        <v>13.544632887188845</v>
      </c>
    </row>
    <row r="61" spans="1:69" s="181" customFormat="1" x14ac:dyDescent="0.75">
      <c r="A61" s="1102" t="s">
        <v>260</v>
      </c>
      <c r="B61" s="1106"/>
      <c r="C61" s="1106">
        <f>B40/'Statement of Cash Flows '!B7</f>
        <v>9.186555180242538E-2</v>
      </c>
      <c r="D61" s="1106">
        <f>C40/'Statement of Cash Flows '!C7</f>
        <v>0.1482141531150219</v>
      </c>
      <c r="E61" s="1106">
        <f>D40/'Statement of Cash Flows '!D7</f>
        <v>0.24927953890489912</v>
      </c>
      <c r="F61" s="1106">
        <f>E40/'Statement of Cash Flows '!E7</f>
        <v>9.2084234276581745E-2</v>
      </c>
      <c r="G61" s="1106">
        <f>F40/'Statement of Cash Flows '!F7</f>
        <v>0.16654150540119</v>
      </c>
      <c r="H61" s="1106">
        <f>G40/'Statement of Cash Flows '!G7</f>
        <v>0.21107216937272011</v>
      </c>
      <c r="I61" s="1417">
        <f t="shared" ref="I61:AP61" si="41">0.19</f>
        <v>0.19</v>
      </c>
      <c r="J61" s="1104">
        <f t="shared" si="41"/>
        <v>0.19</v>
      </c>
      <c r="K61" s="1104">
        <f t="shared" si="41"/>
        <v>0.19</v>
      </c>
      <c r="L61" s="1104">
        <f t="shared" si="41"/>
        <v>0.19</v>
      </c>
      <c r="M61" s="1104">
        <f t="shared" si="41"/>
        <v>0.19</v>
      </c>
      <c r="N61" s="1104">
        <f t="shared" si="41"/>
        <v>0.19</v>
      </c>
      <c r="O61" s="1417">
        <f t="shared" si="41"/>
        <v>0.19</v>
      </c>
      <c r="P61" s="1104">
        <f t="shared" si="41"/>
        <v>0.19</v>
      </c>
      <c r="Q61" s="1104">
        <f t="shared" si="41"/>
        <v>0.19</v>
      </c>
      <c r="R61" s="1104">
        <f t="shared" si="41"/>
        <v>0.19</v>
      </c>
      <c r="S61" s="1104">
        <f t="shared" si="41"/>
        <v>0.19</v>
      </c>
      <c r="T61" s="1104">
        <f t="shared" si="41"/>
        <v>0.19</v>
      </c>
      <c r="U61" s="1104">
        <f t="shared" si="41"/>
        <v>0.19</v>
      </c>
      <c r="V61" s="1104">
        <f t="shared" si="41"/>
        <v>0.19</v>
      </c>
      <c r="W61" s="1104">
        <f t="shared" si="41"/>
        <v>0.19</v>
      </c>
      <c r="X61" s="1104">
        <f t="shared" si="41"/>
        <v>0.19</v>
      </c>
      <c r="Y61" s="1104">
        <f t="shared" si="41"/>
        <v>0.19</v>
      </c>
      <c r="Z61" s="1104">
        <f t="shared" si="41"/>
        <v>0.19</v>
      </c>
      <c r="AA61" s="1104">
        <f t="shared" si="41"/>
        <v>0.19</v>
      </c>
      <c r="AB61" s="1104">
        <f t="shared" si="41"/>
        <v>0.19</v>
      </c>
      <c r="AC61" s="1104">
        <f t="shared" si="41"/>
        <v>0.19</v>
      </c>
      <c r="AD61" s="1104">
        <f t="shared" si="41"/>
        <v>0.19</v>
      </c>
      <c r="AE61" s="1104">
        <f t="shared" si="41"/>
        <v>0.19</v>
      </c>
      <c r="AF61" s="1104">
        <f t="shared" si="41"/>
        <v>0.19</v>
      </c>
      <c r="AG61" s="1104">
        <f t="shared" si="41"/>
        <v>0.19</v>
      </c>
      <c r="AH61" s="1104">
        <f t="shared" si="41"/>
        <v>0.19</v>
      </c>
      <c r="AI61" s="1104">
        <f t="shared" si="41"/>
        <v>0.19</v>
      </c>
      <c r="AJ61" s="1104">
        <f t="shared" si="41"/>
        <v>0.19</v>
      </c>
      <c r="AK61" s="1104">
        <f t="shared" si="41"/>
        <v>0.19</v>
      </c>
      <c r="AL61" s="1104">
        <f t="shared" si="41"/>
        <v>0.19</v>
      </c>
      <c r="AM61" s="1104">
        <f t="shared" si="41"/>
        <v>0.19</v>
      </c>
      <c r="AN61" s="1104">
        <f t="shared" si="41"/>
        <v>0.19</v>
      </c>
      <c r="AO61" s="1104">
        <f t="shared" si="41"/>
        <v>0.19</v>
      </c>
      <c r="AP61" s="1105">
        <f t="shared" si="41"/>
        <v>0.19</v>
      </c>
      <c r="AT61" s="1737"/>
      <c r="AU61" s="1427"/>
      <c r="AV61" s="1437">
        <f t="shared" si="40"/>
        <v>4.4537537707466587E-2</v>
      </c>
      <c r="AW61" s="1426">
        <v>12.954338344718527</v>
      </c>
      <c r="AX61" s="1426">
        <v>12.94475475975811</v>
      </c>
      <c r="AY61" s="1426">
        <v>12.93517118672295</v>
      </c>
      <c r="AZ61" s="1426">
        <v>12.925587625693892</v>
      </c>
      <c r="BA61" s="1426">
        <v>12.916004076752467</v>
      </c>
      <c r="BB61" s="1426">
        <v>12.906420539980997</v>
      </c>
      <c r="BC61" s="1426">
        <v>12.896837015462525</v>
      </c>
      <c r="BD61" s="1426">
        <v>12.887253503280849</v>
      </c>
      <c r="BE61" s="1426">
        <v>12.877670003520549</v>
      </c>
      <c r="BF61" s="1426">
        <v>12.868086516266974</v>
      </c>
      <c r="BG61" s="1533">
        <v>12.858503041606243</v>
      </c>
      <c r="BH61" s="1426">
        <v>12.848919579625292</v>
      </c>
      <c r="BI61" s="1426">
        <v>12.839336130411835</v>
      </c>
      <c r="BJ61" s="1426">
        <v>12.829752694054415</v>
      </c>
      <c r="BK61" s="1426">
        <v>12.820169270642381</v>
      </c>
      <c r="BL61" s="1426">
        <v>12.810585860265924</v>
      </c>
      <c r="BM61" s="1426">
        <v>12.801002463016079</v>
      </c>
      <c r="BN61" s="1426">
        <v>12.791419078984703</v>
      </c>
      <c r="BO61" s="1426">
        <v>12.781835708264545</v>
      </c>
      <c r="BP61" s="1426">
        <v>12.772252350949206</v>
      </c>
      <c r="BQ61" s="1431">
        <v>12.762669007133171</v>
      </c>
    </row>
    <row r="62" spans="1:69" s="181" customFormat="1" x14ac:dyDescent="0.75">
      <c r="A62" s="1102" t="s">
        <v>261</v>
      </c>
      <c r="B62" s="1106"/>
      <c r="C62" s="1107">
        <f>C55</f>
        <v>0.19498609823911028</v>
      </c>
      <c r="D62" s="1107">
        <f t="shared" ref="D62:H62" si="42">D55</f>
        <v>0.18487487487487486</v>
      </c>
      <c r="E62" s="1107">
        <f t="shared" si="42"/>
        <v>0.17739979445015416</v>
      </c>
      <c r="F62" s="1107">
        <f t="shared" si="42"/>
        <v>0.16467532467532467</v>
      </c>
      <c r="G62" s="1107">
        <f t="shared" si="42"/>
        <v>0.1803221649484536</v>
      </c>
      <c r="H62" s="1107">
        <f t="shared" si="42"/>
        <v>0.36829652996845424</v>
      </c>
      <c r="I62" s="1417">
        <f>I56</f>
        <v>0.21175913119272863</v>
      </c>
      <c r="J62" s="1104">
        <f t="shared" ref="J62:AP62" si="43">J56</f>
        <v>0.21175913119272863</v>
      </c>
      <c r="K62" s="1104">
        <f t="shared" si="43"/>
        <v>0.21175913119272863</v>
      </c>
      <c r="L62" s="1104">
        <f t="shared" si="43"/>
        <v>0.21175913119272863</v>
      </c>
      <c r="M62" s="1104">
        <f t="shared" si="43"/>
        <v>0</v>
      </c>
      <c r="N62" s="1104">
        <f t="shared" si="43"/>
        <v>0</v>
      </c>
      <c r="O62" s="1417">
        <f t="shared" si="43"/>
        <v>0</v>
      </c>
      <c r="P62" s="1104">
        <f t="shared" si="43"/>
        <v>0</v>
      </c>
      <c r="Q62" s="1104">
        <f t="shared" si="43"/>
        <v>0</v>
      </c>
      <c r="R62" s="1104">
        <f t="shared" si="43"/>
        <v>0</v>
      </c>
      <c r="S62" s="1104">
        <f t="shared" si="43"/>
        <v>0</v>
      </c>
      <c r="T62" s="1104">
        <f t="shared" si="43"/>
        <v>0</v>
      </c>
      <c r="U62" s="1104">
        <f t="shared" si="43"/>
        <v>0</v>
      </c>
      <c r="V62" s="1104">
        <f t="shared" si="43"/>
        <v>0</v>
      </c>
      <c r="W62" s="1104">
        <f t="shared" si="43"/>
        <v>0</v>
      </c>
      <c r="X62" s="1104">
        <f t="shared" si="43"/>
        <v>0</v>
      </c>
      <c r="Y62" s="1104">
        <f t="shared" si="43"/>
        <v>0</v>
      </c>
      <c r="Z62" s="1104">
        <f t="shared" si="43"/>
        <v>0</v>
      </c>
      <c r="AA62" s="1104">
        <f t="shared" si="43"/>
        <v>0</v>
      </c>
      <c r="AB62" s="1104">
        <f t="shared" si="43"/>
        <v>0</v>
      </c>
      <c r="AC62" s="1104">
        <f t="shared" si="43"/>
        <v>0</v>
      </c>
      <c r="AD62" s="1104">
        <f t="shared" si="43"/>
        <v>0</v>
      </c>
      <c r="AE62" s="1104">
        <f t="shared" si="43"/>
        <v>0</v>
      </c>
      <c r="AF62" s="1104">
        <f t="shared" si="43"/>
        <v>0</v>
      </c>
      <c r="AG62" s="1104">
        <f t="shared" si="43"/>
        <v>0</v>
      </c>
      <c r="AH62" s="1104">
        <f t="shared" si="43"/>
        <v>0</v>
      </c>
      <c r="AI62" s="1104">
        <f t="shared" si="43"/>
        <v>0</v>
      </c>
      <c r="AJ62" s="1104">
        <f t="shared" si="43"/>
        <v>0</v>
      </c>
      <c r="AK62" s="1104">
        <f t="shared" si="43"/>
        <v>0</v>
      </c>
      <c r="AL62" s="1104">
        <f t="shared" si="43"/>
        <v>0</v>
      </c>
      <c r="AM62" s="1104">
        <f t="shared" si="43"/>
        <v>0</v>
      </c>
      <c r="AN62" s="1104">
        <f t="shared" si="43"/>
        <v>0</v>
      </c>
      <c r="AO62" s="1104">
        <f t="shared" si="43"/>
        <v>0</v>
      </c>
      <c r="AP62" s="1105">
        <f t="shared" si="43"/>
        <v>0</v>
      </c>
      <c r="AT62" s="1737"/>
      <c r="AU62" s="1427"/>
      <c r="AV62" s="1437">
        <f t="shared" si="40"/>
        <v>4.9537537707466585E-2</v>
      </c>
      <c r="AW62" s="1426">
        <v>12.26499214960579</v>
      </c>
      <c r="AX62" s="1426">
        <v>12.256575895476228</v>
      </c>
      <c r="AY62" s="1426">
        <v>12.248159649662423</v>
      </c>
      <c r="AZ62" s="1426">
        <v>12.239743412220632</v>
      </c>
      <c r="BA62" s="1426">
        <v>12.231327183207592</v>
      </c>
      <c r="BB62" s="1426">
        <v>12.222910962680595</v>
      </c>
      <c r="BC62" s="1426">
        <v>12.214494750697433</v>
      </c>
      <c r="BD62" s="1426">
        <v>12.206078547316409</v>
      </c>
      <c r="BE62" s="1426">
        <v>12.197662352596389</v>
      </c>
      <c r="BF62" s="1426">
        <v>12.189246166596751</v>
      </c>
      <c r="BG62" s="1533">
        <v>12.180829989377433</v>
      </c>
      <c r="BH62" s="1426">
        <v>12.172413820998919</v>
      </c>
      <c r="BI62" s="1426">
        <v>12.16399766152225</v>
      </c>
      <c r="BJ62" s="1426">
        <v>12.155581511009027</v>
      </c>
      <c r="BK62" s="1426">
        <v>12.147165369521414</v>
      </c>
      <c r="BL62" s="1426">
        <v>12.138749237122168</v>
      </c>
      <c r="BM62" s="1426">
        <v>12.130333113874633</v>
      </c>
      <c r="BN62" s="1426">
        <v>12.121916999842711</v>
      </c>
      <c r="BO62" s="1426">
        <v>12.113500895090931</v>
      </c>
      <c r="BP62" s="1426">
        <v>12.105084799684418</v>
      </c>
      <c r="BQ62" s="1431">
        <v>12.096668713688899</v>
      </c>
    </row>
    <row r="63" spans="1:69" s="181" customFormat="1" x14ac:dyDescent="0.75">
      <c r="A63" s="1102" t="s">
        <v>405</v>
      </c>
      <c r="B63" s="1107"/>
      <c r="C63" s="1107">
        <f>C42/'Income Statement '!B4</f>
        <v>8.2142080473913553E-3</v>
      </c>
      <c r="D63" s="1107">
        <f>D42/'Income Statement '!C4</f>
        <v>1.0043369093814198E-2</v>
      </c>
      <c r="E63" s="1107">
        <f>E42/'Income Statement '!D4</f>
        <v>1.582420878956052E-2</v>
      </c>
      <c r="F63" s="1107">
        <f>F42/'Income Statement '!E4</f>
        <v>1.4203312223114203E-2</v>
      </c>
      <c r="G63" s="1107">
        <f>G42/'Income Statement '!F4</f>
        <v>1.4673802347926451E-2</v>
      </c>
      <c r="H63" s="1107">
        <f>H42/'Income Statement '!G4</f>
        <v>1.6071422941972013E-2</v>
      </c>
      <c r="I63" s="1417">
        <v>1.32E-2</v>
      </c>
      <c r="J63" s="1104">
        <v>1.32E-2</v>
      </c>
      <c r="K63" s="1104">
        <v>1.32E-2</v>
      </c>
      <c r="L63" s="1104">
        <v>1.32E-2</v>
      </c>
      <c r="M63" s="1104">
        <v>1.32E-2</v>
      </c>
      <c r="N63" s="1104">
        <v>1.32E-2</v>
      </c>
      <c r="O63" s="1417">
        <v>1.32E-2</v>
      </c>
      <c r="P63" s="1104">
        <v>1.32E-2</v>
      </c>
      <c r="Q63" s="1104">
        <v>1.32E-2</v>
      </c>
      <c r="R63" s="1104">
        <v>1.32E-2</v>
      </c>
      <c r="S63" s="1104">
        <v>1.32E-2</v>
      </c>
      <c r="T63" s="1104">
        <v>1.32E-2</v>
      </c>
      <c r="U63" s="1104">
        <v>1.32E-2</v>
      </c>
      <c r="V63" s="1104">
        <v>1.32E-2</v>
      </c>
      <c r="W63" s="1104">
        <v>1.32E-2</v>
      </c>
      <c r="X63" s="1104">
        <v>1.32E-2</v>
      </c>
      <c r="Y63" s="1104">
        <v>1.32E-2</v>
      </c>
      <c r="Z63" s="1104">
        <v>1.32E-2</v>
      </c>
      <c r="AA63" s="1104">
        <v>1.32E-2</v>
      </c>
      <c r="AB63" s="1104">
        <v>1.32E-2</v>
      </c>
      <c r="AC63" s="1104">
        <v>1.32E-2</v>
      </c>
      <c r="AD63" s="1104">
        <v>1.32E-2</v>
      </c>
      <c r="AE63" s="1104">
        <v>1.32E-2</v>
      </c>
      <c r="AF63" s="1104">
        <v>1.32E-2</v>
      </c>
      <c r="AG63" s="1104">
        <v>1.32E-2</v>
      </c>
      <c r="AH63" s="1104">
        <v>1.32E-2</v>
      </c>
      <c r="AI63" s="1104">
        <v>1.32E-2</v>
      </c>
      <c r="AJ63" s="1104">
        <v>1.32E-2</v>
      </c>
      <c r="AK63" s="1104">
        <v>1.32E-2</v>
      </c>
      <c r="AL63" s="1104">
        <v>1.32E-2</v>
      </c>
      <c r="AM63" s="1104">
        <v>1.32E-2</v>
      </c>
      <c r="AN63" s="1104">
        <v>1.32E-2</v>
      </c>
      <c r="AO63" s="1104">
        <v>1.32E-2</v>
      </c>
      <c r="AP63" s="1105">
        <v>1.32E-2</v>
      </c>
      <c r="AT63" s="1737"/>
      <c r="AU63" s="1427"/>
      <c r="AV63" s="1437">
        <f t="shared" si="40"/>
        <v>5.4537537707466582E-2</v>
      </c>
      <c r="AW63" s="1426">
        <v>11.672784094242619</v>
      </c>
      <c r="AX63" s="1426">
        <v>11.665352364856888</v>
      </c>
      <c r="AY63" s="1426">
        <v>11.657920641352725</v>
      </c>
      <c r="AZ63" s="1426">
        <v>11.650488923769858</v>
      </c>
      <c r="BA63" s="1426">
        <v>11.64305721214834</v>
      </c>
      <c r="BB63" s="1426">
        <v>11.635625506528623</v>
      </c>
      <c r="BC63" s="1426">
        <v>11.628193806951499</v>
      </c>
      <c r="BD63" s="1426">
        <v>11.620762113458145</v>
      </c>
      <c r="BE63" s="1426">
        <v>11.61333042609011</v>
      </c>
      <c r="BF63" s="1426">
        <v>11.605898744889318</v>
      </c>
      <c r="BG63" s="1533">
        <v>11.598467069898074</v>
      </c>
      <c r="BH63" s="1426">
        <v>11.591035401159088</v>
      </c>
      <c r="BI63" s="1426">
        <v>11.583603738715441</v>
      </c>
      <c r="BJ63" s="1426">
        <v>11.576172082610627</v>
      </c>
      <c r="BK63" s="1426">
        <v>11.568740432888521</v>
      </c>
      <c r="BL63" s="1426">
        <v>11.561308789593435</v>
      </c>
      <c r="BM63" s="1426">
        <v>11.553877152770067</v>
      </c>
      <c r="BN63" s="1426">
        <v>11.546445522463534</v>
      </c>
      <c r="BO63" s="1426">
        <v>11.539013898719386</v>
      </c>
      <c r="BP63" s="1426">
        <v>11.531582281583583</v>
      </c>
      <c r="BQ63" s="1431">
        <v>11.524150671102534</v>
      </c>
    </row>
    <row r="64" spans="1:69" s="181" customFormat="1" x14ac:dyDescent="0.75">
      <c r="A64" s="1102" t="s">
        <v>262</v>
      </c>
      <c r="B64" s="1107"/>
      <c r="C64" s="1107">
        <f>C43/'Income Statement '!B4</f>
        <v>6.851596457760417E-3</v>
      </c>
      <c r="D64" s="1107">
        <f>D43/'Income Statement '!C4</f>
        <v>6.2499320659558048E-3</v>
      </c>
      <c r="E64" s="1107">
        <f>E43/'Income Statement '!D4</f>
        <v>8.5567150213917871E-3</v>
      </c>
      <c r="F64" s="1107">
        <f>F43/'Income Statement '!E4</f>
        <v>6.9485326911069489E-3</v>
      </c>
      <c r="G64" s="1107">
        <f>G43/'Income Statement '!F4</f>
        <v>7.0933709599813443E-3</v>
      </c>
      <c r="H64" s="1107">
        <f>H43/'Income Statement '!G4</f>
        <v>7.69208944260724E-3</v>
      </c>
      <c r="I64" s="1417">
        <v>7.1999999999999998E-3</v>
      </c>
      <c r="J64" s="1104">
        <v>7.1999999999999998E-3</v>
      </c>
      <c r="K64" s="1104">
        <v>7.1999999999999998E-3</v>
      </c>
      <c r="L64" s="1104">
        <v>7.1999999999999998E-3</v>
      </c>
      <c r="M64" s="1104">
        <v>7.1999999999999998E-3</v>
      </c>
      <c r="N64" s="1104">
        <v>7.1999999999999998E-3</v>
      </c>
      <c r="O64" s="1417">
        <v>7.1999999999999998E-3</v>
      </c>
      <c r="P64" s="1104">
        <v>7.1999999999999998E-3</v>
      </c>
      <c r="Q64" s="1104">
        <v>7.1999999999999998E-3</v>
      </c>
      <c r="R64" s="1104">
        <v>7.1999999999999998E-3</v>
      </c>
      <c r="S64" s="1104">
        <v>7.1999999999999998E-3</v>
      </c>
      <c r="T64" s="1104">
        <v>7.1999999999999998E-3</v>
      </c>
      <c r="U64" s="1104">
        <v>7.1999999999999998E-3</v>
      </c>
      <c r="V64" s="1104">
        <v>7.1999999999999998E-3</v>
      </c>
      <c r="W64" s="1104">
        <v>7.1999999999999998E-3</v>
      </c>
      <c r="X64" s="1104">
        <v>7.1999999999999998E-3</v>
      </c>
      <c r="Y64" s="1104">
        <v>7.1999999999999998E-3</v>
      </c>
      <c r="Z64" s="1104">
        <v>7.1999999999999998E-3</v>
      </c>
      <c r="AA64" s="1104">
        <v>7.1999999999999998E-3</v>
      </c>
      <c r="AB64" s="1104">
        <v>7.1999999999999998E-3</v>
      </c>
      <c r="AC64" s="1104">
        <v>7.1999999999999998E-3</v>
      </c>
      <c r="AD64" s="1104">
        <v>7.1999999999999998E-3</v>
      </c>
      <c r="AE64" s="1104">
        <v>7.1999999999999998E-3</v>
      </c>
      <c r="AF64" s="1104">
        <v>7.1999999999999998E-3</v>
      </c>
      <c r="AG64" s="1104">
        <v>7.1999999999999998E-3</v>
      </c>
      <c r="AH64" s="1104">
        <v>7.1999999999999998E-3</v>
      </c>
      <c r="AI64" s="1104">
        <v>7.1999999999999998E-3</v>
      </c>
      <c r="AJ64" s="1104">
        <v>7.1999999999999998E-3</v>
      </c>
      <c r="AK64" s="1104">
        <v>7.1999999999999998E-3</v>
      </c>
      <c r="AL64" s="1104">
        <v>7.1999999999999998E-3</v>
      </c>
      <c r="AM64" s="1104">
        <v>7.1999999999999998E-3</v>
      </c>
      <c r="AN64" s="1104">
        <v>7.1999999999999998E-3</v>
      </c>
      <c r="AO64" s="1104">
        <v>7.1999999999999998E-3</v>
      </c>
      <c r="AP64" s="1105">
        <v>7.1999999999999998E-3</v>
      </c>
      <c r="AT64" s="1737"/>
      <c r="AU64" s="1427"/>
      <c r="AV64" s="1437">
        <f>AV65-0.005</f>
        <v>5.953753770746658E-2</v>
      </c>
      <c r="AW64" s="1426">
        <v>11.159876733230288</v>
      </c>
      <c r="AX64" s="1426">
        <v>11.153281782222916</v>
      </c>
      <c r="AY64" s="1426">
        <v>11.146686835427932</v>
      </c>
      <c r="AZ64" s="1426">
        <v>11.140091892873743</v>
      </c>
      <c r="BA64" s="1426">
        <v>11.133496954588999</v>
      </c>
      <c r="BB64" s="1426">
        <v>11.126902020602627</v>
      </c>
      <c r="BC64" s="1426">
        <v>11.120307090943784</v>
      </c>
      <c r="BD64" s="1426">
        <v>11.113712165641923</v>
      </c>
      <c r="BE64" s="1426">
        <v>11.10711724472675</v>
      </c>
      <c r="BF64" s="1426">
        <v>11.100522328228241</v>
      </c>
      <c r="BG64" s="1533">
        <v>11.093927416176649</v>
      </c>
      <c r="BH64" s="1426">
        <v>11.087332508602509</v>
      </c>
      <c r="BI64" s="1426">
        <v>11.080737605536626</v>
      </c>
      <c r="BJ64" s="1426">
        <v>11.074142707010092</v>
      </c>
      <c r="BK64" s="1426">
        <v>11.067547813054286</v>
      </c>
      <c r="BL64" s="1426">
        <v>11.06095292370088</v>
      </c>
      <c r="BM64" s="1426">
        <v>11.054358038981846</v>
      </c>
      <c r="BN64" s="1426">
        <v>11.047763158929422</v>
      </c>
      <c r="BO64" s="1426">
        <v>11.041168283576184</v>
      </c>
      <c r="BP64" s="1426">
        <v>11.034573412954988</v>
      </c>
      <c r="BQ64" s="1431">
        <v>11.027978547099007</v>
      </c>
    </row>
    <row r="65" spans="1:69" s="181" customFormat="1" x14ac:dyDescent="0.75">
      <c r="A65" s="1108" t="s">
        <v>247</v>
      </c>
      <c r="B65" s="1106"/>
      <c r="C65" s="1106"/>
      <c r="D65" s="1106"/>
      <c r="E65" s="1106"/>
      <c r="F65" s="1106"/>
      <c r="G65" s="1106"/>
      <c r="H65" s="1106"/>
      <c r="I65" s="1418"/>
      <c r="J65" s="1109"/>
      <c r="K65" s="1109"/>
      <c r="L65" s="1109"/>
      <c r="M65" s="1109"/>
      <c r="N65" s="1109"/>
      <c r="O65" s="1418"/>
      <c r="P65" s="1109"/>
      <c r="Q65" s="1109"/>
      <c r="R65" s="1109"/>
      <c r="S65" s="1109"/>
      <c r="T65" s="1109"/>
      <c r="U65" s="1109"/>
      <c r="V65" s="1109"/>
      <c r="W65" s="1109"/>
      <c r="X65" s="1109"/>
      <c r="Y65" s="1109"/>
      <c r="Z65" s="1109"/>
      <c r="AA65" s="1109"/>
      <c r="AB65" s="1109"/>
      <c r="AC65" s="1109"/>
      <c r="AD65" s="1109"/>
      <c r="AE65" s="1109"/>
      <c r="AF65" s="1109"/>
      <c r="AG65" s="1109"/>
      <c r="AH65" s="1109"/>
      <c r="AI65" s="1109"/>
      <c r="AJ65" s="1109"/>
      <c r="AK65" s="1109"/>
      <c r="AL65" s="1109"/>
      <c r="AM65" s="1109"/>
      <c r="AN65" s="1109"/>
      <c r="AO65" s="1109"/>
      <c r="AP65" s="1110"/>
      <c r="AT65" s="1737"/>
      <c r="AU65" s="1427"/>
      <c r="AV65" s="1532">
        <v>6.4537537707466577E-2</v>
      </c>
      <c r="AW65" s="1533">
        <v>10.712445519887204</v>
      </c>
      <c r="AX65" s="1533">
        <v>10.706566699247309</v>
      </c>
      <c r="AY65" s="1533">
        <v>10.700687881658231</v>
      </c>
      <c r="AZ65" s="1533">
        <v>10.694809067140518</v>
      </c>
      <c r="BA65" s="1533">
        <v>10.688930255714887</v>
      </c>
      <c r="BB65" s="1533">
        <v>10.683051447402255</v>
      </c>
      <c r="BC65" s="1533">
        <v>10.67717264222372</v>
      </c>
      <c r="BD65" s="1533">
        <v>10.671293840200573</v>
      </c>
      <c r="BE65" s="1533">
        <v>10.665415041354304</v>
      </c>
      <c r="BF65" s="1533">
        <v>10.659536245706587</v>
      </c>
      <c r="BG65" s="1441">
        <v>10.653657453279301</v>
      </c>
      <c r="BH65" s="1533">
        <v>10.647778664094533</v>
      </c>
      <c r="BI65" s="1533">
        <v>10.64189987817455</v>
      </c>
      <c r="BJ65" s="1533">
        <v>10.636021095541853</v>
      </c>
      <c r="BK65" s="1533">
        <v>10.630142316219116</v>
      </c>
      <c r="BL65" s="1533">
        <v>10.624263540229256</v>
      </c>
      <c r="BM65" s="1533">
        <v>10.618384767595378</v>
      </c>
      <c r="BN65" s="1533">
        <v>10.612505998340811</v>
      </c>
      <c r="BO65" s="1533">
        <v>10.606627232489101</v>
      </c>
      <c r="BP65" s="1533">
        <v>10.600748470064008</v>
      </c>
      <c r="BQ65" s="1536">
        <v>10.594869711089521</v>
      </c>
    </row>
    <row r="66" spans="1:69" s="181" customFormat="1" x14ac:dyDescent="0.75">
      <c r="A66" s="1111" t="s">
        <v>263</v>
      </c>
      <c r="B66" s="1106"/>
      <c r="C66" s="1106">
        <f>C45/'Income Statement '!B4</f>
        <v>-1.3427917846908523E-2</v>
      </c>
      <c r="D66" s="1106">
        <f>D45/'Income Statement '!C4</f>
        <v>-9.9428267084053432E-3</v>
      </c>
      <c r="E66" s="1106">
        <f>E45/'Income Statement '!D4</f>
        <v>-1.3510038783775097E-2</v>
      </c>
      <c r="F66" s="1106">
        <f>F45/'Income Statement '!E4</f>
        <v>-1.1506556061011506E-2</v>
      </c>
      <c r="G66" s="1106">
        <f>G45/'Income Statement '!F4</f>
        <v>-1.1518241150997588E-2</v>
      </c>
      <c r="H66" s="1106">
        <f>H45/'Income Statement '!G4</f>
        <v>-1.092655000331012E-2</v>
      </c>
      <c r="I66" s="1418">
        <v>-0.01</v>
      </c>
      <c r="J66" s="1109">
        <v>-0.01</v>
      </c>
      <c r="K66" s="1109">
        <v>-0.01</v>
      </c>
      <c r="L66" s="1109">
        <v>-0.01</v>
      </c>
      <c r="M66" s="1109">
        <v>-0.01</v>
      </c>
      <c r="N66" s="1109">
        <v>-0.01</v>
      </c>
      <c r="O66" s="1418">
        <v>-0.01</v>
      </c>
      <c r="P66" s="1109">
        <v>-0.01</v>
      </c>
      <c r="Q66" s="1109">
        <v>-0.01</v>
      </c>
      <c r="R66" s="1109">
        <v>-0.01</v>
      </c>
      <c r="S66" s="1109">
        <v>-0.01</v>
      </c>
      <c r="T66" s="1109">
        <v>-0.01</v>
      </c>
      <c r="U66" s="1109">
        <v>-0.01</v>
      </c>
      <c r="V66" s="1109">
        <v>-0.01</v>
      </c>
      <c r="W66" s="1109">
        <v>-0.01</v>
      </c>
      <c r="X66" s="1109">
        <v>-0.01</v>
      </c>
      <c r="Y66" s="1109">
        <v>-0.01</v>
      </c>
      <c r="Z66" s="1109">
        <v>-0.01</v>
      </c>
      <c r="AA66" s="1109">
        <v>-0.01</v>
      </c>
      <c r="AB66" s="1109">
        <v>-0.01</v>
      </c>
      <c r="AC66" s="1109">
        <v>-0.01</v>
      </c>
      <c r="AD66" s="1109">
        <v>-0.01</v>
      </c>
      <c r="AE66" s="1109">
        <v>-0.01</v>
      </c>
      <c r="AF66" s="1109">
        <v>-0.01</v>
      </c>
      <c r="AG66" s="1109">
        <v>-0.01</v>
      </c>
      <c r="AH66" s="1109">
        <v>-0.01</v>
      </c>
      <c r="AI66" s="1109">
        <v>-0.01</v>
      </c>
      <c r="AJ66" s="1109">
        <v>-0.01</v>
      </c>
      <c r="AK66" s="1109">
        <v>-0.01</v>
      </c>
      <c r="AL66" s="1109">
        <v>-0.01</v>
      </c>
      <c r="AM66" s="1109">
        <v>-0.01</v>
      </c>
      <c r="AN66" s="1109">
        <v>-0.01</v>
      </c>
      <c r="AO66" s="1109">
        <v>-0.01</v>
      </c>
      <c r="AP66" s="1110">
        <v>-0.01</v>
      </c>
      <c r="AT66" s="1737"/>
      <c r="AU66" s="1427"/>
      <c r="AV66" s="1437">
        <f>AV65+0.005</f>
        <v>6.9537537707466582E-2</v>
      </c>
      <c r="AW66" s="1426">
        <v>10.319618290523469</v>
      </c>
      <c r="AX66" s="1426">
        <v>10.314356174760624</v>
      </c>
      <c r="AY66" s="1426">
        <v>10.309094061229604</v>
      </c>
      <c r="AZ66" s="1426">
        <v>10.303831949945426</v>
      </c>
      <c r="BA66" s="1426">
        <v>10.298569840923225</v>
      </c>
      <c r="BB66" s="1426">
        <v>10.293307734178283</v>
      </c>
      <c r="BC66" s="1426">
        <v>10.288045629726014</v>
      </c>
      <c r="BD66" s="1426">
        <v>10.282783527581975</v>
      </c>
      <c r="BE66" s="1426">
        <v>10.277521427761863</v>
      </c>
      <c r="BF66" s="1426">
        <v>10.272259330281519</v>
      </c>
      <c r="BG66" s="1533">
        <v>10.266997235156927</v>
      </c>
      <c r="BH66" s="1426">
        <v>10.261735142404216</v>
      </c>
      <c r="BI66" s="1426">
        <v>10.256473052039665</v>
      </c>
      <c r="BJ66" s="1426">
        <v>10.251210964079698</v>
      </c>
      <c r="BK66" s="1426">
        <v>10.245948878540892</v>
      </c>
      <c r="BL66" s="1426">
        <v>10.240686795439983</v>
      </c>
      <c r="BM66" s="1426">
        <v>10.235424714793854</v>
      </c>
      <c r="BN66" s="1426">
        <v>10.230162636619545</v>
      </c>
      <c r="BO66" s="1426">
        <v>10.224900560934252</v>
      </c>
      <c r="BP66" s="1426">
        <v>10.219638487755342</v>
      </c>
      <c r="BQ66" s="1431">
        <v>10.214376417100334</v>
      </c>
    </row>
    <row r="67" spans="1:69" s="181" customFormat="1" ht="15.5" thickBot="1" x14ac:dyDescent="0.9">
      <c r="A67" s="1112" t="s">
        <v>249</v>
      </c>
      <c r="B67" s="1113"/>
      <c r="C67" s="1113"/>
      <c r="D67" s="1113"/>
      <c r="E67" s="1113"/>
      <c r="F67" s="1113"/>
      <c r="G67" s="1113"/>
      <c r="H67" s="1113"/>
      <c r="I67" s="1419"/>
      <c r="J67" s="1113"/>
      <c r="K67" s="1113"/>
      <c r="L67" s="1113"/>
      <c r="M67" s="1113"/>
      <c r="N67" s="1113"/>
      <c r="O67" s="1419"/>
      <c r="P67" s="1113"/>
      <c r="Q67" s="1113"/>
      <c r="R67" s="1113"/>
      <c r="S67" s="1113"/>
      <c r="T67" s="1113"/>
      <c r="U67" s="1113"/>
      <c r="V67" s="1113"/>
      <c r="W67" s="1113"/>
      <c r="X67" s="1113"/>
      <c r="Y67" s="1113"/>
      <c r="Z67" s="1113"/>
      <c r="AA67" s="1113"/>
      <c r="AB67" s="1113"/>
      <c r="AC67" s="1113"/>
      <c r="AD67" s="1113"/>
      <c r="AE67" s="1113"/>
      <c r="AF67" s="1113"/>
      <c r="AG67" s="1113"/>
      <c r="AH67" s="1113"/>
      <c r="AI67" s="1113"/>
      <c r="AJ67" s="1113"/>
      <c r="AK67" s="1113"/>
      <c r="AL67" s="1113"/>
      <c r="AM67" s="1113"/>
      <c r="AN67" s="1113"/>
      <c r="AO67" s="1113"/>
      <c r="AP67" s="1114"/>
      <c r="AT67" s="1737"/>
      <c r="AU67" s="1427"/>
      <c r="AV67" s="1437">
        <f t="shared" ref="AV67:AV71" si="44">AV66+0.005</f>
        <v>7.4537537707466586E-2</v>
      </c>
      <c r="AW67" s="1426">
        <v>9.972733663128249</v>
      </c>
      <c r="AX67" s="1426">
        <v>9.968005642581323</v>
      </c>
      <c r="AY67" s="1426">
        <v>9.9632776236819609</v>
      </c>
      <c r="AZ67" s="1426">
        <v>9.9585496064412347</v>
      </c>
      <c r="BA67" s="1426">
        <v>9.9538215908702998</v>
      </c>
      <c r="BB67" s="1426">
        <v>9.9490935769804256</v>
      </c>
      <c r="BC67" s="1426">
        <v>9.9443655647829843</v>
      </c>
      <c r="BD67" s="1426">
        <v>9.9396375542894368</v>
      </c>
      <c r="BE67" s="1426">
        <v>9.9349095455113705</v>
      </c>
      <c r="BF67" s="1426">
        <v>9.9301815384604524</v>
      </c>
      <c r="BG67" s="1533">
        <v>9.9254535331484757</v>
      </c>
      <c r="BH67" s="1426">
        <v>9.9207255295873331</v>
      </c>
      <c r="BI67" s="1426">
        <v>9.915997527789024</v>
      </c>
      <c r="BJ67" s="1426">
        <v>9.9112695277656613</v>
      </c>
      <c r="BK67" s="1426">
        <v>9.9065415295294645</v>
      </c>
      <c r="BL67" s="1426">
        <v>9.9018135330927723</v>
      </c>
      <c r="BM67" s="1426">
        <v>9.8970855384680387</v>
      </c>
      <c r="BN67" s="1426">
        <v>9.892357545667819</v>
      </c>
      <c r="BO67" s="1426">
        <v>9.8876295547047981</v>
      </c>
      <c r="BP67" s="1426">
        <v>9.8829015655917747</v>
      </c>
      <c r="BQ67" s="1431">
        <v>9.8781735783416664</v>
      </c>
    </row>
    <row r="68" spans="1:69" x14ac:dyDescent="0.75">
      <c r="B68" s="179"/>
      <c r="AT68" s="1737"/>
      <c r="AU68" s="1427"/>
      <c r="AV68" s="1437">
        <f t="shared" si="44"/>
        <v>7.9537537707466591E-2</v>
      </c>
      <c r="AW68" s="1426">
        <v>9.664811821797775</v>
      </c>
      <c r="AX68" s="1426">
        <v>9.660548750375618</v>
      </c>
      <c r="AY68" s="1426">
        <v>9.6562856801797796</v>
      </c>
      <c r="AZ68" s="1426">
        <v>9.6520226112184844</v>
      </c>
      <c r="BA68" s="1426">
        <v>9.647759543500035</v>
      </c>
      <c r="BB68" s="1426">
        <v>9.6434964770328051</v>
      </c>
      <c r="BC68" s="1426">
        <v>9.6392334118252521</v>
      </c>
      <c r="BD68" s="1426">
        <v>9.6349703478859041</v>
      </c>
      <c r="BE68" s="1426">
        <v>9.6307072852233642</v>
      </c>
      <c r="BF68" s="1426">
        <v>9.6264442238463204</v>
      </c>
      <c r="BG68" s="1533">
        <v>9.6221811637635319</v>
      </c>
      <c r="BH68" s="1426">
        <v>9.6179181049838434</v>
      </c>
      <c r="BI68" s="1426">
        <v>9.6136550475161791</v>
      </c>
      <c r="BJ68" s="1426">
        <v>9.6093919913695416</v>
      </c>
      <c r="BK68" s="1426">
        <v>9.6051289365530188</v>
      </c>
      <c r="BL68" s="1426">
        <v>9.6008658830757856</v>
      </c>
      <c r="BM68" s="1426">
        <v>9.596602830947095</v>
      </c>
      <c r="BN68" s="1426">
        <v>9.5923397801762889</v>
      </c>
      <c r="BO68" s="1426">
        <v>9.5880767307727925</v>
      </c>
      <c r="BP68" s="1426">
        <v>9.5838136827461238</v>
      </c>
      <c r="BQ68" s="1431">
        <v>9.5795506361058838</v>
      </c>
    </row>
    <row r="69" spans="1:69" x14ac:dyDescent="0.75">
      <c r="B69" s="179"/>
      <c r="AT69" s="1737"/>
      <c r="AU69" s="1427"/>
      <c r="AV69" s="1437">
        <f t="shared" si="44"/>
        <v>8.4537537707466595E-2</v>
      </c>
      <c r="AW69" s="1426">
        <v>9.3901699769861526</v>
      </c>
      <c r="AX69" s="1426">
        <v>9.3863135893965222</v>
      </c>
      <c r="AY69" s="1426">
        <v>9.3824572027265578</v>
      </c>
      <c r="AZ69" s="1426">
        <v>9.3786008169824306</v>
      </c>
      <c r="BA69" s="1426">
        <v>9.3747444321703615</v>
      </c>
      <c r="BB69" s="1426">
        <v>9.3708880482966208</v>
      </c>
      <c r="BC69" s="1426">
        <v>9.3670316653675449</v>
      </c>
      <c r="BD69" s="1426">
        <v>9.3631752833895252</v>
      </c>
      <c r="BE69" s="1426">
        <v>9.3593189023690098</v>
      </c>
      <c r="BF69" s="1426">
        <v>9.3554625223124965</v>
      </c>
      <c r="BG69" s="1533">
        <v>9.3516061432265634</v>
      </c>
      <c r="BH69" s="1426">
        <v>9.3477497651178272</v>
      </c>
      <c r="BI69" s="1426">
        <v>9.3438933879929742</v>
      </c>
      <c r="BJ69" s="1426">
        <v>9.3400370118587563</v>
      </c>
      <c r="BK69" s="1426">
        <v>9.3361806367219735</v>
      </c>
      <c r="BL69" s="1426">
        <v>9.332324262589502</v>
      </c>
      <c r="BM69" s="1426">
        <v>9.3284678894682784</v>
      </c>
      <c r="BN69" s="1426">
        <v>9.3246115173652946</v>
      </c>
      <c r="BO69" s="1426">
        <v>9.3207551462876186</v>
      </c>
      <c r="BP69" s="1426">
        <v>9.3168987762423754</v>
      </c>
      <c r="BQ69" s="1431">
        <v>9.313042407236761</v>
      </c>
    </row>
    <row r="70" spans="1:69" ht="16.75" thickBot="1" x14ac:dyDescent="0.95">
      <c r="A70" s="89" t="s">
        <v>264</v>
      </c>
      <c r="B70" s="179"/>
      <c r="AT70" s="1737"/>
      <c r="AU70" s="1427"/>
      <c r="AV70" s="1437">
        <f t="shared" si="44"/>
        <v>8.95375377074666E-2</v>
      </c>
      <c r="AW70" s="1426">
        <v>9.1441383889970762</v>
      </c>
      <c r="AX70" s="1426">
        <v>9.1406392879654188</v>
      </c>
      <c r="AY70" s="1426">
        <v>9.1371401876282512</v>
      </c>
      <c r="AZ70" s="1426">
        <v>9.1336410879902203</v>
      </c>
      <c r="BA70" s="1426">
        <v>9.1301419890560229</v>
      </c>
      <c r="BB70" s="1426">
        <v>9.1266428908303912</v>
      </c>
      <c r="BC70" s="1426">
        <v>9.1231437933181088</v>
      </c>
      <c r="BD70" s="1426">
        <v>9.1196446965239879</v>
      </c>
      <c r="BE70" s="1426">
        <v>9.1161456004529029</v>
      </c>
      <c r="BF70" s="1426">
        <v>9.1126465051097565</v>
      </c>
      <c r="BG70" s="1533">
        <v>9.1091474104995047</v>
      </c>
      <c r="BH70" s="1426">
        <v>9.1056483166271462</v>
      </c>
      <c r="BI70" s="1426">
        <v>9.1021492234977242</v>
      </c>
      <c r="BJ70" s="1426">
        <v>9.0986501311163277</v>
      </c>
      <c r="BK70" s="1426">
        <v>9.0951510394880941</v>
      </c>
      <c r="BL70" s="1426">
        <v>9.091651948618205</v>
      </c>
      <c r="BM70" s="1426">
        <v>9.0881528585118971</v>
      </c>
      <c r="BN70" s="1426">
        <v>9.084653769174448</v>
      </c>
      <c r="BO70" s="1426">
        <v>9.0811546806111831</v>
      </c>
      <c r="BP70" s="1426">
        <v>9.0776555928274814</v>
      </c>
      <c r="BQ70" s="1431">
        <v>9.074156505828773</v>
      </c>
    </row>
    <row r="71" spans="1:69" ht="15.5" thickBot="1" x14ac:dyDescent="0.9">
      <c r="A71" s="1043" t="s">
        <v>151</v>
      </c>
      <c r="B71" s="1116"/>
      <c r="C71" s="1116">
        <v>0.35</v>
      </c>
      <c r="D71" s="1116">
        <v>0.35</v>
      </c>
      <c r="E71" s="1116">
        <v>0.35</v>
      </c>
      <c r="F71" s="1116">
        <v>0.35</v>
      </c>
      <c r="G71" s="1116">
        <v>0.35</v>
      </c>
      <c r="H71" s="1116">
        <v>0.35</v>
      </c>
      <c r="I71" s="1420">
        <v>0.35</v>
      </c>
      <c r="J71" s="1116">
        <f t="shared" ref="J71:AQ71" si="45">I23</f>
        <v>0.35</v>
      </c>
      <c r="K71" s="1116">
        <f t="shared" si="45"/>
        <v>0.2</v>
      </c>
      <c r="L71" s="1116">
        <f t="shared" si="45"/>
        <v>0.2</v>
      </c>
      <c r="M71" s="1116">
        <f t="shared" si="45"/>
        <v>0.2</v>
      </c>
      <c r="N71" s="1116">
        <f t="shared" si="45"/>
        <v>0.4</v>
      </c>
      <c r="O71" s="1420">
        <f t="shared" si="45"/>
        <v>0.4</v>
      </c>
      <c r="P71" s="1116">
        <f t="shared" si="45"/>
        <v>0.4</v>
      </c>
      <c r="Q71" s="1116">
        <f t="shared" si="45"/>
        <v>0.4</v>
      </c>
      <c r="R71" s="1116">
        <f t="shared" si="45"/>
        <v>0.35</v>
      </c>
      <c r="S71" s="1116">
        <f t="shared" si="45"/>
        <v>0.35</v>
      </c>
      <c r="T71" s="1116">
        <f t="shared" si="45"/>
        <v>0.35</v>
      </c>
      <c r="U71" s="1116">
        <f t="shared" si="45"/>
        <v>0.35</v>
      </c>
      <c r="V71" s="1116">
        <f t="shared" si="45"/>
        <v>0.35</v>
      </c>
      <c r="W71" s="1116">
        <f t="shared" si="45"/>
        <v>0.35</v>
      </c>
      <c r="X71" s="1116">
        <f t="shared" si="45"/>
        <v>0.35</v>
      </c>
      <c r="Y71" s="1116">
        <f t="shared" si="45"/>
        <v>0.35</v>
      </c>
      <c r="Z71" s="1116">
        <f t="shared" si="45"/>
        <v>0.35</v>
      </c>
      <c r="AA71" s="1116">
        <f t="shared" si="45"/>
        <v>0.35</v>
      </c>
      <c r="AB71" s="1116">
        <f t="shared" si="45"/>
        <v>0.35</v>
      </c>
      <c r="AC71" s="1116">
        <f t="shared" si="45"/>
        <v>0.35</v>
      </c>
      <c r="AD71" s="1116">
        <f t="shared" si="45"/>
        <v>0.35</v>
      </c>
      <c r="AE71" s="1116">
        <f t="shared" si="45"/>
        <v>0.35</v>
      </c>
      <c r="AF71" s="1116">
        <f t="shared" si="45"/>
        <v>0.35</v>
      </c>
      <c r="AG71" s="1116">
        <f t="shared" si="45"/>
        <v>0.35</v>
      </c>
      <c r="AH71" s="1116">
        <f t="shared" si="45"/>
        <v>0.35</v>
      </c>
      <c r="AI71" s="1116">
        <f t="shared" si="45"/>
        <v>0.35</v>
      </c>
      <c r="AJ71" s="1116">
        <f t="shared" si="45"/>
        <v>0.35</v>
      </c>
      <c r="AK71" s="1116">
        <f t="shared" si="45"/>
        <v>0.35</v>
      </c>
      <c r="AL71" s="1116">
        <f t="shared" si="45"/>
        <v>0.35</v>
      </c>
      <c r="AM71" s="1116">
        <f t="shared" si="45"/>
        <v>0.35</v>
      </c>
      <c r="AN71" s="1116">
        <f t="shared" si="45"/>
        <v>0.35</v>
      </c>
      <c r="AO71" s="1116">
        <f t="shared" si="45"/>
        <v>0.35</v>
      </c>
      <c r="AP71" s="1116">
        <f t="shared" si="45"/>
        <v>0.35</v>
      </c>
      <c r="AQ71" s="1117">
        <f t="shared" si="45"/>
        <v>0.35</v>
      </c>
      <c r="AR71" s="1120"/>
      <c r="AS71" s="1120"/>
      <c r="AT71" s="1738"/>
      <c r="AU71" s="1432"/>
      <c r="AV71" s="1438">
        <f t="shared" si="44"/>
        <v>9.4537537707466604E-2</v>
      </c>
      <c r="AW71" s="1433">
        <v>8.9228475731250292</v>
      </c>
      <c r="AX71" s="1433">
        <v>8.9196636445435455</v>
      </c>
      <c r="AY71" s="1433">
        <v>8.9164797164898548</v>
      </c>
      <c r="AZ71" s="1433">
        <v>8.913295788967492</v>
      </c>
      <c r="BA71" s="1433">
        <v>8.9101118619800204</v>
      </c>
      <c r="BB71" s="1433">
        <v>8.9069279355310389</v>
      </c>
      <c r="BC71" s="1433">
        <v>8.9037440096241696</v>
      </c>
      <c r="BD71" s="1433">
        <v>8.9005600842630788</v>
      </c>
      <c r="BE71" s="1433">
        <v>8.8973761594514578</v>
      </c>
      <c r="BF71" s="1433">
        <v>8.8941922351930334</v>
      </c>
      <c r="BG71" s="1535">
        <v>8.891008311491575</v>
      </c>
      <c r="BH71" s="1433">
        <v>8.8878243883508681</v>
      </c>
      <c r="BI71" s="1433">
        <v>8.884640465774746</v>
      </c>
      <c r="BJ71" s="1433">
        <v>8.8814565437670741</v>
      </c>
      <c r="BK71" s="1433">
        <v>8.8782726223317567</v>
      </c>
      <c r="BL71" s="1433">
        <v>8.8750887014727216</v>
      </c>
      <c r="BM71" s="1433">
        <v>8.8719047811939493</v>
      </c>
      <c r="BN71" s="1433">
        <v>8.8687208614994475</v>
      </c>
      <c r="BO71" s="1433">
        <v>8.8655369423932573</v>
      </c>
      <c r="BP71" s="1433">
        <v>8.8623530238794643</v>
      </c>
      <c r="BQ71" s="1434">
        <v>8.8591691059621915</v>
      </c>
    </row>
    <row r="72" spans="1:69" x14ac:dyDescent="0.75">
      <c r="A72" s="1118" t="s">
        <v>265</v>
      </c>
      <c r="B72" s="1119"/>
      <c r="C72" s="1119">
        <f>'Regional Data for Income Taxes'!B77/'Income Taxes'!C79</f>
        <v>0.46345493672183224</v>
      </c>
      <c r="D72" s="1119">
        <f>'Regional Data for Income Taxes'!C77/'Income Taxes'!D79</f>
        <v>0.45859455287143291</v>
      </c>
      <c r="E72" s="1119">
        <f>'Regional Data for Income Taxes'!D77/'Income Taxes'!E79</f>
        <v>0.45968475295544103</v>
      </c>
      <c r="F72" s="1119">
        <f>'Regional Data for Income Taxes'!E77/'Income Taxes'!F79</f>
        <v>0.49907882112648688</v>
      </c>
      <c r="G72" s="1119">
        <f>'Regional Data for Income Taxes'!F77/'Income Taxes'!G79</f>
        <v>0.39448371667721743</v>
      </c>
      <c r="H72" s="1119">
        <f>'Regional Data for Income Taxes'!G77/'Income Taxes'!H79</f>
        <v>0.3806145939290112</v>
      </c>
      <c r="I72" s="1421">
        <f>'Regional Data for Income Taxes'!H77/'Income Taxes'!I79</f>
        <v>0.35846395501865574</v>
      </c>
      <c r="J72" s="1120">
        <f>'Regional Data for Income Taxes'!I16/SUM('Regional Data for Income Taxes'!I16,'Regional Data for Income Taxes'!I13,'Regional Data for Income Taxes'!I10,'Regional Data for Income Taxes'!I7)</f>
        <v>0.36927621861152143</v>
      </c>
      <c r="K72" s="1120">
        <f>'Regional Data for Income Taxes'!J16/SUM('Regional Data for Income Taxes'!J16,'Regional Data for Income Taxes'!J13,'Regional Data for Income Taxes'!J10,'Regional Data for Income Taxes'!J7)</f>
        <v>0.38718291054739651</v>
      </c>
      <c r="L72" s="1120">
        <f>'Regional Data for Income Taxes'!K16/SUM('Regional Data for Income Taxes'!K16,'Regional Data for Income Taxes'!K13,'Regional Data for Income Taxes'!K10,'Regional Data for Income Taxes'!K7)</f>
        <v>0.39525691699604742</v>
      </c>
      <c r="M72" s="1120">
        <f>'Regional Data for Income Taxes'!L16/SUM('Regional Data for Income Taxes'!L16,'Regional Data for Income Taxes'!L13,'Regional Data for Income Taxes'!L10,'Regional Data for Income Taxes'!L7)</f>
        <v>0.38303693570451441</v>
      </c>
      <c r="N72" s="1120">
        <f>'Regional Data for Income Taxes'!M16/SUM('Regional Data for Income Taxes'!M16,'Regional Data for Income Taxes'!M13,'Regional Data for Income Taxes'!M10,'Regional Data for Income Taxes'!M7)</f>
        <v>0.37447988904299589</v>
      </c>
      <c r="O72" s="1422">
        <f>'Regional Data for Income Taxes'!N16/SUM('Regional Data for Income Taxes'!N16,'Regional Data for Income Taxes'!N13,'Regional Data for Income Taxes'!N10,'Regional Data for Income Taxes'!N7)</f>
        <v>0.3586800573888092</v>
      </c>
      <c r="P72" s="1120">
        <f>'Regional Data for Income Taxes'!O16/SUM('Regional Data for Income Taxes'!O16,'Regional Data for Income Taxes'!O13,'Regional Data for Income Taxes'!O10,'Regional Data for Income Taxes'!O7)</f>
        <v>0.36775106082036779</v>
      </c>
      <c r="Q72" s="1120">
        <f>'Regional Data for Income Taxes'!P16/SUM('Regional Data for Income Taxes'!P16,'Regional Data for Income Taxes'!P13,'Regional Data for Income Taxes'!P10,'Regional Data for Income Taxes'!P7)</f>
        <v>0.37921348314606745</v>
      </c>
      <c r="R72" s="1120">
        <f>'Regional Data for Income Taxes'!Q16/SUM('Regional Data for Income Taxes'!Q16,'Regional Data for Income Taxes'!Q13,'Regional Data for Income Taxes'!Q10,'Regional Data for Income Taxes'!Q7)</f>
        <v>0.36723163841807915</v>
      </c>
      <c r="S72" s="1120">
        <f>'Regional Data for Income Taxes'!R16/SUM('Regional Data for Income Taxes'!R16,'Regional Data for Income Taxes'!R13,'Regional Data for Income Taxes'!R10,'Regional Data for Income Taxes'!R7)</f>
        <v>0.34732272069464548</v>
      </c>
      <c r="T72" s="1120">
        <f>'Regional Data for Income Taxes'!S16/SUM('Regional Data for Income Taxes'!S16,'Regional Data for Income Taxes'!S13,'Regional Data for Income Taxes'!S10,'Regional Data for Income Taxes'!S7)</f>
        <v>0.37142857142857144</v>
      </c>
      <c r="U72" s="1120">
        <f>'Regional Data for Income Taxes'!T16/SUM('Regional Data for Income Taxes'!T16,'Regional Data for Income Taxes'!T13,'Regional Data for Income Taxes'!T10,'Regional Data for Income Taxes'!T7)</f>
        <v>0.36207717960933783</v>
      </c>
      <c r="V72" s="1120">
        <f>'Regional Data for Income Taxes'!U16/SUM('Regional Data for Income Taxes'!U16,'Regional Data for Income Taxes'!U13,'Regional Data for Income Taxes'!U10,'Regional Data for Income Taxes'!U7)</f>
        <v>0.36033163265306123</v>
      </c>
      <c r="W72" s="1120">
        <f>'Regional Data for Income Taxes'!V16/SUM('Regional Data for Income Taxes'!V16,'Regional Data for Income Taxes'!V13,'Regional Data for Income Taxes'!V10,'Regional Data for Income Taxes'!V7)</f>
        <v>0.36461921670464786</v>
      </c>
      <c r="X72" s="1120">
        <f>'Regional Data for Income Taxes'!W16/SUM('Regional Data for Income Taxes'!W16,'Regional Data for Income Taxes'!W13,'Regional Data for Income Taxes'!W10,'Regional Data for Income Taxes'!W7)</f>
        <v>0.36234445701357465</v>
      </c>
      <c r="Y72" s="1120">
        <f>'Regional Data for Income Taxes'!X16/SUM('Regional Data for Income Taxes'!X16,'Regional Data for Income Taxes'!X13,'Regional Data for Income Taxes'!X10,'Regional Data for Income Taxes'!X7)</f>
        <v>0.36243375326443866</v>
      </c>
      <c r="Z72" s="1120">
        <f>'Regional Data for Income Taxes'!Y16/SUM('Regional Data for Income Taxes'!Y16,'Regional Data for Income Taxes'!Y13,'Regional Data for Income Taxes'!Y10,'Regional Data for Income Taxes'!Y7)</f>
        <v>0.36313288031737301</v>
      </c>
      <c r="AA72" s="1120">
        <f>'Regional Data for Income Taxes'!Z16/SUM('Regional Data for Income Taxes'!Z16,'Regional Data for Income Taxes'!Z13,'Regional Data for Income Taxes'!Z10,'Regional Data for Income Taxes'!Z7)</f>
        <v>0.36263706763170828</v>
      </c>
      <c r="AB72" s="1120">
        <f>'Regional Data for Income Taxes'!AA16/SUM('Regional Data for Income Taxes'!AA16,'Regional Data for Income Taxes'!AA13,'Regional Data for Income Taxes'!AA10,'Regional Data for Income Taxes'!AA7)</f>
        <v>0.36273462962591091</v>
      </c>
      <c r="AC72" s="1120">
        <f>'Regional Data for Income Taxes'!AB16/SUM('Regional Data for Income Taxes'!AB16,'Regional Data for Income Taxes'!AB13,'Regional Data for Income Taxes'!AB10,'Regional Data for Income Taxes'!AB7)</f>
        <v>0.3628348797496731</v>
      </c>
      <c r="AD72" s="1120">
        <f>'Regional Data for Income Taxes'!AC16/SUM('Regional Data for Income Taxes'!AC16,'Regional Data for Income Taxes'!AC13,'Regional Data for Income Taxes'!AC10,'Regional Data for Income Taxes'!AC7)</f>
        <v>0.36273552702314948</v>
      </c>
      <c r="AE72" s="1120">
        <f>'Regional Data for Income Taxes'!AD16/SUM('Regional Data for Income Taxes'!AD16,'Regional Data for Income Taxes'!AD13,'Regional Data for Income Taxes'!AD10,'Regional Data for Income Taxes'!AD7)</f>
        <v>0.3627683471715587</v>
      </c>
      <c r="AF72" s="1120">
        <f>'Regional Data for Income Taxes'!AE16/SUM('Regional Data for Income Taxes'!AE16,'Regional Data for Income Taxes'!AE13,'Regional Data for Income Taxes'!AE10,'Regional Data for Income Taxes'!AE7)</f>
        <v>0.36277958554897721</v>
      </c>
      <c r="AG72" s="1120">
        <f>'Regional Data for Income Taxes'!AF16/SUM('Regional Data for Income Taxes'!AF16,'Regional Data for Income Taxes'!AF13,'Regional Data for Income Taxes'!AF10,'Regional Data for Income Taxes'!AF7)</f>
        <v>0.36277958554897721</v>
      </c>
      <c r="AH72" s="1120">
        <f>'Regional Data for Income Taxes'!AG16/SUM('Regional Data for Income Taxes'!AG16,'Regional Data for Income Taxes'!AG13,'Regional Data for Income Taxes'!AG10,'Regional Data for Income Taxes'!AG7)</f>
        <v>0.36277958554897721</v>
      </c>
      <c r="AI72" s="1120">
        <f>'Regional Data for Income Taxes'!AH16/SUM('Regional Data for Income Taxes'!AH16,'Regional Data for Income Taxes'!AH13,'Regional Data for Income Taxes'!AH10,'Regional Data for Income Taxes'!AH7)</f>
        <v>0.36277958554897721</v>
      </c>
      <c r="AJ72" s="1120">
        <f>'Regional Data for Income Taxes'!AI16/SUM('Regional Data for Income Taxes'!AI16,'Regional Data for Income Taxes'!AI13,'Regional Data for Income Taxes'!AI10,'Regional Data for Income Taxes'!AI7)</f>
        <v>0.36277958554897721</v>
      </c>
      <c r="AK72" s="1120">
        <f>'Regional Data for Income Taxes'!AJ16/SUM('Regional Data for Income Taxes'!AJ16,'Regional Data for Income Taxes'!AJ13,'Regional Data for Income Taxes'!AJ10,'Regional Data for Income Taxes'!AJ7)</f>
        <v>0.36277958554897721</v>
      </c>
      <c r="AL72" s="1120">
        <f>'Regional Data for Income Taxes'!AK16/SUM('Regional Data for Income Taxes'!AK16,'Regional Data for Income Taxes'!AK13,'Regional Data for Income Taxes'!AK10,'Regional Data for Income Taxes'!AK7)</f>
        <v>0.36277958554897721</v>
      </c>
      <c r="AM72" s="1120">
        <f>'Regional Data for Income Taxes'!AL16/SUM('Regional Data for Income Taxes'!AL16,'Regional Data for Income Taxes'!AL13,'Regional Data for Income Taxes'!AL10,'Regional Data for Income Taxes'!AL7)</f>
        <v>0.36277958554897721</v>
      </c>
      <c r="AN72" s="1120">
        <f>'Regional Data for Income Taxes'!AM16/SUM('Regional Data for Income Taxes'!AM16,'Regional Data for Income Taxes'!AM13,'Regional Data for Income Taxes'!AM10,'Regional Data for Income Taxes'!AM7)</f>
        <v>0.36277958554897721</v>
      </c>
      <c r="AO72" s="1120">
        <f>'Regional Data for Income Taxes'!AN16/SUM('Regional Data for Income Taxes'!AN16,'Regional Data for Income Taxes'!AN13,'Regional Data for Income Taxes'!AN10,'Regional Data for Income Taxes'!AN7)</f>
        <v>0.36277958554897721</v>
      </c>
      <c r="AP72" s="1120">
        <f>'Regional Data for Income Taxes'!AO16/SUM('Regional Data for Income Taxes'!AO16,'Regional Data for Income Taxes'!AO13,'Regional Data for Income Taxes'!AO10,'Regional Data for Income Taxes'!AO7)</f>
        <v>0.36277958554897721</v>
      </c>
      <c r="AQ72" s="1121">
        <f>'Regional Data for Income Taxes'!AP16/SUM('Regional Data for Income Taxes'!AP16,'Regional Data for Income Taxes'!AP13,'Regional Data for Income Taxes'!AP10,'Regional Data for Income Taxes'!AP7)</f>
        <v>0.36277958554897721</v>
      </c>
      <c r="AR72" s="1120"/>
      <c r="AS72" s="1120"/>
    </row>
    <row r="73" spans="1:69" x14ac:dyDescent="0.75">
      <c r="A73" s="1032" t="s">
        <v>184</v>
      </c>
      <c r="B73" s="1120"/>
      <c r="C73" s="1120">
        <v>0.15</v>
      </c>
      <c r="D73" s="1120">
        <v>0.15</v>
      </c>
      <c r="E73" s="1120">
        <v>0.15</v>
      </c>
      <c r="F73" s="1120">
        <v>0.15</v>
      </c>
      <c r="G73" s="1120">
        <v>0.15</v>
      </c>
      <c r="H73" s="1120">
        <v>0.15</v>
      </c>
      <c r="I73" s="1422">
        <v>0.15</v>
      </c>
      <c r="J73" s="1120">
        <v>0.15</v>
      </c>
      <c r="K73" s="1120">
        <v>0.15</v>
      </c>
      <c r="L73" s="1120">
        <v>0.15</v>
      </c>
      <c r="M73" s="1120">
        <v>0.15</v>
      </c>
      <c r="N73" s="1120">
        <v>0.15</v>
      </c>
      <c r="O73" s="1422">
        <v>0.15</v>
      </c>
      <c r="P73" s="1120">
        <v>0.15</v>
      </c>
      <c r="Q73" s="1120">
        <v>0.15</v>
      </c>
      <c r="R73" s="1120">
        <v>0.15</v>
      </c>
      <c r="S73" s="1120">
        <v>0.15</v>
      </c>
      <c r="T73" s="1120">
        <v>0.15</v>
      </c>
      <c r="U73" s="1120">
        <v>0.15</v>
      </c>
      <c r="V73" s="1120">
        <v>0.15</v>
      </c>
      <c r="W73" s="1120">
        <v>0.15</v>
      </c>
      <c r="X73" s="1120">
        <v>0.15</v>
      </c>
      <c r="Y73" s="1120">
        <v>0.15</v>
      </c>
      <c r="Z73" s="1120">
        <v>0.15</v>
      </c>
      <c r="AA73" s="1120">
        <v>0.15</v>
      </c>
      <c r="AB73" s="1120">
        <v>0.15</v>
      </c>
      <c r="AC73" s="1120">
        <v>0.15</v>
      </c>
      <c r="AD73" s="1120">
        <v>0.15</v>
      </c>
      <c r="AE73" s="1120">
        <v>0.15</v>
      </c>
      <c r="AF73" s="1120">
        <v>0.15</v>
      </c>
      <c r="AG73" s="1120">
        <v>0.15</v>
      </c>
      <c r="AH73" s="1120">
        <v>0.15</v>
      </c>
      <c r="AI73" s="1120">
        <v>0.15</v>
      </c>
      <c r="AJ73" s="1120">
        <v>0.15</v>
      </c>
      <c r="AK73" s="1120">
        <v>0.15</v>
      </c>
      <c r="AL73" s="1120">
        <v>0.15</v>
      </c>
      <c r="AM73" s="1120">
        <v>0.15</v>
      </c>
      <c r="AN73" s="1120">
        <v>0.15</v>
      </c>
      <c r="AO73" s="1120">
        <v>0.15</v>
      </c>
      <c r="AP73" s="1120">
        <v>0.15</v>
      </c>
      <c r="AQ73" s="1121">
        <v>0.15</v>
      </c>
      <c r="AR73" s="1120"/>
      <c r="AS73" s="1120"/>
    </row>
    <row r="74" spans="1:69" x14ac:dyDescent="0.75">
      <c r="A74" s="1118" t="s">
        <v>265</v>
      </c>
      <c r="B74" s="1119"/>
      <c r="C74" s="1119">
        <f>'Regional Data for Income Taxes'!B81/'Income Taxes'!C79</f>
        <v>0.17560972485525442</v>
      </c>
      <c r="D74" s="1119">
        <f>'Regional Data for Income Taxes'!C81/'Income Taxes'!D79</f>
        <v>0.19020970861586931</v>
      </c>
      <c r="E74" s="1119">
        <f>'Regional Data for Income Taxes'!D81/'Income Taxes'!E79</f>
        <v>0.21173528520228946</v>
      </c>
      <c r="F74" s="1119">
        <f>'Regional Data for Income Taxes'!E81/'Income Taxes'!F79</f>
        <v>0.19004538203907209</v>
      </c>
      <c r="G74" s="1119">
        <f>'Regional Data for Income Taxes'!F81/'Income Taxes'!G79</f>
        <v>0.15132851515790954</v>
      </c>
      <c r="H74" s="1119">
        <f>'Regional Data for Income Taxes'!G81/'Income Taxes'!H79</f>
        <v>0.14662633617074433</v>
      </c>
      <c r="I74" s="1421">
        <f>'Regional Data for Income Taxes'!H81/'Income Taxes'!I79</f>
        <v>0.15667526733616668</v>
      </c>
      <c r="J74" s="1120">
        <f>'Regional Data for Income Taxes'!I7/SUM('Regional Data for Income Taxes'!I16,'Regional Data for Income Taxes'!I13,'Regional Data for Income Taxes'!I10,'Regional Data for Income Taxes'!I7)</f>
        <v>0.1477104874446086</v>
      </c>
      <c r="K74" s="1120">
        <f>'Regional Data for Income Taxes'!J7/SUM('Regional Data for Income Taxes'!J16,'Regional Data for Income Taxes'!J13,'Regional Data for Income Taxes'!J10,'Regional Data for Income Taxes'!J7)</f>
        <v>0.13351134846461951</v>
      </c>
      <c r="L74" s="1120">
        <f>'Regional Data for Income Taxes'!K7/SUM('Regional Data for Income Taxes'!K16,'Regional Data for Income Taxes'!K13,'Regional Data for Income Taxes'!K10,'Regional Data for Income Taxes'!K7)</f>
        <v>0.13175230566534915</v>
      </c>
      <c r="M74" s="1120">
        <f>'Regional Data for Income Taxes'!L7/SUM('Regional Data for Income Taxes'!L16,'Regional Data for Income Taxes'!L13,'Regional Data for Income Taxes'!L10,'Regional Data for Income Taxes'!L7)</f>
        <v>0.12311901504787962</v>
      </c>
      <c r="N74" s="1120">
        <f>'Regional Data for Income Taxes'!M7/SUM('Regional Data for Income Taxes'!M16,'Regional Data for Income Taxes'!M13,'Regional Data for Income Taxes'!M10,'Regional Data for Income Taxes'!M7)</f>
        <v>0.11789181692094315</v>
      </c>
      <c r="O74" s="1422">
        <f>'Regional Data for Income Taxes'!N7/SUM('Regional Data for Income Taxes'!N16,'Regional Data for Income Taxes'!N13,'Regional Data for Income Taxes'!N10,'Regional Data for Income Taxes'!N7)</f>
        <v>0.11477761836441895</v>
      </c>
      <c r="P74" s="1120">
        <f>'Regional Data for Income Taxes'!O7/SUM('Regional Data for Income Taxes'!O16,'Regional Data for Income Taxes'!O13,'Regional Data for Income Taxes'!O10,'Regional Data for Income Taxes'!O7)</f>
        <v>0.11173974540311175</v>
      </c>
      <c r="Q74" s="1120">
        <f>'Regional Data for Income Taxes'!P7/SUM('Regional Data for Income Taxes'!P16,'Regional Data for Income Taxes'!P13,'Regional Data for Income Taxes'!P10,'Regional Data for Income Taxes'!P7)</f>
        <v>0.11095505617977529</v>
      </c>
      <c r="R74" s="1120">
        <f>'Regional Data for Income Taxes'!Q7/SUM('Regional Data for Income Taxes'!Q16,'Regional Data for Income Taxes'!Q13,'Regional Data for Income Taxes'!Q10,'Regional Data for Income Taxes'!Q7)</f>
        <v>0.11299435028248589</v>
      </c>
      <c r="S74" s="1120">
        <f>'Regional Data for Income Taxes'!R7/SUM('Regional Data for Income Taxes'!R16,'Regional Data for Income Taxes'!R13,'Regional Data for Income Taxes'!R10,'Regional Data for Income Taxes'!R7)</f>
        <v>0.11577424023154849</v>
      </c>
      <c r="T74" s="1120">
        <f>'Regional Data for Income Taxes'!S7/SUM('Regional Data for Income Taxes'!S16,'Regional Data for Income Taxes'!S13,'Regional Data for Income Taxes'!S10,'Regional Data for Income Taxes'!S7)</f>
        <v>0.10000000000000002</v>
      </c>
      <c r="U74" s="1120">
        <f>'Regional Data for Income Taxes'!T7/SUM('Regional Data for Income Taxes'!T16,'Regional Data for Income Taxes'!T13,'Regional Data for Income Taxes'!T10,'Regional Data for Income Taxes'!T7)</f>
        <v>0.10957598856598381</v>
      </c>
      <c r="V74" s="1120">
        <f>'Regional Data for Income Taxes'!U7/SUM('Regional Data for Income Taxes'!U16,'Regional Data for Income Taxes'!U13,'Regional Data for Income Taxes'!U10,'Regional Data for Income Taxes'!U7)</f>
        <v>0.10841836734693877</v>
      </c>
      <c r="W74" s="1120">
        <f>'Regional Data for Income Taxes'!V7/SUM('Regional Data for Income Taxes'!V16,'Regional Data for Income Taxes'!V13,'Regional Data for Income Taxes'!V10,'Regional Data for Income Taxes'!V7)</f>
        <v>0.10599395834437436</v>
      </c>
      <c r="X74" s="1120">
        <f>'Regional Data for Income Taxes'!W7/SUM('Regional Data for Income Taxes'!W16,'Regional Data for Income Taxes'!W13,'Regional Data for Income Taxes'!W10,'Regional Data for Income Taxes'!W7)</f>
        <v>0.10799632352941176</v>
      </c>
      <c r="Y74" s="1120">
        <f>'Regional Data for Income Taxes'!X7/SUM('Regional Data for Income Taxes'!X16,'Regional Data for Income Taxes'!X13,'Regional Data for Income Taxes'!X10,'Regional Data for Income Taxes'!X7)</f>
        <v>0.10746856411858681</v>
      </c>
      <c r="Z74" s="1120">
        <f>'Regional Data for Income Taxes'!Y7/SUM('Regional Data for Income Taxes'!Y16,'Regional Data for Income Taxes'!Y13,'Regional Data for Income Taxes'!Y10,'Regional Data for Income Taxes'!Y7)</f>
        <v>0.10715267685297931</v>
      </c>
      <c r="AA74" s="1120">
        <f>'Regional Data for Income Taxes'!Z7/SUM('Regional Data for Income Taxes'!Z16,'Regional Data for Income Taxes'!Z13,'Regional Data for Income Taxes'!Z10,'Regional Data for Income Taxes'!Z7)</f>
        <v>0.10753920263583668</v>
      </c>
      <c r="AB74" s="1120">
        <f>'Regional Data for Income Taxes'!AA7/SUM('Regional Data for Income Taxes'!AA16,'Regional Data for Income Taxes'!AA13,'Regional Data for Income Taxes'!AA10,'Regional Data for Income Taxes'!AA7)</f>
        <v>0.10738678975945742</v>
      </c>
      <c r="AC74" s="1120">
        <f>'Regional Data for Income Taxes'!AB7/SUM('Regional Data for Income Taxes'!AB16,'Regional Data for Income Taxes'!AB13,'Regional Data for Income Taxes'!AB10,'Regional Data for Income Taxes'!AB7)</f>
        <v>0.10735954305392306</v>
      </c>
      <c r="AD74" s="1120">
        <f>'Regional Data for Income Taxes'!AC7/SUM('Regional Data for Income Taxes'!AC16,'Regional Data for Income Taxes'!AC13,'Regional Data for Income Taxes'!AC10,'Regional Data for Income Taxes'!AC7)</f>
        <v>0.10742851178525124</v>
      </c>
      <c r="AE74" s="1120">
        <f>'Regional Data for Income Taxes'!AD7/SUM('Regional Data for Income Taxes'!AD16,'Regional Data for Income Taxes'!AD13,'Regional Data for Income Taxes'!AD10,'Regional Data for Income Taxes'!AD7)</f>
        <v>0.10739161444015716</v>
      </c>
      <c r="AF74" s="1120">
        <f>'Regional Data for Income Taxes'!AE7/SUM('Regional Data for Income Taxes'!AE16,'Regional Data for Income Taxes'!AE13,'Regional Data for Income Taxes'!AE10,'Regional Data for Income Taxes'!AE7)</f>
        <v>0.10739322255194543</v>
      </c>
      <c r="AG74" s="1120">
        <f>'Regional Data for Income Taxes'!AF7/SUM('Regional Data for Income Taxes'!AF16,'Regional Data for Income Taxes'!AF13,'Regional Data for Income Taxes'!AF10,'Regional Data for Income Taxes'!AF7)</f>
        <v>0.10739322255194543</v>
      </c>
      <c r="AH74" s="1120">
        <f>'Regional Data for Income Taxes'!AG7/SUM('Regional Data for Income Taxes'!AG16,'Regional Data for Income Taxes'!AG13,'Regional Data for Income Taxes'!AG10,'Regional Data for Income Taxes'!AG7)</f>
        <v>0.10739322255194543</v>
      </c>
      <c r="AI74" s="1120">
        <f>'Regional Data for Income Taxes'!AH7/SUM('Regional Data for Income Taxes'!AH16,'Regional Data for Income Taxes'!AH13,'Regional Data for Income Taxes'!AH10,'Regional Data for Income Taxes'!AH7)</f>
        <v>0.10739322255194543</v>
      </c>
      <c r="AJ74" s="1120">
        <f>'Regional Data for Income Taxes'!AI7/SUM('Regional Data for Income Taxes'!AI16,'Regional Data for Income Taxes'!AI13,'Regional Data for Income Taxes'!AI10,'Regional Data for Income Taxes'!AI7)</f>
        <v>0.10739322255194543</v>
      </c>
      <c r="AK74" s="1120">
        <f>'Regional Data for Income Taxes'!AJ7/SUM('Regional Data for Income Taxes'!AJ16,'Regional Data for Income Taxes'!AJ13,'Regional Data for Income Taxes'!AJ10,'Regional Data for Income Taxes'!AJ7)</f>
        <v>0.10739322255194543</v>
      </c>
      <c r="AL74" s="1120">
        <f>'Regional Data for Income Taxes'!AK7/SUM('Regional Data for Income Taxes'!AK16,'Regional Data for Income Taxes'!AK13,'Regional Data for Income Taxes'!AK10,'Regional Data for Income Taxes'!AK7)</f>
        <v>0.10739322255194543</v>
      </c>
      <c r="AM74" s="1120">
        <f>'Regional Data for Income Taxes'!AL7/SUM('Regional Data for Income Taxes'!AL16,'Regional Data for Income Taxes'!AL13,'Regional Data for Income Taxes'!AL10,'Regional Data for Income Taxes'!AL7)</f>
        <v>0.10739322255194543</v>
      </c>
      <c r="AN74" s="1120">
        <f>'Regional Data for Income Taxes'!AM7/SUM('Regional Data for Income Taxes'!AM16,'Regional Data for Income Taxes'!AM13,'Regional Data for Income Taxes'!AM10,'Regional Data for Income Taxes'!AM7)</f>
        <v>0.10739322255194543</v>
      </c>
      <c r="AO74" s="1120">
        <f>'Regional Data for Income Taxes'!AN7/SUM('Regional Data for Income Taxes'!AN16,'Regional Data for Income Taxes'!AN13,'Regional Data for Income Taxes'!AN10,'Regional Data for Income Taxes'!AN7)</f>
        <v>0.10739322255194543</v>
      </c>
      <c r="AP74" s="1120">
        <f>'Regional Data for Income Taxes'!AO7/SUM('Regional Data for Income Taxes'!AO16,'Regional Data for Income Taxes'!AO13,'Regional Data for Income Taxes'!AO10,'Regional Data for Income Taxes'!AO7)</f>
        <v>0.10739322255194543</v>
      </c>
      <c r="AQ74" s="1121">
        <f>'Regional Data for Income Taxes'!AP7/SUM('Regional Data for Income Taxes'!AP16,'Regional Data for Income Taxes'!AP13,'Regional Data for Income Taxes'!AP10,'Regional Data for Income Taxes'!AP7)</f>
        <v>0.10739322255194543</v>
      </c>
      <c r="AR74" s="1120"/>
      <c r="AS74" s="1120"/>
    </row>
    <row r="75" spans="1:69" x14ac:dyDescent="0.75">
      <c r="A75" s="1032" t="s">
        <v>185</v>
      </c>
      <c r="B75" s="1120">
        <v>0.35</v>
      </c>
      <c r="C75" s="1120">
        <v>0.25</v>
      </c>
      <c r="D75" s="1120">
        <v>0.25</v>
      </c>
      <c r="E75" s="1120">
        <v>0.25</v>
      </c>
      <c r="F75" s="1120">
        <v>0.25</v>
      </c>
      <c r="G75" s="1120">
        <v>0.25</v>
      </c>
      <c r="H75" s="1120">
        <v>0.25</v>
      </c>
      <c r="I75" s="1422">
        <v>0.25</v>
      </c>
      <c r="J75" s="1120">
        <v>0.25</v>
      </c>
      <c r="K75" s="1120">
        <v>0.25</v>
      </c>
      <c r="L75" s="1120">
        <v>0.25</v>
      </c>
      <c r="M75" s="1120">
        <v>0.25</v>
      </c>
      <c r="N75" s="1120">
        <v>0.25</v>
      </c>
      <c r="O75" s="1422">
        <v>0.25</v>
      </c>
      <c r="P75" s="1120">
        <v>0.25</v>
      </c>
      <c r="Q75" s="1120">
        <v>0.25</v>
      </c>
      <c r="R75" s="1120">
        <v>0.25</v>
      </c>
      <c r="S75" s="1120">
        <v>0.25</v>
      </c>
      <c r="T75" s="1120">
        <v>0.25</v>
      </c>
      <c r="U75" s="1120">
        <v>0.25</v>
      </c>
      <c r="V75" s="1120">
        <v>0.25</v>
      </c>
      <c r="W75" s="1120">
        <v>0.25</v>
      </c>
      <c r="X75" s="1120">
        <v>0.25</v>
      </c>
      <c r="Y75" s="1120">
        <v>0.25</v>
      </c>
      <c r="Z75" s="1120">
        <v>0.25</v>
      </c>
      <c r="AA75" s="1120">
        <v>0.25</v>
      </c>
      <c r="AB75" s="1120">
        <v>0.25</v>
      </c>
      <c r="AC75" s="1120">
        <v>0.25</v>
      </c>
      <c r="AD75" s="1120">
        <v>0.25</v>
      </c>
      <c r="AE75" s="1120">
        <v>0.25</v>
      </c>
      <c r="AF75" s="1120">
        <v>0.25</v>
      </c>
      <c r="AG75" s="1120">
        <v>0.25</v>
      </c>
      <c r="AH75" s="1120">
        <v>0.25</v>
      </c>
      <c r="AI75" s="1120">
        <v>0.25</v>
      </c>
      <c r="AJ75" s="1120">
        <v>0.25</v>
      </c>
      <c r="AK75" s="1120">
        <v>0.25</v>
      </c>
      <c r="AL75" s="1120">
        <v>0.25</v>
      </c>
      <c r="AM75" s="1120">
        <v>0.25</v>
      </c>
      <c r="AN75" s="1120">
        <v>0.25</v>
      </c>
      <c r="AO75" s="1120">
        <v>0.25</v>
      </c>
      <c r="AP75" s="1120">
        <v>0.25</v>
      </c>
      <c r="AQ75" s="1121">
        <v>0.25</v>
      </c>
      <c r="AR75" s="1120"/>
      <c r="AS75" s="1120"/>
    </row>
    <row r="76" spans="1:69" x14ac:dyDescent="0.75">
      <c r="A76" s="1118" t="s">
        <v>265</v>
      </c>
      <c r="B76" s="1119"/>
      <c r="C76" s="1119">
        <f>'Regional Data for Income Taxes'!B101/'Income Taxes'!C79</f>
        <v>0.31377132756058823</v>
      </c>
      <c r="D76" s="1119">
        <f>'Regional Data for Income Taxes'!C101/'Income Taxes'!D79</f>
        <v>0.30872447079202814</v>
      </c>
      <c r="E76" s="1119">
        <f>'Regional Data for Income Taxes'!D101/'Income Taxes'!E79</f>
        <v>0.27514130841788065</v>
      </c>
      <c r="F76" s="1119">
        <f>'Regional Data for Income Taxes'!E101/'Income Taxes'!F79</f>
        <v>0.26195619544296045</v>
      </c>
      <c r="G76" s="1119">
        <f>'Regional Data for Income Taxes'!F101/'Income Taxes'!G79</f>
        <v>0.36861240064711265</v>
      </c>
      <c r="H76" s="1119">
        <f>'Regional Data for Income Taxes'!G101/'Income Taxes'!H79</f>
        <v>0.37295447650659386</v>
      </c>
      <c r="I76" s="1421">
        <f>'Regional Data for Income Taxes'!H101/'Income Taxes'!I79</f>
        <v>0.37535554412992517</v>
      </c>
      <c r="J76" s="1120">
        <f>'Regional Data for Income Taxes'!I10/SUM('Regional Data for Income Taxes'!I16,'Regional Data for Income Taxes'!I13,'Regional Data for Income Taxes'!I10,'Regional Data for Income Taxes'!I7)</f>
        <v>0.36927621861152143</v>
      </c>
      <c r="K76" s="1120">
        <f>'Regional Data for Income Taxes'!J10/SUM('Regional Data for Income Taxes'!J16,'Regional Data for Income Taxes'!J13,'Regional Data for Income Taxes'!J10,'Regional Data for Income Taxes'!J7)</f>
        <v>0.37383177570093462</v>
      </c>
      <c r="L76" s="1120">
        <f>'Regional Data for Income Taxes'!K10/SUM('Regional Data for Income Taxes'!K16,'Regional Data for Income Taxes'!K13,'Regional Data for Income Taxes'!K10,'Regional Data for Income Taxes'!K7)</f>
        <v>0.36890645586297766</v>
      </c>
      <c r="M76" s="1120">
        <f>'Regional Data for Income Taxes'!L10/SUM('Regional Data for Income Taxes'!L16,'Regional Data for Income Taxes'!L13,'Regional Data for Income Taxes'!L10,'Regional Data for Income Taxes'!L7)</f>
        <v>0.38303693570451441</v>
      </c>
      <c r="N76" s="1120">
        <f>'Regional Data for Income Taxes'!M10/SUM('Regional Data for Income Taxes'!M16,'Regional Data for Income Taxes'!M13,'Regional Data for Income Taxes'!M10,'Regional Data for Income Taxes'!M7)</f>
        <v>0.39528432732316227</v>
      </c>
      <c r="O76" s="1422">
        <f>'Regional Data for Income Taxes'!N10/SUM('Regional Data for Income Taxes'!N16,'Regional Data for Income Taxes'!N13,'Regional Data for Income Taxes'!N10,'Regional Data for Income Taxes'!N7)</f>
        <v>0.40889526542324245</v>
      </c>
      <c r="P76" s="1120">
        <f>'Regional Data for Income Taxes'!O10/SUM('Regional Data for Income Taxes'!O16,'Regional Data for Income Taxes'!O13,'Regional Data for Income Taxes'!O10,'Regional Data for Income Taxes'!O7)</f>
        <v>0.4031117397454031</v>
      </c>
      <c r="Q76" s="1120">
        <f>'Regional Data for Income Taxes'!P10/SUM('Regional Data for Income Taxes'!P16,'Regional Data for Income Taxes'!P13,'Regional Data for Income Taxes'!P10,'Regional Data for Income Taxes'!P7)</f>
        <v>0.39325842696629221</v>
      </c>
      <c r="R76" s="1120">
        <f>'Regional Data for Income Taxes'!Q10/SUM('Regional Data for Income Taxes'!Q16,'Regional Data for Income Taxes'!Q13,'Regional Data for Income Taxes'!Q10,'Regional Data for Income Taxes'!Q7)</f>
        <v>0.40254237288135591</v>
      </c>
      <c r="S76" s="1120">
        <f>'Regional Data for Income Taxes'!R10/SUM('Regional Data for Income Taxes'!R16,'Regional Data for Income Taxes'!R13,'Regional Data for Income Taxes'!R10,'Regional Data for Income Taxes'!R7)</f>
        <v>0.41534008683068019</v>
      </c>
      <c r="T76" s="1120">
        <f>'Regional Data for Income Taxes'!S10/SUM('Regional Data for Income Taxes'!S16,'Regional Data for Income Taxes'!S13,'Regional Data for Income Taxes'!S10,'Regional Data for Income Taxes'!S7)</f>
        <v>0.40857142857142859</v>
      </c>
      <c r="U76" s="1120">
        <f>'Regional Data for Income Taxes'!T10/SUM('Regional Data for Income Taxes'!T16,'Regional Data for Income Taxes'!T13,'Regional Data for Income Taxes'!T10,'Regional Data for Income Taxes'!T7)</f>
        <v>0.40876607908527868</v>
      </c>
      <c r="V76" s="1120">
        <f>'Regional Data for Income Taxes'!U10/SUM('Regional Data for Income Taxes'!U16,'Regional Data for Income Taxes'!U13,'Regional Data for Income Taxes'!U10,'Regional Data for Income Taxes'!U7)</f>
        <v>0.41087372448979592</v>
      </c>
      <c r="W76" s="1120">
        <f>'Regional Data for Income Taxes'!V10/SUM('Regional Data for Income Taxes'!V16,'Regional Data for Income Taxes'!V13,'Regional Data for Income Taxes'!V10,'Regional Data for Income Taxes'!V7)</f>
        <v>0.409401664105146</v>
      </c>
      <c r="X76" s="1120">
        <f>'Regional Data for Income Taxes'!W10/SUM('Regional Data for Income Taxes'!W16,'Regional Data for Income Taxes'!W13,'Regional Data for Income Taxes'!W10,'Regional Data for Income Taxes'!W7)</f>
        <v>0.40967901583710403</v>
      </c>
      <c r="Y76" s="1120">
        <f>'Regional Data for Income Taxes'!X10/SUM('Regional Data for Income Taxes'!X16,'Regional Data for Income Taxes'!X13,'Regional Data for Income Taxes'!X10,'Regional Data for Income Taxes'!X7)</f>
        <v>0.40998402414652985</v>
      </c>
      <c r="Z76" s="1120">
        <f>'Regional Data for Income Taxes'!Y10/SUM('Regional Data for Income Taxes'!Y16,'Regional Data for Income Taxes'!Y13,'Regional Data for Income Taxes'!Y10,'Regional Data for Income Taxes'!Y7)</f>
        <v>0.40968812600652033</v>
      </c>
      <c r="AA76" s="1120">
        <f>'Regional Data for Income Taxes'!Z10/SUM('Regional Data for Income Taxes'!Z16,'Regional Data for Income Taxes'!Z13,'Regional Data for Income Taxes'!Z10,'Regional Data for Income Taxes'!Z7)</f>
        <v>0.40978368408198496</v>
      </c>
      <c r="AB76" s="1120">
        <f>'Regional Data for Income Taxes'!AA10/SUM('Regional Data for Income Taxes'!AA16,'Regional Data for Income Taxes'!AA13,'Regional Data for Income Taxes'!AA10,'Regional Data for Income Taxes'!AA7)</f>
        <v>0.40981858248302505</v>
      </c>
      <c r="AC76" s="1120">
        <f>'Regional Data for Income Taxes'!AB10/SUM('Regional Data for Income Taxes'!AB16,'Regional Data for Income Taxes'!AB13,'Regional Data for Income Taxes'!AB10,'Regional Data for Income Taxes'!AB7)</f>
        <v>0.40976345835442762</v>
      </c>
      <c r="AD76" s="1120">
        <f>'Regional Data for Income Taxes'!AC10/SUM('Regional Data for Income Taxes'!AC16,'Regional Data for Income Taxes'!AC13,'Regional Data for Income Taxes'!AC10,'Regional Data for Income Taxes'!AC7)</f>
        <v>0.40978857399168223</v>
      </c>
      <c r="AE76" s="1120">
        <f>'Regional Data for Income Taxes'!AD10/SUM('Regional Data for Income Taxes'!AD16,'Regional Data for Income Taxes'!AD13,'Regional Data for Income Taxes'!AD10,'Regional Data for Income Taxes'!AD7)</f>
        <v>0.40979020397902632</v>
      </c>
      <c r="AF76" s="1120">
        <f>'Regional Data for Income Taxes'!AE10/SUM('Regional Data for Income Taxes'!AE16,'Regional Data for Income Taxes'!AE13,'Regional Data for Income Taxes'!AE10,'Regional Data for Income Taxes'!AE7)</f>
        <v>0.40978074515477381</v>
      </c>
      <c r="AG76" s="1120">
        <f>'Regional Data for Income Taxes'!AF10/SUM('Regional Data for Income Taxes'!AF16,'Regional Data for Income Taxes'!AF13,'Regional Data for Income Taxes'!AF10,'Regional Data for Income Taxes'!AF7)</f>
        <v>0.40978074515477381</v>
      </c>
      <c r="AH76" s="1120">
        <f>'Regional Data for Income Taxes'!AG10/SUM('Regional Data for Income Taxes'!AG16,'Regional Data for Income Taxes'!AG13,'Regional Data for Income Taxes'!AG10,'Regional Data for Income Taxes'!AG7)</f>
        <v>0.40978074515477381</v>
      </c>
      <c r="AI76" s="1120">
        <f>'Regional Data for Income Taxes'!AH10/SUM('Regional Data for Income Taxes'!AH16,'Regional Data for Income Taxes'!AH13,'Regional Data for Income Taxes'!AH10,'Regional Data for Income Taxes'!AH7)</f>
        <v>0.40978074515477381</v>
      </c>
      <c r="AJ76" s="1120">
        <f>'Regional Data for Income Taxes'!AI10/SUM('Regional Data for Income Taxes'!AI16,'Regional Data for Income Taxes'!AI13,'Regional Data for Income Taxes'!AI10,'Regional Data for Income Taxes'!AI7)</f>
        <v>0.40978074515477381</v>
      </c>
      <c r="AK76" s="1120">
        <f>'Regional Data for Income Taxes'!AJ10/SUM('Regional Data for Income Taxes'!AJ16,'Regional Data for Income Taxes'!AJ13,'Regional Data for Income Taxes'!AJ10,'Regional Data for Income Taxes'!AJ7)</f>
        <v>0.40978074515477381</v>
      </c>
      <c r="AL76" s="1120">
        <f>'Regional Data for Income Taxes'!AK10/SUM('Regional Data for Income Taxes'!AK16,'Regional Data for Income Taxes'!AK13,'Regional Data for Income Taxes'!AK10,'Regional Data for Income Taxes'!AK7)</f>
        <v>0.40978074515477381</v>
      </c>
      <c r="AM76" s="1120">
        <f>'Regional Data for Income Taxes'!AL10/SUM('Regional Data for Income Taxes'!AL16,'Regional Data for Income Taxes'!AL13,'Regional Data for Income Taxes'!AL10,'Regional Data for Income Taxes'!AL7)</f>
        <v>0.40978074515477381</v>
      </c>
      <c r="AN76" s="1120">
        <f>'Regional Data for Income Taxes'!AM10/SUM('Regional Data for Income Taxes'!AM16,'Regional Data for Income Taxes'!AM13,'Regional Data for Income Taxes'!AM10,'Regional Data for Income Taxes'!AM7)</f>
        <v>0.40978074515477381</v>
      </c>
      <c r="AO76" s="1120">
        <f>'Regional Data for Income Taxes'!AN10/SUM('Regional Data for Income Taxes'!AN16,'Regional Data for Income Taxes'!AN13,'Regional Data for Income Taxes'!AN10,'Regional Data for Income Taxes'!AN7)</f>
        <v>0.40978074515477381</v>
      </c>
      <c r="AP76" s="1120">
        <f>'Regional Data for Income Taxes'!AO10/SUM('Regional Data for Income Taxes'!AO16,'Regional Data for Income Taxes'!AO13,'Regional Data for Income Taxes'!AO10,'Regional Data for Income Taxes'!AO7)</f>
        <v>0.40978074515477381</v>
      </c>
      <c r="AQ76" s="1121">
        <f>'Regional Data for Income Taxes'!AP10/SUM('Regional Data for Income Taxes'!AP16,'Regional Data for Income Taxes'!AP13,'Regional Data for Income Taxes'!AP10,'Regional Data for Income Taxes'!AP7)</f>
        <v>0.40978074515477381</v>
      </c>
      <c r="AR76" s="1120"/>
      <c r="AS76" s="1120"/>
    </row>
    <row r="77" spans="1:69" x14ac:dyDescent="0.75">
      <c r="A77" s="1032" t="s">
        <v>186</v>
      </c>
      <c r="B77" s="1120">
        <v>0.15</v>
      </c>
      <c r="C77" s="1120">
        <v>0.22</v>
      </c>
      <c r="D77" s="1120">
        <v>0.22</v>
      </c>
      <c r="E77" s="1120">
        <v>0.22</v>
      </c>
      <c r="F77" s="1120">
        <v>0.22</v>
      </c>
      <c r="G77" s="1120">
        <v>0.22</v>
      </c>
      <c r="H77" s="1120">
        <v>0.22</v>
      </c>
      <c r="I77" s="1422">
        <v>0.22</v>
      </c>
      <c r="J77" s="1120">
        <v>0.22</v>
      </c>
      <c r="K77" s="1120">
        <v>0.22</v>
      </c>
      <c r="L77" s="1120">
        <v>0.22</v>
      </c>
      <c r="M77" s="1120">
        <v>0.22</v>
      </c>
      <c r="N77" s="1120">
        <v>0.22</v>
      </c>
      <c r="O77" s="1422">
        <v>0.22</v>
      </c>
      <c r="P77" s="1120">
        <v>0.22</v>
      </c>
      <c r="Q77" s="1120">
        <v>0.22</v>
      </c>
      <c r="R77" s="1120">
        <v>0.22</v>
      </c>
      <c r="S77" s="1120">
        <v>0.22</v>
      </c>
      <c r="T77" s="1120">
        <v>0.22</v>
      </c>
      <c r="U77" s="1120">
        <v>0.22</v>
      </c>
      <c r="V77" s="1120">
        <v>0.22</v>
      </c>
      <c r="W77" s="1120">
        <v>0.22</v>
      </c>
      <c r="X77" s="1120">
        <v>0.22</v>
      </c>
      <c r="Y77" s="1120">
        <v>0.22</v>
      </c>
      <c r="Z77" s="1120">
        <v>0.22</v>
      </c>
      <c r="AA77" s="1120">
        <v>0.22</v>
      </c>
      <c r="AB77" s="1120">
        <v>0.22</v>
      </c>
      <c r="AC77" s="1120">
        <v>0.22</v>
      </c>
      <c r="AD77" s="1120">
        <v>0.22</v>
      </c>
      <c r="AE77" s="1120">
        <v>0.22</v>
      </c>
      <c r="AF77" s="1120">
        <v>0.22</v>
      </c>
      <c r="AG77" s="1120">
        <v>0.22</v>
      </c>
      <c r="AH77" s="1120">
        <v>0.22</v>
      </c>
      <c r="AI77" s="1120">
        <v>0.22</v>
      </c>
      <c r="AJ77" s="1120">
        <v>0.22</v>
      </c>
      <c r="AK77" s="1120">
        <v>0.22</v>
      </c>
      <c r="AL77" s="1120">
        <v>0.22</v>
      </c>
      <c r="AM77" s="1120">
        <v>0.22</v>
      </c>
      <c r="AN77" s="1120">
        <v>0.22</v>
      </c>
      <c r="AO77" s="1120">
        <v>0.22</v>
      </c>
      <c r="AP77" s="1120">
        <v>0.22</v>
      </c>
      <c r="AQ77" s="1121">
        <v>0.22</v>
      </c>
      <c r="AR77" s="1120"/>
      <c r="AS77" s="1120"/>
    </row>
    <row r="78" spans="1:69" x14ac:dyDescent="0.75">
      <c r="A78" s="1118" t="s">
        <v>265</v>
      </c>
      <c r="B78" s="1119"/>
      <c r="C78" s="1119">
        <f>'Regional Data for Income Taxes'!B107/'Income Taxes'!C79</f>
        <v>4.7164010862325155E-2</v>
      </c>
      <c r="D78" s="1119">
        <f>'Regional Data for Income Taxes'!C107/'Income Taxes'!D79</f>
        <v>4.2471267720669746E-2</v>
      </c>
      <c r="E78" s="1119">
        <f>'Regional Data for Income Taxes'!D107/'Income Taxes'!E79</f>
        <v>5.3438653424388853E-2</v>
      </c>
      <c r="F78" s="1119">
        <f>'Regional Data for Income Taxes'!E107/'Income Taxes'!F79</f>
        <v>4.8919601391480411E-2</v>
      </c>
      <c r="G78" s="1119">
        <f>'Regional Data for Income Taxes'!F107/'Income Taxes'!G79</f>
        <v>8.5575367517760431E-2</v>
      </c>
      <c r="H78" s="1119">
        <f>'Regional Data for Income Taxes'!G107/'Income Taxes'!H79</f>
        <v>9.9804593393650623E-2</v>
      </c>
      <c r="I78" s="1421">
        <f>'Regional Data for Income Taxes'!H107/'Income Taxes'!I79</f>
        <v>0.10950523351525243</v>
      </c>
      <c r="J78" s="1120">
        <f>'Regional Data for Income Taxes'!I13/SUM('Regional Data for Income Taxes'!I16,'Regional Data for Income Taxes'!I13,'Regional Data for Income Taxes'!I10,'Regional Data for Income Taxes'!I7)</f>
        <v>0.1137370753323486</v>
      </c>
      <c r="K78" s="1120">
        <f>'Regional Data for Income Taxes'!J13/SUM('Regional Data for Income Taxes'!J16,'Regional Data for Income Taxes'!J13,'Regional Data for Income Taxes'!J10,'Regional Data for Income Taxes'!J7)</f>
        <v>0.1054739652870494</v>
      </c>
      <c r="L78" s="1120">
        <f>'Regional Data for Income Taxes'!K13/SUM('Regional Data for Income Taxes'!K16,'Regional Data for Income Taxes'!K13,'Regional Data for Income Taxes'!K10,'Regional Data for Income Taxes'!K7)</f>
        <v>0.10408432147562582</v>
      </c>
      <c r="M78" s="1120">
        <f>'Regional Data for Income Taxes'!L13/SUM('Regional Data for Income Taxes'!L16,'Regional Data for Income Taxes'!L13,'Regional Data for Income Taxes'!L10,'Regional Data for Income Taxes'!L7)</f>
        <v>0.11080711354309167</v>
      </c>
      <c r="N78" s="1120">
        <f>'Regional Data for Income Taxes'!M13/SUM('Regional Data for Income Taxes'!M16,'Regional Data for Income Taxes'!M13,'Regional Data for Income Taxes'!M10,'Regional Data for Income Taxes'!M7)</f>
        <v>0.11234396671289876</v>
      </c>
      <c r="O78" s="1422">
        <f>'Regional Data for Income Taxes'!N13/SUM('Regional Data for Income Taxes'!N16,'Regional Data for Income Taxes'!N13,'Regional Data for Income Taxes'!N10,'Regional Data for Income Taxes'!N7)</f>
        <v>0.11764705882352942</v>
      </c>
      <c r="P78" s="1120">
        <f>'Regional Data for Income Taxes'!O13/SUM('Regional Data for Income Taxes'!O16,'Regional Data for Income Taxes'!O13,'Regional Data for Income Taxes'!O10,'Regional Data for Income Taxes'!O7)</f>
        <v>0.11739745403111741</v>
      </c>
      <c r="Q78" s="1120">
        <f>'Regional Data for Income Taxes'!P13/SUM('Regional Data for Income Taxes'!P16,'Regional Data for Income Taxes'!P13,'Regional Data for Income Taxes'!P10,'Regional Data for Income Taxes'!P7)</f>
        <v>0.11657303370786518</v>
      </c>
      <c r="R78" s="1120">
        <f>'Regional Data for Income Taxes'!Q13/SUM('Regional Data for Income Taxes'!Q16,'Regional Data for Income Taxes'!Q13,'Regional Data for Income Taxes'!Q10,'Regional Data for Income Taxes'!Q7)</f>
        <v>0.11723163841807911</v>
      </c>
      <c r="S78" s="1120">
        <f>'Regional Data for Income Taxes'!R13/SUM('Regional Data for Income Taxes'!R16,'Regional Data for Income Taxes'!R13,'Regional Data for Income Taxes'!R10,'Regional Data for Income Taxes'!R7)</f>
        <v>0.12156295224312592</v>
      </c>
      <c r="T78" s="1120">
        <f>'Regional Data for Income Taxes'!S13/SUM('Regional Data for Income Taxes'!S16,'Regional Data for Income Taxes'!S13,'Regional Data for Income Taxes'!S10,'Regional Data for Income Taxes'!S7)</f>
        <v>0.12000000000000001</v>
      </c>
      <c r="U78" s="1120">
        <f>'Regional Data for Income Taxes'!T13/SUM('Regional Data for Income Taxes'!T16,'Regional Data for Income Taxes'!T13,'Regional Data for Income Taxes'!T10,'Regional Data for Income Taxes'!T7)</f>
        <v>0.11958075273939972</v>
      </c>
      <c r="V78" s="1120">
        <f>'Regional Data for Income Taxes'!U13/SUM('Regional Data for Income Taxes'!U16,'Regional Data for Income Taxes'!U13,'Regional Data for Income Taxes'!U10,'Regional Data for Income Taxes'!U7)</f>
        <v>0.12037627551020411</v>
      </c>
      <c r="W78" s="1120">
        <f>'Regional Data for Income Taxes'!V13/SUM('Regional Data for Income Taxes'!V16,'Regional Data for Income Taxes'!V13,'Regional Data for Income Taxes'!V10,'Regional Data for Income Taxes'!V7)</f>
        <v>0.1199851608458318</v>
      </c>
      <c r="X78" s="1120">
        <f>'Regional Data for Income Taxes'!W13/SUM('Regional Data for Income Taxes'!W16,'Regional Data for Income Taxes'!W13,'Regional Data for Income Taxes'!W10,'Regional Data for Income Taxes'!W7)</f>
        <v>0.11998020361990951</v>
      </c>
      <c r="Y78" s="1120">
        <f>'Regional Data for Income Taxes'!X13/SUM('Regional Data for Income Taxes'!X16,'Regional Data for Income Taxes'!X13,'Regional Data for Income Taxes'!X10,'Regional Data for Income Taxes'!X7)</f>
        <v>0.12011365847044468</v>
      </c>
      <c r="Z78" s="1120">
        <f>'Regional Data for Income Taxes'!Y13/SUM('Regional Data for Income Taxes'!Y16,'Regional Data for Income Taxes'!Y13,'Regional Data for Income Taxes'!Y10,'Regional Data for Income Taxes'!Y7)</f>
        <v>0.12002631682312741</v>
      </c>
      <c r="AA78" s="1120">
        <f>'Regional Data for Income Taxes'!Z13/SUM('Regional Data for Income Taxes'!Z16,'Regional Data for Income Taxes'!Z13,'Regional Data for Income Taxes'!Z10,'Regional Data for Income Taxes'!Z7)</f>
        <v>0.12004004565047011</v>
      </c>
      <c r="AB78" s="1120">
        <f>'Regional Data for Income Taxes'!AA13/SUM('Regional Data for Income Taxes'!AA16,'Regional Data for Income Taxes'!AA13,'Regional Data for Income Taxes'!AA10,'Regional Data for Income Taxes'!AA7)</f>
        <v>0.1200599981316065</v>
      </c>
      <c r="AC78" s="1120">
        <f>'Regional Data for Income Taxes'!AB13/SUM('Regional Data for Income Taxes'!AB16,'Regional Data for Income Taxes'!AB13,'Regional Data for Income Taxes'!AB10,'Regional Data for Income Taxes'!AB7)</f>
        <v>0.12004211884197631</v>
      </c>
      <c r="AD78" s="1120">
        <f>'Regional Data for Income Taxes'!AC13/SUM('Regional Data for Income Taxes'!AC16,'Regional Data for Income Taxes'!AC13,'Regional Data for Income Taxes'!AC10,'Regional Data for Income Taxes'!AC7)</f>
        <v>0.12004738719991714</v>
      </c>
      <c r="AE78" s="1120">
        <f>'Regional Data for Income Taxes'!AD13/SUM('Regional Data for Income Taxes'!AD16,'Regional Data for Income Taxes'!AD13,'Regional Data for Income Taxes'!AD10,'Regional Data for Income Taxes'!AD7)</f>
        <v>0.12004983440925773</v>
      </c>
      <c r="AF78" s="1120">
        <f>'Regional Data for Income Taxes'!AE13/SUM('Regional Data for Income Taxes'!AE16,'Regional Data for Income Taxes'!AE13,'Regional Data for Income Taxes'!AE10,'Regional Data for Income Taxes'!AE7)</f>
        <v>0.12004644674430356</v>
      </c>
      <c r="AG78" s="1120">
        <f>'Regional Data for Income Taxes'!AF13/SUM('Regional Data for Income Taxes'!AF16,'Regional Data for Income Taxes'!AF13,'Regional Data for Income Taxes'!AF10,'Regional Data for Income Taxes'!AF7)</f>
        <v>0.12004644674430356</v>
      </c>
      <c r="AH78" s="1120">
        <f>'Regional Data for Income Taxes'!AG13/SUM('Regional Data for Income Taxes'!AG16,'Regional Data for Income Taxes'!AG13,'Regional Data for Income Taxes'!AG10,'Regional Data for Income Taxes'!AG7)</f>
        <v>0.12004644674430356</v>
      </c>
      <c r="AI78" s="1120">
        <f>'Regional Data for Income Taxes'!AH13/SUM('Regional Data for Income Taxes'!AH16,'Regional Data for Income Taxes'!AH13,'Regional Data for Income Taxes'!AH10,'Regional Data for Income Taxes'!AH7)</f>
        <v>0.12004644674430356</v>
      </c>
      <c r="AJ78" s="1120">
        <f>'Regional Data for Income Taxes'!AI13/SUM('Regional Data for Income Taxes'!AI16,'Regional Data for Income Taxes'!AI13,'Regional Data for Income Taxes'!AI10,'Regional Data for Income Taxes'!AI7)</f>
        <v>0.12004644674430356</v>
      </c>
      <c r="AK78" s="1120">
        <f>'Regional Data for Income Taxes'!AJ13/SUM('Regional Data for Income Taxes'!AJ16,'Regional Data for Income Taxes'!AJ13,'Regional Data for Income Taxes'!AJ10,'Regional Data for Income Taxes'!AJ7)</f>
        <v>0.12004644674430356</v>
      </c>
      <c r="AL78" s="1120">
        <f>'Regional Data for Income Taxes'!AK13/SUM('Regional Data for Income Taxes'!AK16,'Regional Data for Income Taxes'!AK13,'Regional Data for Income Taxes'!AK10,'Regional Data for Income Taxes'!AK7)</f>
        <v>0.12004644674430356</v>
      </c>
      <c r="AM78" s="1120">
        <f>'Regional Data for Income Taxes'!AL13/SUM('Regional Data for Income Taxes'!AL16,'Regional Data for Income Taxes'!AL13,'Regional Data for Income Taxes'!AL10,'Regional Data for Income Taxes'!AL7)</f>
        <v>0.12004644674430356</v>
      </c>
      <c r="AN78" s="1120">
        <f>'Regional Data for Income Taxes'!AM13/SUM('Regional Data for Income Taxes'!AM16,'Regional Data for Income Taxes'!AM13,'Regional Data for Income Taxes'!AM10,'Regional Data for Income Taxes'!AM7)</f>
        <v>0.12004644674430356</v>
      </c>
      <c r="AO78" s="1120">
        <f>'Regional Data for Income Taxes'!AN13/SUM('Regional Data for Income Taxes'!AN16,'Regional Data for Income Taxes'!AN13,'Regional Data for Income Taxes'!AN10,'Regional Data for Income Taxes'!AN7)</f>
        <v>0.12004644674430356</v>
      </c>
      <c r="AP78" s="1120">
        <f>'Regional Data for Income Taxes'!AO13/SUM('Regional Data for Income Taxes'!AO16,'Regional Data for Income Taxes'!AO13,'Regional Data for Income Taxes'!AO10,'Regional Data for Income Taxes'!AO7)</f>
        <v>0.12004644674430356</v>
      </c>
      <c r="AQ78" s="1121">
        <f>'Regional Data for Income Taxes'!AP13/SUM('Regional Data for Income Taxes'!AP16,'Regional Data for Income Taxes'!AP13,'Regional Data for Income Taxes'!AP10,'Regional Data for Income Taxes'!AP7)</f>
        <v>0.12004644674430356</v>
      </c>
      <c r="AR78" s="1120"/>
      <c r="AS78" s="1120"/>
    </row>
    <row r="79" spans="1:69" ht="16" x14ac:dyDescent="0.8">
      <c r="A79" s="1086" t="s">
        <v>266</v>
      </c>
      <c r="B79" s="184">
        <v>0.25</v>
      </c>
      <c r="C79" s="184">
        <f>SUM('Regional Data for Income Taxes'!B77,'Regional Data for Income Taxes'!B81,'Regional Data for Income Taxes'!B101,'Regional Data for Income Taxes'!B107)</f>
        <v>0.64194322928658354</v>
      </c>
      <c r="D79" s="184">
        <f>SUM('Regional Data for Income Taxes'!C77,'Regional Data for Income Taxes'!C81,'Regional Data for Income Taxes'!C101,'Regional Data for Income Taxes'!C107)</f>
        <v>0.61340369364087055</v>
      </c>
      <c r="E79" s="184">
        <f>SUM('Regional Data for Income Taxes'!D77,'Regional Data for Income Taxes'!D81,'Regional Data for Income Taxes'!D101,'Regional Data for Income Taxes'!D107)</f>
        <v>0.60959120009565115</v>
      </c>
      <c r="F79" s="184">
        <f>SUM('Regional Data for Income Taxes'!E77,'Regional Data for Income Taxes'!E81,'Regional Data for Income Taxes'!E101,'Regional Data for Income Taxes'!E107)</f>
        <v>0.60672323526680816</v>
      </c>
      <c r="G79" s="184">
        <f>SUM('Regional Data for Income Taxes'!F77,'Regional Data for Income Taxes'!F81,'Regional Data for Income Taxes'!F101,'Regional Data for Income Taxes'!F107)</f>
        <v>0.67633574168227628</v>
      </c>
      <c r="H79" s="184">
        <f>SUM('Regional Data for Income Taxes'!G77,'Regional Data for Income Taxes'!G81,'Regional Data for Income Taxes'!G101,'Regional Data for Income Taxes'!G107)</f>
        <v>0.66165830792255442</v>
      </c>
      <c r="I79" s="1423">
        <f>SUM('Regional Data for Income Taxes'!H77,'Regional Data for Income Taxes'!H81,'Regional Data for Income Taxes'!H101,'Regional Data for Income Taxes'!H107)</f>
        <v>0.66832593022266074</v>
      </c>
      <c r="J79" s="184"/>
      <c r="K79" s="184"/>
      <c r="L79" s="184"/>
      <c r="M79" s="184"/>
      <c r="N79" s="184"/>
      <c r="O79" s="1423"/>
      <c r="P79" s="184"/>
      <c r="Q79" s="184"/>
      <c r="R79" s="184"/>
      <c r="S79" s="183"/>
      <c r="T79" s="183"/>
      <c r="U79" s="183"/>
      <c r="V79" s="183"/>
      <c r="W79" s="183"/>
      <c r="X79" s="183"/>
      <c r="Y79" s="183"/>
      <c r="Z79" s="183"/>
      <c r="AA79" s="183"/>
      <c r="AB79" s="183"/>
      <c r="AC79" s="183"/>
      <c r="AD79" s="183"/>
      <c r="AE79" s="183"/>
      <c r="AF79" s="183"/>
      <c r="AG79" s="183"/>
      <c r="AH79" s="183"/>
      <c r="AI79" s="183"/>
      <c r="AJ79" s="1336"/>
      <c r="AK79" s="1336"/>
      <c r="AL79" s="1336"/>
      <c r="AM79" s="1336"/>
      <c r="AN79" s="1336"/>
      <c r="AO79" s="1336"/>
      <c r="AP79" s="1336"/>
      <c r="AQ79" s="1337"/>
      <c r="AR79"/>
      <c r="AS79"/>
    </row>
    <row r="80" spans="1:69" ht="16.75" thickBot="1" x14ac:dyDescent="0.95">
      <c r="A80" s="1050" t="s">
        <v>267</v>
      </c>
      <c r="B80" s="1122"/>
      <c r="C80" s="1122">
        <f t="shared" ref="C80:AQ80" si="46">C73*C74+C75*C76+C77*C78</f>
        <v>0.11516037300814676</v>
      </c>
      <c r="D80" s="1122">
        <f t="shared" si="46"/>
        <v>0.11505625288893477</v>
      </c>
      <c r="E80" s="1122">
        <f t="shared" si="46"/>
        <v>0.11230212363817914</v>
      </c>
      <c r="F80" s="1122">
        <f t="shared" si="46"/>
        <v>0.10475816847272661</v>
      </c>
      <c r="G80" s="1122">
        <f t="shared" si="46"/>
        <v>0.13367895828937187</v>
      </c>
      <c r="H80" s="1122">
        <f t="shared" si="46"/>
        <v>0.13718958009886323</v>
      </c>
      <c r="I80" s="1424">
        <f t="shared" si="46"/>
        <v>0.14143132750626183</v>
      </c>
      <c r="J80" s="1122">
        <f t="shared" si="46"/>
        <v>0.13949778434268834</v>
      </c>
      <c r="K80" s="1122">
        <f t="shared" si="46"/>
        <v>0.13668891855807747</v>
      </c>
      <c r="L80" s="1122">
        <f t="shared" si="46"/>
        <v>0.13488801054018446</v>
      </c>
      <c r="M80" s="1122">
        <f t="shared" si="46"/>
        <v>0.13860465116279069</v>
      </c>
      <c r="N80" s="1122">
        <f t="shared" si="46"/>
        <v>0.14122052704576976</v>
      </c>
      <c r="O80" s="1424">
        <f t="shared" si="46"/>
        <v>0.14532281205164993</v>
      </c>
      <c r="P80" s="1122">
        <f t="shared" si="46"/>
        <v>0.14336633663366335</v>
      </c>
      <c r="Q80" s="1122">
        <f t="shared" si="46"/>
        <v>0.14060393258426968</v>
      </c>
      <c r="R80" s="1122">
        <f t="shared" si="46"/>
        <v>0.14337570621468926</v>
      </c>
      <c r="S80" s="1122">
        <f t="shared" si="46"/>
        <v>0.14794500723589002</v>
      </c>
      <c r="T80" s="1122">
        <f t="shared" si="46"/>
        <v>0.14354285714285714</v>
      </c>
      <c r="U80" s="1122">
        <f t="shared" si="46"/>
        <v>0.14493568365888518</v>
      </c>
      <c r="V80" s="1122">
        <f t="shared" si="46"/>
        <v>0.14546396683673468</v>
      </c>
      <c r="W80" s="1122">
        <f t="shared" si="46"/>
        <v>0.14464624516402566</v>
      </c>
      <c r="X80" s="1122">
        <f t="shared" si="46"/>
        <v>0.14501484728506786</v>
      </c>
      <c r="Y80" s="1122">
        <f t="shared" si="46"/>
        <v>0.14504129551791831</v>
      </c>
      <c r="Z80" s="1122">
        <f t="shared" si="46"/>
        <v>0.14490072273066501</v>
      </c>
      <c r="AA80" s="1122">
        <f t="shared" si="46"/>
        <v>0.14498561145897515</v>
      </c>
      <c r="AB80" s="1122">
        <f t="shared" si="46"/>
        <v>0.1449758636736283</v>
      </c>
      <c r="AC80" s="1122">
        <f t="shared" si="46"/>
        <v>0.14495406219193016</v>
      </c>
      <c r="AD80" s="1122">
        <f t="shared" si="46"/>
        <v>0.14497184544969</v>
      </c>
      <c r="AE80" s="1122">
        <f t="shared" si="46"/>
        <v>0.14496725673081684</v>
      </c>
      <c r="AF80" s="1122">
        <f t="shared" si="46"/>
        <v>0.14496438795523206</v>
      </c>
      <c r="AG80" s="1122">
        <f t="shared" si="46"/>
        <v>0.14496438795523206</v>
      </c>
      <c r="AH80" s="1122">
        <f t="shared" si="46"/>
        <v>0.14496438795523206</v>
      </c>
      <c r="AI80" s="1122">
        <f t="shared" si="46"/>
        <v>0.14496438795523206</v>
      </c>
      <c r="AJ80" s="1122">
        <f t="shared" si="46"/>
        <v>0.14496438795523206</v>
      </c>
      <c r="AK80" s="1122">
        <f t="shared" si="46"/>
        <v>0.14496438795523206</v>
      </c>
      <c r="AL80" s="1122">
        <f t="shared" si="46"/>
        <v>0.14496438795523206</v>
      </c>
      <c r="AM80" s="1122">
        <f t="shared" si="46"/>
        <v>0.14496438795523206</v>
      </c>
      <c r="AN80" s="1122">
        <f t="shared" si="46"/>
        <v>0.14496438795523206</v>
      </c>
      <c r="AO80" s="1122">
        <f t="shared" si="46"/>
        <v>0.14496438795523206</v>
      </c>
      <c r="AP80" s="1122">
        <f t="shared" si="46"/>
        <v>0.14496438795523206</v>
      </c>
      <c r="AQ80" s="1123">
        <f t="shared" si="46"/>
        <v>0.14496438795523206</v>
      </c>
      <c r="AR80"/>
      <c r="AS80"/>
    </row>
    <row r="81" spans="1:45" s="181" customFormat="1" x14ac:dyDescent="0.75">
      <c r="B81" s="240">
        <v>0.22</v>
      </c>
      <c r="C81" s="240">
        <f t="shared" ref="C81:AQ81" si="47">(C71-C73)*C74+(C71-C75)*C76+(C71-C77)*C78</f>
        <v>7.263039913921196E-2</v>
      </c>
      <c r="D81" s="240">
        <f t="shared" si="47"/>
        <v>7.4435653606063718E-2</v>
      </c>
      <c r="E81" s="240">
        <f t="shared" si="47"/>
        <v>7.6808212827416497E-2</v>
      </c>
      <c r="F81" s="240">
        <f t="shared" si="47"/>
        <v>7.0564244133002899E-2</v>
      </c>
      <c r="G81" s="240">
        <f t="shared" si="47"/>
        <v>7.825174087360201E-2</v>
      </c>
      <c r="H81" s="240">
        <f t="shared" si="47"/>
        <v>7.9595312025982815E-2</v>
      </c>
      <c r="I81" s="240">
        <f t="shared" si="47"/>
        <v>8.3106288237208656E-2</v>
      </c>
      <c r="J81" s="240">
        <f t="shared" si="47"/>
        <v>8.1255539143279168E-2</v>
      </c>
      <c r="K81" s="240">
        <f t="shared" si="47"/>
        <v>-1.4125500667556736E-2</v>
      </c>
      <c r="L81" s="240">
        <f t="shared" si="47"/>
        <v>-1.3939393939393935E-2</v>
      </c>
      <c r="M81" s="240">
        <f t="shared" si="47"/>
        <v>-1.5212038303693567E-2</v>
      </c>
      <c r="N81" s="240">
        <f t="shared" si="47"/>
        <v>0.10898751733703192</v>
      </c>
      <c r="O81" s="240">
        <f t="shared" si="47"/>
        <v>0.11120516499282641</v>
      </c>
      <c r="P81" s="240">
        <f t="shared" si="47"/>
        <v>0.10953323903818955</v>
      </c>
      <c r="Q81" s="240">
        <f t="shared" si="47"/>
        <v>0.1077106741573034</v>
      </c>
      <c r="R81" s="240">
        <f t="shared" si="47"/>
        <v>7.8093220338983041E-2</v>
      </c>
      <c r="S81" s="240">
        <f t="shared" si="47"/>
        <v>8.0492040520984062E-2</v>
      </c>
      <c r="T81" s="240">
        <f t="shared" si="47"/>
        <v>7.6457142857142849E-2</v>
      </c>
      <c r="U81" s="240">
        <f t="shared" si="47"/>
        <v>7.8337303477846579E-2</v>
      </c>
      <c r="V81" s="240">
        <f t="shared" si="47"/>
        <v>7.8419961734693858E-2</v>
      </c>
      <c r="W81" s="240">
        <f t="shared" si="47"/>
        <v>7.773702898934759E-2</v>
      </c>
      <c r="X81" s="240">
        <f t="shared" si="47"/>
        <v>7.8164592760180979E-2</v>
      </c>
      <c r="Y81" s="240">
        <f t="shared" si="47"/>
        <v>7.810689083952814E-2</v>
      </c>
      <c r="Z81" s="240">
        <f t="shared" si="47"/>
        <v>7.8002769158254437E-2</v>
      </c>
      <c r="AA81" s="240">
        <f t="shared" si="47"/>
        <v>7.809141486992692E-2</v>
      </c>
      <c r="AB81" s="240">
        <f t="shared" si="47"/>
        <v>7.806701595730281E-2</v>
      </c>
      <c r="AC81" s="240">
        <f t="shared" si="47"/>
        <v>7.8053729895684293E-2</v>
      </c>
      <c r="AD81" s="240">
        <f t="shared" si="47"/>
        <v>7.8070720092207682E-2</v>
      </c>
      <c r="AE81" s="240">
        <f t="shared" si="47"/>
        <v>7.806382175913755E-2</v>
      </c>
      <c r="AF81" s="240">
        <f t="shared" si="47"/>
        <v>7.8062757102625918E-2</v>
      </c>
      <c r="AG81" s="240">
        <f t="shared" si="47"/>
        <v>7.8062757102625918E-2</v>
      </c>
      <c r="AH81" s="240">
        <f t="shared" si="47"/>
        <v>7.8062757102625918E-2</v>
      </c>
      <c r="AI81" s="240">
        <f t="shared" si="47"/>
        <v>7.8062757102625918E-2</v>
      </c>
      <c r="AJ81" s="1338">
        <f t="shared" si="47"/>
        <v>7.8062757102625918E-2</v>
      </c>
      <c r="AK81" s="1338">
        <f t="shared" si="47"/>
        <v>7.8062757102625918E-2</v>
      </c>
      <c r="AL81" s="1338">
        <f t="shared" si="47"/>
        <v>7.8062757102625918E-2</v>
      </c>
      <c r="AM81" s="1338">
        <f t="shared" si="47"/>
        <v>7.8062757102625918E-2</v>
      </c>
      <c r="AN81" s="1338">
        <f t="shared" si="47"/>
        <v>7.8062757102625918E-2</v>
      </c>
      <c r="AO81" s="1338">
        <f t="shared" si="47"/>
        <v>7.8062757102625918E-2</v>
      </c>
      <c r="AP81" s="1338">
        <f t="shared" si="47"/>
        <v>7.8062757102625918E-2</v>
      </c>
      <c r="AQ81" s="1338">
        <f t="shared" si="47"/>
        <v>7.8062757102625918E-2</v>
      </c>
      <c r="AR81" s="1338"/>
      <c r="AS81" s="1338"/>
    </row>
    <row r="82" spans="1:45" x14ac:dyDescent="0.75">
      <c r="B82" s="179"/>
    </row>
    <row r="83" spans="1:45" x14ac:dyDescent="0.75">
      <c r="B83" s="179"/>
    </row>
    <row r="84" spans="1:45" ht="15.5" thickBot="1" x14ac:dyDescent="0.9"/>
    <row r="85" spans="1:45" ht="16" x14ac:dyDescent="0.8">
      <c r="A85" s="36" t="s">
        <v>501</v>
      </c>
      <c r="B85" s="1124"/>
      <c r="C85" s="1125">
        <v>2017</v>
      </c>
      <c r="D85" s="1126">
        <f>4/100</f>
        <v>0.04</v>
      </c>
      <c r="E85" s="1125"/>
      <c r="F85" s="1125" t="s">
        <v>163</v>
      </c>
      <c r="G85" s="1125" t="s">
        <v>164</v>
      </c>
      <c r="H85" s="1127"/>
    </row>
    <row r="86" spans="1:45" x14ac:dyDescent="0.75">
      <c r="A86" s="1128"/>
      <c r="B86" s="1129"/>
      <c r="C86" s="1129">
        <v>2018</v>
      </c>
      <c r="D86" s="1130">
        <f>($H$88*SIN(2*PI()*C86/$H$89)+4)/100</f>
        <v>2.2366442431225101E-2</v>
      </c>
      <c r="E86" s="1129"/>
      <c r="F86" s="1129"/>
      <c r="G86" s="1129"/>
      <c r="H86" s="1131"/>
    </row>
    <row r="87" spans="1:45" x14ac:dyDescent="0.75">
      <c r="A87" s="1128"/>
      <c r="B87" s="801"/>
      <c r="C87" s="1129">
        <v>2019</v>
      </c>
      <c r="D87" s="1130">
        <f t="shared" ref="D87:D93" si="48">($H$88*SIN(2*PI()*C87/$H$89)+4)/100</f>
        <v>1.1468304511145199E-2</v>
      </c>
      <c r="E87" s="1129"/>
      <c r="F87" s="1129"/>
      <c r="G87" s="1129"/>
      <c r="H87" s="1131"/>
    </row>
    <row r="88" spans="1:45" x14ac:dyDescent="0.75">
      <c r="A88" s="1128"/>
      <c r="B88" s="801"/>
      <c r="C88" s="1129">
        <v>2020</v>
      </c>
      <c r="D88" s="1130">
        <f t="shared" si="48"/>
        <v>3.9999999999997884E-2</v>
      </c>
      <c r="E88" s="1129"/>
      <c r="F88" s="1129"/>
      <c r="G88" s="1129" t="s">
        <v>165</v>
      </c>
      <c r="H88" s="1131">
        <v>3</v>
      </c>
    </row>
    <row r="89" spans="1:45" x14ac:dyDescent="0.75">
      <c r="A89" s="1128"/>
      <c r="B89" s="801"/>
      <c r="C89" s="1129">
        <v>2021</v>
      </c>
      <c r="D89" s="1130">
        <f t="shared" si="48"/>
        <v>6.8531695488853489E-2</v>
      </c>
      <c r="E89" s="1129"/>
      <c r="F89" s="1129"/>
      <c r="G89" s="1129" t="s">
        <v>166</v>
      </c>
      <c r="H89" s="1131">
        <v>5</v>
      </c>
    </row>
    <row r="90" spans="1:45" x14ac:dyDescent="0.75">
      <c r="A90" s="1128"/>
      <c r="B90" s="801"/>
      <c r="C90" s="1129">
        <v>2022</v>
      </c>
      <c r="D90" s="1130">
        <f t="shared" si="48"/>
        <v>5.7633557568778325E-2</v>
      </c>
      <c r="E90" s="1129"/>
      <c r="F90" s="1129"/>
      <c r="G90" s="1129" t="s">
        <v>165</v>
      </c>
      <c r="H90" s="1131">
        <v>0.25</v>
      </c>
    </row>
    <row r="91" spans="1:45" x14ac:dyDescent="0.75">
      <c r="A91" s="1128"/>
      <c r="B91" s="801"/>
      <c r="C91" s="1129">
        <v>2023</v>
      </c>
      <c r="D91" s="1130">
        <f t="shared" si="48"/>
        <v>2.2366442431231145E-2</v>
      </c>
      <c r="E91" s="1129"/>
      <c r="F91" s="1129"/>
      <c r="G91" s="1129" t="s">
        <v>166</v>
      </c>
      <c r="H91" s="1131">
        <v>10</v>
      </c>
    </row>
    <row r="92" spans="1:45" x14ac:dyDescent="0.75">
      <c r="A92" s="1128"/>
      <c r="B92" s="801"/>
      <c r="C92" s="1129">
        <v>2024</v>
      </c>
      <c r="D92" s="1130">
        <f t="shared" si="48"/>
        <v>1.1468304511147109E-2</v>
      </c>
      <c r="E92" s="1129"/>
      <c r="F92" s="1129"/>
      <c r="G92" s="1129"/>
      <c r="H92" s="1131"/>
    </row>
    <row r="93" spans="1:45" x14ac:dyDescent="0.75">
      <c r="A93" s="1128"/>
      <c r="B93" s="801"/>
      <c r="C93" s="1129">
        <v>2025</v>
      </c>
      <c r="D93" s="1130">
        <f t="shared" si="48"/>
        <v>3.9999999999990418E-2</v>
      </c>
      <c r="E93" s="1129"/>
      <c r="F93" s="1129"/>
      <c r="G93" s="1129"/>
      <c r="H93" s="1131"/>
    </row>
    <row r="94" spans="1:45" x14ac:dyDescent="0.75">
      <c r="A94" s="1128"/>
      <c r="B94" s="801"/>
      <c r="C94" s="1129">
        <v>2026</v>
      </c>
      <c r="D94" s="1130">
        <f>AVERAGE(D85:D93)</f>
        <v>3.4870527438040963E-2</v>
      </c>
      <c r="E94" s="1129"/>
      <c r="F94" s="1129"/>
      <c r="G94" s="1129"/>
      <c r="H94" s="1131"/>
    </row>
    <row r="95" spans="1:45" x14ac:dyDescent="0.75">
      <c r="A95" s="1128"/>
      <c r="B95" s="801"/>
      <c r="C95" s="1129">
        <v>2027</v>
      </c>
      <c r="D95" s="1130">
        <f>D94</f>
        <v>3.4870527438040963E-2</v>
      </c>
      <c r="E95" s="1129"/>
      <c r="F95" s="1129"/>
      <c r="G95" s="1129"/>
      <c r="H95" s="1131"/>
    </row>
    <row r="96" spans="1:45" x14ac:dyDescent="0.75">
      <c r="A96" s="1128"/>
      <c r="B96" s="801"/>
      <c r="C96" s="1129">
        <v>2028</v>
      </c>
      <c r="D96" s="1130">
        <f t="shared" ref="D96:D118" si="49">D95</f>
        <v>3.4870527438040963E-2</v>
      </c>
      <c r="E96" s="1129"/>
      <c r="F96" s="1129"/>
      <c r="G96" s="1129"/>
      <c r="H96" s="1131"/>
    </row>
    <row r="97" spans="1:8" x14ac:dyDescent="0.75">
      <c r="A97" s="1128"/>
      <c r="B97" s="801"/>
      <c r="C97" s="1129">
        <v>2029</v>
      </c>
      <c r="D97" s="1130">
        <f t="shared" si="49"/>
        <v>3.4870527438040963E-2</v>
      </c>
      <c r="E97" s="1129"/>
      <c r="F97" s="1129"/>
      <c r="G97" s="1129"/>
      <c r="H97" s="1131"/>
    </row>
    <row r="98" spans="1:8" x14ac:dyDescent="0.75">
      <c r="A98" s="1128"/>
      <c r="B98" s="801"/>
      <c r="C98" s="1129">
        <v>2030</v>
      </c>
      <c r="D98" s="1130">
        <f t="shared" si="49"/>
        <v>3.4870527438040963E-2</v>
      </c>
      <c r="E98" s="1129"/>
      <c r="F98" s="1129"/>
      <c r="G98" s="1129"/>
      <c r="H98" s="1131"/>
    </row>
    <row r="99" spans="1:8" x14ac:dyDescent="0.75">
      <c r="A99" s="1128"/>
      <c r="B99" s="801"/>
      <c r="C99" s="1129">
        <v>2031</v>
      </c>
      <c r="D99" s="1130">
        <f t="shared" si="49"/>
        <v>3.4870527438040963E-2</v>
      </c>
      <c r="E99" s="1129"/>
      <c r="F99" s="1129"/>
      <c r="G99" s="1129"/>
      <c r="H99" s="1131"/>
    </row>
    <row r="100" spans="1:8" x14ac:dyDescent="0.75">
      <c r="A100" s="1128"/>
      <c r="B100" s="801"/>
      <c r="C100" s="1129">
        <v>2032</v>
      </c>
      <c r="D100" s="1130">
        <f t="shared" si="49"/>
        <v>3.4870527438040963E-2</v>
      </c>
      <c r="E100" s="1129"/>
      <c r="F100" s="1129"/>
      <c r="G100" s="1129"/>
      <c r="H100" s="1131"/>
    </row>
    <row r="101" spans="1:8" x14ac:dyDescent="0.75">
      <c r="A101" s="1128"/>
      <c r="B101" s="801"/>
      <c r="C101" s="1129">
        <v>2033</v>
      </c>
      <c r="D101" s="1130">
        <f t="shared" si="49"/>
        <v>3.4870527438040963E-2</v>
      </c>
      <c r="E101" s="1129"/>
      <c r="F101" s="1129"/>
      <c r="G101" s="1129"/>
      <c r="H101" s="1131"/>
    </row>
    <row r="102" spans="1:8" x14ac:dyDescent="0.75">
      <c r="A102" s="1128"/>
      <c r="B102" s="801"/>
      <c r="C102" s="1129">
        <v>2034</v>
      </c>
      <c r="D102" s="1130">
        <f t="shared" si="49"/>
        <v>3.4870527438040963E-2</v>
      </c>
      <c r="E102" s="1129"/>
      <c r="F102" s="1129"/>
      <c r="G102" s="1129"/>
      <c r="H102" s="1131"/>
    </row>
    <row r="103" spans="1:8" x14ac:dyDescent="0.75">
      <c r="A103" s="1128"/>
      <c r="B103" s="801"/>
      <c r="C103" s="1129">
        <v>2035</v>
      </c>
      <c r="D103" s="1130">
        <f t="shared" si="49"/>
        <v>3.4870527438040963E-2</v>
      </c>
      <c r="E103" s="1129"/>
      <c r="F103" s="1129"/>
      <c r="G103" s="1129"/>
      <c r="H103" s="1131"/>
    </row>
    <row r="104" spans="1:8" x14ac:dyDescent="0.75">
      <c r="A104" s="1128"/>
      <c r="B104" s="801"/>
      <c r="C104" s="1129">
        <v>2036</v>
      </c>
      <c r="D104" s="1130">
        <f t="shared" si="49"/>
        <v>3.4870527438040963E-2</v>
      </c>
      <c r="E104" s="1129"/>
      <c r="F104" s="1129"/>
      <c r="G104" s="1129"/>
      <c r="H104" s="1131"/>
    </row>
    <row r="105" spans="1:8" x14ac:dyDescent="0.75">
      <c r="A105" s="1128"/>
      <c r="B105" s="801"/>
      <c r="C105" s="1129">
        <v>2037</v>
      </c>
      <c r="D105" s="1130">
        <f t="shared" si="49"/>
        <v>3.4870527438040963E-2</v>
      </c>
      <c r="E105" s="1129"/>
      <c r="F105" s="1129"/>
      <c r="G105" s="1129"/>
      <c r="H105" s="1131"/>
    </row>
    <row r="106" spans="1:8" x14ac:dyDescent="0.75">
      <c r="A106" s="1128"/>
      <c r="B106" s="801"/>
      <c r="C106" s="1129">
        <v>2038</v>
      </c>
      <c r="D106" s="1130">
        <f t="shared" si="49"/>
        <v>3.4870527438040963E-2</v>
      </c>
      <c r="E106" s="1129"/>
      <c r="F106" s="1129"/>
      <c r="G106" s="1129"/>
      <c r="H106" s="1131"/>
    </row>
    <row r="107" spans="1:8" x14ac:dyDescent="0.75">
      <c r="A107" s="1128"/>
      <c r="B107" s="801"/>
      <c r="C107" s="1129">
        <v>2039</v>
      </c>
      <c r="D107" s="1130">
        <f t="shared" si="49"/>
        <v>3.4870527438040963E-2</v>
      </c>
      <c r="E107" s="1129"/>
      <c r="F107" s="1129"/>
      <c r="G107" s="1129"/>
      <c r="H107" s="1131"/>
    </row>
    <row r="108" spans="1:8" x14ac:dyDescent="0.75">
      <c r="A108" s="1128"/>
      <c r="B108" s="801"/>
      <c r="C108" s="1129">
        <v>2040</v>
      </c>
      <c r="D108" s="1130">
        <f t="shared" si="49"/>
        <v>3.4870527438040963E-2</v>
      </c>
      <c r="E108" s="1129"/>
      <c r="F108" s="1129"/>
      <c r="G108" s="1129"/>
      <c r="H108" s="1131"/>
    </row>
    <row r="109" spans="1:8" x14ac:dyDescent="0.75">
      <c r="A109" s="1128"/>
      <c r="B109" s="801"/>
      <c r="C109" s="1129">
        <v>2041</v>
      </c>
      <c r="D109" s="1130">
        <f t="shared" si="49"/>
        <v>3.4870527438040963E-2</v>
      </c>
      <c r="E109" s="1129"/>
      <c r="F109" s="1129"/>
      <c r="G109" s="1129"/>
      <c r="H109" s="1131"/>
    </row>
    <row r="110" spans="1:8" x14ac:dyDescent="0.75">
      <c r="A110" s="1128"/>
      <c r="B110" s="801"/>
      <c r="C110" s="1129">
        <v>2042</v>
      </c>
      <c r="D110" s="1130">
        <f t="shared" si="49"/>
        <v>3.4870527438040963E-2</v>
      </c>
      <c r="E110" s="1129"/>
      <c r="F110" s="1129"/>
      <c r="G110" s="1129"/>
      <c r="H110" s="1131"/>
    </row>
    <row r="111" spans="1:8" x14ac:dyDescent="0.75">
      <c r="A111" s="1128"/>
      <c r="B111" s="801"/>
      <c r="C111" s="1129">
        <v>2043</v>
      </c>
      <c r="D111" s="1130">
        <f t="shared" si="49"/>
        <v>3.4870527438040963E-2</v>
      </c>
      <c r="E111" s="1129"/>
      <c r="F111" s="1129"/>
      <c r="G111" s="1129"/>
      <c r="H111" s="1131"/>
    </row>
    <row r="112" spans="1:8" x14ac:dyDescent="0.75">
      <c r="A112" s="1128"/>
      <c r="B112" s="801"/>
      <c r="C112" s="1129">
        <v>2044</v>
      </c>
      <c r="D112" s="1130">
        <f t="shared" si="49"/>
        <v>3.4870527438040963E-2</v>
      </c>
      <c r="E112" s="1129"/>
      <c r="F112" s="1129"/>
      <c r="G112" s="1129"/>
      <c r="H112" s="1131"/>
    </row>
    <row r="113" spans="1:8" x14ac:dyDescent="0.75">
      <c r="A113" s="1128"/>
      <c r="B113" s="801"/>
      <c r="C113" s="1129">
        <v>2045</v>
      </c>
      <c r="D113" s="1130">
        <f t="shared" si="49"/>
        <v>3.4870527438040963E-2</v>
      </c>
      <c r="E113" s="1129"/>
      <c r="F113" s="1129"/>
      <c r="G113" s="1129"/>
      <c r="H113" s="1131"/>
    </row>
    <row r="114" spans="1:8" x14ac:dyDescent="0.75">
      <c r="A114" s="1128"/>
      <c r="B114" s="801"/>
      <c r="C114" s="1129">
        <v>2046</v>
      </c>
      <c r="D114" s="1130">
        <f t="shared" si="49"/>
        <v>3.4870527438040963E-2</v>
      </c>
      <c r="E114" s="1129"/>
      <c r="F114" s="1129"/>
      <c r="G114" s="1129"/>
      <c r="H114" s="1131"/>
    </row>
    <row r="115" spans="1:8" x14ac:dyDescent="0.75">
      <c r="A115" s="1128"/>
      <c r="B115" s="801"/>
      <c r="C115" s="1129">
        <v>2047</v>
      </c>
      <c r="D115" s="1130">
        <f t="shared" si="49"/>
        <v>3.4870527438040963E-2</v>
      </c>
      <c r="E115" s="1129"/>
      <c r="F115" s="1129"/>
      <c r="G115" s="1129"/>
      <c r="H115" s="1131"/>
    </row>
    <row r="116" spans="1:8" x14ac:dyDescent="0.75">
      <c r="A116" s="1128"/>
      <c r="B116" s="801"/>
      <c r="C116" s="1129">
        <v>2048</v>
      </c>
      <c r="D116" s="1130">
        <f t="shared" si="49"/>
        <v>3.4870527438040963E-2</v>
      </c>
      <c r="E116" s="1129"/>
      <c r="F116" s="1129"/>
      <c r="G116" s="1129"/>
      <c r="H116" s="1131"/>
    </row>
    <row r="117" spans="1:8" x14ac:dyDescent="0.75">
      <c r="A117" s="1128"/>
      <c r="B117" s="801"/>
      <c r="C117" s="1129">
        <v>2049</v>
      </c>
      <c r="D117" s="1130">
        <f t="shared" si="49"/>
        <v>3.4870527438040963E-2</v>
      </c>
      <c r="E117" s="1129"/>
      <c r="F117" s="1129"/>
      <c r="G117" s="1129"/>
      <c r="H117" s="1131"/>
    </row>
    <row r="118" spans="1:8" ht="15.5" thickBot="1" x14ac:dyDescent="0.9">
      <c r="A118" s="1132"/>
      <c r="B118" s="1133"/>
      <c r="C118" s="1134">
        <v>2050</v>
      </c>
      <c r="D118" s="1130">
        <f t="shared" si="49"/>
        <v>3.4870527438040963E-2</v>
      </c>
      <c r="E118" s="1134"/>
      <c r="F118" s="1134"/>
      <c r="G118" s="1134"/>
      <c r="H118" s="1135"/>
    </row>
  </sheetData>
  <mergeCells count="15">
    <mergeCell ref="AV38:BQ38"/>
    <mergeCell ref="AV39:BQ39"/>
    <mergeCell ref="AT41:AT53"/>
    <mergeCell ref="AV56:BQ56"/>
    <mergeCell ref="AV57:BQ57"/>
    <mergeCell ref="AT23:AT35"/>
    <mergeCell ref="J22:L22"/>
    <mergeCell ref="M22:P22"/>
    <mergeCell ref="Q22:AP22"/>
    <mergeCell ref="AT59:AT71"/>
    <mergeCell ref="AV21:BQ21"/>
    <mergeCell ref="AV20:BQ20"/>
    <mergeCell ref="B1:H2"/>
    <mergeCell ref="I1:N2"/>
    <mergeCell ref="O1:AP2"/>
  </mergeCells>
  <hyperlinks>
    <hyperlink ref="A1" location="'Cover Page '!A1" display="Back to cover page "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A1:AX122"/>
  <sheetViews>
    <sheetView showGridLines="0" zoomScale="70" zoomScaleNormal="70" zoomScalePageLayoutView="85" workbookViewId="0">
      <pane xSplit="1" ySplit="3" topLeftCell="B51" activePane="bottomRight" state="frozen"/>
      <selection pane="topRight" activeCell="B1" sqref="B1"/>
      <selection pane="bottomLeft" activeCell="A2" sqref="A2"/>
      <selection pane="bottomRight" activeCell="P54" sqref="P54"/>
    </sheetView>
  </sheetViews>
  <sheetFormatPr defaultColWidth="10.83203125" defaultRowHeight="14.75" x14ac:dyDescent="0.75"/>
  <cols>
    <col min="1" max="1" width="31.83203125" style="30" bestFit="1" customWidth="1"/>
    <col min="2" max="2" width="12.33203125" style="802" customWidth="1"/>
    <col min="3" max="8" width="12.33203125" style="801" bestFit="1" customWidth="1"/>
    <col min="9" max="14" width="12.33203125" style="30" bestFit="1" customWidth="1"/>
    <col min="15" max="19" width="14" style="30" bestFit="1" customWidth="1"/>
    <col min="20" max="20" width="11" style="30" bestFit="1" customWidth="1"/>
    <col min="21" max="21" width="11.5" style="30" bestFit="1" customWidth="1"/>
    <col min="22" max="24" width="11" style="30" bestFit="1" customWidth="1"/>
    <col min="25" max="26" width="11.5" style="30" bestFit="1" customWidth="1"/>
    <col min="27" max="27" width="11" style="30" bestFit="1" customWidth="1"/>
    <col min="28" max="28" width="11.5" style="30" bestFit="1" customWidth="1"/>
    <col min="29" max="30" width="11" style="30" bestFit="1" customWidth="1"/>
    <col min="31" max="31" width="10.6640625" style="30" bestFit="1" customWidth="1"/>
    <col min="32" max="34" width="11.5" style="30" bestFit="1" customWidth="1"/>
    <col min="35" max="35" width="11" style="30" bestFit="1" customWidth="1"/>
    <col min="36" max="42" width="11.5" style="30" bestFit="1" customWidth="1"/>
    <col min="43" max="43" width="25.1640625" style="30" bestFit="1" customWidth="1"/>
    <col min="44" max="16384" width="10.83203125" style="30"/>
  </cols>
  <sheetData>
    <row r="1" spans="1:42" ht="18.5" x14ac:dyDescent="0.9">
      <c r="A1" s="1195" t="s">
        <v>534</v>
      </c>
      <c r="B1" s="1735" t="s">
        <v>445</v>
      </c>
      <c r="C1" s="1668"/>
      <c r="D1" s="1668"/>
      <c r="E1" s="1668"/>
      <c r="F1" s="1668"/>
      <c r="G1" s="1668"/>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75">
      <c r="B2" s="1735"/>
      <c r="C2" s="1668"/>
      <c r="D2" s="1668"/>
      <c r="E2" s="1668"/>
      <c r="F2" s="1668"/>
      <c r="G2" s="1668"/>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
      <c r="A3" s="29"/>
      <c r="B3" s="804">
        <v>2010</v>
      </c>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s="13" customFormat="1" ht="16.75" thickBot="1" x14ac:dyDescent="0.95">
      <c r="B4" s="35"/>
      <c r="C4" s="40"/>
      <c r="D4" s="40"/>
      <c r="E4" s="40"/>
      <c r="F4" s="40"/>
      <c r="G4" s="40"/>
      <c r="H4" s="40"/>
    </row>
    <row r="5" spans="1:42" s="809" customFormat="1" ht="16" x14ac:dyDescent="0.8">
      <c r="A5" s="805" t="s">
        <v>184</v>
      </c>
      <c r="B5" s="806">
        <f t="shared" ref="B5:H5" si="0">B80</f>
        <v>27419</v>
      </c>
      <c r="C5" s="807">
        <f t="shared" si="0"/>
        <v>42385</v>
      </c>
      <c r="D5" s="807">
        <f t="shared" si="0"/>
        <v>47499</v>
      </c>
      <c r="E5" s="807">
        <f t="shared" si="0"/>
        <v>32287</v>
      </c>
      <c r="F5" s="807">
        <f t="shared" si="0"/>
        <v>34423</v>
      </c>
      <c r="G5" s="807">
        <f t="shared" si="0"/>
        <v>32866</v>
      </c>
      <c r="H5" s="807">
        <f t="shared" si="0"/>
        <v>33215</v>
      </c>
      <c r="I5" s="806">
        <f t="shared" ref="I5:AP5" si="1">I7*I20</f>
        <v>29176.303819000001</v>
      </c>
      <c r="J5" s="807">
        <f t="shared" si="1"/>
        <v>31936.993508804731</v>
      </c>
      <c r="K5" s="807">
        <f t="shared" si="1"/>
        <v>31470.811557549467</v>
      </c>
      <c r="L5" s="807">
        <f t="shared" si="1"/>
        <v>29218.644690218491</v>
      </c>
      <c r="M5" s="807">
        <f t="shared" si="1"/>
        <v>26558.398692899475</v>
      </c>
      <c r="N5" s="807">
        <f t="shared" si="1"/>
        <v>25797.328115595923</v>
      </c>
      <c r="O5" s="806">
        <f t="shared" si="1"/>
        <v>22666.309583362923</v>
      </c>
      <c r="P5" s="807">
        <f t="shared" si="1"/>
        <v>23264.587376258423</v>
      </c>
      <c r="Q5" s="807">
        <f t="shared" si="1"/>
        <v>21875.574988078373</v>
      </c>
      <c r="R5" s="807">
        <f t="shared" si="1"/>
        <v>22297.670227824961</v>
      </c>
      <c r="S5" s="807">
        <f t="shared" si="1"/>
        <v>18025.051356714775</v>
      </c>
      <c r="T5" s="807">
        <f t="shared" si="1"/>
        <v>20010.328934246645</v>
      </c>
      <c r="U5" s="807">
        <f t="shared" si="1"/>
        <v>18599.004351584597</v>
      </c>
      <c r="V5" s="807">
        <f t="shared" si="1"/>
        <v>18405.616667577877</v>
      </c>
      <c r="W5" s="807">
        <f t="shared" si="1"/>
        <v>17914.739918735031</v>
      </c>
      <c r="X5" s="807">
        <f t="shared" si="1"/>
        <v>17843.791058216964</v>
      </c>
      <c r="Y5" s="807">
        <f t="shared" si="1"/>
        <v>17168.201424099341</v>
      </c>
      <c r="Z5" s="807">
        <f t="shared" si="1"/>
        <v>16724.009071885255</v>
      </c>
      <c r="AA5" s="807">
        <f t="shared" si="1"/>
        <v>16100.555815306028</v>
      </c>
      <c r="AB5" s="807">
        <f t="shared" si="1"/>
        <v>15620.962459363249</v>
      </c>
      <c r="AC5" s="807">
        <f t="shared" si="1"/>
        <v>15096.53219858625</v>
      </c>
      <c r="AD5" s="807">
        <f t="shared" si="1"/>
        <v>14643.233300490758</v>
      </c>
      <c r="AE5" s="807">
        <f t="shared" si="1"/>
        <v>14165.098610897838</v>
      </c>
      <c r="AF5" s="807">
        <f t="shared" si="1"/>
        <v>13747.909802449982</v>
      </c>
      <c r="AG5" s="807">
        <f t="shared" si="1"/>
        <v>13316.382570183461</v>
      </c>
      <c r="AH5" s="807">
        <f t="shared" si="1"/>
        <v>12930.105851345754</v>
      </c>
      <c r="AI5" s="807">
        <f t="shared" si="1"/>
        <v>12560.141202793189</v>
      </c>
      <c r="AJ5" s="807">
        <f t="shared" si="1"/>
        <v>12207.835074308527</v>
      </c>
      <c r="AK5" s="807">
        <f t="shared" si="1"/>
        <v>11870.482412516465</v>
      </c>
      <c r="AL5" s="807">
        <f t="shared" si="1"/>
        <v>11548.914760669395</v>
      </c>
      <c r="AM5" s="807">
        <f t="shared" si="1"/>
        <v>11241.115366538097</v>
      </c>
      <c r="AN5" s="807">
        <f t="shared" si="1"/>
        <v>10947.481487997347</v>
      </c>
      <c r="AO5" s="807">
        <f t="shared" si="1"/>
        <v>10666.481455878422</v>
      </c>
      <c r="AP5" s="808">
        <f t="shared" si="1"/>
        <v>10398.233228003846</v>
      </c>
    </row>
    <row r="6" spans="1:42" s="809" customFormat="1" ht="16" x14ac:dyDescent="0.8">
      <c r="A6" s="810" t="s">
        <v>159</v>
      </c>
      <c r="B6" s="811"/>
      <c r="C6" s="812">
        <f t="shared" ref="C6:AP6" si="2">(C5-B5)/B5</f>
        <v>0.54582588715853975</v>
      </c>
      <c r="D6" s="812">
        <f t="shared" si="2"/>
        <v>0.12065589241476937</v>
      </c>
      <c r="E6" s="812">
        <f t="shared" si="2"/>
        <v>-0.3202593738815554</v>
      </c>
      <c r="F6" s="812">
        <f t="shared" si="2"/>
        <v>6.6156657478242023E-2</v>
      </c>
      <c r="G6" s="812">
        <f t="shared" si="2"/>
        <v>-4.5231385991924007E-2</v>
      </c>
      <c r="H6" s="812">
        <f t="shared" si="2"/>
        <v>1.0618876650642001E-2</v>
      </c>
      <c r="I6" s="811">
        <f t="shared" si="2"/>
        <v>-0.12159253894324851</v>
      </c>
      <c r="J6" s="812">
        <f t="shared" si="2"/>
        <v>9.4620953597519528E-2</v>
      </c>
      <c r="K6" s="812">
        <f t="shared" si="2"/>
        <v>-1.4596926637028081E-2</v>
      </c>
      <c r="L6" s="812">
        <f t="shared" si="2"/>
        <v>-7.1563672999424399E-2</v>
      </c>
      <c r="M6" s="812">
        <f t="shared" si="2"/>
        <v>-9.1046180461942683E-2</v>
      </c>
      <c r="N6" s="812">
        <f t="shared" si="2"/>
        <v>-2.8656493416789761E-2</v>
      </c>
      <c r="O6" s="811">
        <f t="shared" si="2"/>
        <v>-0.12136987668657533</v>
      </c>
      <c r="P6" s="812">
        <f t="shared" si="2"/>
        <v>2.6395024328734848E-2</v>
      </c>
      <c r="Q6" s="812">
        <f t="shared" si="2"/>
        <v>-5.9705008548638222E-2</v>
      </c>
      <c r="R6" s="812">
        <f t="shared" si="2"/>
        <v>1.9295275208839956E-2</v>
      </c>
      <c r="S6" s="812">
        <f t="shared" si="2"/>
        <v>-0.19161727783463414</v>
      </c>
      <c r="T6" s="812">
        <f t="shared" si="2"/>
        <v>0.11013991240542595</v>
      </c>
      <c r="U6" s="812">
        <f t="shared" si="2"/>
        <v>-7.0529804247577293E-2</v>
      </c>
      <c r="V6" s="812">
        <f t="shared" si="2"/>
        <v>-1.0397743898062171E-2</v>
      </c>
      <c r="W6" s="812">
        <f t="shared" si="2"/>
        <v>-2.666994307816602E-2</v>
      </c>
      <c r="X6" s="812">
        <f t="shared" si="2"/>
        <v>-3.9603622960704713E-3</v>
      </c>
      <c r="Y6" s="812">
        <f t="shared" si="2"/>
        <v>-3.7861328453883562E-2</v>
      </c>
      <c r="Z6" s="812">
        <f t="shared" si="2"/>
        <v>-2.5872969523211935E-2</v>
      </c>
      <c r="AA6" s="812">
        <f t="shared" si="2"/>
        <v>-3.7278935564996472E-2</v>
      </c>
      <c r="AB6" s="812">
        <f t="shared" si="2"/>
        <v>-2.9787378860974042E-2</v>
      </c>
      <c r="AC6" s="812">
        <f t="shared" si="2"/>
        <v>-3.3572211836579491E-2</v>
      </c>
      <c r="AD6" s="812">
        <f t="shared" si="2"/>
        <v>-3.0026690377141223E-2</v>
      </c>
      <c r="AE6" s="812">
        <f t="shared" si="2"/>
        <v>-3.2652261954803086E-2</v>
      </c>
      <c r="AF6" s="812">
        <f t="shared" si="2"/>
        <v>-2.9451881692295043E-2</v>
      </c>
      <c r="AG6" s="812">
        <f t="shared" si="2"/>
        <v>-3.1388570223934632E-2</v>
      </c>
      <c r="AH6" s="812">
        <f t="shared" si="2"/>
        <v>-2.9007631524691595E-2</v>
      </c>
      <c r="AI6" s="812">
        <f t="shared" si="2"/>
        <v>-2.8612654281871864E-2</v>
      </c>
      <c r="AJ6" s="812">
        <f t="shared" si="2"/>
        <v>-2.8049535653812154E-2</v>
      </c>
      <c r="AK6" s="812">
        <f t="shared" si="2"/>
        <v>-2.7634110367531304E-2</v>
      </c>
      <c r="AL6" s="812">
        <f t="shared" si="2"/>
        <v>-2.7089686894949012E-2</v>
      </c>
      <c r="AM6" s="812">
        <f t="shared" si="2"/>
        <v>-2.665180239960983E-2</v>
      </c>
      <c r="AN6" s="812">
        <f t="shared" si="2"/>
        <v>-2.6121418468386341E-2</v>
      </c>
      <c r="AO6" s="812">
        <f t="shared" si="2"/>
        <v>-2.5668007059615458E-2</v>
      </c>
      <c r="AP6" s="813">
        <f t="shared" si="2"/>
        <v>-2.514870803312004E-2</v>
      </c>
    </row>
    <row r="7" spans="1:42" s="809" customFormat="1" ht="16.75" thickBot="1" x14ac:dyDescent="0.95">
      <c r="A7" s="810" t="s">
        <v>158</v>
      </c>
      <c r="B7" s="811">
        <f t="shared" ref="B7:H7" si="3">B5/B$20</f>
        <v>0.1127319373578979</v>
      </c>
      <c r="C7" s="812">
        <f t="shared" si="3"/>
        <v>0.11667533783132795</v>
      </c>
      <c r="D7" s="812">
        <f t="shared" si="3"/>
        <v>0.12907196660905859</v>
      </c>
      <c r="E7" s="812">
        <f t="shared" si="3"/>
        <v>0.11530494903826237</v>
      </c>
      <c r="F7" s="812">
        <f t="shared" si="3"/>
        <v>0.10234888353700235</v>
      </c>
      <c r="G7" s="812">
        <f t="shared" si="3"/>
        <v>9.7016533487618337E-2</v>
      </c>
      <c r="H7" s="812">
        <f t="shared" si="3"/>
        <v>0.10471014378532766</v>
      </c>
      <c r="I7" s="814">
        <f t="shared" ref="I7:AP7" si="4">I43</f>
        <v>0.1</v>
      </c>
      <c r="J7" s="815">
        <f t="shared" si="4"/>
        <v>0.1</v>
      </c>
      <c r="K7" s="815">
        <f t="shared" si="4"/>
        <v>0.1</v>
      </c>
      <c r="L7" s="815">
        <f t="shared" si="4"/>
        <v>0.09</v>
      </c>
      <c r="M7" s="815">
        <f t="shared" si="4"/>
        <v>8.5000000000000006E-2</v>
      </c>
      <c r="N7" s="815">
        <f t="shared" si="4"/>
        <v>0.08</v>
      </c>
      <c r="O7" s="814">
        <f t="shared" si="4"/>
        <v>7.9000000000000001E-2</v>
      </c>
      <c r="P7" s="815">
        <f t="shared" si="4"/>
        <v>7.9000000000000001E-2</v>
      </c>
      <c r="Q7" s="815">
        <f t="shared" si="4"/>
        <v>0.08</v>
      </c>
      <c r="R7" s="815">
        <f t="shared" si="4"/>
        <v>0.08</v>
      </c>
      <c r="S7" s="815">
        <f t="shared" si="4"/>
        <v>7.0000000000000007E-2</v>
      </c>
      <c r="T7" s="815">
        <f t="shared" si="4"/>
        <v>7.6666666666666675E-2</v>
      </c>
      <c r="U7" s="815">
        <f t="shared" si="4"/>
        <v>7.5555555555555556E-2</v>
      </c>
      <c r="V7" s="815">
        <f t="shared" si="4"/>
        <v>7.407407407407407E-2</v>
      </c>
      <c r="W7" s="815">
        <f t="shared" si="4"/>
        <v>7.5432098765432096E-2</v>
      </c>
      <c r="X7" s="815">
        <f t="shared" si="4"/>
        <v>7.5020576131687236E-2</v>
      </c>
      <c r="Y7" s="815">
        <f t="shared" si="4"/>
        <v>7.4842249657064472E-2</v>
      </c>
      <c r="Z7" s="815">
        <f t="shared" si="4"/>
        <v>7.5098308184727944E-2</v>
      </c>
      <c r="AA7" s="815">
        <f t="shared" si="4"/>
        <v>7.498704465782656E-2</v>
      </c>
      <c r="AB7" s="815">
        <f t="shared" si="4"/>
        <v>7.4975867499872992E-2</v>
      </c>
      <c r="AC7" s="815">
        <f t="shared" si="4"/>
        <v>7.5020406780809165E-2</v>
      </c>
      <c r="AD7" s="815">
        <f t="shared" si="4"/>
        <v>7.4994439646169572E-2</v>
      </c>
      <c r="AE7" s="815">
        <f t="shared" si="4"/>
        <v>7.499690464228391E-2</v>
      </c>
      <c r="AF7" s="815">
        <f t="shared" si="4"/>
        <v>7.499690464228391E-2</v>
      </c>
      <c r="AG7" s="815">
        <f t="shared" si="4"/>
        <v>7.499690464228391E-2</v>
      </c>
      <c r="AH7" s="815">
        <f t="shared" si="4"/>
        <v>7.499690464228391E-2</v>
      </c>
      <c r="AI7" s="815">
        <f t="shared" si="4"/>
        <v>7.499690464228391E-2</v>
      </c>
      <c r="AJ7" s="815">
        <f t="shared" si="4"/>
        <v>7.499690464228391E-2</v>
      </c>
      <c r="AK7" s="815">
        <f t="shared" si="4"/>
        <v>7.499690464228391E-2</v>
      </c>
      <c r="AL7" s="815">
        <f t="shared" si="4"/>
        <v>7.499690464228391E-2</v>
      </c>
      <c r="AM7" s="815">
        <f t="shared" si="4"/>
        <v>7.499690464228391E-2</v>
      </c>
      <c r="AN7" s="815">
        <f t="shared" si="4"/>
        <v>7.499690464228391E-2</v>
      </c>
      <c r="AO7" s="815">
        <f t="shared" si="4"/>
        <v>7.499690464228391E-2</v>
      </c>
      <c r="AP7" s="816">
        <f t="shared" si="4"/>
        <v>7.499690464228391E-2</v>
      </c>
    </row>
    <row r="8" spans="1:42" s="809" customFormat="1" ht="16" x14ac:dyDescent="0.8">
      <c r="A8" s="582" t="s">
        <v>185</v>
      </c>
      <c r="B8" s="806">
        <f t="shared" ref="B8:H8" si="5">B100</f>
        <v>48991</v>
      </c>
      <c r="C8" s="807">
        <f t="shared" si="5"/>
        <v>68794</v>
      </c>
      <c r="D8" s="807">
        <f t="shared" si="5"/>
        <v>61723</v>
      </c>
      <c r="E8" s="807">
        <f t="shared" si="5"/>
        <v>44504</v>
      </c>
      <c r="F8" s="807">
        <f t="shared" si="5"/>
        <v>83849</v>
      </c>
      <c r="G8" s="807">
        <f t="shared" si="5"/>
        <v>83597</v>
      </c>
      <c r="H8" s="807">
        <f t="shared" si="5"/>
        <v>79575</v>
      </c>
      <c r="I8" s="806">
        <f t="shared" ref="I8:AP8" si="6">I10*I$20</f>
        <v>72940.759547499998</v>
      </c>
      <c r="J8" s="807">
        <f t="shared" si="6"/>
        <v>89423.581824653244</v>
      </c>
      <c r="K8" s="807">
        <f t="shared" si="6"/>
        <v>88118.272361138515</v>
      </c>
      <c r="L8" s="807">
        <f t="shared" si="6"/>
        <v>90902.450147346419</v>
      </c>
      <c r="M8" s="807">
        <f t="shared" si="6"/>
        <v>89048.748558545296</v>
      </c>
      <c r="N8" s="807">
        <f t="shared" si="6"/>
        <v>91902.98141181047</v>
      </c>
      <c r="O8" s="806">
        <f t="shared" si="6"/>
        <v>81770.863686815603</v>
      </c>
      <c r="P8" s="807">
        <f t="shared" si="6"/>
        <v>82456.765384207087</v>
      </c>
      <c r="Q8" s="807">
        <f t="shared" si="6"/>
        <v>77931.735895029196</v>
      </c>
      <c r="R8" s="807">
        <f t="shared" si="6"/>
        <v>79992.89194232205</v>
      </c>
      <c r="S8" s="807">
        <f t="shared" si="6"/>
        <v>73645.209828863211</v>
      </c>
      <c r="T8" s="807">
        <f t="shared" si="6"/>
        <v>74647.227067754866</v>
      </c>
      <c r="U8" s="807">
        <f t="shared" si="6"/>
        <v>70484.756197108101</v>
      </c>
      <c r="V8" s="807">
        <f t="shared" si="6"/>
        <v>71091.694378519547</v>
      </c>
      <c r="W8" s="807">
        <f t="shared" si="6"/>
        <v>67958.730251463261</v>
      </c>
      <c r="X8" s="807">
        <f t="shared" si="6"/>
        <v>68072.643605856123</v>
      </c>
      <c r="Y8" s="807">
        <f t="shared" si="6"/>
        <v>65640.994466170145</v>
      </c>
      <c r="Z8" s="807">
        <f t="shared" si="6"/>
        <v>63727.700058414681</v>
      </c>
      <c r="AA8" s="807">
        <f t="shared" si="6"/>
        <v>61444.307779360141</v>
      </c>
      <c r="AB8" s="807">
        <f t="shared" si="6"/>
        <v>59621.151674969544</v>
      </c>
      <c r="AC8" s="807">
        <f t="shared" si="6"/>
        <v>57586.075605745267</v>
      </c>
      <c r="AD8" s="807">
        <f t="shared" si="6"/>
        <v>55876.369792954181</v>
      </c>
      <c r="AE8" s="807">
        <f t="shared" si="6"/>
        <v>54049.822940706763</v>
      </c>
      <c r="AF8" s="807">
        <f t="shared" si="6"/>
        <v>52457.953949967574</v>
      </c>
      <c r="AG8" s="807">
        <f t="shared" si="6"/>
        <v>50811.373778605084</v>
      </c>
      <c r="AH8" s="807">
        <f t="shared" si="6"/>
        <v>49337.456170771933</v>
      </c>
      <c r="AI8" s="807">
        <f t="shared" si="6"/>
        <v>47925.780594210635</v>
      </c>
      <c r="AJ8" s="807">
        <f t="shared" si="6"/>
        <v>46581.484702696544</v>
      </c>
      <c r="AK8" s="807">
        <f t="shared" si="6"/>
        <v>45294.246813338759</v>
      </c>
      <c r="AL8" s="807">
        <f t="shared" si="6"/>
        <v>44067.239849022866</v>
      </c>
      <c r="AM8" s="807">
        <f t="shared" si="6"/>
        <v>42892.768480270497</v>
      </c>
      <c r="AN8" s="807">
        <f t="shared" si="6"/>
        <v>41772.348525529742</v>
      </c>
      <c r="AO8" s="807">
        <f t="shared" si="6"/>
        <v>40700.135588679725</v>
      </c>
      <c r="AP8" s="808">
        <f t="shared" si="6"/>
        <v>39676.579761851615</v>
      </c>
    </row>
    <row r="9" spans="1:42" s="809" customFormat="1" ht="16" x14ac:dyDescent="0.8">
      <c r="A9" s="810" t="s">
        <v>159</v>
      </c>
      <c r="B9" s="811"/>
      <c r="C9" s="812">
        <f t="shared" ref="C9:AP9" si="7">(C8-B8)/B8</f>
        <v>0.40421710110020209</v>
      </c>
      <c r="D9" s="812">
        <f t="shared" si="7"/>
        <v>-0.10278512660987876</v>
      </c>
      <c r="E9" s="812">
        <f t="shared" si="7"/>
        <v>-0.27897218216872155</v>
      </c>
      <c r="F9" s="812">
        <f t="shared" si="7"/>
        <v>0.88407783570016174</v>
      </c>
      <c r="G9" s="812">
        <f t="shared" si="7"/>
        <v>-3.0054025689036242E-3</v>
      </c>
      <c r="H9" s="812">
        <f t="shared" si="7"/>
        <v>-4.8111774345969353E-2</v>
      </c>
      <c r="I9" s="811">
        <f t="shared" si="7"/>
        <v>-8.3370913634935623E-2</v>
      </c>
      <c r="J9" s="812">
        <f t="shared" si="7"/>
        <v>0.22597546802922186</v>
      </c>
      <c r="K9" s="812">
        <f t="shared" si="7"/>
        <v>-1.4596926637027935E-2</v>
      </c>
      <c r="L9" s="812">
        <f t="shared" si="7"/>
        <v>3.1595918889528382E-2</v>
      </c>
      <c r="M9" s="812">
        <f t="shared" si="7"/>
        <v>-2.0392207094488697E-2</v>
      </c>
      <c r="N9" s="812">
        <f t="shared" si="7"/>
        <v>3.2052475744660823E-2</v>
      </c>
      <c r="O9" s="811">
        <f t="shared" si="7"/>
        <v>-0.11024797639146869</v>
      </c>
      <c r="P9" s="812">
        <f t="shared" si="7"/>
        <v>8.3880940773538148E-3</v>
      </c>
      <c r="Q9" s="812">
        <f t="shared" si="7"/>
        <v>-5.4877601226455186E-2</v>
      </c>
      <c r="R9" s="812">
        <f t="shared" si="7"/>
        <v>2.6448224508551246E-2</v>
      </c>
      <c r="S9" s="812">
        <f t="shared" si="7"/>
        <v>-7.9353076996338145E-2</v>
      </c>
      <c r="T9" s="812">
        <f t="shared" si="7"/>
        <v>1.3606006978867231E-2</v>
      </c>
      <c r="U9" s="812">
        <f t="shared" si="7"/>
        <v>-5.5761895440116276E-2</v>
      </c>
      <c r="V9" s="812">
        <f t="shared" si="7"/>
        <v>8.6109141062241153E-3</v>
      </c>
      <c r="W9" s="812">
        <f t="shared" si="7"/>
        <v>-4.4069341073447753E-2</v>
      </c>
      <c r="X9" s="812">
        <f t="shared" si="7"/>
        <v>1.6762136957438108E-3</v>
      </c>
      <c r="Y9" s="812">
        <f t="shared" si="7"/>
        <v>-3.572138543296987E-2</v>
      </c>
      <c r="Z9" s="812">
        <f t="shared" si="7"/>
        <v>-2.914785833632566E-2</v>
      </c>
      <c r="AA9" s="812">
        <f t="shared" si="7"/>
        <v>-3.5830451702501674E-2</v>
      </c>
      <c r="AB9" s="812">
        <f t="shared" si="7"/>
        <v>-2.9671684331400609E-2</v>
      </c>
      <c r="AC9" s="812">
        <f t="shared" si="7"/>
        <v>-3.4133457876135802E-2</v>
      </c>
      <c r="AD9" s="812">
        <f t="shared" si="7"/>
        <v>-2.9689569827545451E-2</v>
      </c>
      <c r="AE9" s="812">
        <f t="shared" si="7"/>
        <v>-3.268907516747338E-2</v>
      </c>
      <c r="AF9" s="812">
        <f t="shared" si="7"/>
        <v>-2.9451881692295023E-2</v>
      </c>
      <c r="AG9" s="812">
        <f t="shared" si="7"/>
        <v>-3.1388570223934695E-2</v>
      </c>
      <c r="AH9" s="812">
        <f t="shared" si="7"/>
        <v>-2.9007631524691564E-2</v>
      </c>
      <c r="AI9" s="812">
        <f t="shared" si="7"/>
        <v>-2.8612654281871763E-2</v>
      </c>
      <c r="AJ9" s="812">
        <f t="shared" si="7"/>
        <v>-2.8049535653812192E-2</v>
      </c>
      <c r="AK9" s="812">
        <f t="shared" si="7"/>
        <v>-2.7634110367531238E-2</v>
      </c>
      <c r="AL9" s="812">
        <f t="shared" si="7"/>
        <v>-2.7089686894949103E-2</v>
      </c>
      <c r="AM9" s="812">
        <f t="shared" si="7"/>
        <v>-2.665180239960982E-2</v>
      </c>
      <c r="AN9" s="812">
        <f t="shared" si="7"/>
        <v>-2.6121418468386292E-2</v>
      </c>
      <c r="AO9" s="812">
        <f t="shared" si="7"/>
        <v>-2.5668007059615517E-2</v>
      </c>
      <c r="AP9" s="813">
        <f t="shared" si="7"/>
        <v>-2.5148708033120155E-2</v>
      </c>
    </row>
    <row r="10" spans="1:42" s="809" customFormat="1" ht="16.75" thickBot="1" x14ac:dyDescent="0.95">
      <c r="A10" s="810" t="s">
        <v>158</v>
      </c>
      <c r="B10" s="811">
        <f t="shared" ref="B10:H10" si="8">B8/B$20</f>
        <v>0.20142420741459482</v>
      </c>
      <c r="C10" s="812">
        <f t="shared" si="8"/>
        <v>0.18937273070115312</v>
      </c>
      <c r="D10" s="812">
        <f t="shared" si="8"/>
        <v>0.16772372039434355</v>
      </c>
      <c r="E10" s="812">
        <f t="shared" si="8"/>
        <v>0.15893491039733729</v>
      </c>
      <c r="F10" s="812">
        <f t="shared" si="8"/>
        <v>0.24930574138494929</v>
      </c>
      <c r="G10" s="812">
        <f t="shared" si="8"/>
        <v>0.24676842785749498</v>
      </c>
      <c r="H10" s="812">
        <f t="shared" si="8"/>
        <v>0.25085984319486521</v>
      </c>
      <c r="I10" s="814">
        <f t="shared" ref="I10:AP10" si="9">I44</f>
        <v>0.25</v>
      </c>
      <c r="J10" s="815">
        <f t="shared" si="9"/>
        <v>0.28000000000000003</v>
      </c>
      <c r="K10" s="815">
        <f t="shared" si="9"/>
        <v>0.28000000000000003</v>
      </c>
      <c r="L10" s="815">
        <f t="shared" si="9"/>
        <v>0.28000000000000003</v>
      </c>
      <c r="M10" s="815">
        <f t="shared" si="9"/>
        <v>0.28499999999999998</v>
      </c>
      <c r="N10" s="815">
        <f t="shared" si="9"/>
        <v>0.28499999999999998</v>
      </c>
      <c r="O10" s="814">
        <f t="shared" si="9"/>
        <v>0.28499999999999998</v>
      </c>
      <c r="P10" s="815">
        <f t="shared" si="9"/>
        <v>0.28000000000000003</v>
      </c>
      <c r="Q10" s="815">
        <f t="shared" si="9"/>
        <v>0.28499999999999998</v>
      </c>
      <c r="R10" s="815">
        <f t="shared" si="9"/>
        <v>0.28699999999999998</v>
      </c>
      <c r="S10" s="815">
        <f t="shared" si="9"/>
        <v>0.28599999999999998</v>
      </c>
      <c r="T10" s="815">
        <f t="shared" si="9"/>
        <v>0.28599999999999998</v>
      </c>
      <c r="U10" s="815">
        <f t="shared" si="9"/>
        <v>0.28633333333333333</v>
      </c>
      <c r="V10" s="815">
        <f t="shared" si="9"/>
        <v>0.28611111111111109</v>
      </c>
      <c r="W10" s="815">
        <f t="shared" si="9"/>
        <v>0.28614814814814815</v>
      </c>
      <c r="X10" s="815">
        <f t="shared" si="9"/>
        <v>0.28619753086419752</v>
      </c>
      <c r="Y10" s="815">
        <f t="shared" si="9"/>
        <v>0.28615226337448557</v>
      </c>
      <c r="Z10" s="815">
        <f t="shared" si="9"/>
        <v>0.28616598079561045</v>
      </c>
      <c r="AA10" s="815">
        <f t="shared" si="9"/>
        <v>0.28617192501143118</v>
      </c>
      <c r="AB10" s="815">
        <f t="shared" si="9"/>
        <v>0.28616338972717575</v>
      </c>
      <c r="AC10" s="815">
        <f t="shared" si="9"/>
        <v>0.28616709851140582</v>
      </c>
      <c r="AD10" s="815">
        <f t="shared" si="9"/>
        <v>0.28616747108333757</v>
      </c>
      <c r="AE10" s="815">
        <f t="shared" si="9"/>
        <v>0.28616598644063967</v>
      </c>
      <c r="AF10" s="815">
        <f t="shared" si="9"/>
        <v>0.28616598644063967</v>
      </c>
      <c r="AG10" s="815">
        <f t="shared" si="9"/>
        <v>0.28616598644063967</v>
      </c>
      <c r="AH10" s="815">
        <f t="shared" si="9"/>
        <v>0.28616598644063967</v>
      </c>
      <c r="AI10" s="815">
        <f t="shared" si="9"/>
        <v>0.28616598644063967</v>
      </c>
      <c r="AJ10" s="815">
        <f t="shared" si="9"/>
        <v>0.28616598644063967</v>
      </c>
      <c r="AK10" s="815">
        <f t="shared" si="9"/>
        <v>0.28616598644063967</v>
      </c>
      <c r="AL10" s="815">
        <f t="shared" si="9"/>
        <v>0.28616598644063967</v>
      </c>
      <c r="AM10" s="815">
        <f t="shared" si="9"/>
        <v>0.28616598644063967</v>
      </c>
      <c r="AN10" s="815">
        <f t="shared" si="9"/>
        <v>0.28616598644063967</v>
      </c>
      <c r="AO10" s="815">
        <f t="shared" si="9"/>
        <v>0.28616598644063967</v>
      </c>
      <c r="AP10" s="816">
        <f t="shared" si="9"/>
        <v>0.28616598644063967</v>
      </c>
    </row>
    <row r="11" spans="1:42" s="809" customFormat="1" ht="16" x14ac:dyDescent="0.8">
      <c r="A11" s="582" t="s">
        <v>186</v>
      </c>
      <c r="B11" s="806">
        <f t="shared" ref="B11:H11" si="10">B106</f>
        <v>7364</v>
      </c>
      <c r="C11" s="807">
        <f t="shared" si="10"/>
        <v>9464</v>
      </c>
      <c r="D11" s="807">
        <f t="shared" si="10"/>
        <v>11988</v>
      </c>
      <c r="E11" s="807">
        <f t="shared" si="10"/>
        <v>8311</v>
      </c>
      <c r="F11" s="807">
        <f t="shared" si="10"/>
        <v>19466</v>
      </c>
      <c r="G11" s="807">
        <f t="shared" si="10"/>
        <v>22371</v>
      </c>
      <c r="H11" s="807">
        <f t="shared" si="10"/>
        <v>23215</v>
      </c>
      <c r="I11" s="806">
        <f t="shared" ref="I11:AP11" si="11">I13*I$20</f>
        <v>22465.753940629998</v>
      </c>
      <c r="J11" s="807">
        <f t="shared" si="11"/>
        <v>25230.224871955736</v>
      </c>
      <c r="K11" s="807">
        <f t="shared" si="11"/>
        <v>24861.941130464078</v>
      </c>
      <c r="L11" s="807">
        <f t="shared" si="11"/>
        <v>26296.780221196641</v>
      </c>
      <c r="M11" s="807">
        <f t="shared" si="11"/>
        <v>25308.591695586558</v>
      </c>
      <c r="N11" s="807">
        <f t="shared" si="11"/>
        <v>26442.261318485824</v>
      </c>
      <c r="O11" s="806">
        <f t="shared" si="11"/>
        <v>23813.970828090161</v>
      </c>
      <c r="P11" s="807">
        <f t="shared" si="11"/>
        <v>24442.541167461382</v>
      </c>
      <c r="Q11" s="807">
        <f t="shared" si="11"/>
        <v>22695.909050131311</v>
      </c>
      <c r="R11" s="807">
        <f t="shared" si="11"/>
        <v>23412.553739216211</v>
      </c>
      <c r="S11" s="807">
        <f t="shared" si="11"/>
        <v>21630.061628057731</v>
      </c>
      <c r="T11" s="807">
        <f t="shared" si="11"/>
        <v>21837.358967373511</v>
      </c>
      <c r="U11" s="807">
        <f t="shared" si="11"/>
        <v>20650.36512565643</v>
      </c>
      <c r="V11" s="807">
        <f t="shared" si="11"/>
        <v>20835.158067698158</v>
      </c>
      <c r="W11" s="807">
        <f t="shared" si="11"/>
        <v>19902.660322156036</v>
      </c>
      <c r="X11" s="807">
        <f t="shared" si="11"/>
        <v>19943.348481139372</v>
      </c>
      <c r="Y11" s="807">
        <f t="shared" si="11"/>
        <v>19230.839993288697</v>
      </c>
      <c r="Z11" s="807">
        <f t="shared" si="11"/>
        <v>18668.083482506499</v>
      </c>
      <c r="AA11" s="807">
        <f t="shared" si="11"/>
        <v>18000.656369683758</v>
      </c>
      <c r="AB11" s="807">
        <f t="shared" si="11"/>
        <v>17466.294831667619</v>
      </c>
      <c r="AC11" s="807">
        <f t="shared" si="11"/>
        <v>16869.816179176643</v>
      </c>
      <c r="AD11" s="807">
        <f t="shared" si="11"/>
        <v>16369.227170149539</v>
      </c>
      <c r="AE11" s="807">
        <f t="shared" si="11"/>
        <v>15834.050935555537</v>
      </c>
      <c r="AF11" s="807">
        <f t="shared" si="11"/>
        <v>15367.708340691781</v>
      </c>
      <c r="AG11" s="807">
        <f t="shared" si="11"/>
        <v>14885.337948259032</v>
      </c>
      <c r="AH11" s="807">
        <f t="shared" si="11"/>
        <v>14453.549549935424</v>
      </c>
      <c r="AI11" s="807">
        <f t="shared" si="11"/>
        <v>14039.995133517219</v>
      </c>
      <c r="AJ11" s="807">
        <f t="shared" si="11"/>
        <v>13646.179789440279</v>
      </c>
      <c r="AK11" s="807">
        <f t="shared" si="11"/>
        <v>13269.07975104371</v>
      </c>
      <c r="AL11" s="807">
        <f t="shared" si="11"/>
        <v>12909.62453520383</v>
      </c>
      <c r="AM11" s="807">
        <f t="shared" si="11"/>
        <v>12565.559773038422</v>
      </c>
      <c r="AN11" s="807">
        <f t="shared" si="11"/>
        <v>12237.329527917362</v>
      </c>
      <c r="AO11" s="807">
        <f t="shared" si="11"/>
        <v>11923.221667203939</v>
      </c>
      <c r="AP11" s="808">
        <f t="shared" si="11"/>
        <v>11623.368046681255</v>
      </c>
    </row>
    <row r="12" spans="1:42" s="809" customFormat="1" ht="16" x14ac:dyDescent="0.8">
      <c r="A12" s="810" t="s">
        <v>159</v>
      </c>
      <c r="B12" s="811"/>
      <c r="C12" s="812">
        <f t="shared" ref="C12:AP12" si="12">(C11-B11)/B11</f>
        <v>0.28517110266159695</v>
      </c>
      <c r="D12" s="812">
        <f t="shared" si="12"/>
        <v>0.26669484361792056</v>
      </c>
      <c r="E12" s="812">
        <f t="shared" si="12"/>
        <v>-0.30672339005672339</v>
      </c>
      <c r="F12" s="812">
        <f t="shared" si="12"/>
        <v>1.3421970881963663</v>
      </c>
      <c r="G12" s="812">
        <f t="shared" si="12"/>
        <v>0.14923456282749409</v>
      </c>
      <c r="H12" s="812">
        <f t="shared" si="12"/>
        <v>3.7727414956863797E-2</v>
      </c>
      <c r="I12" s="811">
        <f t="shared" si="12"/>
        <v>-3.2274221812190466E-2</v>
      </c>
      <c r="J12" s="812">
        <f t="shared" si="12"/>
        <v>0.12305266667797458</v>
      </c>
      <c r="K12" s="812">
        <f t="shared" si="12"/>
        <v>-1.459692663702802E-2</v>
      </c>
      <c r="L12" s="812">
        <f t="shared" si="12"/>
        <v>5.7712271266478536E-2</v>
      </c>
      <c r="M12" s="812">
        <f t="shared" si="12"/>
        <v>-3.7578308724409891E-2</v>
      </c>
      <c r="N12" s="812">
        <f t="shared" si="12"/>
        <v>4.4793864334101256E-2</v>
      </c>
      <c r="O12" s="811">
        <f t="shared" si="12"/>
        <v>-9.9397341957218333E-2</v>
      </c>
      <c r="P12" s="812">
        <f t="shared" si="12"/>
        <v>2.6395024328734817E-2</v>
      </c>
      <c r="Q12" s="812">
        <f t="shared" si="12"/>
        <v>-7.1458695941780323E-2</v>
      </c>
      <c r="R12" s="812">
        <f t="shared" si="12"/>
        <v>3.1575941175211654E-2</v>
      </c>
      <c r="S12" s="812">
        <f t="shared" si="12"/>
        <v>-7.6134031811010541E-2</v>
      </c>
      <c r="T12" s="812">
        <f t="shared" si="12"/>
        <v>9.5837609194271665E-3</v>
      </c>
      <c r="U12" s="812">
        <f t="shared" si="12"/>
        <v>-5.4356107965735714E-2</v>
      </c>
      <c r="V12" s="812">
        <f t="shared" si="12"/>
        <v>8.9486525258644055E-3</v>
      </c>
      <c r="W12" s="812">
        <f t="shared" si="12"/>
        <v>-4.4755971733558463E-2</v>
      </c>
      <c r="X12" s="812">
        <f t="shared" si="12"/>
        <v>2.044357805676899E-3</v>
      </c>
      <c r="Y12" s="812">
        <f t="shared" si="12"/>
        <v>-3.5726622764702808E-2</v>
      </c>
      <c r="Z12" s="812">
        <f t="shared" si="12"/>
        <v>-2.9263230882197129E-2</v>
      </c>
      <c r="AA12" s="812">
        <f t="shared" si="12"/>
        <v>-3.575231027053067E-2</v>
      </c>
      <c r="AB12" s="812">
        <f t="shared" si="12"/>
        <v>-2.9685669624586415E-2</v>
      </c>
      <c r="AC12" s="812">
        <f t="shared" si="12"/>
        <v>-3.4150268173048254E-2</v>
      </c>
      <c r="AD12" s="812">
        <f t="shared" si="12"/>
        <v>-2.9673649298266158E-2</v>
      </c>
      <c r="AE12" s="812">
        <f t="shared" si="12"/>
        <v>-3.269404407618795E-2</v>
      </c>
      <c r="AF12" s="812">
        <f t="shared" si="12"/>
        <v>-2.9451881692295082E-2</v>
      </c>
      <c r="AG12" s="812">
        <f t="shared" si="12"/>
        <v>-3.1388570223934584E-2</v>
      </c>
      <c r="AH12" s="812">
        <f t="shared" si="12"/>
        <v>-2.9007631524691671E-2</v>
      </c>
      <c r="AI12" s="812">
        <f t="shared" si="12"/>
        <v>-2.8612654281871708E-2</v>
      </c>
      <c r="AJ12" s="812">
        <f t="shared" si="12"/>
        <v>-2.804953565381214E-2</v>
      </c>
      <c r="AK12" s="812">
        <f t="shared" si="12"/>
        <v>-2.7634110367531415E-2</v>
      </c>
      <c r="AL12" s="812">
        <f t="shared" si="12"/>
        <v>-2.7089686894948863E-2</v>
      </c>
      <c r="AM12" s="812">
        <f t="shared" si="12"/>
        <v>-2.6651802399609875E-2</v>
      </c>
      <c r="AN12" s="812">
        <f t="shared" si="12"/>
        <v>-2.6121418468386465E-2</v>
      </c>
      <c r="AO12" s="812">
        <f t="shared" si="12"/>
        <v>-2.5668007059615354E-2</v>
      </c>
      <c r="AP12" s="813">
        <f t="shared" si="12"/>
        <v>-2.514870803312021E-2</v>
      </c>
    </row>
    <row r="13" spans="1:42" s="809" customFormat="1" ht="16.75" thickBot="1" x14ac:dyDescent="0.95">
      <c r="A13" s="810" t="s">
        <v>158</v>
      </c>
      <c r="B13" s="811">
        <f t="shared" ref="B13:H13" si="13">B11/B$20</f>
        <v>3.027674191996645E-2</v>
      </c>
      <c r="C13" s="812">
        <f t="shared" si="13"/>
        <v>2.6052032493469098E-2</v>
      </c>
      <c r="D13" s="812">
        <f t="shared" si="13"/>
        <v>3.2575732872468781E-2</v>
      </c>
      <c r="E13" s="812">
        <f t="shared" si="13"/>
        <v>2.9680658824201647E-2</v>
      </c>
      <c r="F13" s="812">
        <f t="shared" si="13"/>
        <v>5.7877679659857878E-2</v>
      </c>
      <c r="G13" s="812">
        <f t="shared" si="13"/>
        <v>6.6036538387741428E-2</v>
      </c>
      <c r="H13" s="812">
        <f t="shared" si="13"/>
        <v>7.3185187053330769E-2</v>
      </c>
      <c r="I13" s="814">
        <f t="shared" ref="I13:AP13" si="14">I45</f>
        <v>7.6999999999999999E-2</v>
      </c>
      <c r="J13" s="815">
        <f t="shared" si="14"/>
        <v>7.9000000000000001E-2</v>
      </c>
      <c r="K13" s="815">
        <f t="shared" si="14"/>
        <v>7.9000000000000001E-2</v>
      </c>
      <c r="L13" s="815">
        <f t="shared" si="14"/>
        <v>8.1000000000000003E-2</v>
      </c>
      <c r="M13" s="815">
        <f t="shared" si="14"/>
        <v>8.1000000000000003E-2</v>
      </c>
      <c r="N13" s="815">
        <f t="shared" si="14"/>
        <v>8.2000000000000003E-2</v>
      </c>
      <c r="O13" s="814">
        <f t="shared" si="14"/>
        <v>8.3000000000000004E-2</v>
      </c>
      <c r="P13" s="815">
        <f t="shared" si="14"/>
        <v>8.3000000000000004E-2</v>
      </c>
      <c r="Q13" s="815">
        <f t="shared" si="14"/>
        <v>8.3000000000000004E-2</v>
      </c>
      <c r="R13" s="815">
        <f t="shared" si="14"/>
        <v>8.4000000000000005E-2</v>
      </c>
      <c r="S13" s="815">
        <f t="shared" si="14"/>
        <v>8.4000000000000005E-2</v>
      </c>
      <c r="T13" s="815">
        <f t="shared" si="14"/>
        <v>8.3666666666666667E-2</v>
      </c>
      <c r="U13" s="815">
        <f t="shared" si="14"/>
        <v>8.3888888888888902E-2</v>
      </c>
      <c r="V13" s="815">
        <f t="shared" si="14"/>
        <v>8.3851851851851858E-2</v>
      </c>
      <c r="W13" s="815">
        <f t="shared" si="14"/>
        <v>8.3802469135802471E-2</v>
      </c>
      <c r="X13" s="815">
        <f t="shared" si="14"/>
        <v>8.384773662551441E-2</v>
      </c>
      <c r="Y13" s="815">
        <f t="shared" si="14"/>
        <v>8.3834019204389584E-2</v>
      </c>
      <c r="Z13" s="815">
        <f t="shared" si="14"/>
        <v>8.3828074988568826E-2</v>
      </c>
      <c r="AA13" s="815">
        <f t="shared" si="14"/>
        <v>8.3836610272824283E-2</v>
      </c>
      <c r="AB13" s="815">
        <f t="shared" si="14"/>
        <v>8.3832901488594236E-2</v>
      </c>
      <c r="AC13" s="815">
        <f t="shared" si="14"/>
        <v>8.3832528916662444E-2</v>
      </c>
      <c r="AD13" s="815">
        <f t="shared" si="14"/>
        <v>8.3834013559360321E-2</v>
      </c>
      <c r="AE13" s="815">
        <f t="shared" si="14"/>
        <v>8.3833147988205667E-2</v>
      </c>
      <c r="AF13" s="815">
        <f t="shared" si="14"/>
        <v>8.3833147988205667E-2</v>
      </c>
      <c r="AG13" s="815">
        <f t="shared" si="14"/>
        <v>8.3833147988205667E-2</v>
      </c>
      <c r="AH13" s="815">
        <f t="shared" si="14"/>
        <v>8.3833147988205667E-2</v>
      </c>
      <c r="AI13" s="815">
        <f t="shared" si="14"/>
        <v>8.3833147988205667E-2</v>
      </c>
      <c r="AJ13" s="815">
        <f t="shared" si="14"/>
        <v>8.3833147988205667E-2</v>
      </c>
      <c r="AK13" s="815">
        <f t="shared" si="14"/>
        <v>8.3833147988205667E-2</v>
      </c>
      <c r="AL13" s="815">
        <f t="shared" si="14"/>
        <v>8.3833147988205667E-2</v>
      </c>
      <c r="AM13" s="815">
        <f t="shared" si="14"/>
        <v>8.3833147988205667E-2</v>
      </c>
      <c r="AN13" s="815">
        <f t="shared" si="14"/>
        <v>8.3833147988205667E-2</v>
      </c>
      <c r="AO13" s="815">
        <f t="shared" si="14"/>
        <v>8.3833147988205667E-2</v>
      </c>
      <c r="AP13" s="816">
        <f t="shared" si="14"/>
        <v>8.3833147988205667E-2</v>
      </c>
    </row>
    <row r="14" spans="1:42" s="809" customFormat="1" ht="16" x14ac:dyDescent="0.8">
      <c r="A14" s="582" t="s">
        <v>154</v>
      </c>
      <c r="B14" s="806">
        <f t="shared" ref="B14:H14" si="15">B76</f>
        <v>72362</v>
      </c>
      <c r="C14" s="807">
        <f t="shared" si="15"/>
        <v>102190</v>
      </c>
      <c r="D14" s="807">
        <f t="shared" si="15"/>
        <v>103122</v>
      </c>
      <c r="E14" s="807">
        <f t="shared" si="15"/>
        <v>84789</v>
      </c>
      <c r="F14" s="807">
        <f t="shared" si="15"/>
        <v>89734</v>
      </c>
      <c r="G14" s="807">
        <f t="shared" si="15"/>
        <v>85314</v>
      </c>
      <c r="H14" s="807">
        <f t="shared" si="15"/>
        <v>75994</v>
      </c>
      <c r="I14" s="806">
        <f t="shared" ref="I14:AP14" si="16">I16*I$20</f>
        <v>72940.759547499998</v>
      </c>
      <c r="J14" s="807">
        <f t="shared" si="16"/>
        <v>92617.281175533702</v>
      </c>
      <c r="K14" s="807">
        <f t="shared" si="16"/>
        <v>94412.434672648393</v>
      </c>
      <c r="L14" s="807">
        <f t="shared" si="16"/>
        <v>90902.450147346419</v>
      </c>
      <c r="M14" s="807">
        <f t="shared" si="16"/>
        <v>84361.972318621862</v>
      </c>
      <c r="N14" s="807">
        <f t="shared" si="16"/>
        <v>80616.650361237262</v>
      </c>
      <c r="O14" s="806">
        <f t="shared" si="16"/>
        <v>74597.980907270394</v>
      </c>
      <c r="P14" s="807">
        <f t="shared" si="16"/>
        <v>79511.880906199687</v>
      </c>
      <c r="Q14" s="807">
        <f t="shared" si="16"/>
        <v>71095.61871125472</v>
      </c>
      <c r="R14" s="807">
        <f t="shared" si="16"/>
        <v>66893.010683474888</v>
      </c>
      <c r="S14" s="807">
        <f t="shared" si="16"/>
        <v>66950.190753512026</v>
      </c>
      <c r="T14" s="807">
        <f t="shared" si="16"/>
        <v>66121.086913162828</v>
      </c>
      <c r="U14" s="807">
        <f t="shared" si="16"/>
        <v>61814.337992031164</v>
      </c>
      <c r="V14" s="807">
        <f t="shared" si="16"/>
        <v>63315.321336467896</v>
      </c>
      <c r="W14" s="807">
        <f t="shared" si="16"/>
        <v>60106.737861549613</v>
      </c>
      <c r="X14" s="807">
        <f t="shared" si="16"/>
        <v>60177.524643948382</v>
      </c>
      <c r="Y14" s="807">
        <f t="shared" si="16"/>
        <v>58181.826307110845</v>
      </c>
      <c r="Z14" s="807">
        <f t="shared" si="16"/>
        <v>56395.672091895554</v>
      </c>
      <c r="AA14" s="807">
        <f t="shared" si="16"/>
        <v>54384.986864010389</v>
      </c>
      <c r="AB14" s="807">
        <f t="shared" si="16"/>
        <v>52792.978381721157</v>
      </c>
      <c r="AC14" s="807">
        <f t="shared" si="16"/>
        <v>50973.884607307118</v>
      </c>
      <c r="AD14" s="807">
        <f t="shared" si="16"/>
        <v>49464.770311528126</v>
      </c>
      <c r="AE14" s="807">
        <f t="shared" si="16"/>
        <v>47850.399505763045</v>
      </c>
      <c r="AF14" s="807">
        <f t="shared" si="16"/>
        <v>46441.115200590262</v>
      </c>
      <c r="AG14" s="807">
        <f t="shared" si="16"/>
        <v>44983.394994838694</v>
      </c>
      <c r="AH14" s="807">
        <f t="shared" si="16"/>
        <v>43678.533248098756</v>
      </c>
      <c r="AI14" s="807">
        <f t="shared" si="16"/>
        <v>42428.774476731662</v>
      </c>
      <c r="AJ14" s="807">
        <f t="shared" si="16"/>
        <v>41238.667054299025</v>
      </c>
      <c r="AK14" s="807">
        <f t="shared" si="16"/>
        <v>40099.073177510647</v>
      </c>
      <c r="AL14" s="807">
        <f t="shared" si="16"/>
        <v>39012.801840354237</v>
      </c>
      <c r="AM14" s="807">
        <f t="shared" si="16"/>
        <v>37973.04035464998</v>
      </c>
      <c r="AN14" s="807">
        <f t="shared" si="16"/>
        <v>36981.130677029243</v>
      </c>
      <c r="AO14" s="807">
        <f t="shared" si="16"/>
        <v>36031.8987537387</v>
      </c>
      <c r="AP14" s="808">
        <f t="shared" si="16"/>
        <v>35125.743052101978</v>
      </c>
    </row>
    <row r="15" spans="1:42" s="809" customFormat="1" ht="16" x14ac:dyDescent="0.8">
      <c r="A15" s="810" t="s">
        <v>159</v>
      </c>
      <c r="B15" s="811"/>
      <c r="C15" s="812">
        <f t="shared" ref="C15:AP15" si="17">(C14-B14)/B14</f>
        <v>0.41220530112489984</v>
      </c>
      <c r="D15" s="812">
        <f t="shared" si="17"/>
        <v>9.1202661708582045E-3</v>
      </c>
      <c r="E15" s="812">
        <f t="shared" si="17"/>
        <v>-0.17777971722813754</v>
      </c>
      <c r="F15" s="812">
        <f t="shared" si="17"/>
        <v>5.8321244501055559E-2</v>
      </c>
      <c r="G15" s="812">
        <f t="shared" si="17"/>
        <v>-4.925669200080237E-2</v>
      </c>
      <c r="H15" s="812">
        <f t="shared" si="17"/>
        <v>-0.10924350048057763</v>
      </c>
      <c r="I15" s="811">
        <f t="shared" si="17"/>
        <v>-4.0177388379345765E-2</v>
      </c>
      <c r="J15" s="812">
        <f t="shared" si="17"/>
        <v>0.26976030617312247</v>
      </c>
      <c r="K15" s="812">
        <f t="shared" si="17"/>
        <v>1.9382489685833143E-2</v>
      </c>
      <c r="L15" s="812">
        <f t="shared" si="17"/>
        <v>-3.717714236977334E-2</v>
      </c>
      <c r="M15" s="812">
        <f t="shared" si="17"/>
        <v>-7.1950511984252424E-2</v>
      </c>
      <c r="N15" s="812">
        <f t="shared" si="17"/>
        <v>-4.4395855791980653E-2</v>
      </c>
      <c r="O15" s="811">
        <f t="shared" si="17"/>
        <v>-7.4657895447127295E-2</v>
      </c>
      <c r="P15" s="812">
        <f t="shared" si="17"/>
        <v>6.5871756033686155E-2</v>
      </c>
      <c r="Q15" s="812">
        <f t="shared" si="17"/>
        <v>-0.10584911461060326</v>
      </c>
      <c r="R15" s="812">
        <f t="shared" si="17"/>
        <v>-5.9112053653378537E-2</v>
      </c>
      <c r="S15" s="812">
        <f t="shared" si="17"/>
        <v>8.5479887140532446E-4</v>
      </c>
      <c r="T15" s="812">
        <f t="shared" si="17"/>
        <v>-1.2383890635975611E-2</v>
      </c>
      <c r="U15" s="812">
        <f t="shared" si="17"/>
        <v>-6.5134272925485029E-2</v>
      </c>
      <c r="V15" s="812">
        <f t="shared" si="17"/>
        <v>2.4282122775952604E-2</v>
      </c>
      <c r="W15" s="812">
        <f t="shared" si="17"/>
        <v>-5.06762566657026E-2</v>
      </c>
      <c r="X15" s="812">
        <f t="shared" si="17"/>
        <v>1.1776846476316829E-3</v>
      </c>
      <c r="Y15" s="812">
        <f t="shared" si="17"/>
        <v>-3.3163516589382172E-2</v>
      </c>
      <c r="Z15" s="812">
        <f t="shared" si="17"/>
        <v>-3.0699521286718205E-2</v>
      </c>
      <c r="AA15" s="812">
        <f t="shared" si="17"/>
        <v>-3.5653183184142158E-2</v>
      </c>
      <c r="AB15" s="812">
        <f t="shared" si="17"/>
        <v>-2.9272940458182829E-2</v>
      </c>
      <c r="AC15" s="812">
        <f t="shared" si="17"/>
        <v>-3.4457115892591414E-2</v>
      </c>
      <c r="AD15" s="812">
        <f t="shared" si="17"/>
        <v>-2.960563644314957E-2</v>
      </c>
      <c r="AE15" s="812">
        <f t="shared" si="17"/>
        <v>-3.2636779582676828E-2</v>
      </c>
      <c r="AF15" s="812">
        <f t="shared" si="17"/>
        <v>-2.9451881692294977E-2</v>
      </c>
      <c r="AG15" s="812">
        <f t="shared" si="17"/>
        <v>-3.1388570223934681E-2</v>
      </c>
      <c r="AH15" s="812">
        <f t="shared" si="17"/>
        <v>-2.9007631524691619E-2</v>
      </c>
      <c r="AI15" s="812">
        <f t="shared" si="17"/>
        <v>-2.8612654281871843E-2</v>
      </c>
      <c r="AJ15" s="812">
        <f t="shared" si="17"/>
        <v>-2.8049535653812078E-2</v>
      </c>
      <c r="AK15" s="812">
        <f t="shared" si="17"/>
        <v>-2.7634110367531349E-2</v>
      </c>
      <c r="AL15" s="812">
        <f t="shared" si="17"/>
        <v>-2.708968689494896E-2</v>
      </c>
      <c r="AM15" s="812">
        <f t="shared" si="17"/>
        <v>-2.6651802399609865E-2</v>
      </c>
      <c r="AN15" s="812">
        <f t="shared" si="17"/>
        <v>-2.6121418468386427E-2</v>
      </c>
      <c r="AO15" s="812">
        <f t="shared" si="17"/>
        <v>-2.5668007059615309E-2</v>
      </c>
      <c r="AP15" s="813">
        <f t="shared" si="17"/>
        <v>-2.5148708033120207E-2</v>
      </c>
    </row>
    <row r="16" spans="1:42" s="809" customFormat="1" ht="16.75" thickBot="1" x14ac:dyDescent="0.95">
      <c r="A16" s="810" t="s">
        <v>158</v>
      </c>
      <c r="B16" s="811">
        <f t="shared" ref="B16:H16" si="18">B14/B$20</f>
        <v>0.29751298191371706</v>
      </c>
      <c r="C16" s="812">
        <f t="shared" si="18"/>
        <v>0.28130359261492044</v>
      </c>
      <c r="D16" s="812">
        <f t="shared" si="18"/>
        <v>0.28021978021978022</v>
      </c>
      <c r="E16" s="812">
        <f t="shared" si="18"/>
        <v>0.30280271700700678</v>
      </c>
      <c r="F16" s="812">
        <f t="shared" si="18"/>
        <v>0.26680343710046678</v>
      </c>
      <c r="G16" s="812">
        <f t="shared" si="18"/>
        <v>0.25183680818969972</v>
      </c>
      <c r="H16" s="812">
        <f t="shared" si="18"/>
        <v>0.23957075618913712</v>
      </c>
      <c r="I16" s="814">
        <f t="shared" ref="I16:AP16" si="19">I46</f>
        <v>0.25</v>
      </c>
      <c r="J16" s="815">
        <f t="shared" si="19"/>
        <v>0.28999999999999998</v>
      </c>
      <c r="K16" s="815">
        <f t="shared" si="19"/>
        <v>0.3</v>
      </c>
      <c r="L16" s="815">
        <f t="shared" si="19"/>
        <v>0.28000000000000003</v>
      </c>
      <c r="M16" s="815">
        <f t="shared" si="19"/>
        <v>0.27</v>
      </c>
      <c r="N16" s="815">
        <f t="shared" si="19"/>
        <v>0.25</v>
      </c>
      <c r="O16" s="814">
        <f t="shared" si="19"/>
        <v>0.26</v>
      </c>
      <c r="P16" s="815">
        <f t="shared" si="19"/>
        <v>0.27</v>
      </c>
      <c r="Q16" s="815">
        <f t="shared" si="19"/>
        <v>0.26</v>
      </c>
      <c r="R16" s="815">
        <f t="shared" si="19"/>
        <v>0.24</v>
      </c>
      <c r="S16" s="815">
        <f t="shared" si="19"/>
        <v>0.26</v>
      </c>
      <c r="T16" s="815">
        <f t="shared" si="19"/>
        <v>0.25333333333333335</v>
      </c>
      <c r="U16" s="815">
        <f t="shared" si="19"/>
        <v>0.25111111111111112</v>
      </c>
      <c r="V16" s="815">
        <f t="shared" si="19"/>
        <v>0.25481481481481483</v>
      </c>
      <c r="W16" s="815">
        <f t="shared" si="19"/>
        <v>0.25308641975308643</v>
      </c>
      <c r="X16" s="815">
        <f t="shared" si="19"/>
        <v>0.25300411522633742</v>
      </c>
      <c r="Y16" s="815">
        <f t="shared" si="19"/>
        <v>0.25363511659807952</v>
      </c>
      <c r="Z16" s="815">
        <f t="shared" si="19"/>
        <v>0.25324188385916774</v>
      </c>
      <c r="AA16" s="815">
        <f t="shared" si="19"/>
        <v>0.2532937052278616</v>
      </c>
      <c r="AB16" s="815">
        <f t="shared" si="19"/>
        <v>0.25339023522836962</v>
      </c>
      <c r="AC16" s="815">
        <f t="shared" si="19"/>
        <v>0.253308608105133</v>
      </c>
      <c r="AD16" s="815">
        <f t="shared" si="19"/>
        <v>0.25333084952045476</v>
      </c>
      <c r="AE16" s="815">
        <f t="shared" si="19"/>
        <v>0.25334323095131911</v>
      </c>
      <c r="AF16" s="815">
        <f t="shared" si="19"/>
        <v>0.25334323095131911</v>
      </c>
      <c r="AG16" s="815">
        <f t="shared" si="19"/>
        <v>0.25334323095131911</v>
      </c>
      <c r="AH16" s="815">
        <f t="shared" si="19"/>
        <v>0.25334323095131911</v>
      </c>
      <c r="AI16" s="815">
        <f t="shared" si="19"/>
        <v>0.25334323095131911</v>
      </c>
      <c r="AJ16" s="815">
        <f t="shared" si="19"/>
        <v>0.25334323095131911</v>
      </c>
      <c r="AK16" s="815">
        <f t="shared" si="19"/>
        <v>0.25334323095131911</v>
      </c>
      <c r="AL16" s="815">
        <f t="shared" si="19"/>
        <v>0.25334323095131911</v>
      </c>
      <c r="AM16" s="815">
        <f t="shared" si="19"/>
        <v>0.25334323095131911</v>
      </c>
      <c r="AN16" s="815">
        <f t="shared" si="19"/>
        <v>0.25334323095131911</v>
      </c>
      <c r="AO16" s="815">
        <f t="shared" si="19"/>
        <v>0.25334323095131911</v>
      </c>
      <c r="AP16" s="816">
        <f t="shared" si="19"/>
        <v>0.25334323095131911</v>
      </c>
    </row>
    <row r="17" spans="1:42" s="809" customFormat="1" ht="16" x14ac:dyDescent="0.8">
      <c r="A17" s="582" t="s">
        <v>187</v>
      </c>
      <c r="B17" s="806">
        <f t="shared" ref="B17:H17" si="20">SUM(B78,B82,B84,B86,B88,B90,B92,B94,B96,B98,B104,B108,B110,B112,B114,B116,B118,B120,B102)</f>
        <v>87088</v>
      </c>
      <c r="C17" s="807">
        <f t="shared" si="20"/>
        <v>140440</v>
      </c>
      <c r="D17" s="807">
        <f t="shared" si="20"/>
        <v>143672</v>
      </c>
      <c r="E17" s="807">
        <f t="shared" si="20"/>
        <v>110123</v>
      </c>
      <c r="F17" s="807">
        <f t="shared" si="20"/>
        <v>108858</v>
      </c>
      <c r="G17" s="807">
        <f t="shared" si="20"/>
        <v>114619</v>
      </c>
      <c r="H17" s="807">
        <f t="shared" si="20"/>
        <v>105210</v>
      </c>
      <c r="I17" s="806">
        <f t="shared" ref="I17:AP17" si="21">I19*I20</f>
        <v>94239.461335369982</v>
      </c>
      <c r="J17" s="807">
        <f t="shared" si="21"/>
        <v>80161.853707099872</v>
      </c>
      <c r="K17" s="807">
        <f t="shared" si="21"/>
        <v>75844.655853694203</v>
      </c>
      <c r="L17" s="807">
        <f t="shared" si="21"/>
        <v>87331.282462986346</v>
      </c>
      <c r="M17" s="807">
        <f t="shared" si="21"/>
        <v>87174.038062575899</v>
      </c>
      <c r="N17" s="807">
        <f t="shared" si="21"/>
        <v>97707.38023781954</v>
      </c>
      <c r="O17" s="806">
        <f t="shared" si="21"/>
        <v>84066.186176270072</v>
      </c>
      <c r="P17" s="807">
        <f t="shared" si="21"/>
        <v>84812.672966612969</v>
      </c>
      <c r="Q17" s="807">
        <f t="shared" si="21"/>
        <v>79845.848706486067</v>
      </c>
      <c r="R17" s="807">
        <f t="shared" si="21"/>
        <v>86124.751254973904</v>
      </c>
      <c r="S17" s="807">
        <f t="shared" si="21"/>
        <v>77250.220100206192</v>
      </c>
      <c r="T17" s="807">
        <f t="shared" si="21"/>
        <v>78388.288564157498</v>
      </c>
      <c r="U17" s="807">
        <f t="shared" si="21"/>
        <v>74614.829222239379</v>
      </c>
      <c r="V17" s="807">
        <f t="shared" si="21"/>
        <v>74828.034562037865</v>
      </c>
      <c r="W17" s="807">
        <f t="shared" si="21"/>
        <v>71612.04709904817</v>
      </c>
      <c r="X17" s="807">
        <f t="shared" si="21"/>
        <v>71814.652010439982</v>
      </c>
      <c r="Y17" s="807">
        <f t="shared" si="21"/>
        <v>69169.978684851856</v>
      </c>
      <c r="Z17" s="807">
        <f t="shared" si="21"/>
        <v>67179.419855776869</v>
      </c>
      <c r="AA17" s="807">
        <f t="shared" si="21"/>
        <v>64780.659464090422</v>
      </c>
      <c r="AB17" s="807">
        <f t="shared" si="21"/>
        <v>62845.151081989956</v>
      </c>
      <c r="AC17" s="807">
        <f t="shared" si="21"/>
        <v>60706.033999575302</v>
      </c>
      <c r="AD17" s="807">
        <f t="shared" si="21"/>
        <v>58903.98611502182</v>
      </c>
      <c r="AE17" s="807">
        <f t="shared" si="21"/>
        <v>56976.404660283246</v>
      </c>
      <c r="AF17" s="807">
        <f t="shared" si="21"/>
        <v>55298.342330976258</v>
      </c>
      <c r="AG17" s="807">
        <f t="shared" si="21"/>
        <v>53562.606429453226</v>
      </c>
      <c r="AH17" s="807">
        <f t="shared" si="21"/>
        <v>52008.882078645576</v>
      </c>
      <c r="AI17" s="807">
        <f t="shared" si="21"/>
        <v>50520.76991614265</v>
      </c>
      <c r="AJ17" s="807">
        <f t="shared" si="21"/>
        <v>49103.68577912177</v>
      </c>
      <c r="AK17" s="807">
        <f t="shared" si="21"/>
        <v>47746.74910684894</v>
      </c>
      <c r="AL17" s="807">
        <f t="shared" si="21"/>
        <v>46453.304623292715</v>
      </c>
      <c r="AM17" s="807">
        <f t="shared" si="21"/>
        <v>45215.240327663836</v>
      </c>
      <c r="AN17" s="807">
        <f t="shared" si="21"/>
        <v>44034.154113916265</v>
      </c>
      <c r="AO17" s="807">
        <f t="shared" si="21"/>
        <v>42903.885135256074</v>
      </c>
      <c r="AP17" s="808">
        <f t="shared" si="21"/>
        <v>41824.907854502992</v>
      </c>
    </row>
    <row r="18" spans="1:42" s="809" customFormat="1" ht="16" x14ac:dyDescent="0.8">
      <c r="A18" s="810" t="s">
        <v>159</v>
      </c>
      <c r="B18" s="811"/>
      <c r="C18" s="812">
        <f t="shared" ref="C18:AP18" si="22">(C17-B17)/B17</f>
        <v>0.61262171596546022</v>
      </c>
      <c r="D18" s="812">
        <f t="shared" si="22"/>
        <v>2.3013386499572772E-2</v>
      </c>
      <c r="E18" s="812">
        <f t="shared" si="22"/>
        <v>-0.23351105295395067</v>
      </c>
      <c r="F18" s="812">
        <f t="shared" si="22"/>
        <v>-1.1487155271832406E-2</v>
      </c>
      <c r="G18" s="812">
        <f t="shared" si="22"/>
        <v>5.2922155468592108E-2</v>
      </c>
      <c r="H18" s="812">
        <f t="shared" si="22"/>
        <v>-8.2089356912902742E-2</v>
      </c>
      <c r="I18" s="811">
        <f t="shared" si="22"/>
        <v>-0.10427277506539319</v>
      </c>
      <c r="J18" s="812">
        <f t="shared" si="22"/>
        <v>-0.14938124039325867</v>
      </c>
      <c r="K18" s="812">
        <f t="shared" si="22"/>
        <v>-5.3856013225194392E-2</v>
      </c>
      <c r="L18" s="812">
        <f t="shared" si="22"/>
        <v>0.15144938664432819</v>
      </c>
      <c r="M18" s="812">
        <f t="shared" si="22"/>
        <v>-1.800550684425048E-3</v>
      </c>
      <c r="N18" s="812">
        <f t="shared" si="22"/>
        <v>0.12083118333559954</v>
      </c>
      <c r="O18" s="811">
        <f t="shared" si="22"/>
        <v>-0.13961272964587559</v>
      </c>
      <c r="P18" s="812">
        <f t="shared" si="22"/>
        <v>8.8797508760259727E-3</v>
      </c>
      <c r="Q18" s="812">
        <f t="shared" si="22"/>
        <v>-5.8562288940971381E-2</v>
      </c>
      <c r="R18" s="812">
        <f t="shared" si="22"/>
        <v>7.8637808354559913E-2</v>
      </c>
      <c r="S18" s="812">
        <f t="shared" si="22"/>
        <v>-0.10304274933107789</v>
      </c>
      <c r="T18" s="812">
        <f t="shared" si="22"/>
        <v>1.4732235875510055E-2</v>
      </c>
      <c r="U18" s="812">
        <f t="shared" si="22"/>
        <v>-4.8138049841842147E-2</v>
      </c>
      <c r="V18" s="812">
        <f t="shared" si="22"/>
        <v>2.8574124208400444E-3</v>
      </c>
      <c r="W18" s="812">
        <f t="shared" si="22"/>
        <v>-4.2978376778337109E-2</v>
      </c>
      <c r="X18" s="812">
        <f t="shared" si="22"/>
        <v>2.8292015044840886E-3</v>
      </c>
      <c r="Y18" s="812">
        <f t="shared" si="22"/>
        <v>-3.6826375280683103E-2</v>
      </c>
      <c r="Z18" s="812">
        <f t="shared" si="22"/>
        <v>-2.8777785781086522E-2</v>
      </c>
      <c r="AA18" s="812">
        <f t="shared" si="22"/>
        <v>-3.57067744383055E-2</v>
      </c>
      <c r="AB18" s="812">
        <f t="shared" si="22"/>
        <v>-2.9877874015366703E-2</v>
      </c>
      <c r="AC18" s="812">
        <f t="shared" si="22"/>
        <v>-3.4037901820363002E-2</v>
      </c>
      <c r="AD18" s="812">
        <f t="shared" si="22"/>
        <v>-2.9684823168749399E-2</v>
      </c>
      <c r="AE18" s="812">
        <f t="shared" si="22"/>
        <v>-3.2724125850746091E-2</v>
      </c>
      <c r="AF18" s="812">
        <f t="shared" si="22"/>
        <v>-2.9451881692294998E-2</v>
      </c>
      <c r="AG18" s="812">
        <f t="shared" si="22"/>
        <v>-3.1388570223934757E-2</v>
      </c>
      <c r="AH18" s="812">
        <f t="shared" si="22"/>
        <v>-2.900763152469148E-2</v>
      </c>
      <c r="AI18" s="812">
        <f t="shared" si="22"/>
        <v>-2.8612654281871847E-2</v>
      </c>
      <c r="AJ18" s="812">
        <f t="shared" si="22"/>
        <v>-2.8049535653812081E-2</v>
      </c>
      <c r="AK18" s="812">
        <f t="shared" si="22"/>
        <v>-2.7634110367531339E-2</v>
      </c>
      <c r="AL18" s="812">
        <f t="shared" si="22"/>
        <v>-2.7089686894949019E-2</v>
      </c>
      <c r="AM18" s="812">
        <f t="shared" si="22"/>
        <v>-2.6651802399609834E-2</v>
      </c>
      <c r="AN18" s="812">
        <f t="shared" si="22"/>
        <v>-2.6121418468386465E-2</v>
      </c>
      <c r="AO18" s="812">
        <f t="shared" si="22"/>
        <v>-2.5668007059615312E-2</v>
      </c>
      <c r="AP18" s="813">
        <f t="shared" si="22"/>
        <v>-2.5148708033120241E-2</v>
      </c>
    </row>
    <row r="19" spans="1:42" s="809" customFormat="1" ht="16.75" thickBot="1" x14ac:dyDescent="0.95">
      <c r="A19" s="810" t="s">
        <v>158</v>
      </c>
      <c r="B19" s="811">
        <f t="shared" ref="B19:H19" si="23">B17/B$20</f>
        <v>0.35805824284709914</v>
      </c>
      <c r="C19" s="812">
        <f t="shared" si="23"/>
        <v>0.38659630635912934</v>
      </c>
      <c r="D19" s="812">
        <f t="shared" si="23"/>
        <v>0.39040879990434885</v>
      </c>
      <c r="E19" s="812">
        <f t="shared" si="23"/>
        <v>0.3932767647331919</v>
      </c>
      <c r="F19" s="812">
        <f t="shared" si="23"/>
        <v>0.32366425831772366</v>
      </c>
      <c r="G19" s="812">
        <f t="shared" si="23"/>
        <v>0.33834169207744558</v>
      </c>
      <c r="H19" s="812">
        <f t="shared" si="23"/>
        <v>0.33167406977733921</v>
      </c>
      <c r="I19" s="814">
        <f t="shared" ref="I19:AP19" si="24">I47</f>
        <v>0.32299999999999995</v>
      </c>
      <c r="J19" s="815">
        <f t="shared" si="24"/>
        <v>0.251</v>
      </c>
      <c r="K19" s="815">
        <f t="shared" si="24"/>
        <v>0.24099999999999999</v>
      </c>
      <c r="L19" s="815">
        <f t="shared" si="24"/>
        <v>0.26899999999999991</v>
      </c>
      <c r="M19" s="815">
        <f t="shared" si="24"/>
        <v>0.27899999999999991</v>
      </c>
      <c r="N19" s="815">
        <f t="shared" si="24"/>
        <v>0.30299999999999994</v>
      </c>
      <c r="O19" s="814">
        <f t="shared" si="24"/>
        <v>0.29299999999999993</v>
      </c>
      <c r="P19" s="815">
        <f t="shared" si="24"/>
        <v>0.28799999999999992</v>
      </c>
      <c r="Q19" s="815">
        <f t="shared" si="24"/>
        <v>0.29200000000000004</v>
      </c>
      <c r="R19" s="815">
        <f t="shared" si="24"/>
        <v>0.30899999999999994</v>
      </c>
      <c r="S19" s="815">
        <f t="shared" si="24"/>
        <v>0.30000000000000004</v>
      </c>
      <c r="T19" s="815">
        <f t="shared" si="24"/>
        <v>0.30033333333333334</v>
      </c>
      <c r="U19" s="815">
        <f t="shared" si="24"/>
        <v>0.30311111111111111</v>
      </c>
      <c r="V19" s="815">
        <f t="shared" si="24"/>
        <v>0.30114814814814816</v>
      </c>
      <c r="W19" s="815">
        <f t="shared" si="24"/>
        <v>0.30153086419753083</v>
      </c>
      <c r="X19" s="815">
        <f t="shared" si="24"/>
        <v>0.30193004115226341</v>
      </c>
      <c r="Y19" s="815">
        <f t="shared" si="24"/>
        <v>0.30153635116598076</v>
      </c>
      <c r="Z19" s="815">
        <f t="shared" si="24"/>
        <v>0.30166575217192504</v>
      </c>
      <c r="AA19" s="815">
        <f t="shared" si="24"/>
        <v>0.3017107148300564</v>
      </c>
      <c r="AB19" s="815">
        <f t="shared" si="24"/>
        <v>0.30163760605598733</v>
      </c>
      <c r="AC19" s="815">
        <f t="shared" si="24"/>
        <v>0.30167135768598952</v>
      </c>
      <c r="AD19" s="815">
        <f t="shared" si="24"/>
        <v>0.30167322619067782</v>
      </c>
      <c r="AE19" s="815">
        <f t="shared" si="24"/>
        <v>0.30166072997755156</v>
      </c>
      <c r="AF19" s="815">
        <f t="shared" si="24"/>
        <v>0.30166072997755156</v>
      </c>
      <c r="AG19" s="815">
        <f t="shared" si="24"/>
        <v>0.30166072997755156</v>
      </c>
      <c r="AH19" s="815">
        <f t="shared" si="24"/>
        <v>0.30166072997755156</v>
      </c>
      <c r="AI19" s="815">
        <f t="shared" si="24"/>
        <v>0.30166072997755156</v>
      </c>
      <c r="AJ19" s="815">
        <f t="shared" si="24"/>
        <v>0.30166072997755156</v>
      </c>
      <c r="AK19" s="815">
        <f t="shared" si="24"/>
        <v>0.30166072997755156</v>
      </c>
      <c r="AL19" s="815">
        <f t="shared" si="24"/>
        <v>0.30166072997755156</v>
      </c>
      <c r="AM19" s="815">
        <f t="shared" si="24"/>
        <v>0.30166072997755156</v>
      </c>
      <c r="AN19" s="815">
        <f t="shared" si="24"/>
        <v>0.30166072997755156</v>
      </c>
      <c r="AO19" s="815">
        <f t="shared" si="24"/>
        <v>0.30166072997755156</v>
      </c>
      <c r="AP19" s="816">
        <f t="shared" si="24"/>
        <v>0.30166072997755156</v>
      </c>
    </row>
    <row r="20" spans="1:42" s="809" customFormat="1" ht="16" x14ac:dyDescent="0.8">
      <c r="A20" s="582" t="s">
        <v>160</v>
      </c>
      <c r="B20" s="806">
        <v>243223</v>
      </c>
      <c r="C20" s="807">
        <v>363273</v>
      </c>
      <c r="D20" s="807">
        <v>368004</v>
      </c>
      <c r="E20" s="807">
        <v>280014</v>
      </c>
      <c r="F20" s="807">
        <v>336330</v>
      </c>
      <c r="G20" s="807">
        <v>338767</v>
      </c>
      <c r="H20" s="807">
        <v>317209</v>
      </c>
      <c r="I20" s="806">
        <f>'Revenue Schedule'!H64</f>
        <v>291763.03818999999</v>
      </c>
      <c r="J20" s="807">
        <f>'Revenue Schedule'!I64</f>
        <v>319369.93508804729</v>
      </c>
      <c r="K20" s="807">
        <f>'Revenue Schedule'!J64</f>
        <v>314708.11557549465</v>
      </c>
      <c r="L20" s="807">
        <f>'Revenue Schedule'!K64</f>
        <v>324651.60766909434</v>
      </c>
      <c r="M20" s="807">
        <f>'Revenue Schedule'!L64</f>
        <v>312451.74932822911</v>
      </c>
      <c r="N20" s="807">
        <f>'Revenue Schedule'!M64</f>
        <v>322466.60144494905</v>
      </c>
      <c r="O20" s="806">
        <f>'Revenue Schedule'!N64</f>
        <v>286915.31118180917</v>
      </c>
      <c r="P20" s="807">
        <f>'Revenue Schedule'!O64</f>
        <v>294488.44780073955</v>
      </c>
      <c r="Q20" s="807">
        <f>'Revenue Schedule'!P64</f>
        <v>273444.68735097966</v>
      </c>
      <c r="R20" s="807">
        <f>'Revenue Schedule'!Q64</f>
        <v>278720.87784781202</v>
      </c>
      <c r="S20" s="807">
        <f>'Revenue Schedule'!R64</f>
        <v>257500.73366735392</v>
      </c>
      <c r="T20" s="807">
        <f>'Revenue Schedule'!S64</f>
        <v>261004.29044669535</v>
      </c>
      <c r="U20" s="807">
        <f>'Revenue Schedule'!T64</f>
        <v>246163.29288861968</v>
      </c>
      <c r="V20" s="807">
        <f>'Revenue Schedule'!U64</f>
        <v>248475.82501230133</v>
      </c>
      <c r="W20" s="807">
        <f>'Revenue Schedule'!V64</f>
        <v>237494.91545295212</v>
      </c>
      <c r="X20" s="807">
        <f>'Revenue Schedule'!W64</f>
        <v>237851.95979960082</v>
      </c>
      <c r="Y20" s="807">
        <f>'Revenue Schedule'!X64</f>
        <v>229391.84087552089</v>
      </c>
      <c r="Z20" s="807">
        <f>'Revenue Schedule'!Y64</f>
        <v>222694.88456047885</v>
      </c>
      <c r="AA20" s="807">
        <f>'Revenue Schedule'!Z64</f>
        <v>214711.16629245074</v>
      </c>
      <c r="AB20" s="807">
        <f>'Revenue Schedule'!AA64</f>
        <v>208346.53842971154</v>
      </c>
      <c r="AC20" s="807">
        <f>'Revenue Schedule'!AB64</f>
        <v>201232.34259039059</v>
      </c>
      <c r="AD20" s="807">
        <f>'Revenue Schedule'!AC64</f>
        <v>195257.58669014441</v>
      </c>
      <c r="AE20" s="807">
        <f>'Revenue Schedule'!AD64</f>
        <v>188875.77665320644</v>
      </c>
      <c r="AF20" s="807">
        <f>'Revenue Schedule'!AE64</f>
        <v>183313.02962467587</v>
      </c>
      <c r="AG20" s="807">
        <f>'Revenue Schedule'!AF64</f>
        <v>177559.09572133952</v>
      </c>
      <c r="AH20" s="807">
        <f>'Revenue Schedule'!AG64</f>
        <v>172408.52689879746</v>
      </c>
      <c r="AI20" s="807">
        <f>'Revenue Schedule'!AH64</f>
        <v>167475.46132339537</v>
      </c>
      <c r="AJ20" s="807">
        <f>'Revenue Schedule'!AI64</f>
        <v>162777.85239986615</v>
      </c>
      <c r="AK20" s="807">
        <f>'Revenue Schedule'!AJ64</f>
        <v>158279.63126125853</v>
      </c>
      <c r="AL20" s="807">
        <f>'Revenue Schedule'!AK64</f>
        <v>153991.88560854306</v>
      </c>
      <c r="AM20" s="807">
        <f>'Revenue Schedule'!AL64</f>
        <v>149887.72430216084</v>
      </c>
      <c r="AN20" s="807">
        <f>'Revenue Schedule'!AM64</f>
        <v>145972.44433238998</v>
      </c>
      <c r="AO20" s="807">
        <f>'Revenue Schedule'!AN64</f>
        <v>142225.62260075688</v>
      </c>
      <c r="AP20" s="808">
        <f>'Revenue Schedule'!AO64</f>
        <v>138648.8319431417</v>
      </c>
    </row>
    <row r="21" spans="1:42" s="809" customFormat="1" ht="16" x14ac:dyDescent="0.8">
      <c r="A21" s="810" t="s">
        <v>159</v>
      </c>
      <c r="B21" s="811"/>
      <c r="C21" s="812">
        <f t="shared" ref="C21:AP21" si="25">(C20-B20)/B20</f>
        <v>0.49357996571047968</v>
      </c>
      <c r="D21" s="812">
        <f t="shared" si="25"/>
        <v>1.3023263496048426E-2</v>
      </c>
      <c r="E21" s="812">
        <f t="shared" si="25"/>
        <v>-0.23910066194932664</v>
      </c>
      <c r="F21" s="812">
        <f t="shared" si="25"/>
        <v>0.2011185155027963</v>
      </c>
      <c r="G21" s="812">
        <f t="shared" si="25"/>
        <v>7.2458597211072463E-3</v>
      </c>
      <c r="H21" s="812">
        <f t="shared" si="25"/>
        <v>-6.3636658824501799E-2</v>
      </c>
      <c r="I21" s="811">
        <f t="shared" si="25"/>
        <v>-8.0218284506429538E-2</v>
      </c>
      <c r="J21" s="812">
        <f t="shared" si="25"/>
        <v>9.46209535975195E-2</v>
      </c>
      <c r="K21" s="812">
        <f t="shared" si="25"/>
        <v>-1.459692663702806E-2</v>
      </c>
      <c r="L21" s="812">
        <f t="shared" si="25"/>
        <v>3.1595918889528507E-2</v>
      </c>
      <c r="M21" s="812">
        <f t="shared" si="25"/>
        <v>-3.7578308724409919E-2</v>
      </c>
      <c r="N21" s="812">
        <f t="shared" si="25"/>
        <v>3.2052475744660913E-2</v>
      </c>
      <c r="O21" s="811">
        <f t="shared" si="25"/>
        <v>-0.11024797639146866</v>
      </c>
      <c r="P21" s="812">
        <f t="shared" si="25"/>
        <v>2.6395024328734841E-2</v>
      </c>
      <c r="Q21" s="812">
        <f t="shared" si="25"/>
        <v>-7.1458695941780323E-2</v>
      </c>
      <c r="R21" s="812">
        <f t="shared" si="25"/>
        <v>1.9295275208840008E-2</v>
      </c>
      <c r="S21" s="812">
        <f t="shared" si="25"/>
        <v>-7.6134031811010514E-2</v>
      </c>
      <c r="T21" s="812">
        <f t="shared" si="25"/>
        <v>1.3606006978867127E-2</v>
      </c>
      <c r="U21" s="812">
        <f t="shared" si="25"/>
        <v>-5.6861124898276855E-2</v>
      </c>
      <c r="V21" s="812">
        <f t="shared" si="25"/>
        <v>9.394301223976529E-3</v>
      </c>
      <c r="W21" s="812">
        <f t="shared" si="25"/>
        <v>-4.4193070125858623E-2</v>
      </c>
      <c r="X21" s="812">
        <f t="shared" si="25"/>
        <v>1.5033768026896377E-3</v>
      </c>
      <c r="Y21" s="812">
        <f t="shared" si="25"/>
        <v>-3.5568842616255487E-2</v>
      </c>
      <c r="Z21" s="812">
        <f t="shared" si="25"/>
        <v>-2.9194396319772054E-2</v>
      </c>
      <c r="AA21" s="812">
        <f t="shared" si="25"/>
        <v>-3.5850478935720298E-2</v>
      </c>
      <c r="AB21" s="812">
        <f t="shared" si="25"/>
        <v>-2.9642742725686469E-2</v>
      </c>
      <c r="AC21" s="812">
        <f t="shared" si="25"/>
        <v>-3.4145975704420059E-2</v>
      </c>
      <c r="AD21" s="812">
        <f t="shared" si="25"/>
        <v>-2.9690833110300879E-2</v>
      </c>
      <c r="AE21" s="812">
        <f t="shared" si="25"/>
        <v>-3.2684056712558397E-2</v>
      </c>
      <c r="AF21" s="812">
        <f t="shared" si="25"/>
        <v>-2.9451881692295026E-2</v>
      </c>
      <c r="AG21" s="812">
        <f t="shared" si="25"/>
        <v>-3.1388570223934646E-2</v>
      </c>
      <c r="AH21" s="812">
        <f t="shared" si="25"/>
        <v>-2.9007631524691591E-2</v>
      </c>
      <c r="AI21" s="812">
        <f t="shared" si="25"/>
        <v>-2.8612654281871788E-2</v>
      </c>
      <c r="AJ21" s="812">
        <f t="shared" si="25"/>
        <v>-2.8049535653812151E-2</v>
      </c>
      <c r="AK21" s="812">
        <f t="shared" si="25"/>
        <v>-2.7634110367531314E-2</v>
      </c>
      <c r="AL21" s="812">
        <f t="shared" si="25"/>
        <v>-2.7089686894948978E-2</v>
      </c>
      <c r="AM21" s="812">
        <f t="shared" si="25"/>
        <v>-2.6651802399609861E-2</v>
      </c>
      <c r="AN21" s="812">
        <f t="shared" si="25"/>
        <v>-2.6121418468386368E-2</v>
      </c>
      <c r="AO21" s="812">
        <f t="shared" si="25"/>
        <v>-2.5668007059615382E-2</v>
      </c>
      <c r="AP21" s="813">
        <f t="shared" si="25"/>
        <v>-2.5148708033120176E-2</v>
      </c>
    </row>
    <row r="22" spans="1:42" s="809" customFormat="1" ht="16.75" thickBot="1" x14ac:dyDescent="0.95">
      <c r="A22" s="810" t="s">
        <v>158</v>
      </c>
      <c r="B22" s="811">
        <f t="shared" ref="B22:H22" si="26">B20/B$20</f>
        <v>1</v>
      </c>
      <c r="C22" s="812">
        <f t="shared" si="26"/>
        <v>1</v>
      </c>
      <c r="D22" s="812">
        <f t="shared" si="26"/>
        <v>1</v>
      </c>
      <c r="E22" s="812">
        <f t="shared" si="26"/>
        <v>1</v>
      </c>
      <c r="F22" s="812">
        <f t="shared" si="26"/>
        <v>1</v>
      </c>
      <c r="G22" s="812">
        <f t="shared" si="26"/>
        <v>1</v>
      </c>
      <c r="H22" s="812">
        <f t="shared" si="26"/>
        <v>1</v>
      </c>
      <c r="I22" s="814">
        <v>1</v>
      </c>
      <c r="J22" s="815">
        <v>1</v>
      </c>
      <c r="K22" s="815">
        <v>1</v>
      </c>
      <c r="L22" s="815">
        <v>1</v>
      </c>
      <c r="M22" s="815">
        <v>1</v>
      </c>
      <c r="N22" s="815">
        <v>1</v>
      </c>
      <c r="O22" s="814">
        <v>1</v>
      </c>
      <c r="P22" s="815">
        <f t="shared" ref="P22:AP22" si="27">SUM(P16,P13,P10,P7)</f>
        <v>0.71199999999999997</v>
      </c>
      <c r="Q22" s="815">
        <f t="shared" si="27"/>
        <v>0.70799999999999996</v>
      </c>
      <c r="R22" s="815">
        <f t="shared" si="27"/>
        <v>0.69099999999999995</v>
      </c>
      <c r="S22" s="815">
        <f t="shared" si="27"/>
        <v>0.7</v>
      </c>
      <c r="T22" s="815">
        <f t="shared" si="27"/>
        <v>0.69966666666666666</v>
      </c>
      <c r="U22" s="815">
        <f t="shared" si="27"/>
        <v>0.69688888888888889</v>
      </c>
      <c r="V22" s="815">
        <f t="shared" si="27"/>
        <v>0.69885185185185184</v>
      </c>
      <c r="W22" s="815">
        <f t="shared" si="27"/>
        <v>0.69846913580246917</v>
      </c>
      <c r="X22" s="815">
        <f t="shared" si="27"/>
        <v>0.69806995884773659</v>
      </c>
      <c r="Y22" s="815">
        <f t="shared" si="27"/>
        <v>0.69846364883401912</v>
      </c>
      <c r="Z22" s="815">
        <f t="shared" si="27"/>
        <v>0.69833424782807496</v>
      </c>
      <c r="AA22" s="815">
        <f t="shared" si="27"/>
        <v>0.69828928516994371</v>
      </c>
      <c r="AB22" s="815">
        <f t="shared" si="27"/>
        <v>0.69836239394401256</v>
      </c>
      <c r="AC22" s="815">
        <f t="shared" si="27"/>
        <v>0.69832864231401037</v>
      </c>
      <c r="AD22" s="815">
        <f t="shared" si="27"/>
        <v>0.69832677380932229</v>
      </c>
      <c r="AE22" s="815">
        <f t="shared" si="27"/>
        <v>0.69833927002244833</v>
      </c>
      <c r="AF22" s="815">
        <f t="shared" si="27"/>
        <v>0.69833927002244833</v>
      </c>
      <c r="AG22" s="815">
        <f t="shared" si="27"/>
        <v>0.69833927002244833</v>
      </c>
      <c r="AH22" s="815">
        <f t="shared" si="27"/>
        <v>0.69833927002244833</v>
      </c>
      <c r="AI22" s="815">
        <f t="shared" si="27"/>
        <v>0.69833927002244833</v>
      </c>
      <c r="AJ22" s="815">
        <f t="shared" si="27"/>
        <v>0.69833927002244833</v>
      </c>
      <c r="AK22" s="815">
        <f t="shared" si="27"/>
        <v>0.69833927002244833</v>
      </c>
      <c r="AL22" s="815">
        <f t="shared" si="27"/>
        <v>0.69833927002244833</v>
      </c>
      <c r="AM22" s="815">
        <f t="shared" si="27"/>
        <v>0.69833927002244833</v>
      </c>
      <c r="AN22" s="815">
        <f t="shared" si="27"/>
        <v>0.69833927002244833</v>
      </c>
      <c r="AO22" s="815">
        <f t="shared" si="27"/>
        <v>0.69833927002244833</v>
      </c>
      <c r="AP22" s="816">
        <f t="shared" si="27"/>
        <v>0.69833927002244833</v>
      </c>
    </row>
    <row r="23" spans="1:42" s="809" customFormat="1" ht="16" x14ac:dyDescent="0.8">
      <c r="A23" s="817"/>
      <c r="B23" s="806">
        <f t="shared" ref="B23:H23" si="28">B20-B14-B11-B8-B5</f>
        <v>87087</v>
      </c>
      <c r="C23" s="807">
        <f t="shared" si="28"/>
        <v>140440</v>
      </c>
      <c r="D23" s="807">
        <f t="shared" si="28"/>
        <v>143672</v>
      </c>
      <c r="E23" s="807">
        <f t="shared" si="28"/>
        <v>110123</v>
      </c>
      <c r="F23" s="807">
        <f t="shared" si="28"/>
        <v>108858</v>
      </c>
      <c r="G23" s="807">
        <f t="shared" si="28"/>
        <v>114619</v>
      </c>
      <c r="H23" s="807">
        <f t="shared" si="28"/>
        <v>105210</v>
      </c>
      <c r="I23" s="806">
        <f>(H20/B20)^(1/6)-1</f>
        <v>4.5257943426422198E-2</v>
      </c>
      <c r="J23" s="807">
        <f>B20*(1+I23)^6</f>
        <v>317208.99999999994</v>
      </c>
      <c r="K23" s="807"/>
      <c r="L23" s="807"/>
      <c r="M23" s="807"/>
      <c r="N23" s="807"/>
      <c r="O23" s="806"/>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8"/>
    </row>
    <row r="24" spans="1:42" s="809" customFormat="1" ht="16" x14ac:dyDescent="0.8">
      <c r="A24" s="818"/>
      <c r="B24" s="819"/>
      <c r="C24" s="820">
        <v>4.5257943426422198E-2</v>
      </c>
      <c r="D24" s="820">
        <v>4.5257943426422198E-2</v>
      </c>
      <c r="E24" s="820">
        <v>4.5257943426422198E-2</v>
      </c>
      <c r="F24" s="820">
        <v>4.5257943426422198E-2</v>
      </c>
      <c r="G24" s="820">
        <v>4.5257943426422198E-2</v>
      </c>
      <c r="H24" s="820">
        <v>4.5257943426422198E-2</v>
      </c>
      <c r="I24" s="819">
        <v>4.5257943426422198E-2</v>
      </c>
      <c r="J24" s="820">
        <v>4.5257943426422198E-2</v>
      </c>
      <c r="K24" s="820">
        <v>4.5257943426422198E-2</v>
      </c>
      <c r="L24" s="820">
        <v>4.5257943426422198E-2</v>
      </c>
      <c r="M24" s="820">
        <v>4.5257943426422198E-2</v>
      </c>
      <c r="N24" s="820">
        <v>4.5257943426422198E-2</v>
      </c>
      <c r="O24" s="819">
        <v>4.5257943426422198E-2</v>
      </c>
      <c r="P24" s="820">
        <v>4.5257943426422198E-2</v>
      </c>
      <c r="Q24" s="820">
        <v>4.5257943426422198E-2</v>
      </c>
      <c r="R24" s="820">
        <v>4.5257943426422198E-2</v>
      </c>
      <c r="S24" s="820">
        <v>4.5257943426422198E-2</v>
      </c>
      <c r="T24" s="820"/>
      <c r="U24" s="820"/>
      <c r="V24" s="820"/>
      <c r="W24" s="820"/>
      <c r="X24" s="820"/>
      <c r="Y24" s="820"/>
      <c r="Z24" s="820"/>
      <c r="AA24" s="820"/>
      <c r="AB24" s="820"/>
      <c r="AC24" s="820"/>
      <c r="AD24" s="820"/>
      <c r="AE24" s="820"/>
      <c r="AF24" s="820"/>
      <c r="AG24" s="820"/>
      <c r="AH24" s="820"/>
      <c r="AI24" s="820"/>
      <c r="AJ24" s="820"/>
      <c r="AK24" s="820"/>
      <c r="AL24" s="820"/>
      <c r="AM24" s="820"/>
      <c r="AN24" s="820"/>
      <c r="AO24" s="820"/>
      <c r="AP24" s="821"/>
    </row>
    <row r="25" spans="1:42" s="809" customFormat="1" ht="16.75" thickBot="1" x14ac:dyDescent="0.95">
      <c r="A25" s="822"/>
      <c r="B25" s="823"/>
      <c r="C25" s="824">
        <f>B20*(1+C24)</f>
        <v>254230.7727740047</v>
      </c>
      <c r="D25" s="824">
        <f t="shared" ref="D25:S25" si="29">C25*(1+C24)</f>
        <v>265736.7347054662</v>
      </c>
      <c r="E25" s="824">
        <f t="shared" si="29"/>
        <v>277763.43281108834</v>
      </c>
      <c r="F25" s="824">
        <f t="shared" si="29"/>
        <v>290334.43453918141</v>
      </c>
      <c r="G25" s="824">
        <f t="shared" si="29"/>
        <v>303474.37395229796</v>
      </c>
      <c r="H25" s="824">
        <f t="shared" si="29"/>
        <v>317208.99999999994</v>
      </c>
      <c r="I25" s="823">
        <f t="shared" si="29"/>
        <v>331565.22697635187</v>
      </c>
      <c r="J25" s="824">
        <f t="shared" si="29"/>
        <v>346571.18726101646</v>
      </c>
      <c r="K25" s="824">
        <f t="shared" si="29"/>
        <v>362256.28644730349</v>
      </c>
      <c r="L25" s="824">
        <f t="shared" si="29"/>
        <v>378651.26096520136</v>
      </c>
      <c r="M25" s="824">
        <f t="shared" si="29"/>
        <v>395788.23831230786</v>
      </c>
      <c r="N25" s="824">
        <f t="shared" si="29"/>
        <v>413700.80001068959</v>
      </c>
      <c r="O25" s="823">
        <f t="shared" si="29"/>
        <v>432424.04741303896</v>
      </c>
      <c r="P25" s="824">
        <f t="shared" si="29"/>
        <v>451994.6704870828</v>
      </c>
      <c r="Q25" s="824">
        <f t="shared" si="29"/>
        <v>472451.01971303154</v>
      </c>
      <c r="R25" s="824">
        <f t="shared" si="29"/>
        <v>493833.1812349594</v>
      </c>
      <c r="S25" s="824">
        <f t="shared" si="29"/>
        <v>516183.05541338131</v>
      </c>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5"/>
    </row>
    <row r="26" spans="1:42" s="809" customFormat="1" ht="16" x14ac:dyDescent="0.8">
      <c r="B26" s="819"/>
      <c r="C26" s="820"/>
      <c r="D26" s="820"/>
      <c r="E26" s="820"/>
      <c r="F26" s="820"/>
      <c r="G26" s="820"/>
      <c r="H26" s="820"/>
    </row>
    <row r="27" spans="1:42" s="809" customFormat="1" ht="16.75" thickBot="1" x14ac:dyDescent="0.95">
      <c r="A27" s="826" t="s">
        <v>157</v>
      </c>
      <c r="B27" s="819"/>
      <c r="C27" s="820"/>
      <c r="D27" s="820"/>
      <c r="E27" s="820"/>
      <c r="F27" s="820"/>
      <c r="G27" s="820"/>
      <c r="H27" s="820"/>
    </row>
    <row r="28" spans="1:42" s="809" customFormat="1" ht="16" x14ac:dyDescent="0.8">
      <c r="A28" s="827" t="s">
        <v>184</v>
      </c>
      <c r="B28" s="828">
        <f t="shared" ref="B28:R28" si="30">B61</f>
        <v>4.0999999999999995E-2</v>
      </c>
      <c r="C28" s="829">
        <f t="shared" si="30"/>
        <v>3.7000000000000005E-2</v>
      </c>
      <c r="D28" s="829">
        <f t="shared" si="30"/>
        <v>5.0000000000000001E-3</v>
      </c>
      <c r="E28" s="829">
        <f t="shared" si="30"/>
        <v>5.0000000000000001E-3</v>
      </c>
      <c r="F28" s="829">
        <f t="shared" si="30"/>
        <v>1.6E-2</v>
      </c>
      <c r="G28" s="829">
        <f t="shared" si="30"/>
        <v>1.7000000000000001E-2</v>
      </c>
      <c r="H28" s="829">
        <f t="shared" si="30"/>
        <v>1.7000000000000001E-2</v>
      </c>
      <c r="I28" s="828">
        <f t="shared" si="30"/>
        <v>1.8000000000000002E-2</v>
      </c>
      <c r="J28" s="829">
        <f t="shared" si="30"/>
        <v>1.8000000000000002E-2</v>
      </c>
      <c r="K28" s="829">
        <f t="shared" si="30"/>
        <v>1.6E-2</v>
      </c>
      <c r="L28" s="829">
        <f t="shared" si="30"/>
        <v>1.4999999999999999E-2</v>
      </c>
      <c r="M28" s="829">
        <f t="shared" si="30"/>
        <v>1.4999999999999999E-2</v>
      </c>
      <c r="N28" s="829">
        <f t="shared" si="30"/>
        <v>1.4999999999999999E-2</v>
      </c>
      <c r="O28" s="828">
        <f t="shared" si="30"/>
        <v>1.6E-2</v>
      </c>
      <c r="P28" s="829">
        <f t="shared" si="30"/>
        <v>1.6E-2</v>
      </c>
      <c r="Q28" s="829">
        <f t="shared" si="30"/>
        <v>1.6E-2</v>
      </c>
      <c r="R28" s="829">
        <f t="shared" si="30"/>
        <v>1.6E-2</v>
      </c>
      <c r="S28" s="829">
        <v>1.7000000000000001E-2</v>
      </c>
      <c r="T28" s="829">
        <v>1.7000000000000001E-2</v>
      </c>
      <c r="U28" s="829">
        <v>1.7000000000000001E-2</v>
      </c>
      <c r="V28" s="829">
        <v>1.7000000000000001E-2</v>
      </c>
      <c r="W28" s="829">
        <v>1.7000000000000001E-2</v>
      </c>
      <c r="X28" s="829">
        <v>1.7000000000000001E-2</v>
      </c>
      <c r="Y28" s="829">
        <v>1.7000000000000001E-2</v>
      </c>
      <c r="Z28" s="829">
        <v>1.7000000000000001E-2</v>
      </c>
      <c r="AA28" s="829">
        <v>1.7000000000000001E-2</v>
      </c>
      <c r="AB28" s="829">
        <v>1.7000000000000001E-2</v>
      </c>
      <c r="AC28" s="829">
        <v>1.7000000000000001E-2</v>
      </c>
      <c r="AD28" s="829">
        <v>1.7000000000000001E-2</v>
      </c>
      <c r="AE28" s="829">
        <v>1.7000000000000001E-2</v>
      </c>
      <c r="AF28" s="829">
        <v>1.9E-2</v>
      </c>
      <c r="AG28" s="829">
        <v>1.9E-2</v>
      </c>
      <c r="AH28" s="829">
        <v>1.9E-2</v>
      </c>
      <c r="AI28" s="829">
        <v>1.9E-2</v>
      </c>
      <c r="AJ28" s="829">
        <v>1.9E-2</v>
      </c>
      <c r="AK28" s="829">
        <v>1.9E-2</v>
      </c>
      <c r="AL28" s="829">
        <v>1.9E-2</v>
      </c>
      <c r="AM28" s="829">
        <v>1.9E-2</v>
      </c>
      <c r="AN28" s="829">
        <v>1.9E-2</v>
      </c>
      <c r="AO28" s="829">
        <v>1.9E-2</v>
      </c>
      <c r="AP28" s="830">
        <v>1.9E-2</v>
      </c>
    </row>
    <row r="29" spans="1:42" s="809" customFormat="1" ht="16" x14ac:dyDescent="0.8">
      <c r="A29" s="818" t="s">
        <v>185</v>
      </c>
      <c r="B29" s="831">
        <f t="shared" ref="B29:R29" si="31">B57</f>
        <v>0.106</v>
      </c>
      <c r="C29" s="832">
        <f t="shared" si="31"/>
        <v>9.5000000000000001E-2</v>
      </c>
      <c r="D29" s="832">
        <f t="shared" si="31"/>
        <v>7.9000000000000001E-2</v>
      </c>
      <c r="E29" s="832">
        <f t="shared" si="31"/>
        <v>7.8E-2</v>
      </c>
      <c r="F29" s="832">
        <f t="shared" si="31"/>
        <v>7.2999999999999995E-2</v>
      </c>
      <c r="G29" s="832">
        <f t="shared" si="31"/>
        <v>6.9000000000000006E-2</v>
      </c>
      <c r="H29" s="832">
        <f t="shared" si="31"/>
        <v>6.7000000000000004E-2</v>
      </c>
      <c r="I29" s="831">
        <f t="shared" si="31"/>
        <v>6.3E-2</v>
      </c>
      <c r="J29" s="832">
        <f t="shared" si="31"/>
        <v>5.7999999999999996E-2</v>
      </c>
      <c r="K29" s="832">
        <f t="shared" si="31"/>
        <v>5.5999999999999994E-2</v>
      </c>
      <c r="L29" s="832">
        <f t="shared" si="31"/>
        <v>5.4000000000000006E-2</v>
      </c>
      <c r="M29" s="832">
        <f t="shared" si="31"/>
        <v>5.4000000000000006E-2</v>
      </c>
      <c r="N29" s="832">
        <f t="shared" si="31"/>
        <v>5.4000000000000006E-2</v>
      </c>
      <c r="O29" s="831">
        <f t="shared" si="31"/>
        <v>5.5E-2</v>
      </c>
      <c r="P29" s="832">
        <f t="shared" si="31"/>
        <v>5.5E-2</v>
      </c>
      <c r="Q29" s="832">
        <f t="shared" si="31"/>
        <v>5.5E-2</v>
      </c>
      <c r="R29" s="832">
        <f t="shared" si="31"/>
        <v>5.5E-2</v>
      </c>
      <c r="S29" s="832">
        <v>4.8000000000000001E-2</v>
      </c>
      <c r="T29" s="832">
        <v>4.8000000000000001E-2</v>
      </c>
      <c r="U29" s="832">
        <v>4.8000000000000001E-2</v>
      </c>
      <c r="V29" s="832">
        <v>4.8000000000000001E-2</v>
      </c>
      <c r="W29" s="832">
        <v>4.8000000000000001E-2</v>
      </c>
      <c r="X29" s="832">
        <v>4.8000000000000001E-2</v>
      </c>
      <c r="Y29" s="832">
        <v>4.8000000000000001E-2</v>
      </c>
      <c r="Z29" s="832">
        <v>4.8000000000000001E-2</v>
      </c>
      <c r="AA29" s="832">
        <v>4.8000000000000001E-2</v>
      </c>
      <c r="AB29" s="832">
        <v>4.8000000000000001E-2</v>
      </c>
      <c r="AC29" s="832">
        <v>4.8000000000000001E-2</v>
      </c>
      <c r="AD29" s="832">
        <v>4.8000000000000001E-2</v>
      </c>
      <c r="AE29" s="832">
        <v>4.8000000000000001E-2</v>
      </c>
      <c r="AF29" s="832">
        <v>3.2000000000000001E-2</v>
      </c>
      <c r="AG29" s="832">
        <v>3.2000000000000001E-2</v>
      </c>
      <c r="AH29" s="832">
        <v>3.2000000000000001E-2</v>
      </c>
      <c r="AI29" s="832">
        <v>3.2000000000000001E-2</v>
      </c>
      <c r="AJ29" s="832">
        <v>3.2000000000000001E-2</v>
      </c>
      <c r="AK29" s="832">
        <v>3.2000000000000001E-2</v>
      </c>
      <c r="AL29" s="832">
        <v>3.2000000000000001E-2</v>
      </c>
      <c r="AM29" s="832">
        <v>3.2000000000000001E-2</v>
      </c>
      <c r="AN29" s="832">
        <v>3.2000000000000001E-2</v>
      </c>
      <c r="AO29" s="832">
        <v>3.2000000000000001E-2</v>
      </c>
      <c r="AP29" s="833">
        <v>3.2000000000000001E-2</v>
      </c>
    </row>
    <row r="30" spans="1:42" s="809" customFormat="1" ht="16" x14ac:dyDescent="0.8">
      <c r="A30" s="818" t="s">
        <v>186</v>
      </c>
      <c r="B30" s="831">
        <f t="shared" ref="B30:R30" si="32">B59</f>
        <v>6.7000000000000004E-2</v>
      </c>
      <c r="C30" s="832">
        <f t="shared" si="32"/>
        <v>3.7000000000000005E-2</v>
      </c>
      <c r="D30" s="832">
        <f t="shared" si="32"/>
        <v>2.3E-2</v>
      </c>
      <c r="E30" s="832">
        <f t="shared" si="32"/>
        <v>2.8999999999999998E-2</v>
      </c>
      <c r="F30" s="832">
        <f t="shared" si="32"/>
        <v>3.3000000000000002E-2</v>
      </c>
      <c r="G30" s="832">
        <f t="shared" si="32"/>
        <v>2.6000000000000002E-2</v>
      </c>
      <c r="H30" s="832">
        <f t="shared" si="32"/>
        <v>2.5000000000000001E-2</v>
      </c>
      <c r="I30" s="831">
        <f t="shared" si="32"/>
        <v>2.6000000000000002E-2</v>
      </c>
      <c r="J30" s="832">
        <f t="shared" si="32"/>
        <v>2.8999999999999998E-2</v>
      </c>
      <c r="K30" s="832">
        <f t="shared" si="32"/>
        <v>3.4000000000000002E-2</v>
      </c>
      <c r="L30" s="832">
        <f t="shared" si="32"/>
        <v>3.4000000000000002E-2</v>
      </c>
      <c r="M30" s="832">
        <f t="shared" si="32"/>
        <v>3.4000000000000002E-2</v>
      </c>
      <c r="N30" s="832">
        <f t="shared" si="32"/>
        <v>3.4000000000000002E-2</v>
      </c>
      <c r="O30" s="831">
        <f t="shared" si="32"/>
        <v>3.4000000000000002E-2</v>
      </c>
      <c r="P30" s="832">
        <f t="shared" si="32"/>
        <v>3.4000000000000002E-2</v>
      </c>
      <c r="Q30" s="832">
        <f t="shared" si="32"/>
        <v>3.4000000000000002E-2</v>
      </c>
      <c r="R30" s="832">
        <f t="shared" si="32"/>
        <v>3.4000000000000002E-2</v>
      </c>
      <c r="S30" s="832">
        <v>0.03</v>
      </c>
      <c r="T30" s="832">
        <v>0.03</v>
      </c>
      <c r="U30" s="832">
        <v>0.03</v>
      </c>
      <c r="V30" s="832">
        <v>0.03</v>
      </c>
      <c r="W30" s="832">
        <v>0.03</v>
      </c>
      <c r="X30" s="832">
        <v>0.03</v>
      </c>
      <c r="Y30" s="832">
        <v>0.03</v>
      </c>
      <c r="Z30" s="832">
        <v>0.03</v>
      </c>
      <c r="AA30" s="832">
        <v>0.03</v>
      </c>
      <c r="AB30" s="832">
        <v>0.03</v>
      </c>
      <c r="AC30" s="832">
        <v>0.03</v>
      </c>
      <c r="AD30" s="832">
        <v>0.03</v>
      </c>
      <c r="AE30" s="832">
        <v>0.03</v>
      </c>
      <c r="AF30" s="832">
        <v>2.8000000000000001E-2</v>
      </c>
      <c r="AG30" s="832">
        <v>2.8000000000000001E-2</v>
      </c>
      <c r="AH30" s="832">
        <v>2.8000000000000001E-2</v>
      </c>
      <c r="AI30" s="832">
        <v>2.8000000000000001E-2</v>
      </c>
      <c r="AJ30" s="832">
        <v>2.8000000000000001E-2</v>
      </c>
      <c r="AK30" s="832">
        <v>2.8000000000000001E-2</v>
      </c>
      <c r="AL30" s="832">
        <v>2.8000000000000001E-2</v>
      </c>
      <c r="AM30" s="832">
        <v>2.8000000000000001E-2</v>
      </c>
      <c r="AN30" s="832">
        <v>2.8000000000000001E-2</v>
      </c>
      <c r="AO30" s="832">
        <v>2.8000000000000001E-2</v>
      </c>
      <c r="AP30" s="833">
        <v>2.8000000000000001E-2</v>
      </c>
    </row>
    <row r="31" spans="1:42" s="809" customFormat="1" ht="16" x14ac:dyDescent="0.8">
      <c r="A31" s="818" t="s">
        <v>154</v>
      </c>
      <c r="B31" s="831">
        <f t="shared" ref="B31:R31" si="33">B63</f>
        <v>2.5000000000000001E-2</v>
      </c>
      <c r="C31" s="832">
        <f t="shared" si="33"/>
        <v>1.6E-2</v>
      </c>
      <c r="D31" s="832">
        <f t="shared" si="33"/>
        <v>2.2000000000000002E-2</v>
      </c>
      <c r="E31" s="832">
        <f t="shared" si="33"/>
        <v>1.7000000000000001E-2</v>
      </c>
      <c r="F31" s="832">
        <f t="shared" si="33"/>
        <v>2.4E-2</v>
      </c>
      <c r="G31" s="832">
        <f t="shared" si="33"/>
        <v>2.6000000000000002E-2</v>
      </c>
      <c r="H31" s="832">
        <f t="shared" si="33"/>
        <v>1.6E-2</v>
      </c>
      <c r="I31" s="831">
        <f t="shared" si="33"/>
        <v>0.02</v>
      </c>
      <c r="J31" s="832">
        <f t="shared" si="33"/>
        <v>2.2000000000000002E-2</v>
      </c>
      <c r="K31" s="832">
        <f t="shared" si="33"/>
        <v>0.02</v>
      </c>
      <c r="L31" s="832">
        <f t="shared" si="33"/>
        <v>1.9E-2</v>
      </c>
      <c r="M31" s="832">
        <f t="shared" si="33"/>
        <v>1.9E-2</v>
      </c>
      <c r="N31" s="832">
        <f t="shared" si="33"/>
        <v>1.9E-2</v>
      </c>
      <c r="O31" s="831">
        <f t="shared" si="33"/>
        <v>1.9E-2</v>
      </c>
      <c r="P31" s="832">
        <f t="shared" si="33"/>
        <v>1.9E-2</v>
      </c>
      <c r="Q31" s="832">
        <f t="shared" si="33"/>
        <v>1.9E-2</v>
      </c>
      <c r="R31" s="832">
        <f t="shared" si="33"/>
        <v>1.9E-2</v>
      </c>
      <c r="S31" s="832">
        <v>2.1999999999999999E-2</v>
      </c>
      <c r="T31" s="832">
        <v>2.1999999999999999E-2</v>
      </c>
      <c r="U31" s="832">
        <v>2.1999999999999999E-2</v>
      </c>
      <c r="V31" s="832">
        <v>2.1999999999999999E-2</v>
      </c>
      <c r="W31" s="832">
        <v>2.1999999999999999E-2</v>
      </c>
      <c r="X31" s="832">
        <v>2.1999999999999999E-2</v>
      </c>
      <c r="Y31" s="832">
        <v>2.1999999999999999E-2</v>
      </c>
      <c r="Z31" s="832">
        <v>2.1999999999999999E-2</v>
      </c>
      <c r="AA31" s="832">
        <v>2.1999999999999999E-2</v>
      </c>
      <c r="AB31" s="832">
        <v>2.1999999999999999E-2</v>
      </c>
      <c r="AC31" s="832">
        <v>2.1999999999999999E-2</v>
      </c>
      <c r="AD31" s="832">
        <v>2.1999999999999999E-2</v>
      </c>
      <c r="AE31" s="832">
        <v>2.1999999999999999E-2</v>
      </c>
      <c r="AF31" s="832">
        <v>2.1000000000000001E-2</v>
      </c>
      <c r="AG31" s="832">
        <v>2.1000000000000001E-2</v>
      </c>
      <c r="AH31" s="832">
        <v>2.1000000000000001E-2</v>
      </c>
      <c r="AI31" s="832">
        <v>2.1000000000000001E-2</v>
      </c>
      <c r="AJ31" s="832">
        <v>2.1000000000000001E-2</v>
      </c>
      <c r="AK31" s="832">
        <v>2.1000000000000001E-2</v>
      </c>
      <c r="AL31" s="832">
        <v>2.1000000000000001E-2</v>
      </c>
      <c r="AM31" s="832">
        <v>2.1000000000000001E-2</v>
      </c>
      <c r="AN31" s="832">
        <v>2.1000000000000001E-2</v>
      </c>
      <c r="AO31" s="832">
        <v>2.1000000000000001E-2</v>
      </c>
      <c r="AP31" s="833">
        <v>2.1000000000000001E-2</v>
      </c>
    </row>
    <row r="32" spans="1:42" s="809" customFormat="1" ht="16.75" thickBot="1" x14ac:dyDescent="0.95">
      <c r="A32" s="822" t="s">
        <v>187</v>
      </c>
      <c r="B32" s="834">
        <f t="shared" ref="B32:R32" si="34">B55</f>
        <v>4.4000000000000004E-2</v>
      </c>
      <c r="C32" s="835">
        <f t="shared" si="34"/>
        <v>3.3000000000000002E-2</v>
      </c>
      <c r="D32" s="835">
        <f t="shared" si="34"/>
        <v>2.7999999999999997E-2</v>
      </c>
      <c r="E32" s="835">
        <f t="shared" si="34"/>
        <v>2.7999999999999997E-2</v>
      </c>
      <c r="F32" s="835">
        <f t="shared" si="34"/>
        <v>2.8999999999999998E-2</v>
      </c>
      <c r="G32" s="835">
        <f t="shared" si="34"/>
        <v>2.7999999999999997E-2</v>
      </c>
      <c r="H32" s="835">
        <f t="shared" si="34"/>
        <v>2.4E-2</v>
      </c>
      <c r="I32" s="834">
        <f t="shared" si="34"/>
        <v>2.7000000000000003E-2</v>
      </c>
      <c r="J32" s="835">
        <f t="shared" si="34"/>
        <v>2.8999999999999998E-2</v>
      </c>
      <c r="K32" s="835">
        <f t="shared" si="34"/>
        <v>2.7999999999999997E-2</v>
      </c>
      <c r="L32" s="835">
        <f t="shared" si="34"/>
        <v>2.7999999999999997E-2</v>
      </c>
      <c r="M32" s="835">
        <f t="shared" si="34"/>
        <v>2.8999999999999998E-2</v>
      </c>
      <c r="N32" s="835">
        <f t="shared" si="34"/>
        <v>0.03</v>
      </c>
      <c r="O32" s="834">
        <f t="shared" si="34"/>
        <v>0.03</v>
      </c>
      <c r="P32" s="835">
        <f t="shared" si="34"/>
        <v>3.1E-2</v>
      </c>
      <c r="Q32" s="835">
        <f t="shared" si="34"/>
        <v>3.1E-2</v>
      </c>
      <c r="R32" s="835">
        <f t="shared" si="34"/>
        <v>3.1E-2</v>
      </c>
      <c r="S32" s="835">
        <v>3.2000000000000001E-2</v>
      </c>
      <c r="T32" s="835">
        <v>3.2000000000000001E-2</v>
      </c>
      <c r="U32" s="835">
        <v>3.2000000000000001E-2</v>
      </c>
      <c r="V32" s="835">
        <v>3.2000000000000001E-2</v>
      </c>
      <c r="W32" s="835">
        <v>3.2000000000000001E-2</v>
      </c>
      <c r="X32" s="835">
        <v>3.2000000000000001E-2</v>
      </c>
      <c r="Y32" s="835">
        <v>3.2000000000000001E-2</v>
      </c>
      <c r="Z32" s="835">
        <v>3.2000000000000001E-2</v>
      </c>
      <c r="AA32" s="835">
        <v>3.2000000000000001E-2</v>
      </c>
      <c r="AB32" s="835">
        <v>3.2000000000000001E-2</v>
      </c>
      <c r="AC32" s="835">
        <v>3.2000000000000001E-2</v>
      </c>
      <c r="AD32" s="835">
        <v>3.2000000000000001E-2</v>
      </c>
      <c r="AE32" s="835">
        <v>3.2000000000000001E-2</v>
      </c>
      <c r="AF32" s="835">
        <v>0.03</v>
      </c>
      <c r="AG32" s="835">
        <v>0.03</v>
      </c>
      <c r="AH32" s="835">
        <v>0.03</v>
      </c>
      <c r="AI32" s="835">
        <v>0.03</v>
      </c>
      <c r="AJ32" s="835">
        <v>0.03</v>
      </c>
      <c r="AK32" s="835">
        <v>0.03</v>
      </c>
      <c r="AL32" s="835">
        <v>0.03</v>
      </c>
      <c r="AM32" s="835">
        <v>0.03</v>
      </c>
      <c r="AN32" s="835">
        <v>0.03</v>
      </c>
      <c r="AO32" s="835">
        <v>0.03</v>
      </c>
      <c r="AP32" s="836">
        <v>0.03</v>
      </c>
    </row>
    <row r="33" spans="1:43" s="809" customFormat="1" ht="16" x14ac:dyDescent="0.8">
      <c r="B33" s="819"/>
      <c r="C33" s="820"/>
      <c r="D33" s="820"/>
      <c r="E33" s="820"/>
      <c r="F33" s="820"/>
      <c r="G33" s="820"/>
      <c r="H33" s="820"/>
      <c r="S33" s="809">
        <v>1</v>
      </c>
      <c r="T33" s="809">
        <v>2</v>
      </c>
      <c r="U33" s="809">
        <v>3</v>
      </c>
      <c r="V33" s="809">
        <v>4</v>
      </c>
      <c r="W33" s="809">
        <v>5</v>
      </c>
      <c r="X33" s="809">
        <v>6</v>
      </c>
      <c r="Y33" s="809">
        <v>7</v>
      </c>
      <c r="Z33" s="809">
        <v>8</v>
      </c>
      <c r="AA33" s="809">
        <v>9</v>
      </c>
      <c r="AB33" s="809">
        <v>10</v>
      </c>
      <c r="AC33" s="809">
        <v>11</v>
      </c>
      <c r="AD33" s="809">
        <v>12</v>
      </c>
      <c r="AE33" s="809">
        <v>13</v>
      </c>
      <c r="AF33" s="809">
        <v>14</v>
      </c>
      <c r="AG33" s="809">
        <v>15</v>
      </c>
      <c r="AH33" s="809">
        <v>16</v>
      </c>
      <c r="AI33" s="809">
        <v>17</v>
      </c>
      <c r="AJ33" s="809">
        <v>18</v>
      </c>
      <c r="AK33" s="809">
        <v>19</v>
      </c>
      <c r="AL33" s="809">
        <v>20</v>
      </c>
      <c r="AM33" s="809">
        <v>21</v>
      </c>
      <c r="AN33" s="809">
        <v>22</v>
      </c>
      <c r="AO33" s="809">
        <v>23</v>
      </c>
      <c r="AP33" s="809">
        <v>24</v>
      </c>
    </row>
    <row r="34" spans="1:43" s="809" customFormat="1" ht="16.75" thickBot="1" x14ac:dyDescent="0.95">
      <c r="A34" s="826" t="s">
        <v>156</v>
      </c>
      <c r="B34" s="819"/>
      <c r="C34" s="820"/>
      <c r="D34" s="820"/>
      <c r="E34" s="820"/>
      <c r="F34" s="820"/>
      <c r="G34" s="820"/>
      <c r="H34" s="820"/>
      <c r="AQ34" s="1147" t="s">
        <v>155</v>
      </c>
    </row>
    <row r="35" spans="1:43" s="809" customFormat="1" ht="16" x14ac:dyDescent="0.8">
      <c r="A35" s="827" t="s">
        <v>184</v>
      </c>
      <c r="B35" s="837">
        <f t="shared" ref="B35:R35" si="35">B60</f>
        <v>6.2549999999999994E-2</v>
      </c>
      <c r="C35" s="838">
        <f t="shared" si="35"/>
        <v>-3.143E-2</v>
      </c>
      <c r="D35" s="838">
        <f t="shared" si="35"/>
        <v>2.8119999999999999E-2</v>
      </c>
      <c r="E35" s="838">
        <f t="shared" si="35"/>
        <v>1.6959999999999999E-2</v>
      </c>
      <c r="F35" s="838">
        <f t="shared" si="35"/>
        <v>-1.7569999999999999E-2</v>
      </c>
      <c r="G35" s="838">
        <f t="shared" si="35"/>
        <v>5.6200000000000009E-3</v>
      </c>
      <c r="H35" s="838">
        <f t="shared" si="35"/>
        <v>-1.06E-2</v>
      </c>
      <c r="I35" s="837">
        <f t="shared" si="35"/>
        <v>-4.4400000000000004E-3</v>
      </c>
      <c r="J35" s="838">
        <f t="shared" si="35"/>
        <v>-2.6700000000000001E-3</v>
      </c>
      <c r="K35" s="838">
        <f t="shared" si="35"/>
        <v>-7.6899999999999998E-3</v>
      </c>
      <c r="L35" s="838">
        <f t="shared" si="35"/>
        <v>7.2499999999999995E-3</v>
      </c>
      <c r="M35" s="838">
        <f t="shared" si="35"/>
        <v>-3.6569999999999998E-2</v>
      </c>
      <c r="N35" s="838">
        <f t="shared" si="35"/>
        <v>-1.048E-2</v>
      </c>
      <c r="O35" s="837">
        <f t="shared" si="35"/>
        <v>-1.9710000000000002E-2</v>
      </c>
      <c r="P35" s="838">
        <f t="shared" si="35"/>
        <v>1.048E-2</v>
      </c>
      <c r="Q35" s="838">
        <f t="shared" si="35"/>
        <v>9.0600000000000003E-3</v>
      </c>
      <c r="R35" s="838">
        <f t="shared" si="35"/>
        <v>7.6500000000000005E-3</v>
      </c>
      <c r="S35" s="838">
        <f>R35+$AQ35*S$33</f>
        <v>7.331250000000001E-3</v>
      </c>
      <c r="T35" s="838">
        <f>R35+$AQ35*T$33</f>
        <v>7.0125000000000005E-3</v>
      </c>
      <c r="U35" s="838">
        <f t="shared" ref="U35:AP35" si="36">$R$35+$AQ$35*U33</f>
        <v>6.69375E-3</v>
      </c>
      <c r="V35" s="838">
        <f t="shared" si="36"/>
        <v>6.3750000000000005E-3</v>
      </c>
      <c r="W35" s="838">
        <f t="shared" si="36"/>
        <v>6.0562500000000009E-3</v>
      </c>
      <c r="X35" s="838">
        <f t="shared" si="36"/>
        <v>5.7375000000000004E-3</v>
      </c>
      <c r="Y35" s="838">
        <f t="shared" si="36"/>
        <v>5.41875E-3</v>
      </c>
      <c r="Z35" s="838">
        <f t="shared" si="36"/>
        <v>5.1000000000000004E-3</v>
      </c>
      <c r="AA35" s="838">
        <f t="shared" si="36"/>
        <v>4.7812500000000008E-3</v>
      </c>
      <c r="AB35" s="838">
        <f t="shared" si="36"/>
        <v>4.4625000000000003E-3</v>
      </c>
      <c r="AC35" s="838">
        <f t="shared" si="36"/>
        <v>4.1437499999999999E-3</v>
      </c>
      <c r="AD35" s="838">
        <f t="shared" si="36"/>
        <v>3.8250000000000003E-3</v>
      </c>
      <c r="AE35" s="838">
        <f t="shared" si="36"/>
        <v>3.5062500000000007E-3</v>
      </c>
      <c r="AF35" s="838">
        <f t="shared" si="36"/>
        <v>3.1875000000000002E-3</v>
      </c>
      <c r="AG35" s="838">
        <f t="shared" si="36"/>
        <v>2.8687499999999998E-3</v>
      </c>
      <c r="AH35" s="838">
        <f t="shared" si="36"/>
        <v>2.5500000000000002E-3</v>
      </c>
      <c r="AI35" s="838">
        <f t="shared" si="36"/>
        <v>2.2312500000000006E-3</v>
      </c>
      <c r="AJ35" s="838">
        <f t="shared" si="36"/>
        <v>1.9125000000000001E-3</v>
      </c>
      <c r="AK35" s="838">
        <f t="shared" si="36"/>
        <v>1.5937499999999997E-3</v>
      </c>
      <c r="AL35" s="838">
        <f t="shared" si="36"/>
        <v>1.2750000000000001E-3</v>
      </c>
      <c r="AM35" s="838">
        <f t="shared" si="36"/>
        <v>9.562500000000005E-4</v>
      </c>
      <c r="AN35" s="838">
        <f t="shared" si="36"/>
        <v>6.3750000000000005E-4</v>
      </c>
      <c r="AO35" s="838">
        <f t="shared" si="36"/>
        <v>3.1874999999999959E-4</v>
      </c>
      <c r="AP35" s="839">
        <f t="shared" si="36"/>
        <v>0</v>
      </c>
      <c r="AQ35" s="1148">
        <f>-R35/24</f>
        <v>-3.1875000000000002E-4</v>
      </c>
    </row>
    <row r="36" spans="1:43" s="809" customFormat="1" ht="16" x14ac:dyDescent="0.8">
      <c r="A36" s="818" t="s">
        <v>185</v>
      </c>
      <c r="B36" s="841">
        <f t="shared" ref="B36:R36" si="37">B56</f>
        <v>0.11672</v>
      </c>
      <c r="C36" s="842">
        <f t="shared" si="37"/>
        <v>0.14105999999999999</v>
      </c>
      <c r="D36" s="842">
        <f t="shared" si="37"/>
        <v>6.5919999999999992E-2</v>
      </c>
      <c r="E36" s="842">
        <f t="shared" si="37"/>
        <v>8.585000000000001E-2</v>
      </c>
      <c r="F36" s="842">
        <f t="shared" si="37"/>
        <v>4.2279999999999998E-2</v>
      </c>
      <c r="G36" s="842">
        <f t="shared" si="37"/>
        <v>3.62E-3</v>
      </c>
      <c r="H36" s="842">
        <f t="shared" si="37"/>
        <v>1.3610000000000001E-2</v>
      </c>
      <c r="I36" s="841">
        <f t="shared" si="37"/>
        <v>8.3499999999999998E-3</v>
      </c>
      <c r="J36" s="842">
        <f t="shared" si="37"/>
        <v>2.666E-2</v>
      </c>
      <c r="K36" s="842">
        <f t="shared" si="37"/>
        <v>3.1460000000000002E-2</v>
      </c>
      <c r="L36" s="842">
        <f t="shared" si="37"/>
        <v>3.1300000000000001E-2</v>
      </c>
      <c r="M36" s="842">
        <f t="shared" si="37"/>
        <v>3.1739999999999997E-2</v>
      </c>
      <c r="N36" s="842">
        <f t="shared" si="37"/>
        <v>3.4569999999999997E-2</v>
      </c>
      <c r="O36" s="841">
        <f t="shared" si="37"/>
        <v>3.1349999999999996E-2</v>
      </c>
      <c r="P36" s="842">
        <f t="shared" si="37"/>
        <v>3.2210000000000003E-2</v>
      </c>
      <c r="Q36" s="842">
        <f t="shared" si="37"/>
        <v>3.0800000000000001E-2</v>
      </c>
      <c r="R36" s="842">
        <f t="shared" si="37"/>
        <v>2.8250000000000001E-2</v>
      </c>
      <c r="S36" s="842">
        <f t="shared" ref="S36:AP36" si="38">$R$36+$AQ$36*S$33</f>
        <v>2.7072916666666669E-2</v>
      </c>
      <c r="T36" s="842">
        <f t="shared" si="38"/>
        <v>2.5895833333333333E-2</v>
      </c>
      <c r="U36" s="842">
        <f t="shared" si="38"/>
        <v>2.4718750000000001E-2</v>
      </c>
      <c r="V36" s="842">
        <f t="shared" si="38"/>
        <v>2.3541666666666669E-2</v>
      </c>
      <c r="W36" s="842">
        <f t="shared" si="38"/>
        <v>2.2364583333333334E-2</v>
      </c>
      <c r="X36" s="842">
        <f t="shared" si="38"/>
        <v>2.1187500000000001E-2</v>
      </c>
      <c r="Y36" s="842">
        <f t="shared" si="38"/>
        <v>2.0010416666666669E-2</v>
      </c>
      <c r="Z36" s="842">
        <f t="shared" si="38"/>
        <v>1.8833333333333334E-2</v>
      </c>
      <c r="AA36" s="842">
        <f t="shared" si="38"/>
        <v>1.7656249999999998E-2</v>
      </c>
      <c r="AB36" s="842">
        <f t="shared" si="38"/>
        <v>1.6479166666666666E-2</v>
      </c>
      <c r="AC36" s="842">
        <f t="shared" si="38"/>
        <v>1.5302083333333334E-2</v>
      </c>
      <c r="AD36" s="842">
        <f t="shared" si="38"/>
        <v>1.4125E-2</v>
      </c>
      <c r="AE36" s="842">
        <f t="shared" si="38"/>
        <v>1.2947916666666667E-2</v>
      </c>
      <c r="AF36" s="842">
        <f t="shared" si="38"/>
        <v>1.1770833333333335E-2</v>
      </c>
      <c r="AG36" s="842">
        <f t="shared" si="38"/>
        <v>1.0593749999999999E-2</v>
      </c>
      <c r="AH36" s="842">
        <f t="shared" si="38"/>
        <v>9.4166666666666669E-3</v>
      </c>
      <c r="AI36" s="842">
        <f t="shared" si="38"/>
        <v>8.2395833333333349E-3</v>
      </c>
      <c r="AJ36" s="842">
        <f t="shared" si="38"/>
        <v>7.0624999999999993E-3</v>
      </c>
      <c r="AK36" s="842">
        <f t="shared" si="38"/>
        <v>5.8854166666666673E-3</v>
      </c>
      <c r="AL36" s="842">
        <f t="shared" si="38"/>
        <v>4.7083333333333317E-3</v>
      </c>
      <c r="AM36" s="842">
        <f t="shared" si="38"/>
        <v>3.5312499999999997E-3</v>
      </c>
      <c r="AN36" s="842">
        <f t="shared" si="38"/>
        <v>2.3541666666666676E-3</v>
      </c>
      <c r="AO36" s="842">
        <f t="shared" si="38"/>
        <v>1.1770833333333321E-3</v>
      </c>
      <c r="AP36" s="843">
        <f t="shared" si="38"/>
        <v>0</v>
      </c>
      <c r="AQ36" s="1148">
        <f>-R36/24</f>
        <v>-1.1770833333333334E-3</v>
      </c>
    </row>
    <row r="37" spans="1:43" s="809" customFormat="1" ht="16" x14ac:dyDescent="0.8">
      <c r="A37" s="818" t="s">
        <v>186</v>
      </c>
      <c r="B37" s="841">
        <f t="shared" ref="B37:R37" si="39">B58</f>
        <v>9.9090000000000011E-2</v>
      </c>
      <c r="C37" s="842">
        <f t="shared" si="39"/>
        <v>3.8690000000000002E-2</v>
      </c>
      <c r="D37" s="842">
        <f t="shared" si="39"/>
        <v>3.0459999999999997E-2</v>
      </c>
      <c r="E37" s="842">
        <f t="shared" si="39"/>
        <v>1.2829999999999999E-2</v>
      </c>
      <c r="F37" s="842">
        <f t="shared" si="39"/>
        <v>1.4110000000000001E-2</v>
      </c>
      <c r="G37" s="842">
        <f t="shared" si="39"/>
        <v>2.8879999999999999E-2</v>
      </c>
      <c r="H37" s="842">
        <f t="shared" si="39"/>
        <v>3.3959999999999997E-2</v>
      </c>
      <c r="I37" s="841">
        <f t="shared" si="39"/>
        <v>4.1589999999999995E-2</v>
      </c>
      <c r="J37" s="842">
        <f t="shared" si="39"/>
        <v>3.891E-2</v>
      </c>
      <c r="K37" s="842">
        <f t="shared" si="39"/>
        <v>2.9069999999999999E-2</v>
      </c>
      <c r="L37" s="842">
        <f t="shared" si="39"/>
        <v>3.2300000000000002E-2</v>
      </c>
      <c r="M37" s="842">
        <f t="shared" si="39"/>
        <v>3.3070000000000002E-2</v>
      </c>
      <c r="N37" s="842">
        <f t="shared" si="39"/>
        <v>4.1360000000000001E-2</v>
      </c>
      <c r="O37" s="841">
        <f t="shared" si="39"/>
        <v>3.9649999999999998E-2</v>
      </c>
      <c r="P37" s="842">
        <f t="shared" si="39"/>
        <v>3.9120000000000002E-2</v>
      </c>
      <c r="Q37" s="842">
        <f t="shared" si="39"/>
        <v>3.8580000000000003E-2</v>
      </c>
      <c r="R37" s="842">
        <f t="shared" si="39"/>
        <v>4.0340000000000001E-2</v>
      </c>
      <c r="S37" s="842">
        <f t="shared" ref="S37:AP37" si="40">$R$37+$AQ$37*S$33</f>
        <v>3.8659166666666668E-2</v>
      </c>
      <c r="T37" s="842">
        <f t="shared" si="40"/>
        <v>3.6978333333333335E-2</v>
      </c>
      <c r="U37" s="842">
        <f t="shared" si="40"/>
        <v>3.5297500000000002E-2</v>
      </c>
      <c r="V37" s="842">
        <f t="shared" si="40"/>
        <v>3.361666666666667E-2</v>
      </c>
      <c r="W37" s="842">
        <f t="shared" si="40"/>
        <v>3.193583333333333E-2</v>
      </c>
      <c r="X37" s="842">
        <f t="shared" si="40"/>
        <v>3.0255000000000001E-2</v>
      </c>
      <c r="Y37" s="842">
        <f t="shared" si="40"/>
        <v>2.8574166666666664E-2</v>
      </c>
      <c r="Z37" s="842">
        <f t="shared" si="40"/>
        <v>2.6893333333333332E-2</v>
      </c>
      <c r="AA37" s="842">
        <f t="shared" si="40"/>
        <v>2.5212499999999999E-2</v>
      </c>
      <c r="AB37" s="842">
        <f t="shared" si="40"/>
        <v>2.3531666666666666E-2</v>
      </c>
      <c r="AC37" s="842">
        <f t="shared" si="40"/>
        <v>2.1850833333333333E-2</v>
      </c>
      <c r="AD37" s="842">
        <f t="shared" si="40"/>
        <v>2.017E-2</v>
      </c>
      <c r="AE37" s="842">
        <f t="shared" si="40"/>
        <v>1.8489166666666668E-2</v>
      </c>
      <c r="AF37" s="842">
        <f t="shared" si="40"/>
        <v>1.6808333333333331E-2</v>
      </c>
      <c r="AG37" s="842">
        <f t="shared" si="40"/>
        <v>1.5127499999999999E-2</v>
      </c>
      <c r="AH37" s="842">
        <f t="shared" si="40"/>
        <v>1.3446666666666666E-2</v>
      </c>
      <c r="AI37" s="842">
        <f t="shared" si="40"/>
        <v>1.1765833333333333E-2</v>
      </c>
      <c r="AJ37" s="842">
        <f t="shared" si="40"/>
        <v>1.0085E-2</v>
      </c>
      <c r="AK37" s="842">
        <f t="shared" si="40"/>
        <v>8.404166666666664E-3</v>
      </c>
      <c r="AL37" s="842">
        <f t="shared" si="40"/>
        <v>6.7233333333333312E-3</v>
      </c>
      <c r="AM37" s="842">
        <f t="shared" si="40"/>
        <v>5.0424999999999984E-3</v>
      </c>
      <c r="AN37" s="842">
        <f t="shared" si="40"/>
        <v>3.3616666666666656E-3</v>
      </c>
      <c r="AO37" s="842">
        <f t="shared" si="40"/>
        <v>1.6808333333333328E-3</v>
      </c>
      <c r="AP37" s="843">
        <f t="shared" si="40"/>
        <v>0</v>
      </c>
      <c r="AQ37" s="1148">
        <f>-R37/24</f>
        <v>-1.6808333333333334E-3</v>
      </c>
    </row>
    <row r="38" spans="1:43" s="809" customFormat="1" ht="16" x14ac:dyDescent="0.8">
      <c r="A38" s="818" t="s">
        <v>154</v>
      </c>
      <c r="B38" s="841">
        <f t="shared" ref="B38:R38" si="41">B62</f>
        <v>4.4150000000000002E-2</v>
      </c>
      <c r="C38" s="842">
        <f t="shared" si="41"/>
        <v>-5.9899999999999997E-3</v>
      </c>
      <c r="D38" s="842">
        <f t="shared" si="41"/>
        <v>-1.2769999999999998E-2</v>
      </c>
      <c r="E38" s="842">
        <f t="shared" si="41"/>
        <v>4.5000000000000005E-3</v>
      </c>
      <c r="F38" s="842">
        <f t="shared" si="41"/>
        <v>9.1400000000000006E-3</v>
      </c>
      <c r="G38" s="842">
        <f t="shared" si="41"/>
        <v>-5.6299999999999996E-3</v>
      </c>
      <c r="H38" s="842">
        <f t="shared" si="41"/>
        <v>8.5000000000000006E-4</v>
      </c>
      <c r="I38" s="841">
        <f t="shared" si="41"/>
        <v>1.171E-2</v>
      </c>
      <c r="J38" s="842">
        <f t="shared" si="41"/>
        <v>1.214E-2</v>
      </c>
      <c r="K38" s="842">
        <f t="shared" si="41"/>
        <v>1.84E-2</v>
      </c>
      <c r="L38" s="842">
        <f t="shared" si="41"/>
        <v>1.524E-2</v>
      </c>
      <c r="M38" s="842">
        <f t="shared" si="41"/>
        <v>5.3300000000000005E-3</v>
      </c>
      <c r="N38" s="842">
        <f t="shared" si="41"/>
        <v>7.7299999999999999E-3</v>
      </c>
      <c r="O38" s="841">
        <f t="shared" si="41"/>
        <v>1.0620000000000001E-2</v>
      </c>
      <c r="P38" s="842">
        <f t="shared" si="41"/>
        <v>6.8700000000000002E-3</v>
      </c>
      <c r="Q38" s="842">
        <f t="shared" si="41"/>
        <v>7.92E-3</v>
      </c>
      <c r="R38" s="842">
        <f t="shared" si="41"/>
        <v>1.353E-2</v>
      </c>
      <c r="S38" s="842">
        <f t="shared" ref="S38:AP38" si="42">$R$38+$AQ$38*S$33</f>
        <v>1.296625E-2</v>
      </c>
      <c r="T38" s="842">
        <f t="shared" si="42"/>
        <v>1.24025E-2</v>
      </c>
      <c r="U38" s="842">
        <f t="shared" si="42"/>
        <v>1.183875E-2</v>
      </c>
      <c r="V38" s="842">
        <f t="shared" si="42"/>
        <v>1.1275E-2</v>
      </c>
      <c r="W38" s="842">
        <f t="shared" si="42"/>
        <v>1.071125E-2</v>
      </c>
      <c r="X38" s="842">
        <f t="shared" si="42"/>
        <v>1.01475E-2</v>
      </c>
      <c r="Y38" s="842">
        <f t="shared" si="42"/>
        <v>9.5837500000000003E-3</v>
      </c>
      <c r="Z38" s="842">
        <f t="shared" si="42"/>
        <v>9.0200000000000002E-3</v>
      </c>
      <c r="AA38" s="842">
        <f t="shared" si="42"/>
        <v>8.4562500000000002E-3</v>
      </c>
      <c r="AB38" s="842">
        <f t="shared" si="42"/>
        <v>7.8925000000000002E-3</v>
      </c>
      <c r="AC38" s="842">
        <f t="shared" si="42"/>
        <v>7.3287500000000002E-3</v>
      </c>
      <c r="AD38" s="842">
        <f t="shared" si="42"/>
        <v>6.7650000000000002E-3</v>
      </c>
      <c r="AE38" s="842">
        <f t="shared" si="42"/>
        <v>6.2012500000000002E-3</v>
      </c>
      <c r="AF38" s="842">
        <f t="shared" si="42"/>
        <v>5.6375000000000001E-3</v>
      </c>
      <c r="AG38" s="842">
        <f t="shared" si="42"/>
        <v>5.0737500000000001E-3</v>
      </c>
      <c r="AH38" s="842">
        <f t="shared" si="42"/>
        <v>4.5100000000000001E-3</v>
      </c>
      <c r="AI38" s="842">
        <f t="shared" si="42"/>
        <v>3.9462500000000001E-3</v>
      </c>
      <c r="AJ38" s="842">
        <f t="shared" si="42"/>
        <v>3.3825000000000001E-3</v>
      </c>
      <c r="AK38" s="842">
        <f t="shared" si="42"/>
        <v>2.8187500000000001E-3</v>
      </c>
      <c r="AL38" s="842">
        <f t="shared" si="42"/>
        <v>2.2550000000000001E-3</v>
      </c>
      <c r="AM38" s="842">
        <f t="shared" si="42"/>
        <v>1.69125E-3</v>
      </c>
      <c r="AN38" s="842">
        <f t="shared" si="42"/>
        <v>1.1275E-3</v>
      </c>
      <c r="AO38" s="842">
        <f t="shared" si="42"/>
        <v>5.6375000000000001E-4</v>
      </c>
      <c r="AP38" s="843">
        <f t="shared" si="42"/>
        <v>0</v>
      </c>
      <c r="AQ38" s="1148">
        <f>-R38/24</f>
        <v>-5.6375000000000001E-4</v>
      </c>
    </row>
    <row r="39" spans="1:43" s="809" customFormat="1" ht="16" x14ac:dyDescent="0.8">
      <c r="A39" s="818" t="s">
        <v>187</v>
      </c>
      <c r="B39" s="831">
        <f t="shared" ref="B39:Q39" si="43">B54</f>
        <v>6.2300000000000001E-2</v>
      </c>
      <c r="C39" s="832">
        <f t="shared" si="43"/>
        <v>3.8300000000000001E-2</v>
      </c>
      <c r="D39" s="832">
        <f t="shared" si="43"/>
        <v>1.7399999999999999E-2</v>
      </c>
      <c r="E39" s="832">
        <f t="shared" si="43"/>
        <v>4.0399999999999998E-2</v>
      </c>
      <c r="F39" s="832">
        <f t="shared" si="43"/>
        <v>1.26E-2</v>
      </c>
      <c r="G39" s="832">
        <f t="shared" si="43"/>
        <v>1.2E-2</v>
      </c>
      <c r="H39" s="832">
        <f t="shared" si="43"/>
        <v>1.4800000000000001E-2</v>
      </c>
      <c r="I39" s="831">
        <f t="shared" si="43"/>
        <v>2.2499999999999999E-2</v>
      </c>
      <c r="J39" s="832">
        <f t="shared" si="43"/>
        <v>2.8900000000000002E-2</v>
      </c>
      <c r="K39" s="832">
        <f t="shared" si="43"/>
        <v>2.9300000000000003E-2</v>
      </c>
      <c r="L39" s="832">
        <f t="shared" si="43"/>
        <v>2.69E-2</v>
      </c>
      <c r="M39" s="832">
        <f t="shared" si="43"/>
        <v>2.5399999999999999E-2</v>
      </c>
      <c r="N39" s="832">
        <f t="shared" si="43"/>
        <v>2.5699999999999997E-2</v>
      </c>
      <c r="O39" s="831">
        <f t="shared" si="43"/>
        <v>2.5000000000000001E-2</v>
      </c>
      <c r="P39" s="832">
        <f t="shared" si="43"/>
        <v>2.5899999999999999E-2</v>
      </c>
      <c r="Q39" s="832">
        <f t="shared" si="43"/>
        <v>2.64E-2</v>
      </c>
      <c r="R39" s="832">
        <f>Q39</f>
        <v>2.64E-2</v>
      </c>
      <c r="S39" s="842">
        <f>$R$39+$AQ$39*S$33</f>
        <v>2.53E-2</v>
      </c>
      <c r="T39" s="842">
        <f t="shared" ref="T39:AP39" si="44">T54</f>
        <v>0</v>
      </c>
      <c r="U39" s="842">
        <f t="shared" si="44"/>
        <v>0</v>
      </c>
      <c r="V39" s="842">
        <f t="shared" si="44"/>
        <v>0</v>
      </c>
      <c r="W39" s="842">
        <f t="shared" si="44"/>
        <v>0</v>
      </c>
      <c r="X39" s="842">
        <f t="shared" si="44"/>
        <v>0</v>
      </c>
      <c r="Y39" s="842">
        <f t="shared" si="44"/>
        <v>0</v>
      </c>
      <c r="Z39" s="842">
        <f t="shared" si="44"/>
        <v>0</v>
      </c>
      <c r="AA39" s="842">
        <f t="shared" si="44"/>
        <v>0</v>
      </c>
      <c r="AB39" s="842">
        <f t="shared" si="44"/>
        <v>0</v>
      </c>
      <c r="AC39" s="842">
        <f t="shared" si="44"/>
        <v>0</v>
      </c>
      <c r="AD39" s="842">
        <f t="shared" si="44"/>
        <v>0</v>
      </c>
      <c r="AE39" s="842">
        <f t="shared" si="44"/>
        <v>0</v>
      </c>
      <c r="AF39" s="842">
        <f t="shared" si="44"/>
        <v>0</v>
      </c>
      <c r="AG39" s="842">
        <f t="shared" si="44"/>
        <v>0</v>
      </c>
      <c r="AH39" s="842">
        <f t="shared" si="44"/>
        <v>0</v>
      </c>
      <c r="AI39" s="842">
        <f t="shared" si="44"/>
        <v>0</v>
      </c>
      <c r="AJ39" s="842">
        <f t="shared" si="44"/>
        <v>0</v>
      </c>
      <c r="AK39" s="842">
        <f t="shared" si="44"/>
        <v>0</v>
      </c>
      <c r="AL39" s="842">
        <f t="shared" si="44"/>
        <v>0</v>
      </c>
      <c r="AM39" s="842">
        <f t="shared" si="44"/>
        <v>0</v>
      </c>
      <c r="AN39" s="842">
        <f t="shared" si="44"/>
        <v>0</v>
      </c>
      <c r="AO39" s="842">
        <f t="shared" si="44"/>
        <v>0</v>
      </c>
      <c r="AP39" s="843">
        <f t="shared" si="44"/>
        <v>0</v>
      </c>
      <c r="AQ39" s="1148">
        <f>-R39/24</f>
        <v>-1.1000000000000001E-3</v>
      </c>
    </row>
    <row r="40" spans="1:43" s="809" customFormat="1" ht="16.75" thickBot="1" x14ac:dyDescent="0.95">
      <c r="A40" s="844" t="s">
        <v>153</v>
      </c>
      <c r="B40" s="845">
        <f t="shared" ref="B40:AP40" si="45">B35*B7+B36*B10+B37*B13+B38*B16</f>
        <v>4.6696936679508111E-2</v>
      </c>
      <c r="C40" s="846">
        <f t="shared" si="45"/>
        <v>2.236875614207497E-2</v>
      </c>
      <c r="D40" s="846">
        <f t="shared" si="45"/>
        <v>1.2099701579330657E-2</v>
      </c>
      <c r="E40" s="846">
        <f t="shared" si="45"/>
        <v>1.7343549072546375E-2</v>
      </c>
      <c r="F40" s="846">
        <f t="shared" si="45"/>
        <v>1.1997614337109386E-2</v>
      </c>
      <c r="G40" s="846">
        <f t="shared" si="45"/>
        <v>1.9278286255745103E-3</v>
      </c>
      <c r="H40" s="846">
        <f t="shared" si="45"/>
        <v>4.9932790368495223E-3</v>
      </c>
      <c r="I40" s="845">
        <f t="shared" si="45"/>
        <v>7.7734299999999996E-3</v>
      </c>
      <c r="J40" s="846">
        <f t="shared" si="45"/>
        <v>1.3792289999999999E-2</v>
      </c>
      <c r="K40" s="846">
        <f t="shared" si="45"/>
        <v>1.5856330000000002E-2</v>
      </c>
      <c r="L40" s="846">
        <f t="shared" si="45"/>
        <v>1.6300000000000002E-2</v>
      </c>
      <c r="M40" s="846">
        <f t="shared" si="45"/>
        <v>1.0055219999999998E-2</v>
      </c>
      <c r="N40" s="846">
        <f t="shared" si="45"/>
        <v>1.433807E-2</v>
      </c>
      <c r="O40" s="845">
        <f t="shared" si="45"/>
        <v>1.3429809999999999E-2</v>
      </c>
      <c r="P40" s="846">
        <f t="shared" si="45"/>
        <v>1.4948580000000001E-2</v>
      </c>
      <c r="Q40" s="846">
        <f t="shared" si="45"/>
        <v>1.476414E-2</v>
      </c>
      <c r="R40" s="846">
        <f t="shared" si="45"/>
        <v>1.5355510000000001E-2</v>
      </c>
      <c r="S40" s="847">
        <f t="shared" si="45"/>
        <v>1.4874636666666668E-2</v>
      </c>
      <c r="T40" s="847">
        <f t="shared" si="45"/>
        <v>1.4179653888888888E-2</v>
      </c>
      <c r="U40" s="847">
        <f t="shared" si="45"/>
        <v>1.3517461805555556E-2</v>
      </c>
      <c r="V40" s="847">
        <f t="shared" si="45"/>
        <v>1.2899611419753087E-2</v>
      </c>
      <c r="W40" s="847">
        <f t="shared" si="45"/>
        <v>1.2243593353909465E-2</v>
      </c>
      <c r="X40" s="847">
        <f t="shared" si="45"/>
        <v>1.1598413271604938E-2</v>
      </c>
      <c r="Y40" s="847">
        <f t="shared" si="45"/>
        <v>1.0957840246342021E-2</v>
      </c>
      <c r="Z40" s="847">
        <f t="shared" si="45"/>
        <v>1.0311118832495046E-2</v>
      </c>
      <c r="AA40" s="847">
        <f t="shared" si="45"/>
        <v>9.6669002895900021E-3</v>
      </c>
      <c r="AB40" s="847">
        <f t="shared" si="45"/>
        <v>9.0229243269996113E-3</v>
      </c>
      <c r="AC40" s="847">
        <f t="shared" si="45"/>
        <v>8.3780646781980508E-3</v>
      </c>
      <c r="AD40" s="847">
        <f t="shared" si="45"/>
        <v>7.7336845111969157E-3</v>
      </c>
      <c r="AE40" s="847">
        <f t="shared" si="45"/>
        <v>7.0892609984520068E-3</v>
      </c>
      <c r="AF40" s="847">
        <f t="shared" si="45"/>
        <v>6.4447827258654619E-3</v>
      </c>
      <c r="AG40" s="847">
        <f t="shared" si="45"/>
        <v>5.8003044532789153E-3</v>
      </c>
      <c r="AH40" s="847">
        <f t="shared" si="45"/>
        <v>5.1558261806923696E-3</v>
      </c>
      <c r="AI40" s="847">
        <f t="shared" si="45"/>
        <v>4.5113479081058238E-3</v>
      </c>
      <c r="AJ40" s="847">
        <f t="shared" si="45"/>
        <v>3.8668696355192763E-3</v>
      </c>
      <c r="AK40" s="847">
        <f t="shared" si="45"/>
        <v>3.2223913629327305E-3</v>
      </c>
      <c r="AL40" s="847">
        <f t="shared" si="45"/>
        <v>2.5779130903461839E-3</v>
      </c>
      <c r="AM40" s="847">
        <f t="shared" si="45"/>
        <v>1.9334348177596382E-3</v>
      </c>
      <c r="AN40" s="847">
        <f t="shared" si="45"/>
        <v>1.2889565451730924E-3</v>
      </c>
      <c r="AO40" s="847">
        <f t="shared" si="45"/>
        <v>6.4447827258654565E-4</v>
      </c>
      <c r="AP40" s="848">
        <f t="shared" si="45"/>
        <v>0</v>
      </c>
      <c r="AQ40" s="840"/>
    </row>
    <row r="41" spans="1:43" s="809" customFormat="1" ht="16" x14ac:dyDescent="0.8">
      <c r="B41" s="819"/>
      <c r="C41" s="820"/>
      <c r="D41" s="820"/>
      <c r="E41" s="820"/>
      <c r="F41" s="820"/>
      <c r="G41" s="820"/>
      <c r="H41" s="820"/>
      <c r="I41" s="849"/>
    </row>
    <row r="42" spans="1:43" s="809" customFormat="1" ht="16.75" thickBot="1" x14ac:dyDescent="0.95">
      <c r="A42" s="850" t="s">
        <v>188</v>
      </c>
      <c r="B42" s="819"/>
      <c r="C42" s="820"/>
      <c r="D42" s="820"/>
      <c r="E42" s="820"/>
      <c r="F42" s="820"/>
      <c r="G42" s="820"/>
      <c r="H42" s="820"/>
      <c r="I42" s="849"/>
    </row>
    <row r="43" spans="1:43" s="809" customFormat="1" ht="16" x14ac:dyDescent="0.8">
      <c r="A43" s="827" t="s">
        <v>184</v>
      </c>
      <c r="B43" s="851">
        <f t="shared" ref="B43:H43" si="46">B7</f>
        <v>0.1127319373578979</v>
      </c>
      <c r="C43" s="852">
        <f t="shared" si="46"/>
        <v>0.11667533783132795</v>
      </c>
      <c r="D43" s="852">
        <f t="shared" si="46"/>
        <v>0.12907196660905859</v>
      </c>
      <c r="E43" s="852">
        <f t="shared" si="46"/>
        <v>0.11530494903826237</v>
      </c>
      <c r="F43" s="852">
        <f t="shared" si="46"/>
        <v>0.10234888353700235</v>
      </c>
      <c r="G43" s="852">
        <f t="shared" si="46"/>
        <v>9.7016533487618337E-2</v>
      </c>
      <c r="H43" s="852">
        <f t="shared" si="46"/>
        <v>0.10471014378532766</v>
      </c>
      <c r="I43" s="853">
        <v>0.1</v>
      </c>
      <c r="J43" s="854">
        <v>0.1</v>
      </c>
      <c r="K43" s="854">
        <v>0.1</v>
      </c>
      <c r="L43" s="854">
        <v>0.09</v>
      </c>
      <c r="M43" s="854">
        <v>8.5000000000000006E-2</v>
      </c>
      <c r="N43" s="854">
        <v>0.08</v>
      </c>
      <c r="O43" s="853">
        <v>7.9000000000000001E-2</v>
      </c>
      <c r="P43" s="854">
        <v>7.9000000000000001E-2</v>
      </c>
      <c r="Q43" s="854">
        <v>0.08</v>
      </c>
      <c r="R43" s="854">
        <v>0.08</v>
      </c>
      <c r="S43" s="854">
        <v>7.0000000000000007E-2</v>
      </c>
      <c r="T43" s="854">
        <f t="shared" ref="T43:AC46" si="47">AVERAGE(Q43:S43)</f>
        <v>7.6666666666666675E-2</v>
      </c>
      <c r="U43" s="854">
        <f t="shared" si="47"/>
        <v>7.5555555555555556E-2</v>
      </c>
      <c r="V43" s="854">
        <f t="shared" si="47"/>
        <v>7.407407407407407E-2</v>
      </c>
      <c r="W43" s="854">
        <f t="shared" si="47"/>
        <v>7.5432098765432096E-2</v>
      </c>
      <c r="X43" s="854">
        <f t="shared" si="47"/>
        <v>7.5020576131687236E-2</v>
      </c>
      <c r="Y43" s="854">
        <f t="shared" si="47"/>
        <v>7.4842249657064472E-2</v>
      </c>
      <c r="Z43" s="854">
        <f t="shared" si="47"/>
        <v>7.5098308184727944E-2</v>
      </c>
      <c r="AA43" s="854">
        <f t="shared" si="47"/>
        <v>7.498704465782656E-2</v>
      </c>
      <c r="AB43" s="854">
        <f t="shared" si="47"/>
        <v>7.4975867499872992E-2</v>
      </c>
      <c r="AC43" s="854">
        <f t="shared" si="47"/>
        <v>7.5020406780809165E-2</v>
      </c>
      <c r="AD43" s="854">
        <f t="shared" ref="AD43:AE46" si="48">AVERAGE(AA43:AC43)</f>
        <v>7.4994439646169572E-2</v>
      </c>
      <c r="AE43" s="854">
        <f t="shared" si="48"/>
        <v>7.499690464228391E-2</v>
      </c>
      <c r="AF43" s="854">
        <f>AE43</f>
        <v>7.499690464228391E-2</v>
      </c>
      <c r="AG43" s="854">
        <f t="shared" ref="AG43:AP43" si="49">AF43</f>
        <v>7.499690464228391E-2</v>
      </c>
      <c r="AH43" s="854">
        <f t="shared" si="49"/>
        <v>7.499690464228391E-2</v>
      </c>
      <c r="AI43" s="854">
        <f t="shared" si="49"/>
        <v>7.499690464228391E-2</v>
      </c>
      <c r="AJ43" s="854">
        <f t="shared" si="49"/>
        <v>7.499690464228391E-2</v>
      </c>
      <c r="AK43" s="854">
        <f t="shared" si="49"/>
        <v>7.499690464228391E-2</v>
      </c>
      <c r="AL43" s="854">
        <f t="shared" si="49"/>
        <v>7.499690464228391E-2</v>
      </c>
      <c r="AM43" s="854">
        <f t="shared" si="49"/>
        <v>7.499690464228391E-2</v>
      </c>
      <c r="AN43" s="854">
        <f t="shared" si="49"/>
        <v>7.499690464228391E-2</v>
      </c>
      <c r="AO43" s="854">
        <f t="shared" si="49"/>
        <v>7.499690464228391E-2</v>
      </c>
      <c r="AP43" s="1339">
        <f t="shared" si="49"/>
        <v>7.499690464228391E-2</v>
      </c>
    </row>
    <row r="44" spans="1:43" s="809" customFormat="1" ht="16" x14ac:dyDescent="0.8">
      <c r="A44" s="818" t="s">
        <v>185</v>
      </c>
      <c r="B44" s="855">
        <f t="shared" ref="B44:H44" si="50">B10</f>
        <v>0.20142420741459482</v>
      </c>
      <c r="C44" s="856">
        <f t="shared" si="50"/>
        <v>0.18937273070115312</v>
      </c>
      <c r="D44" s="856">
        <f t="shared" si="50"/>
        <v>0.16772372039434355</v>
      </c>
      <c r="E44" s="856">
        <f t="shared" si="50"/>
        <v>0.15893491039733729</v>
      </c>
      <c r="F44" s="856">
        <f t="shared" si="50"/>
        <v>0.24930574138494929</v>
      </c>
      <c r="G44" s="856">
        <f t="shared" si="50"/>
        <v>0.24676842785749498</v>
      </c>
      <c r="H44" s="856">
        <f t="shared" si="50"/>
        <v>0.25085984319486521</v>
      </c>
      <c r="I44" s="857">
        <v>0.25</v>
      </c>
      <c r="J44" s="858">
        <v>0.28000000000000003</v>
      </c>
      <c r="K44" s="858">
        <v>0.28000000000000003</v>
      </c>
      <c r="L44" s="858">
        <v>0.28000000000000003</v>
      </c>
      <c r="M44" s="858">
        <v>0.28499999999999998</v>
      </c>
      <c r="N44" s="858">
        <v>0.28499999999999998</v>
      </c>
      <c r="O44" s="857">
        <v>0.28499999999999998</v>
      </c>
      <c r="P44" s="858">
        <v>0.28000000000000003</v>
      </c>
      <c r="Q44" s="858">
        <v>0.28499999999999998</v>
      </c>
      <c r="R44" s="858">
        <v>0.28699999999999998</v>
      </c>
      <c r="S44" s="858">
        <v>0.28599999999999998</v>
      </c>
      <c r="T44" s="858">
        <f t="shared" si="47"/>
        <v>0.28599999999999998</v>
      </c>
      <c r="U44" s="858">
        <f t="shared" si="47"/>
        <v>0.28633333333333333</v>
      </c>
      <c r="V44" s="858">
        <f t="shared" si="47"/>
        <v>0.28611111111111109</v>
      </c>
      <c r="W44" s="858">
        <f t="shared" si="47"/>
        <v>0.28614814814814815</v>
      </c>
      <c r="X44" s="858">
        <f t="shared" si="47"/>
        <v>0.28619753086419752</v>
      </c>
      <c r="Y44" s="858">
        <f t="shared" si="47"/>
        <v>0.28615226337448557</v>
      </c>
      <c r="Z44" s="858">
        <f t="shared" si="47"/>
        <v>0.28616598079561045</v>
      </c>
      <c r="AA44" s="858">
        <f t="shared" si="47"/>
        <v>0.28617192501143118</v>
      </c>
      <c r="AB44" s="858">
        <f t="shared" si="47"/>
        <v>0.28616338972717575</v>
      </c>
      <c r="AC44" s="858">
        <f t="shared" si="47"/>
        <v>0.28616709851140582</v>
      </c>
      <c r="AD44" s="858">
        <f t="shared" si="48"/>
        <v>0.28616747108333757</v>
      </c>
      <c r="AE44" s="858">
        <f t="shared" si="48"/>
        <v>0.28616598644063967</v>
      </c>
      <c r="AF44" s="858">
        <f t="shared" ref="AF44:AP46" si="51">AE44</f>
        <v>0.28616598644063967</v>
      </c>
      <c r="AG44" s="858">
        <f t="shared" si="51"/>
        <v>0.28616598644063967</v>
      </c>
      <c r="AH44" s="858">
        <f t="shared" si="51"/>
        <v>0.28616598644063967</v>
      </c>
      <c r="AI44" s="858">
        <f t="shared" si="51"/>
        <v>0.28616598644063967</v>
      </c>
      <c r="AJ44" s="858">
        <f t="shared" si="51"/>
        <v>0.28616598644063967</v>
      </c>
      <c r="AK44" s="858">
        <f t="shared" si="51"/>
        <v>0.28616598644063967</v>
      </c>
      <c r="AL44" s="858">
        <f t="shared" si="51"/>
        <v>0.28616598644063967</v>
      </c>
      <c r="AM44" s="858">
        <f t="shared" si="51"/>
        <v>0.28616598644063967</v>
      </c>
      <c r="AN44" s="858">
        <f t="shared" si="51"/>
        <v>0.28616598644063967</v>
      </c>
      <c r="AO44" s="858">
        <f t="shared" si="51"/>
        <v>0.28616598644063967</v>
      </c>
      <c r="AP44" s="1340">
        <f t="shared" si="51"/>
        <v>0.28616598644063967</v>
      </c>
    </row>
    <row r="45" spans="1:43" s="809" customFormat="1" ht="16" x14ac:dyDescent="0.8">
      <c r="A45" s="818" t="s">
        <v>186</v>
      </c>
      <c r="B45" s="831">
        <f t="shared" ref="B45:H45" si="52">B13</f>
        <v>3.027674191996645E-2</v>
      </c>
      <c r="C45" s="832">
        <f t="shared" si="52"/>
        <v>2.6052032493469098E-2</v>
      </c>
      <c r="D45" s="832">
        <f t="shared" si="52"/>
        <v>3.2575732872468781E-2</v>
      </c>
      <c r="E45" s="832">
        <f t="shared" si="52"/>
        <v>2.9680658824201647E-2</v>
      </c>
      <c r="F45" s="832">
        <f t="shared" si="52"/>
        <v>5.7877679659857878E-2</v>
      </c>
      <c r="G45" s="832">
        <f t="shared" si="52"/>
        <v>6.6036538387741428E-2</v>
      </c>
      <c r="H45" s="832">
        <f t="shared" si="52"/>
        <v>7.3185187053330769E-2</v>
      </c>
      <c r="I45" s="857">
        <v>7.6999999999999999E-2</v>
      </c>
      <c r="J45" s="858">
        <v>7.9000000000000001E-2</v>
      </c>
      <c r="K45" s="858">
        <v>7.9000000000000001E-2</v>
      </c>
      <c r="L45" s="858">
        <v>8.1000000000000003E-2</v>
      </c>
      <c r="M45" s="858">
        <v>8.1000000000000003E-2</v>
      </c>
      <c r="N45" s="858">
        <v>8.2000000000000003E-2</v>
      </c>
      <c r="O45" s="857">
        <v>8.3000000000000004E-2</v>
      </c>
      <c r="P45" s="858">
        <v>8.3000000000000004E-2</v>
      </c>
      <c r="Q45" s="858">
        <v>8.3000000000000004E-2</v>
      </c>
      <c r="R45" s="858">
        <v>8.4000000000000005E-2</v>
      </c>
      <c r="S45" s="858">
        <v>8.4000000000000005E-2</v>
      </c>
      <c r="T45" s="858">
        <f t="shared" si="47"/>
        <v>8.3666666666666667E-2</v>
      </c>
      <c r="U45" s="858">
        <f t="shared" si="47"/>
        <v>8.3888888888888902E-2</v>
      </c>
      <c r="V45" s="858">
        <f t="shared" si="47"/>
        <v>8.3851851851851858E-2</v>
      </c>
      <c r="W45" s="858">
        <f t="shared" si="47"/>
        <v>8.3802469135802471E-2</v>
      </c>
      <c r="X45" s="858">
        <f t="shared" si="47"/>
        <v>8.384773662551441E-2</v>
      </c>
      <c r="Y45" s="858">
        <f t="shared" si="47"/>
        <v>8.3834019204389584E-2</v>
      </c>
      <c r="Z45" s="858">
        <f t="shared" si="47"/>
        <v>8.3828074988568826E-2</v>
      </c>
      <c r="AA45" s="858">
        <f t="shared" si="47"/>
        <v>8.3836610272824283E-2</v>
      </c>
      <c r="AB45" s="858">
        <f t="shared" si="47"/>
        <v>8.3832901488594236E-2</v>
      </c>
      <c r="AC45" s="858">
        <f t="shared" si="47"/>
        <v>8.3832528916662444E-2</v>
      </c>
      <c r="AD45" s="858">
        <f t="shared" si="48"/>
        <v>8.3834013559360321E-2</v>
      </c>
      <c r="AE45" s="858">
        <f t="shared" si="48"/>
        <v>8.3833147988205667E-2</v>
      </c>
      <c r="AF45" s="858">
        <f t="shared" si="51"/>
        <v>8.3833147988205667E-2</v>
      </c>
      <c r="AG45" s="858">
        <f t="shared" si="51"/>
        <v>8.3833147988205667E-2</v>
      </c>
      <c r="AH45" s="858">
        <f t="shared" si="51"/>
        <v>8.3833147988205667E-2</v>
      </c>
      <c r="AI45" s="858">
        <f t="shared" si="51"/>
        <v>8.3833147988205667E-2</v>
      </c>
      <c r="AJ45" s="858">
        <f t="shared" si="51"/>
        <v>8.3833147988205667E-2</v>
      </c>
      <c r="AK45" s="858">
        <f t="shared" si="51"/>
        <v>8.3833147988205667E-2</v>
      </c>
      <c r="AL45" s="858">
        <f t="shared" si="51"/>
        <v>8.3833147988205667E-2</v>
      </c>
      <c r="AM45" s="858">
        <f t="shared" si="51"/>
        <v>8.3833147988205667E-2</v>
      </c>
      <c r="AN45" s="858">
        <f t="shared" si="51"/>
        <v>8.3833147988205667E-2</v>
      </c>
      <c r="AO45" s="858">
        <f t="shared" si="51"/>
        <v>8.3833147988205667E-2</v>
      </c>
      <c r="AP45" s="1340">
        <f t="shared" si="51"/>
        <v>8.3833147988205667E-2</v>
      </c>
    </row>
    <row r="46" spans="1:43" s="809" customFormat="1" ht="16" x14ac:dyDescent="0.8">
      <c r="A46" s="818" t="s">
        <v>154</v>
      </c>
      <c r="B46" s="855">
        <f t="shared" ref="B46:H46" si="53">B16</f>
        <v>0.29751298191371706</v>
      </c>
      <c r="C46" s="856">
        <f t="shared" si="53"/>
        <v>0.28130359261492044</v>
      </c>
      <c r="D46" s="856">
        <f t="shared" si="53"/>
        <v>0.28021978021978022</v>
      </c>
      <c r="E46" s="856">
        <f t="shared" si="53"/>
        <v>0.30280271700700678</v>
      </c>
      <c r="F46" s="856">
        <f t="shared" si="53"/>
        <v>0.26680343710046678</v>
      </c>
      <c r="G46" s="856">
        <f t="shared" si="53"/>
        <v>0.25183680818969972</v>
      </c>
      <c r="H46" s="856">
        <f t="shared" si="53"/>
        <v>0.23957075618913712</v>
      </c>
      <c r="I46" s="857">
        <v>0.25</v>
      </c>
      <c r="J46" s="858">
        <v>0.28999999999999998</v>
      </c>
      <c r="K46" s="858">
        <v>0.3</v>
      </c>
      <c r="L46" s="858">
        <v>0.28000000000000003</v>
      </c>
      <c r="M46" s="858">
        <v>0.27</v>
      </c>
      <c r="N46" s="858">
        <v>0.25</v>
      </c>
      <c r="O46" s="857">
        <v>0.26</v>
      </c>
      <c r="P46" s="858">
        <v>0.27</v>
      </c>
      <c r="Q46" s="858">
        <v>0.26</v>
      </c>
      <c r="R46" s="858">
        <v>0.24</v>
      </c>
      <c r="S46" s="858">
        <v>0.26</v>
      </c>
      <c r="T46" s="858">
        <f t="shared" si="47"/>
        <v>0.25333333333333335</v>
      </c>
      <c r="U46" s="858">
        <f t="shared" si="47"/>
        <v>0.25111111111111112</v>
      </c>
      <c r="V46" s="858">
        <f t="shared" si="47"/>
        <v>0.25481481481481483</v>
      </c>
      <c r="W46" s="858">
        <f t="shared" si="47"/>
        <v>0.25308641975308643</v>
      </c>
      <c r="X46" s="858">
        <f t="shared" si="47"/>
        <v>0.25300411522633742</v>
      </c>
      <c r="Y46" s="858">
        <f t="shared" si="47"/>
        <v>0.25363511659807952</v>
      </c>
      <c r="Z46" s="858">
        <f t="shared" si="47"/>
        <v>0.25324188385916774</v>
      </c>
      <c r="AA46" s="858">
        <f t="shared" si="47"/>
        <v>0.2532937052278616</v>
      </c>
      <c r="AB46" s="858">
        <f t="shared" si="47"/>
        <v>0.25339023522836962</v>
      </c>
      <c r="AC46" s="858">
        <f t="shared" si="47"/>
        <v>0.253308608105133</v>
      </c>
      <c r="AD46" s="858">
        <f t="shared" si="48"/>
        <v>0.25333084952045476</v>
      </c>
      <c r="AE46" s="858">
        <f t="shared" si="48"/>
        <v>0.25334323095131911</v>
      </c>
      <c r="AF46" s="858">
        <f t="shared" si="51"/>
        <v>0.25334323095131911</v>
      </c>
      <c r="AG46" s="858">
        <f t="shared" si="51"/>
        <v>0.25334323095131911</v>
      </c>
      <c r="AH46" s="858">
        <f t="shared" si="51"/>
        <v>0.25334323095131911</v>
      </c>
      <c r="AI46" s="858">
        <f t="shared" si="51"/>
        <v>0.25334323095131911</v>
      </c>
      <c r="AJ46" s="858">
        <f t="shared" si="51"/>
        <v>0.25334323095131911</v>
      </c>
      <c r="AK46" s="858">
        <f t="shared" si="51"/>
        <v>0.25334323095131911</v>
      </c>
      <c r="AL46" s="858">
        <f t="shared" si="51"/>
        <v>0.25334323095131911</v>
      </c>
      <c r="AM46" s="858">
        <f t="shared" si="51"/>
        <v>0.25334323095131911</v>
      </c>
      <c r="AN46" s="858">
        <f t="shared" si="51"/>
        <v>0.25334323095131911</v>
      </c>
      <c r="AO46" s="858">
        <f t="shared" si="51"/>
        <v>0.25334323095131911</v>
      </c>
      <c r="AP46" s="1340">
        <f t="shared" si="51"/>
        <v>0.25334323095131911</v>
      </c>
    </row>
    <row r="47" spans="1:43" s="863" customFormat="1" ht="16.75" thickBot="1" x14ac:dyDescent="0.95">
      <c r="A47" s="822" t="s">
        <v>187</v>
      </c>
      <c r="B47" s="859">
        <f t="shared" ref="B47:H47" si="54">B19</f>
        <v>0.35805824284709914</v>
      </c>
      <c r="C47" s="860">
        <f t="shared" si="54"/>
        <v>0.38659630635912934</v>
      </c>
      <c r="D47" s="860">
        <f t="shared" si="54"/>
        <v>0.39040879990434885</v>
      </c>
      <c r="E47" s="860">
        <f t="shared" si="54"/>
        <v>0.3932767647331919</v>
      </c>
      <c r="F47" s="860">
        <f t="shared" si="54"/>
        <v>0.32366425831772366</v>
      </c>
      <c r="G47" s="860">
        <f t="shared" si="54"/>
        <v>0.33834169207744558</v>
      </c>
      <c r="H47" s="860">
        <f t="shared" si="54"/>
        <v>0.33167406977733921</v>
      </c>
      <c r="I47" s="861">
        <f t="shared" ref="I47:AP47" si="55">1-SUM(I43:I46)</f>
        <v>0.32299999999999995</v>
      </c>
      <c r="J47" s="862">
        <f t="shared" si="55"/>
        <v>0.251</v>
      </c>
      <c r="K47" s="862">
        <f t="shared" si="55"/>
        <v>0.24099999999999999</v>
      </c>
      <c r="L47" s="862">
        <f t="shared" si="55"/>
        <v>0.26899999999999991</v>
      </c>
      <c r="M47" s="862">
        <f t="shared" si="55"/>
        <v>0.27899999999999991</v>
      </c>
      <c r="N47" s="862">
        <f t="shared" si="55"/>
        <v>0.30299999999999994</v>
      </c>
      <c r="O47" s="861">
        <f t="shared" si="55"/>
        <v>0.29299999999999993</v>
      </c>
      <c r="P47" s="862">
        <f t="shared" si="55"/>
        <v>0.28799999999999992</v>
      </c>
      <c r="Q47" s="862">
        <f t="shared" si="55"/>
        <v>0.29200000000000004</v>
      </c>
      <c r="R47" s="862">
        <f t="shared" si="55"/>
        <v>0.30899999999999994</v>
      </c>
      <c r="S47" s="862">
        <f t="shared" si="55"/>
        <v>0.30000000000000004</v>
      </c>
      <c r="T47" s="862">
        <f t="shared" si="55"/>
        <v>0.30033333333333334</v>
      </c>
      <c r="U47" s="862">
        <f t="shared" si="55"/>
        <v>0.30311111111111111</v>
      </c>
      <c r="V47" s="862">
        <f t="shared" si="55"/>
        <v>0.30114814814814816</v>
      </c>
      <c r="W47" s="862">
        <f t="shared" si="55"/>
        <v>0.30153086419753083</v>
      </c>
      <c r="X47" s="862">
        <f t="shared" si="55"/>
        <v>0.30193004115226341</v>
      </c>
      <c r="Y47" s="862">
        <f t="shared" si="55"/>
        <v>0.30153635116598076</v>
      </c>
      <c r="Z47" s="862">
        <f t="shared" si="55"/>
        <v>0.30166575217192504</v>
      </c>
      <c r="AA47" s="862">
        <f t="shared" si="55"/>
        <v>0.3017107148300564</v>
      </c>
      <c r="AB47" s="862">
        <f t="shared" si="55"/>
        <v>0.30163760605598733</v>
      </c>
      <c r="AC47" s="862">
        <f t="shared" si="55"/>
        <v>0.30167135768598952</v>
      </c>
      <c r="AD47" s="862">
        <f t="shared" si="55"/>
        <v>0.30167322619067782</v>
      </c>
      <c r="AE47" s="862">
        <f t="shared" si="55"/>
        <v>0.30166072997755156</v>
      </c>
      <c r="AF47" s="862">
        <f t="shared" si="55"/>
        <v>0.30166072997755156</v>
      </c>
      <c r="AG47" s="862">
        <f t="shared" si="55"/>
        <v>0.30166072997755156</v>
      </c>
      <c r="AH47" s="862">
        <f t="shared" si="55"/>
        <v>0.30166072997755156</v>
      </c>
      <c r="AI47" s="862">
        <f t="shared" si="55"/>
        <v>0.30166072997755156</v>
      </c>
      <c r="AJ47" s="862">
        <f t="shared" si="55"/>
        <v>0.30166072997755156</v>
      </c>
      <c r="AK47" s="862">
        <f t="shared" si="55"/>
        <v>0.30166072997755156</v>
      </c>
      <c r="AL47" s="862">
        <f t="shared" si="55"/>
        <v>0.30166072997755156</v>
      </c>
      <c r="AM47" s="862">
        <f t="shared" si="55"/>
        <v>0.30166072997755156</v>
      </c>
      <c r="AN47" s="862">
        <f t="shared" si="55"/>
        <v>0.30166072997755156</v>
      </c>
      <c r="AO47" s="862">
        <f t="shared" si="55"/>
        <v>0.30166072997755156</v>
      </c>
      <c r="AP47" s="1341">
        <f t="shared" si="55"/>
        <v>0.30166072997755156</v>
      </c>
    </row>
    <row r="48" spans="1:43" s="809" customFormat="1" ht="16" x14ac:dyDescent="0.8">
      <c r="A48" s="850" t="s">
        <v>160</v>
      </c>
      <c r="B48" s="819"/>
      <c r="C48" s="820"/>
      <c r="D48" s="820"/>
      <c r="E48" s="820"/>
      <c r="F48" s="820"/>
      <c r="G48" s="820"/>
      <c r="H48" s="820"/>
      <c r="I48" s="864">
        <f t="shared" ref="I48:AP48" si="56">SUM(I43:I47)</f>
        <v>1</v>
      </c>
      <c r="J48" s="864">
        <f t="shared" si="56"/>
        <v>1</v>
      </c>
      <c r="K48" s="864">
        <f t="shared" si="56"/>
        <v>1</v>
      </c>
      <c r="L48" s="864">
        <f t="shared" si="56"/>
        <v>1</v>
      </c>
      <c r="M48" s="864">
        <f t="shared" si="56"/>
        <v>1</v>
      </c>
      <c r="N48" s="864">
        <f t="shared" si="56"/>
        <v>1</v>
      </c>
      <c r="O48" s="864">
        <f t="shared" si="56"/>
        <v>1</v>
      </c>
      <c r="P48" s="864">
        <f t="shared" si="56"/>
        <v>1</v>
      </c>
      <c r="Q48" s="864">
        <f t="shared" si="56"/>
        <v>1</v>
      </c>
      <c r="R48" s="864">
        <f t="shared" si="56"/>
        <v>1</v>
      </c>
      <c r="S48" s="864">
        <f t="shared" si="56"/>
        <v>1</v>
      </c>
      <c r="T48" s="864">
        <f t="shared" si="56"/>
        <v>1</v>
      </c>
      <c r="U48" s="864">
        <f t="shared" si="56"/>
        <v>1</v>
      </c>
      <c r="V48" s="864">
        <f t="shared" si="56"/>
        <v>1</v>
      </c>
      <c r="W48" s="864">
        <f t="shared" si="56"/>
        <v>1</v>
      </c>
      <c r="X48" s="864">
        <f t="shared" si="56"/>
        <v>1</v>
      </c>
      <c r="Y48" s="864">
        <f t="shared" si="56"/>
        <v>1</v>
      </c>
      <c r="Z48" s="864">
        <f t="shared" si="56"/>
        <v>1</v>
      </c>
      <c r="AA48" s="864">
        <f t="shared" si="56"/>
        <v>1</v>
      </c>
      <c r="AB48" s="864">
        <f t="shared" si="56"/>
        <v>1</v>
      </c>
      <c r="AC48" s="864">
        <f t="shared" si="56"/>
        <v>1</v>
      </c>
      <c r="AD48" s="864">
        <f t="shared" si="56"/>
        <v>1</v>
      </c>
      <c r="AE48" s="864">
        <f t="shared" si="56"/>
        <v>1</v>
      </c>
      <c r="AF48" s="864">
        <f t="shared" si="56"/>
        <v>1</v>
      </c>
      <c r="AG48" s="864">
        <f t="shared" si="56"/>
        <v>1</v>
      </c>
      <c r="AH48" s="864">
        <f t="shared" si="56"/>
        <v>1</v>
      </c>
      <c r="AI48" s="864">
        <f t="shared" si="56"/>
        <v>1</v>
      </c>
      <c r="AJ48" s="864">
        <f t="shared" si="56"/>
        <v>1</v>
      </c>
      <c r="AK48" s="864">
        <f t="shared" si="56"/>
        <v>1</v>
      </c>
      <c r="AL48" s="864">
        <f t="shared" si="56"/>
        <v>1</v>
      </c>
      <c r="AM48" s="864">
        <f t="shared" si="56"/>
        <v>1</v>
      </c>
      <c r="AN48" s="864">
        <f t="shared" si="56"/>
        <v>1</v>
      </c>
      <c r="AO48" s="864">
        <f t="shared" si="56"/>
        <v>1</v>
      </c>
      <c r="AP48" s="864">
        <f t="shared" si="56"/>
        <v>1</v>
      </c>
    </row>
    <row r="49" spans="1:50" s="809" customFormat="1" ht="16" x14ac:dyDescent="0.8">
      <c r="A49" s="850" t="s">
        <v>189</v>
      </c>
      <c r="B49" s="819"/>
      <c r="C49" s="820"/>
      <c r="D49" s="820"/>
      <c r="E49" s="820"/>
      <c r="F49" s="820"/>
      <c r="G49" s="820"/>
      <c r="H49" s="820"/>
      <c r="I49" s="865" t="b">
        <f t="shared" ref="I49:AP49" si="57">IF(I48=1,TRUE,FALSE)</f>
        <v>1</v>
      </c>
      <c r="J49" s="865" t="b">
        <f t="shared" si="57"/>
        <v>1</v>
      </c>
      <c r="K49" s="865" t="b">
        <f t="shared" si="57"/>
        <v>1</v>
      </c>
      <c r="L49" s="865" t="b">
        <f t="shared" si="57"/>
        <v>1</v>
      </c>
      <c r="M49" s="865" t="b">
        <f t="shared" si="57"/>
        <v>1</v>
      </c>
      <c r="N49" s="865" t="b">
        <f t="shared" si="57"/>
        <v>1</v>
      </c>
      <c r="O49" s="865" t="b">
        <f t="shared" si="57"/>
        <v>1</v>
      </c>
      <c r="P49" s="865" t="b">
        <f t="shared" si="57"/>
        <v>1</v>
      </c>
      <c r="Q49" s="865" t="b">
        <f t="shared" si="57"/>
        <v>1</v>
      </c>
      <c r="R49" s="865" t="b">
        <f t="shared" si="57"/>
        <v>1</v>
      </c>
      <c r="S49" s="865" t="b">
        <f t="shared" si="57"/>
        <v>1</v>
      </c>
      <c r="T49" s="865" t="b">
        <f t="shared" si="57"/>
        <v>1</v>
      </c>
      <c r="U49" s="865" t="b">
        <f t="shared" si="57"/>
        <v>1</v>
      </c>
      <c r="V49" s="865" t="b">
        <f t="shared" si="57"/>
        <v>1</v>
      </c>
      <c r="W49" s="865" t="b">
        <f t="shared" si="57"/>
        <v>1</v>
      </c>
      <c r="X49" s="865" t="b">
        <f t="shared" si="57"/>
        <v>1</v>
      </c>
      <c r="Y49" s="865" t="b">
        <f t="shared" si="57"/>
        <v>1</v>
      </c>
      <c r="Z49" s="865" t="b">
        <f t="shared" si="57"/>
        <v>1</v>
      </c>
      <c r="AA49" s="865" t="b">
        <f t="shared" si="57"/>
        <v>1</v>
      </c>
      <c r="AB49" s="865" t="b">
        <f t="shared" si="57"/>
        <v>1</v>
      </c>
      <c r="AC49" s="865" t="b">
        <f t="shared" si="57"/>
        <v>1</v>
      </c>
      <c r="AD49" s="865" t="b">
        <f t="shared" si="57"/>
        <v>1</v>
      </c>
      <c r="AE49" s="865" t="b">
        <f t="shared" si="57"/>
        <v>1</v>
      </c>
      <c r="AF49" s="865" t="b">
        <f t="shared" si="57"/>
        <v>1</v>
      </c>
      <c r="AG49" s="865" t="b">
        <f t="shared" si="57"/>
        <v>1</v>
      </c>
      <c r="AH49" s="865" t="b">
        <f t="shared" si="57"/>
        <v>1</v>
      </c>
      <c r="AI49" s="865" t="b">
        <f t="shared" si="57"/>
        <v>1</v>
      </c>
      <c r="AJ49" s="865" t="b">
        <f t="shared" si="57"/>
        <v>1</v>
      </c>
      <c r="AK49" s="865" t="b">
        <f t="shared" si="57"/>
        <v>1</v>
      </c>
      <c r="AL49" s="865" t="b">
        <f t="shared" si="57"/>
        <v>1</v>
      </c>
      <c r="AM49" s="865" t="b">
        <f t="shared" si="57"/>
        <v>1</v>
      </c>
      <c r="AN49" s="865" t="b">
        <f t="shared" si="57"/>
        <v>1</v>
      </c>
      <c r="AO49" s="865" t="b">
        <f t="shared" si="57"/>
        <v>1</v>
      </c>
      <c r="AP49" s="865" t="b">
        <f t="shared" si="57"/>
        <v>1</v>
      </c>
    </row>
    <row r="50" spans="1:50" s="809" customFormat="1" ht="16" x14ac:dyDescent="0.8">
      <c r="A50" s="850" t="s">
        <v>190</v>
      </c>
      <c r="B50" s="819"/>
      <c r="C50" s="820"/>
      <c r="D50" s="820"/>
      <c r="E50" s="820"/>
      <c r="F50" s="820"/>
      <c r="G50" s="820"/>
      <c r="H50" s="820"/>
      <c r="I50" s="865" t="b">
        <f t="shared" ref="I50:AP50" si="58">IF(I45&gt;=0,TRUE,FALSE)</f>
        <v>1</v>
      </c>
      <c r="J50" s="865" t="b">
        <f t="shared" si="58"/>
        <v>1</v>
      </c>
      <c r="K50" s="865" t="b">
        <f t="shared" si="58"/>
        <v>1</v>
      </c>
      <c r="L50" s="865" t="b">
        <f t="shared" si="58"/>
        <v>1</v>
      </c>
      <c r="M50" s="865" t="b">
        <f t="shared" si="58"/>
        <v>1</v>
      </c>
      <c r="N50" s="865" t="b">
        <f t="shared" si="58"/>
        <v>1</v>
      </c>
      <c r="O50" s="865" t="b">
        <f t="shared" si="58"/>
        <v>1</v>
      </c>
      <c r="P50" s="865" t="b">
        <f t="shared" si="58"/>
        <v>1</v>
      </c>
      <c r="Q50" s="865" t="b">
        <f t="shared" si="58"/>
        <v>1</v>
      </c>
      <c r="R50" s="865" t="b">
        <f t="shared" si="58"/>
        <v>1</v>
      </c>
      <c r="S50" s="865" t="b">
        <f t="shared" si="58"/>
        <v>1</v>
      </c>
      <c r="T50" s="865" t="b">
        <f t="shared" si="58"/>
        <v>1</v>
      </c>
      <c r="U50" s="865" t="b">
        <f t="shared" si="58"/>
        <v>1</v>
      </c>
      <c r="V50" s="865" t="b">
        <f t="shared" si="58"/>
        <v>1</v>
      </c>
      <c r="W50" s="865" t="b">
        <f t="shared" si="58"/>
        <v>1</v>
      </c>
      <c r="X50" s="865" t="b">
        <f t="shared" si="58"/>
        <v>1</v>
      </c>
      <c r="Y50" s="865" t="b">
        <f t="shared" si="58"/>
        <v>1</v>
      </c>
      <c r="Z50" s="865" t="b">
        <f t="shared" si="58"/>
        <v>1</v>
      </c>
      <c r="AA50" s="865" t="b">
        <f t="shared" si="58"/>
        <v>1</v>
      </c>
      <c r="AB50" s="865" t="b">
        <f t="shared" si="58"/>
        <v>1</v>
      </c>
      <c r="AC50" s="865" t="b">
        <f t="shared" si="58"/>
        <v>1</v>
      </c>
      <c r="AD50" s="865" t="b">
        <f t="shared" si="58"/>
        <v>1</v>
      </c>
      <c r="AE50" s="865" t="b">
        <f t="shared" si="58"/>
        <v>1</v>
      </c>
      <c r="AF50" s="865" t="b">
        <f t="shared" si="58"/>
        <v>1</v>
      </c>
      <c r="AG50" s="865" t="b">
        <f t="shared" si="58"/>
        <v>1</v>
      </c>
      <c r="AH50" s="865" t="b">
        <f t="shared" si="58"/>
        <v>1</v>
      </c>
      <c r="AI50" s="865" t="b">
        <f t="shared" si="58"/>
        <v>1</v>
      </c>
      <c r="AJ50" s="865" t="b">
        <f t="shared" si="58"/>
        <v>1</v>
      </c>
      <c r="AK50" s="865" t="b">
        <f t="shared" si="58"/>
        <v>1</v>
      </c>
      <c r="AL50" s="865" t="b">
        <f t="shared" si="58"/>
        <v>1</v>
      </c>
      <c r="AM50" s="865" t="b">
        <f t="shared" si="58"/>
        <v>1</v>
      </c>
      <c r="AN50" s="865" t="b">
        <f t="shared" si="58"/>
        <v>1</v>
      </c>
      <c r="AO50" s="865" t="b">
        <f t="shared" si="58"/>
        <v>1</v>
      </c>
      <c r="AP50" s="865" t="b">
        <f t="shared" si="58"/>
        <v>1</v>
      </c>
    </row>
    <row r="51" spans="1:50" s="809" customFormat="1" ht="16" x14ac:dyDescent="0.8">
      <c r="B51" s="819"/>
      <c r="C51" s="820"/>
      <c r="D51" s="820"/>
      <c r="E51" s="820"/>
      <c r="F51" s="820"/>
      <c r="G51" s="820"/>
      <c r="H51" s="820"/>
    </row>
    <row r="52" spans="1:50" s="809" customFormat="1" ht="16" x14ac:dyDescent="0.8">
      <c r="B52" s="819"/>
      <c r="C52" s="820"/>
      <c r="D52" s="820"/>
      <c r="E52" s="820"/>
      <c r="F52" s="820"/>
      <c r="G52" s="820"/>
      <c r="H52" s="820"/>
    </row>
    <row r="53" spans="1:50" s="13" customFormat="1" ht="16.75" thickBot="1" x14ac:dyDescent="0.95">
      <c r="A53" s="89" t="s">
        <v>152</v>
      </c>
      <c r="B53" s="100"/>
      <c r="C53" s="160"/>
      <c r="D53" s="160"/>
      <c r="E53" s="160"/>
      <c r="F53" s="160"/>
      <c r="G53" s="160"/>
      <c r="H53" s="160"/>
      <c r="I53" s="89"/>
      <c r="J53" s="89"/>
      <c r="K53" s="89"/>
      <c r="L53" s="89"/>
      <c r="M53" s="89"/>
      <c r="N53" s="89"/>
      <c r="O53" s="89"/>
      <c r="P53" s="89"/>
      <c r="Q53" s="89"/>
      <c r="R53" s="89"/>
      <c r="S53" s="809"/>
      <c r="T53" s="809"/>
      <c r="U53" s="809"/>
      <c r="V53" s="809"/>
      <c r="W53" s="809"/>
      <c r="X53" s="809"/>
      <c r="Y53" s="809"/>
    </row>
    <row r="54" spans="1:50" s="13" customFormat="1" ht="16" x14ac:dyDescent="0.8">
      <c r="A54" s="866" t="s">
        <v>191</v>
      </c>
      <c r="B54" s="269">
        <v>6.2300000000000001E-2</v>
      </c>
      <c r="C54" s="218">
        <v>3.8300000000000001E-2</v>
      </c>
      <c r="D54" s="218">
        <v>1.7399999999999999E-2</v>
      </c>
      <c r="E54" s="218">
        <v>4.0399999999999998E-2</v>
      </c>
      <c r="F54" s="218">
        <v>1.26E-2</v>
      </c>
      <c r="G54" s="218">
        <v>1.2E-2</v>
      </c>
      <c r="H54" s="1164">
        <v>1.4800000000000001E-2</v>
      </c>
      <c r="I54" s="1164">
        <v>2.2499999999999999E-2</v>
      </c>
      <c r="J54" s="1164">
        <v>2.8900000000000002E-2</v>
      </c>
      <c r="K54" s="1164">
        <v>2.9300000000000003E-2</v>
      </c>
      <c r="L54" s="1164">
        <v>2.69E-2</v>
      </c>
      <c r="M54" s="1164">
        <v>2.5399999999999999E-2</v>
      </c>
      <c r="N54" s="1164">
        <v>2.5699999999999997E-2</v>
      </c>
      <c r="O54" s="1164">
        <v>2.5000000000000001E-2</v>
      </c>
      <c r="P54" s="1164">
        <v>2.5899999999999999E-2</v>
      </c>
      <c r="Q54" s="1164">
        <v>2.64E-2</v>
      </c>
      <c r="R54" s="1165" t="s">
        <v>37</v>
      </c>
      <c r="S54" s="849"/>
      <c r="T54" s="849"/>
      <c r="U54" s="849"/>
      <c r="V54" s="849"/>
      <c r="W54" s="849"/>
      <c r="X54" s="849"/>
      <c r="Y54" s="849"/>
      <c r="Z54" s="849"/>
      <c r="AA54" s="849"/>
      <c r="AB54" s="849"/>
      <c r="AC54" s="849"/>
      <c r="AD54" s="849"/>
      <c r="AE54" s="849"/>
      <c r="AF54" s="849"/>
      <c r="AG54" s="849"/>
      <c r="AH54" s="849"/>
      <c r="AI54" s="849"/>
      <c r="AJ54" s="849"/>
      <c r="AK54" s="849"/>
      <c r="AL54" s="849"/>
      <c r="AM54" s="849"/>
      <c r="AN54" s="849"/>
      <c r="AO54" s="849"/>
      <c r="AP54" s="849"/>
      <c r="AQ54" s="849"/>
      <c r="AR54" s="849"/>
      <c r="AS54" s="849"/>
      <c r="AT54" s="849"/>
      <c r="AU54" s="849"/>
      <c r="AV54" s="849"/>
      <c r="AW54" s="849"/>
      <c r="AX54" s="849"/>
    </row>
    <row r="55" spans="1:50" s="13" customFormat="1" ht="16" x14ac:dyDescent="0.8">
      <c r="A55" s="867" t="s">
        <v>192</v>
      </c>
      <c r="B55" s="56">
        <v>4.4000000000000004E-2</v>
      </c>
      <c r="C55" s="25">
        <v>3.3000000000000002E-2</v>
      </c>
      <c r="D55" s="25">
        <v>2.7999999999999997E-2</v>
      </c>
      <c r="E55" s="25">
        <v>2.7999999999999997E-2</v>
      </c>
      <c r="F55" s="25">
        <v>2.8999999999999998E-2</v>
      </c>
      <c r="G55" s="25">
        <v>2.7999999999999997E-2</v>
      </c>
      <c r="H55" s="25">
        <v>2.4E-2</v>
      </c>
      <c r="I55" s="205">
        <v>2.7000000000000003E-2</v>
      </c>
      <c r="J55" s="205">
        <v>2.8999999999999998E-2</v>
      </c>
      <c r="K55" s="205">
        <v>2.7999999999999997E-2</v>
      </c>
      <c r="L55" s="205">
        <v>2.7999999999999997E-2</v>
      </c>
      <c r="M55" s="205">
        <v>2.8999999999999998E-2</v>
      </c>
      <c r="N55" s="205">
        <v>0.03</v>
      </c>
      <c r="O55" s="205">
        <v>0.03</v>
      </c>
      <c r="P55" s="205">
        <v>3.1E-2</v>
      </c>
      <c r="Q55" s="205">
        <v>3.1E-2</v>
      </c>
      <c r="R55" s="220">
        <v>3.1E-2</v>
      </c>
      <c r="S55" s="849"/>
      <c r="T55" s="849"/>
      <c r="U55" s="849"/>
      <c r="V55" s="849"/>
      <c r="W55" s="849"/>
      <c r="X55" s="849"/>
      <c r="Y55" s="849"/>
      <c r="Z55" s="849"/>
      <c r="AA55" s="849"/>
      <c r="AB55" s="849"/>
      <c r="AC55" s="849"/>
      <c r="AD55" s="849"/>
      <c r="AE55" s="849"/>
      <c r="AF55" s="849"/>
      <c r="AG55" s="849"/>
      <c r="AH55" s="849"/>
      <c r="AI55" s="849"/>
      <c r="AJ55" s="849"/>
      <c r="AK55" s="849"/>
      <c r="AL55" s="849"/>
      <c r="AM55" s="849"/>
      <c r="AN55" s="849"/>
      <c r="AO55" s="849"/>
      <c r="AP55" s="849"/>
      <c r="AQ55" s="849"/>
      <c r="AR55" s="849"/>
      <c r="AS55" s="849"/>
      <c r="AT55" s="849"/>
      <c r="AU55" s="849"/>
      <c r="AV55" s="849"/>
      <c r="AW55" s="849"/>
      <c r="AX55" s="849"/>
    </row>
    <row r="56" spans="1:50" s="13" customFormat="1" ht="16" x14ac:dyDescent="0.8">
      <c r="A56" s="867" t="s">
        <v>193</v>
      </c>
      <c r="B56" s="56">
        <v>0.11672</v>
      </c>
      <c r="C56" s="25">
        <v>0.14105999999999999</v>
      </c>
      <c r="D56" s="25">
        <v>6.5919999999999992E-2</v>
      </c>
      <c r="E56" s="25">
        <v>8.585000000000001E-2</v>
      </c>
      <c r="F56" s="25">
        <v>4.2279999999999998E-2</v>
      </c>
      <c r="G56" s="205">
        <v>3.62E-3</v>
      </c>
      <c r="H56" s="205">
        <v>1.3610000000000001E-2</v>
      </c>
      <c r="I56" s="205">
        <v>8.3499999999999998E-3</v>
      </c>
      <c r="J56" s="205">
        <v>2.666E-2</v>
      </c>
      <c r="K56" s="205">
        <v>3.1460000000000002E-2</v>
      </c>
      <c r="L56" s="205">
        <v>3.1300000000000001E-2</v>
      </c>
      <c r="M56" s="205">
        <v>3.1739999999999997E-2</v>
      </c>
      <c r="N56" s="205">
        <v>3.4569999999999997E-2</v>
      </c>
      <c r="O56" s="205">
        <v>3.1349999999999996E-2</v>
      </c>
      <c r="P56" s="205">
        <v>3.2210000000000003E-2</v>
      </c>
      <c r="Q56" s="205">
        <v>3.0800000000000001E-2</v>
      </c>
      <c r="R56" s="220">
        <v>2.8250000000000001E-2</v>
      </c>
      <c r="S56" s="849"/>
      <c r="T56" s="849"/>
      <c r="U56" s="849"/>
      <c r="V56" s="849"/>
      <c r="W56" s="849"/>
      <c r="X56" s="849"/>
      <c r="Y56" s="849"/>
      <c r="Z56" s="849"/>
      <c r="AA56" s="849"/>
      <c r="AB56" s="849"/>
      <c r="AC56" s="849"/>
      <c r="AD56" s="849"/>
      <c r="AE56" s="849"/>
      <c r="AF56" s="849"/>
      <c r="AG56" s="849"/>
      <c r="AH56" s="849"/>
      <c r="AI56" s="849"/>
      <c r="AJ56" s="849"/>
      <c r="AK56" s="849"/>
      <c r="AL56" s="849"/>
      <c r="AM56" s="849"/>
      <c r="AN56" s="849"/>
      <c r="AO56" s="849"/>
      <c r="AP56" s="849"/>
      <c r="AQ56" s="849"/>
      <c r="AR56" s="849"/>
      <c r="AS56" s="849"/>
      <c r="AT56" s="849"/>
      <c r="AU56" s="849"/>
      <c r="AV56" s="849"/>
      <c r="AW56" s="849"/>
      <c r="AX56" s="849"/>
    </row>
    <row r="57" spans="1:50" s="13" customFormat="1" ht="16" x14ac:dyDescent="0.8">
      <c r="A57" s="867" t="s">
        <v>194</v>
      </c>
      <c r="B57" s="56">
        <v>0.106</v>
      </c>
      <c r="C57" s="25">
        <v>9.5000000000000001E-2</v>
      </c>
      <c r="D57" s="25">
        <v>7.9000000000000001E-2</v>
      </c>
      <c r="E57" s="25">
        <v>7.8E-2</v>
      </c>
      <c r="F57" s="25">
        <v>7.2999999999999995E-2</v>
      </c>
      <c r="G57" s="25">
        <v>6.9000000000000006E-2</v>
      </c>
      <c r="H57" s="25">
        <v>6.7000000000000004E-2</v>
      </c>
      <c r="I57" s="205">
        <v>6.3E-2</v>
      </c>
      <c r="J57" s="205">
        <v>5.7999999999999996E-2</v>
      </c>
      <c r="K57" s="205">
        <v>5.5999999999999994E-2</v>
      </c>
      <c r="L57" s="205">
        <v>5.4000000000000006E-2</v>
      </c>
      <c r="M57" s="205">
        <v>5.4000000000000006E-2</v>
      </c>
      <c r="N57" s="205">
        <v>5.4000000000000006E-2</v>
      </c>
      <c r="O57" s="205">
        <v>5.5E-2</v>
      </c>
      <c r="P57" s="205">
        <v>5.5E-2</v>
      </c>
      <c r="Q57" s="205">
        <v>5.5E-2</v>
      </c>
      <c r="R57" s="220">
        <v>5.5E-2</v>
      </c>
      <c r="S57" s="849"/>
      <c r="T57" s="849"/>
      <c r="U57" s="849"/>
      <c r="V57" s="849"/>
      <c r="W57" s="849"/>
      <c r="X57" s="849"/>
      <c r="Y57" s="849"/>
      <c r="Z57" s="849"/>
      <c r="AA57" s="849"/>
      <c r="AB57" s="849"/>
      <c r="AC57" s="849"/>
      <c r="AD57" s="849"/>
      <c r="AE57" s="849"/>
      <c r="AF57" s="849"/>
      <c r="AG57" s="849"/>
      <c r="AH57" s="849"/>
      <c r="AI57" s="849"/>
      <c r="AJ57" s="849"/>
      <c r="AK57" s="849"/>
      <c r="AL57" s="849"/>
      <c r="AM57" s="849"/>
      <c r="AN57" s="849"/>
      <c r="AO57" s="849"/>
      <c r="AP57" s="849"/>
      <c r="AQ57" s="849"/>
      <c r="AR57" s="849"/>
      <c r="AS57" s="849"/>
      <c r="AT57" s="849"/>
      <c r="AU57" s="849"/>
      <c r="AV57" s="849"/>
      <c r="AW57" s="849"/>
      <c r="AX57" s="849"/>
    </row>
    <row r="58" spans="1:50" s="13" customFormat="1" ht="16" x14ac:dyDescent="0.8">
      <c r="A58" s="867" t="s">
        <v>195</v>
      </c>
      <c r="B58" s="56">
        <v>9.9090000000000011E-2</v>
      </c>
      <c r="C58" s="25">
        <v>3.8690000000000002E-2</v>
      </c>
      <c r="D58" s="25">
        <v>3.0459999999999997E-2</v>
      </c>
      <c r="E58" s="25">
        <v>1.2829999999999999E-2</v>
      </c>
      <c r="F58" s="25">
        <v>1.4110000000000001E-2</v>
      </c>
      <c r="G58" s="205">
        <v>2.8879999999999999E-2</v>
      </c>
      <c r="H58" s="205">
        <v>3.3959999999999997E-2</v>
      </c>
      <c r="I58" s="205">
        <v>4.1589999999999995E-2</v>
      </c>
      <c r="J58" s="205">
        <v>3.891E-2</v>
      </c>
      <c r="K58" s="205">
        <v>2.9069999999999999E-2</v>
      </c>
      <c r="L58" s="205">
        <v>3.2300000000000002E-2</v>
      </c>
      <c r="M58" s="205">
        <v>3.3070000000000002E-2</v>
      </c>
      <c r="N58" s="205">
        <v>4.1360000000000001E-2</v>
      </c>
      <c r="O58" s="205">
        <v>3.9649999999999998E-2</v>
      </c>
      <c r="P58" s="205">
        <v>3.9120000000000002E-2</v>
      </c>
      <c r="Q58" s="205">
        <v>3.8580000000000003E-2</v>
      </c>
      <c r="R58" s="220">
        <v>4.0340000000000001E-2</v>
      </c>
      <c r="S58" s="849"/>
      <c r="T58" s="849"/>
      <c r="U58" s="849"/>
      <c r="V58" s="849"/>
      <c r="W58" s="849"/>
      <c r="X58" s="849"/>
      <c r="Y58" s="849"/>
      <c r="Z58" s="849"/>
      <c r="AA58" s="849"/>
      <c r="AB58" s="849"/>
      <c r="AC58" s="849"/>
      <c r="AD58" s="849"/>
      <c r="AE58" s="849"/>
      <c r="AF58" s="849"/>
      <c r="AG58" s="849"/>
      <c r="AH58" s="849"/>
      <c r="AI58" s="849"/>
      <c r="AJ58" s="849"/>
      <c r="AK58" s="849"/>
      <c r="AL58" s="849"/>
      <c r="AM58" s="849"/>
      <c r="AN58" s="849"/>
      <c r="AO58" s="849"/>
      <c r="AP58" s="849"/>
      <c r="AQ58" s="849"/>
      <c r="AR58" s="849"/>
      <c r="AS58" s="849"/>
      <c r="AT58" s="849"/>
      <c r="AU58" s="849"/>
      <c r="AV58" s="849"/>
      <c r="AW58" s="849"/>
      <c r="AX58" s="849"/>
    </row>
    <row r="59" spans="1:50" s="13" customFormat="1" ht="16" x14ac:dyDescent="0.8">
      <c r="A59" s="867" t="s">
        <v>196</v>
      </c>
      <c r="B59" s="56">
        <v>6.7000000000000004E-2</v>
      </c>
      <c r="C59" s="25">
        <v>3.7000000000000005E-2</v>
      </c>
      <c r="D59" s="25">
        <v>2.3E-2</v>
      </c>
      <c r="E59" s="25">
        <v>2.8999999999999998E-2</v>
      </c>
      <c r="F59" s="25">
        <v>3.3000000000000002E-2</v>
      </c>
      <c r="G59" s="25">
        <v>2.6000000000000002E-2</v>
      </c>
      <c r="H59" s="25">
        <v>2.5000000000000001E-2</v>
      </c>
      <c r="I59" s="205">
        <v>2.6000000000000002E-2</v>
      </c>
      <c r="J59" s="205">
        <v>2.8999999999999998E-2</v>
      </c>
      <c r="K59" s="205">
        <v>3.4000000000000002E-2</v>
      </c>
      <c r="L59" s="205">
        <v>3.4000000000000002E-2</v>
      </c>
      <c r="M59" s="205">
        <v>3.4000000000000002E-2</v>
      </c>
      <c r="N59" s="205">
        <v>3.4000000000000002E-2</v>
      </c>
      <c r="O59" s="205">
        <v>3.4000000000000002E-2</v>
      </c>
      <c r="P59" s="205">
        <v>3.4000000000000002E-2</v>
      </c>
      <c r="Q59" s="205">
        <v>3.4000000000000002E-2</v>
      </c>
      <c r="R59" s="220">
        <v>3.4000000000000002E-2</v>
      </c>
      <c r="S59" s="849"/>
      <c r="T59" s="849"/>
      <c r="U59" s="849"/>
      <c r="V59" s="849"/>
      <c r="W59" s="849"/>
      <c r="X59" s="849"/>
      <c r="Y59" s="849"/>
      <c r="Z59" s="849"/>
      <c r="AA59" s="849"/>
      <c r="AB59" s="849"/>
      <c r="AC59" s="849"/>
      <c r="AD59" s="849"/>
      <c r="AE59" s="849"/>
      <c r="AF59" s="849"/>
      <c r="AG59" s="849"/>
      <c r="AH59" s="849"/>
      <c r="AI59" s="849"/>
      <c r="AJ59" s="849"/>
      <c r="AK59" s="849"/>
      <c r="AL59" s="849"/>
      <c r="AM59" s="849"/>
      <c r="AN59" s="849"/>
      <c r="AO59" s="849"/>
      <c r="AP59" s="849"/>
      <c r="AQ59" s="849"/>
      <c r="AR59" s="849"/>
      <c r="AS59" s="849"/>
      <c r="AT59" s="849"/>
      <c r="AU59" s="849"/>
      <c r="AV59" s="849"/>
      <c r="AW59" s="849"/>
      <c r="AX59" s="849"/>
    </row>
    <row r="60" spans="1:50" s="13" customFormat="1" ht="16" x14ac:dyDescent="0.8">
      <c r="A60" s="867" t="s">
        <v>197</v>
      </c>
      <c r="B60" s="56">
        <v>6.2549999999999994E-2</v>
      </c>
      <c r="C60" s="25">
        <v>-3.143E-2</v>
      </c>
      <c r="D60" s="25">
        <v>2.8119999999999999E-2</v>
      </c>
      <c r="E60" s="25">
        <v>1.6959999999999999E-2</v>
      </c>
      <c r="F60" s="25">
        <v>-1.7569999999999999E-2</v>
      </c>
      <c r="G60" s="205">
        <v>5.6200000000000009E-3</v>
      </c>
      <c r="H60" s="205">
        <v>-1.06E-2</v>
      </c>
      <c r="I60" s="205">
        <v>-4.4400000000000004E-3</v>
      </c>
      <c r="J60" s="205">
        <v>-2.6700000000000001E-3</v>
      </c>
      <c r="K60" s="205">
        <v>-7.6899999999999998E-3</v>
      </c>
      <c r="L60" s="205">
        <v>7.2499999999999995E-3</v>
      </c>
      <c r="M60" s="205">
        <v>-3.6569999999999998E-2</v>
      </c>
      <c r="N60" s="205">
        <v>-1.048E-2</v>
      </c>
      <c r="O60" s="205">
        <v>-1.9710000000000002E-2</v>
      </c>
      <c r="P60" s="205">
        <v>1.048E-2</v>
      </c>
      <c r="Q60" s="205">
        <v>9.0600000000000003E-3</v>
      </c>
      <c r="R60" s="220">
        <v>7.6500000000000005E-3</v>
      </c>
      <c r="S60" s="849"/>
      <c r="T60" s="849"/>
      <c r="U60" s="849"/>
      <c r="V60" s="849"/>
      <c r="W60" s="849"/>
      <c r="X60" s="849"/>
      <c r="Y60" s="849"/>
      <c r="Z60" s="849"/>
      <c r="AA60" s="849"/>
      <c r="AB60" s="849"/>
      <c r="AC60" s="849"/>
      <c r="AD60" s="849"/>
      <c r="AE60" s="849"/>
      <c r="AF60" s="849"/>
      <c r="AG60" s="849"/>
      <c r="AH60" s="849"/>
      <c r="AI60" s="849"/>
      <c r="AJ60" s="849"/>
      <c r="AK60" s="849"/>
      <c r="AL60" s="849"/>
      <c r="AM60" s="849"/>
      <c r="AN60" s="849"/>
      <c r="AO60" s="849"/>
      <c r="AP60" s="849"/>
      <c r="AQ60" s="849"/>
      <c r="AR60" s="849"/>
      <c r="AS60" s="849"/>
      <c r="AT60" s="849"/>
      <c r="AU60" s="849"/>
      <c r="AV60" s="849"/>
      <c r="AW60" s="849"/>
      <c r="AX60" s="849"/>
    </row>
    <row r="61" spans="1:50" s="13" customFormat="1" ht="16" x14ac:dyDescent="0.8">
      <c r="A61" s="867" t="s">
        <v>198</v>
      </c>
      <c r="B61" s="56">
        <v>4.0999999999999995E-2</v>
      </c>
      <c r="C61" s="25">
        <v>3.7000000000000005E-2</v>
      </c>
      <c r="D61" s="25">
        <v>5.0000000000000001E-3</v>
      </c>
      <c r="E61" s="25">
        <v>5.0000000000000001E-3</v>
      </c>
      <c r="F61" s="25">
        <v>1.6E-2</v>
      </c>
      <c r="G61" s="25">
        <v>1.7000000000000001E-2</v>
      </c>
      <c r="H61" s="25">
        <v>1.7000000000000001E-2</v>
      </c>
      <c r="I61" s="205">
        <v>1.8000000000000002E-2</v>
      </c>
      <c r="J61" s="205">
        <v>1.8000000000000002E-2</v>
      </c>
      <c r="K61" s="205">
        <v>1.6E-2</v>
      </c>
      <c r="L61" s="205">
        <v>1.4999999999999999E-2</v>
      </c>
      <c r="M61" s="205">
        <v>1.4999999999999999E-2</v>
      </c>
      <c r="N61" s="205">
        <v>1.4999999999999999E-2</v>
      </c>
      <c r="O61" s="205">
        <v>1.6E-2</v>
      </c>
      <c r="P61" s="205">
        <v>1.6E-2</v>
      </c>
      <c r="Q61" s="205">
        <v>1.6E-2</v>
      </c>
      <c r="R61" s="220">
        <v>1.6E-2</v>
      </c>
      <c r="S61" s="849"/>
      <c r="T61" s="849"/>
      <c r="U61" s="849"/>
      <c r="V61" s="849"/>
      <c r="W61" s="849"/>
      <c r="X61" s="849"/>
      <c r="Y61" s="849"/>
      <c r="Z61" s="849"/>
      <c r="AA61" s="849"/>
      <c r="AB61" s="849"/>
      <c r="AC61" s="849"/>
      <c r="AD61" s="849"/>
      <c r="AE61" s="849"/>
      <c r="AF61" s="849"/>
      <c r="AG61" s="849"/>
      <c r="AH61" s="849"/>
      <c r="AI61" s="849"/>
      <c r="AJ61" s="849"/>
      <c r="AK61" s="849"/>
      <c r="AL61" s="849"/>
      <c r="AM61" s="849"/>
      <c r="AN61" s="849"/>
      <c r="AO61" s="849"/>
      <c r="AP61" s="849"/>
      <c r="AQ61" s="849"/>
      <c r="AR61" s="849"/>
      <c r="AS61" s="849"/>
      <c r="AT61" s="849"/>
      <c r="AU61" s="849"/>
      <c r="AV61" s="849"/>
      <c r="AW61" s="849"/>
      <c r="AX61" s="849"/>
    </row>
    <row r="62" spans="1:50" s="13" customFormat="1" ht="16" x14ac:dyDescent="0.8">
      <c r="A62" s="867" t="s">
        <v>199</v>
      </c>
      <c r="B62" s="56">
        <v>4.4150000000000002E-2</v>
      </c>
      <c r="C62" s="25">
        <v>-5.9899999999999997E-3</v>
      </c>
      <c r="D62" s="25">
        <v>-1.2769999999999998E-2</v>
      </c>
      <c r="E62" s="25">
        <v>4.5000000000000005E-3</v>
      </c>
      <c r="F62" s="25">
        <v>9.1400000000000006E-3</v>
      </c>
      <c r="G62" s="205">
        <v>-5.6299999999999996E-3</v>
      </c>
      <c r="H62" s="205">
        <v>8.5000000000000006E-4</v>
      </c>
      <c r="I62" s="205">
        <v>1.171E-2</v>
      </c>
      <c r="J62" s="205">
        <v>1.214E-2</v>
      </c>
      <c r="K62" s="205">
        <v>1.84E-2</v>
      </c>
      <c r="L62" s="205">
        <v>1.524E-2</v>
      </c>
      <c r="M62" s="205">
        <v>5.3300000000000005E-3</v>
      </c>
      <c r="N62" s="205">
        <v>7.7299999999999999E-3</v>
      </c>
      <c r="O62" s="205">
        <v>1.0620000000000001E-2</v>
      </c>
      <c r="P62" s="205">
        <v>6.8700000000000002E-3</v>
      </c>
      <c r="Q62" s="205">
        <v>7.92E-3</v>
      </c>
      <c r="R62" s="220">
        <v>1.353E-2</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49"/>
      <c r="AT62" s="849"/>
      <c r="AU62" s="849"/>
      <c r="AV62" s="849"/>
      <c r="AW62" s="849"/>
      <c r="AX62" s="849"/>
    </row>
    <row r="63" spans="1:50" s="13" customFormat="1" ht="16.75" thickBot="1" x14ac:dyDescent="0.95">
      <c r="A63" s="868" t="s">
        <v>200</v>
      </c>
      <c r="B63" s="302">
        <v>2.5000000000000001E-2</v>
      </c>
      <c r="C63" s="294">
        <v>1.6E-2</v>
      </c>
      <c r="D63" s="294">
        <v>2.2000000000000002E-2</v>
      </c>
      <c r="E63" s="294">
        <v>1.7000000000000001E-2</v>
      </c>
      <c r="F63" s="294">
        <v>2.4E-2</v>
      </c>
      <c r="G63" s="294">
        <v>2.6000000000000002E-2</v>
      </c>
      <c r="H63" s="294">
        <v>1.6E-2</v>
      </c>
      <c r="I63" s="223">
        <v>0.02</v>
      </c>
      <c r="J63" s="223">
        <v>2.2000000000000002E-2</v>
      </c>
      <c r="K63" s="223">
        <v>0.02</v>
      </c>
      <c r="L63" s="223">
        <v>1.9E-2</v>
      </c>
      <c r="M63" s="223">
        <v>1.9E-2</v>
      </c>
      <c r="N63" s="223">
        <v>1.9E-2</v>
      </c>
      <c r="O63" s="223">
        <v>1.9E-2</v>
      </c>
      <c r="P63" s="223">
        <v>1.9E-2</v>
      </c>
      <c r="Q63" s="223">
        <v>1.9E-2</v>
      </c>
      <c r="R63" s="224">
        <v>1.9E-2</v>
      </c>
      <c r="S63" s="849"/>
      <c r="T63" s="849"/>
      <c r="U63" s="849"/>
      <c r="V63" s="849"/>
      <c r="W63" s="849"/>
      <c r="X63" s="849"/>
      <c r="Y63" s="849"/>
      <c r="Z63" s="849"/>
      <c r="AA63" s="849"/>
      <c r="AB63" s="849"/>
      <c r="AC63" s="849"/>
      <c r="AD63" s="849"/>
      <c r="AE63" s="849"/>
      <c r="AF63" s="849"/>
      <c r="AG63" s="849"/>
      <c r="AH63" s="849"/>
      <c r="AI63" s="849"/>
      <c r="AJ63" s="849"/>
      <c r="AK63" s="849"/>
      <c r="AL63" s="849"/>
      <c r="AM63" s="849"/>
      <c r="AN63" s="849"/>
      <c r="AO63" s="849"/>
      <c r="AP63" s="849"/>
      <c r="AQ63" s="849"/>
      <c r="AR63" s="849"/>
      <c r="AS63" s="849"/>
      <c r="AT63" s="849"/>
      <c r="AU63" s="849"/>
      <c r="AV63" s="849"/>
      <c r="AW63" s="849"/>
      <c r="AX63" s="849"/>
    </row>
    <row r="64" spans="1:50" s="809" customFormat="1" ht="16" x14ac:dyDescent="0.8">
      <c r="B64" s="819"/>
      <c r="C64" s="820"/>
      <c r="D64" s="820"/>
      <c r="E64" s="820"/>
      <c r="F64" s="820"/>
      <c r="G64" s="820"/>
      <c r="H64" s="820"/>
    </row>
    <row r="65" spans="1:9" s="809" customFormat="1" ht="16" x14ac:dyDescent="0.8">
      <c r="B65" s="869" t="s">
        <v>150</v>
      </c>
      <c r="C65" s="820"/>
      <c r="D65" s="820"/>
      <c r="E65" s="820"/>
      <c r="F65" s="820"/>
      <c r="G65" s="820"/>
      <c r="H65" s="820"/>
    </row>
    <row r="66" spans="1:9" s="809" customFormat="1" ht="16" x14ac:dyDescent="0.8">
      <c r="B66" s="870" t="s">
        <v>149</v>
      </c>
      <c r="C66" s="820"/>
      <c r="D66" s="820"/>
      <c r="E66" s="820"/>
      <c r="F66" s="820"/>
      <c r="G66" s="820"/>
      <c r="H66" s="820"/>
    </row>
    <row r="67" spans="1:9" s="809" customFormat="1" ht="16" x14ac:dyDescent="0.8">
      <c r="B67" s="871" t="s">
        <v>148</v>
      </c>
      <c r="C67" s="820"/>
      <c r="D67" s="820"/>
      <c r="E67" s="820"/>
      <c r="F67" s="820"/>
      <c r="G67" s="820"/>
      <c r="H67" s="820"/>
    </row>
    <row r="68" spans="1:9" s="809" customFormat="1" ht="16" x14ac:dyDescent="0.8">
      <c r="B68" s="870" t="s">
        <v>147</v>
      </c>
      <c r="C68" s="820"/>
      <c r="D68" s="820"/>
      <c r="E68" s="820"/>
      <c r="F68" s="820"/>
      <c r="G68" s="820"/>
      <c r="H68" s="820"/>
    </row>
    <row r="69" spans="1:9" s="809" customFormat="1" ht="16" x14ac:dyDescent="0.8">
      <c r="B69" s="871" t="s">
        <v>146</v>
      </c>
      <c r="C69" s="820"/>
      <c r="D69" s="820"/>
      <c r="E69" s="820"/>
      <c r="F69" s="820"/>
      <c r="G69" s="820"/>
      <c r="H69" s="820"/>
    </row>
    <row r="70" spans="1:9" s="809" customFormat="1" ht="16" x14ac:dyDescent="0.8">
      <c r="B70" s="872" t="s">
        <v>532</v>
      </c>
      <c r="C70" s="820"/>
      <c r="D70" s="820"/>
      <c r="E70" s="820"/>
      <c r="F70" s="820"/>
      <c r="G70" s="820"/>
      <c r="H70" s="820"/>
    </row>
    <row r="71" spans="1:9" s="809" customFormat="1" ht="16" x14ac:dyDescent="0.8">
      <c r="B71" s="819"/>
      <c r="C71" s="820"/>
      <c r="D71" s="820"/>
      <c r="E71" s="820"/>
      <c r="F71" s="820"/>
      <c r="G71" s="820"/>
      <c r="H71" s="820"/>
    </row>
    <row r="72" spans="1:9" s="809" customFormat="1" ht="16" x14ac:dyDescent="0.8">
      <c r="B72" s="873" t="s">
        <v>145</v>
      </c>
      <c r="C72" s="820"/>
      <c r="D72" s="820"/>
      <c r="E72" s="820"/>
      <c r="F72" s="820"/>
      <c r="G72" s="820"/>
      <c r="H72" s="820"/>
    </row>
    <row r="73" spans="1:9" s="809" customFormat="1" ht="16" x14ac:dyDescent="0.8">
      <c r="B73" s="870" t="s">
        <v>144</v>
      </c>
      <c r="C73" s="820"/>
      <c r="D73" s="820"/>
      <c r="E73" s="820"/>
      <c r="F73" s="820"/>
      <c r="G73" s="820"/>
      <c r="H73" s="820"/>
    </row>
    <row r="74" spans="1:9" s="809" customFormat="1" ht="16" x14ac:dyDescent="0.8">
      <c r="B74" s="870" t="s">
        <v>143</v>
      </c>
      <c r="C74" s="820"/>
      <c r="D74" s="820"/>
      <c r="E74" s="820"/>
      <c r="F74" s="820"/>
      <c r="G74" s="820"/>
      <c r="H74" s="820"/>
    </row>
    <row r="75" spans="1:9" s="809" customFormat="1" ht="16.75" thickBot="1" x14ac:dyDescent="0.95">
      <c r="B75" s="819"/>
      <c r="C75" s="820"/>
      <c r="D75" s="820"/>
      <c r="E75" s="820"/>
      <c r="F75" s="820"/>
      <c r="G75" s="820"/>
      <c r="H75" s="820"/>
    </row>
    <row r="76" spans="1:9" s="809" customFormat="1" ht="16" x14ac:dyDescent="0.8">
      <c r="A76" s="827" t="s">
        <v>151</v>
      </c>
      <c r="B76" s="874">
        <v>72362</v>
      </c>
      <c r="C76" s="875">
        <v>102190</v>
      </c>
      <c r="D76" s="876">
        <v>103122</v>
      </c>
      <c r="E76" s="876">
        <v>84789</v>
      </c>
      <c r="F76" s="876">
        <v>89734</v>
      </c>
      <c r="G76" s="876">
        <v>85314</v>
      </c>
      <c r="H76" s="877">
        <v>75994</v>
      </c>
    </row>
    <row r="77" spans="1:9" s="809" customFormat="1" ht="16" x14ac:dyDescent="0.8">
      <c r="A77" s="818"/>
      <c r="B77" s="878">
        <f>B76/B122</f>
        <v>0.29751175870802221</v>
      </c>
      <c r="C77" s="879">
        <f>C76/C122</f>
        <v>0.28130359261492044</v>
      </c>
      <c r="D77" s="879">
        <f>D76/D122</f>
        <v>0.28021978021978022</v>
      </c>
      <c r="E77" s="879">
        <f>E76/E122</f>
        <v>0.30280271700700678</v>
      </c>
      <c r="F77" s="879">
        <f>F76/$F$122</f>
        <v>0.26680343710046678</v>
      </c>
      <c r="G77" s="879">
        <f>G76/G122</f>
        <v>0.25183680818969972</v>
      </c>
      <c r="H77" s="880">
        <f>H76/H122</f>
        <v>0.23957075618913712</v>
      </c>
    </row>
    <row r="78" spans="1:9" s="809" customFormat="1" ht="16" x14ac:dyDescent="0.8">
      <c r="A78" s="818" t="s">
        <v>201</v>
      </c>
      <c r="B78" s="881">
        <v>4570</v>
      </c>
      <c r="C78" s="882">
        <v>7071</v>
      </c>
      <c r="D78" s="883">
        <v>7433</v>
      </c>
      <c r="E78" s="882">
        <v>5235</v>
      </c>
      <c r="F78" s="883">
        <v>5554</v>
      </c>
      <c r="G78" s="883">
        <v>7917</v>
      </c>
      <c r="H78" s="884">
        <v>9076</v>
      </c>
    </row>
    <row r="79" spans="1:9" s="809" customFormat="1" ht="16" x14ac:dyDescent="0.8">
      <c r="A79" s="818"/>
      <c r="B79" s="878">
        <f t="shared" ref="B79:H79" si="59">B78/$F$122</f>
        <v>1.3587845271013588E-2</v>
      </c>
      <c r="C79" s="879">
        <f t="shared" si="59"/>
        <v>2.1023994291321024E-2</v>
      </c>
      <c r="D79" s="879">
        <f t="shared" si="59"/>
        <v>2.2100318139922099E-2</v>
      </c>
      <c r="E79" s="879">
        <f t="shared" si="59"/>
        <v>1.5565070020515565E-2</v>
      </c>
      <c r="F79" s="879">
        <f t="shared" si="59"/>
        <v>1.6513543246216515E-2</v>
      </c>
      <c r="G79" s="879">
        <f t="shared" si="59"/>
        <v>2.3539380965123539E-2</v>
      </c>
      <c r="H79" s="880">
        <f t="shared" si="59"/>
        <v>2.6985401242826987E-2</v>
      </c>
      <c r="I79" s="863"/>
    </row>
    <row r="80" spans="1:9" s="809" customFormat="1" ht="16" x14ac:dyDescent="0.8">
      <c r="A80" s="818" t="s">
        <v>184</v>
      </c>
      <c r="B80" s="881">
        <v>27419</v>
      </c>
      <c r="C80" s="882">
        <v>42385</v>
      </c>
      <c r="D80" s="883">
        <v>47499</v>
      </c>
      <c r="E80" s="882">
        <v>32287</v>
      </c>
      <c r="F80" s="883">
        <v>34423</v>
      </c>
      <c r="G80" s="883">
        <v>32866</v>
      </c>
      <c r="H80" s="884">
        <v>33215</v>
      </c>
    </row>
    <row r="81" spans="1:8" s="809" customFormat="1" ht="16" x14ac:dyDescent="0.8">
      <c r="A81" s="818"/>
      <c r="B81" s="878">
        <f>B80/B122</f>
        <v>0.11273147386771043</v>
      </c>
      <c r="C81" s="879">
        <f>C80/C122</f>
        <v>0.11667533783132795</v>
      </c>
      <c r="D81" s="879">
        <f>D80/D122</f>
        <v>0.12907196660905859</v>
      </c>
      <c r="E81" s="879">
        <f>E80/E122</f>
        <v>0.11530494903826237</v>
      </c>
      <c r="F81" s="879">
        <f>F80/$F$122</f>
        <v>0.10234888353700235</v>
      </c>
      <c r="G81" s="879">
        <f>G80/G122</f>
        <v>9.7016533487618337E-2</v>
      </c>
      <c r="H81" s="880">
        <f>H80/H122</f>
        <v>0.10471014378532766</v>
      </c>
    </row>
    <row r="82" spans="1:8" s="809" customFormat="1" ht="16" x14ac:dyDescent="0.8">
      <c r="A82" s="818" t="s">
        <v>202</v>
      </c>
      <c r="B82" s="881">
        <v>0</v>
      </c>
      <c r="C82" s="882">
        <v>0</v>
      </c>
      <c r="D82" s="883">
        <v>0</v>
      </c>
      <c r="E82" s="882">
        <v>0</v>
      </c>
      <c r="F82" s="883">
        <v>3620</v>
      </c>
      <c r="G82" s="883">
        <v>2571</v>
      </c>
      <c r="H82" s="884">
        <v>2082</v>
      </c>
    </row>
    <row r="83" spans="1:8" s="809" customFormat="1" ht="16" x14ac:dyDescent="0.8">
      <c r="A83" s="818"/>
      <c r="B83" s="878">
        <f t="shared" ref="B83:H83" si="60">B82/$F$122</f>
        <v>0</v>
      </c>
      <c r="C83" s="879">
        <f t="shared" si="60"/>
        <v>0</v>
      </c>
      <c r="D83" s="879">
        <f t="shared" si="60"/>
        <v>0</v>
      </c>
      <c r="E83" s="879">
        <f t="shared" si="60"/>
        <v>0</v>
      </c>
      <c r="F83" s="879">
        <f t="shared" si="60"/>
        <v>1.0763238486010763E-2</v>
      </c>
      <c r="G83" s="879">
        <f t="shared" si="60"/>
        <v>7.6442779413076443E-3</v>
      </c>
      <c r="H83" s="880">
        <f t="shared" si="60"/>
        <v>6.19034876460619E-3</v>
      </c>
    </row>
    <row r="84" spans="1:8" s="809" customFormat="1" ht="16" x14ac:dyDescent="0.8">
      <c r="A84" s="818" t="s">
        <v>203</v>
      </c>
      <c r="B84" s="881">
        <v>4397</v>
      </c>
      <c r="C84" s="882">
        <v>6054</v>
      </c>
      <c r="D84" s="883">
        <v>6274</v>
      </c>
      <c r="E84" s="882">
        <v>4087</v>
      </c>
      <c r="F84" s="883">
        <v>4506</v>
      </c>
      <c r="G84" s="883">
        <v>4645</v>
      </c>
      <c r="H84" s="884">
        <v>4328</v>
      </c>
    </row>
    <row r="85" spans="1:8" s="809" customFormat="1" ht="16" x14ac:dyDescent="0.8">
      <c r="A85" s="818"/>
      <c r="B85" s="878">
        <f t="shared" ref="B85:H85" si="61">B84/$F$122</f>
        <v>1.3073469509113074E-2</v>
      </c>
      <c r="C85" s="879">
        <f t="shared" si="61"/>
        <v>1.8000178396218001E-2</v>
      </c>
      <c r="D85" s="879">
        <f t="shared" si="61"/>
        <v>1.8654297862218654E-2</v>
      </c>
      <c r="E85" s="879">
        <f t="shared" si="61"/>
        <v>1.2151755716112152E-2</v>
      </c>
      <c r="F85" s="879">
        <f t="shared" si="61"/>
        <v>1.3397555971813397E-2</v>
      </c>
      <c r="G85" s="879">
        <f t="shared" si="61"/>
        <v>1.3810840543513812E-2</v>
      </c>
      <c r="H85" s="880">
        <f t="shared" si="61"/>
        <v>1.2868313858412868E-2</v>
      </c>
    </row>
    <row r="86" spans="1:8" s="809" customFormat="1" ht="16" x14ac:dyDescent="0.8">
      <c r="A86" s="818" t="s">
        <v>204</v>
      </c>
      <c r="B86" s="881">
        <v>0</v>
      </c>
      <c r="C86" s="882">
        <v>0</v>
      </c>
      <c r="D86" s="883">
        <v>0</v>
      </c>
      <c r="E86" s="882">
        <v>0</v>
      </c>
      <c r="F86" s="883">
        <v>2080</v>
      </c>
      <c r="G86" s="883">
        <v>2315</v>
      </c>
      <c r="H86" s="884">
        <v>3608</v>
      </c>
    </row>
    <row r="87" spans="1:8" s="809" customFormat="1" ht="16" x14ac:dyDescent="0.8">
      <c r="A87" s="818"/>
      <c r="B87" s="878">
        <f t="shared" ref="B87:H87" si="62">B86/$F$122</f>
        <v>0</v>
      </c>
      <c r="C87" s="879">
        <f t="shared" si="62"/>
        <v>0</v>
      </c>
      <c r="D87" s="879">
        <f t="shared" si="62"/>
        <v>0</v>
      </c>
      <c r="E87" s="879">
        <f t="shared" si="62"/>
        <v>0</v>
      </c>
      <c r="F87" s="879">
        <f t="shared" si="62"/>
        <v>6.1844022240061846E-3</v>
      </c>
      <c r="G87" s="879">
        <f t="shared" si="62"/>
        <v>6.8831207445068827E-3</v>
      </c>
      <c r="H87" s="880">
        <f t="shared" si="62"/>
        <v>1.0727559242410728E-2</v>
      </c>
    </row>
    <row r="88" spans="1:8" s="809" customFormat="1" ht="16" x14ac:dyDescent="0.8">
      <c r="A88" s="818" t="s">
        <v>205</v>
      </c>
      <c r="B88" s="881">
        <v>0</v>
      </c>
      <c r="C88" s="882">
        <v>0</v>
      </c>
      <c r="D88" s="883">
        <v>0</v>
      </c>
      <c r="E88" s="882">
        <v>0</v>
      </c>
      <c r="F88" s="883">
        <v>2821</v>
      </c>
      <c r="G88" s="883">
        <v>5051</v>
      </c>
      <c r="H88" s="884">
        <v>4755</v>
      </c>
    </row>
    <row r="89" spans="1:8" s="809" customFormat="1" ht="16" x14ac:dyDescent="0.8">
      <c r="A89" s="818"/>
      <c r="B89" s="878">
        <f t="shared" ref="B89:H89" si="63">B88/$F$122</f>
        <v>0</v>
      </c>
      <c r="C89" s="879">
        <f t="shared" si="63"/>
        <v>0</v>
      </c>
      <c r="D89" s="879">
        <f t="shared" si="63"/>
        <v>0</v>
      </c>
      <c r="E89" s="879">
        <f t="shared" si="63"/>
        <v>0</v>
      </c>
      <c r="F89" s="879">
        <f t="shared" si="63"/>
        <v>8.3875955163083878E-3</v>
      </c>
      <c r="G89" s="879">
        <f t="shared" si="63"/>
        <v>1.5017988285315018E-2</v>
      </c>
      <c r="H89" s="880">
        <f t="shared" si="63"/>
        <v>1.4137900276514138E-2</v>
      </c>
    </row>
    <row r="90" spans="1:8" s="809" customFormat="1" ht="16" x14ac:dyDescent="0.8">
      <c r="A90" s="818" t="s">
        <v>206</v>
      </c>
      <c r="B90" s="881">
        <v>0</v>
      </c>
      <c r="C90" s="882">
        <v>0</v>
      </c>
      <c r="D90" s="883">
        <v>5297</v>
      </c>
      <c r="E90" s="882">
        <v>4588</v>
      </c>
      <c r="F90" s="883">
        <v>4938</v>
      </c>
      <c r="G90" s="883">
        <v>4460</v>
      </c>
      <c r="H90" s="884">
        <v>2155</v>
      </c>
    </row>
    <row r="91" spans="1:8" s="809" customFormat="1" ht="16" x14ac:dyDescent="0.8">
      <c r="A91" s="818"/>
      <c r="B91" s="878">
        <f t="shared" ref="B91:H91" si="64">B90/$F$122</f>
        <v>0</v>
      </c>
      <c r="C91" s="879">
        <f t="shared" si="64"/>
        <v>0</v>
      </c>
      <c r="D91" s="879">
        <f t="shared" si="64"/>
        <v>1.5749412779115748E-2</v>
      </c>
      <c r="E91" s="879">
        <f t="shared" si="64"/>
        <v>1.3641364136413642E-2</v>
      </c>
      <c r="F91" s="879">
        <f t="shared" si="64"/>
        <v>1.4682008741414681E-2</v>
      </c>
      <c r="G91" s="879">
        <f t="shared" si="64"/>
        <v>1.3260785538013261E-2</v>
      </c>
      <c r="H91" s="880">
        <f t="shared" si="64"/>
        <v>6.4073974965064076E-3</v>
      </c>
    </row>
    <row r="92" spans="1:8" s="809" customFormat="1" ht="16" x14ac:dyDescent="0.8">
      <c r="A92" s="818" t="s">
        <v>207</v>
      </c>
      <c r="B92" s="881">
        <v>0</v>
      </c>
      <c r="C92" s="882">
        <v>0</v>
      </c>
      <c r="D92" s="883">
        <v>4606</v>
      </c>
      <c r="E92" s="882">
        <v>3216</v>
      </c>
      <c r="F92" s="883">
        <v>3714</v>
      </c>
      <c r="G92" s="883">
        <v>2569</v>
      </c>
      <c r="H92" s="884">
        <v>2789</v>
      </c>
    </row>
    <row r="93" spans="1:8" s="809" customFormat="1" ht="16" x14ac:dyDescent="0.8">
      <c r="A93" s="818"/>
      <c r="B93" s="878">
        <f t="shared" ref="B93:H93" si="65">B92/$F$122</f>
        <v>0</v>
      </c>
      <c r="C93" s="879">
        <f t="shared" si="65"/>
        <v>0</v>
      </c>
      <c r="D93" s="879">
        <f t="shared" si="65"/>
        <v>1.3694883001813695E-2</v>
      </c>
      <c r="E93" s="879">
        <f t="shared" si="65"/>
        <v>9.562037284809562E-3</v>
      </c>
      <c r="F93" s="879">
        <f t="shared" si="65"/>
        <v>1.1042725894211044E-2</v>
      </c>
      <c r="G93" s="879">
        <f t="shared" si="65"/>
        <v>7.638331400707638E-3</v>
      </c>
      <c r="H93" s="880">
        <f t="shared" si="65"/>
        <v>8.2924508667082918E-3</v>
      </c>
    </row>
    <row r="94" spans="1:8" s="809" customFormat="1" ht="16" x14ac:dyDescent="0.8">
      <c r="A94" s="818" t="s">
        <v>208</v>
      </c>
      <c r="B94" s="881">
        <v>0</v>
      </c>
      <c r="C94" s="882">
        <v>0</v>
      </c>
      <c r="D94" s="883">
        <v>0</v>
      </c>
      <c r="E94" s="882">
        <v>0</v>
      </c>
      <c r="F94" s="883">
        <v>2323</v>
      </c>
      <c r="G94" s="883">
        <v>2658</v>
      </c>
      <c r="H94" s="884">
        <v>2376</v>
      </c>
    </row>
    <row r="95" spans="1:8" s="809" customFormat="1" ht="16" x14ac:dyDescent="0.8">
      <c r="A95" s="818"/>
      <c r="B95" s="878">
        <f t="shared" ref="B95:H95" si="66">B94/$F$122</f>
        <v>0</v>
      </c>
      <c r="C95" s="879">
        <f t="shared" si="66"/>
        <v>0</v>
      </c>
      <c r="D95" s="879">
        <f t="shared" si="66"/>
        <v>0</v>
      </c>
      <c r="E95" s="879">
        <f t="shared" si="66"/>
        <v>0</v>
      </c>
      <c r="F95" s="879">
        <f t="shared" si="66"/>
        <v>6.9069069069069072E-3</v>
      </c>
      <c r="G95" s="879">
        <f t="shared" si="66"/>
        <v>7.9029524574079028E-3</v>
      </c>
      <c r="H95" s="880">
        <f t="shared" si="66"/>
        <v>7.0644902328070641E-3</v>
      </c>
    </row>
    <row r="96" spans="1:8" s="809" customFormat="1" ht="16" x14ac:dyDescent="0.8">
      <c r="A96" s="818" t="s">
        <v>209</v>
      </c>
      <c r="B96" s="881">
        <v>14954</v>
      </c>
      <c r="C96" s="882">
        <v>28729</v>
      </c>
      <c r="D96" s="883">
        <v>31131</v>
      </c>
      <c r="E96" s="882">
        <v>23853</v>
      </c>
      <c r="F96" s="883">
        <v>19524</v>
      </c>
      <c r="G96" s="883">
        <v>19832</v>
      </c>
      <c r="H96" s="884">
        <v>13502</v>
      </c>
    </row>
    <row r="97" spans="1:8" s="809" customFormat="1" ht="16" x14ac:dyDescent="0.8">
      <c r="A97" s="818"/>
      <c r="B97" s="878">
        <f t="shared" ref="B97:H97" si="67">B96/$F$122</f>
        <v>4.4462284066244459E-2</v>
      </c>
      <c r="C97" s="879">
        <f t="shared" si="67"/>
        <v>8.5419082448785419E-2</v>
      </c>
      <c r="D97" s="879">
        <f t="shared" si="67"/>
        <v>9.2560877709392558E-2</v>
      </c>
      <c r="E97" s="879">
        <f t="shared" si="67"/>
        <v>7.0921416465970916E-2</v>
      </c>
      <c r="F97" s="879">
        <f t="shared" si="67"/>
        <v>5.8050129337258047E-2</v>
      </c>
      <c r="G97" s="879">
        <f t="shared" si="67"/>
        <v>5.8965896589658964E-2</v>
      </c>
      <c r="H97" s="880">
        <f t="shared" si="67"/>
        <v>4.0145095590640147E-2</v>
      </c>
    </row>
    <row r="98" spans="1:8" s="809" customFormat="1" ht="16" x14ac:dyDescent="0.8">
      <c r="A98" s="818" t="s">
        <v>210</v>
      </c>
      <c r="B98" s="881">
        <v>29644</v>
      </c>
      <c r="C98" s="882">
        <v>42595</v>
      </c>
      <c r="D98" s="883">
        <v>36321</v>
      </c>
      <c r="E98" s="882">
        <v>25302</v>
      </c>
      <c r="F98" s="883">
        <v>15546</v>
      </c>
      <c r="G98" s="883">
        <v>15223</v>
      </c>
      <c r="H98" s="884">
        <v>14437</v>
      </c>
    </row>
    <row r="99" spans="1:8" s="809" customFormat="1" ht="16" x14ac:dyDescent="0.8">
      <c r="A99" s="818"/>
      <c r="B99" s="878">
        <f t="shared" ref="B99:H99" si="68">B98/$F$122</f>
        <v>8.8139624773288142E-2</v>
      </c>
      <c r="C99" s="879">
        <f t="shared" si="68"/>
        <v>0.12664644842862666</v>
      </c>
      <c r="D99" s="879">
        <f t="shared" si="68"/>
        <v>0.107992150566408</v>
      </c>
      <c r="E99" s="879">
        <f t="shared" si="68"/>
        <v>7.5229685130675225E-2</v>
      </c>
      <c r="F99" s="879">
        <f t="shared" si="68"/>
        <v>4.6222460083846222E-2</v>
      </c>
      <c r="G99" s="879">
        <f t="shared" si="68"/>
        <v>4.5262093776945261E-2</v>
      </c>
      <c r="H99" s="880">
        <f t="shared" si="68"/>
        <v>4.2925103321142924E-2</v>
      </c>
    </row>
    <row r="100" spans="1:8" s="809" customFormat="1" ht="16" x14ac:dyDescent="0.8">
      <c r="A100" s="818" t="s">
        <v>185</v>
      </c>
      <c r="B100" s="881">
        <v>48991</v>
      </c>
      <c r="C100" s="882">
        <v>68794</v>
      </c>
      <c r="D100" s="883">
        <v>61723</v>
      </c>
      <c r="E100" s="882">
        <v>44504</v>
      </c>
      <c r="F100" s="883">
        <v>83849</v>
      </c>
      <c r="G100" s="883">
        <v>83597</v>
      </c>
      <c r="H100" s="884">
        <v>79575</v>
      </c>
    </row>
    <row r="101" spans="1:8" s="809" customFormat="1" ht="16" x14ac:dyDescent="0.8">
      <c r="A101" s="818"/>
      <c r="B101" s="878">
        <f t="shared" ref="B101:H101" si="69">B100/B122</f>
        <v>0.20142337927178239</v>
      </c>
      <c r="C101" s="879">
        <f t="shared" si="69"/>
        <v>0.18937273070115312</v>
      </c>
      <c r="D101" s="879">
        <f t="shared" si="69"/>
        <v>0.16772372039434355</v>
      </c>
      <c r="E101" s="879">
        <f t="shared" si="69"/>
        <v>0.15893491039733729</v>
      </c>
      <c r="F101" s="879">
        <f t="shared" si="69"/>
        <v>0.24930574138494929</v>
      </c>
      <c r="G101" s="879">
        <f t="shared" si="69"/>
        <v>0.24676842785749498</v>
      </c>
      <c r="H101" s="880">
        <f t="shared" si="69"/>
        <v>0.25085984319486521</v>
      </c>
    </row>
    <row r="102" spans="1:8" s="809" customFormat="1" ht="16" x14ac:dyDescent="0.8">
      <c r="A102" s="818" t="s">
        <v>211</v>
      </c>
      <c r="B102" s="881">
        <v>0</v>
      </c>
      <c r="C102" s="882">
        <v>0</v>
      </c>
      <c r="D102" s="883">
        <v>0</v>
      </c>
      <c r="E102" s="882">
        <v>0</v>
      </c>
      <c r="F102" s="883">
        <v>1914</v>
      </c>
      <c r="G102" s="883">
        <v>3224</v>
      </c>
      <c r="H102" s="884">
        <v>2128</v>
      </c>
    </row>
    <row r="103" spans="1:8" s="809" customFormat="1" ht="16" x14ac:dyDescent="0.8">
      <c r="A103" s="818"/>
      <c r="B103" s="878">
        <f t="shared" ref="B103:H103" si="70">B102/$F$122</f>
        <v>0</v>
      </c>
      <c r="C103" s="879">
        <f t="shared" si="70"/>
        <v>0</v>
      </c>
      <c r="D103" s="879">
        <f t="shared" si="70"/>
        <v>0</v>
      </c>
      <c r="E103" s="879">
        <f t="shared" si="70"/>
        <v>0</v>
      </c>
      <c r="F103" s="879">
        <f t="shared" si="70"/>
        <v>5.6908393542056904E-3</v>
      </c>
      <c r="G103" s="879">
        <f t="shared" si="70"/>
        <v>9.5858234472095856E-3</v>
      </c>
      <c r="H103" s="880">
        <f t="shared" si="70"/>
        <v>6.3271191984063269E-3</v>
      </c>
    </row>
    <row r="104" spans="1:8" s="809" customFormat="1" ht="16" x14ac:dyDescent="0.8">
      <c r="A104" s="818" t="s">
        <v>212</v>
      </c>
      <c r="B104" s="881">
        <v>9100</v>
      </c>
      <c r="C104" s="882">
        <v>11737</v>
      </c>
      <c r="D104" s="883">
        <v>9070</v>
      </c>
      <c r="E104" s="882">
        <v>6514</v>
      </c>
      <c r="F104" s="883">
        <v>6740</v>
      </c>
      <c r="G104" s="883">
        <v>8469</v>
      </c>
      <c r="H104" s="884">
        <v>9271</v>
      </c>
    </row>
    <row r="105" spans="1:8" s="809" customFormat="1" ht="16" x14ac:dyDescent="0.8">
      <c r="A105" s="818"/>
      <c r="B105" s="878">
        <f t="shared" ref="B105:H105" si="71">B104/$F$122</f>
        <v>2.7056759730027056E-2</v>
      </c>
      <c r="C105" s="879">
        <f t="shared" si="71"/>
        <v>3.4897273511134898E-2</v>
      </c>
      <c r="D105" s="879">
        <f t="shared" si="71"/>
        <v>2.6967561621026967E-2</v>
      </c>
      <c r="E105" s="879">
        <f t="shared" si="71"/>
        <v>1.9367882734219369E-2</v>
      </c>
      <c r="F105" s="879">
        <f t="shared" si="71"/>
        <v>2.0039841822020042E-2</v>
      </c>
      <c r="G105" s="879">
        <f t="shared" si="71"/>
        <v>2.5180626170725182E-2</v>
      </c>
      <c r="H105" s="880">
        <f t="shared" si="71"/>
        <v>2.7565188951327566E-2</v>
      </c>
    </row>
    <row r="106" spans="1:8" s="809" customFormat="1" ht="16" x14ac:dyDescent="0.8">
      <c r="A106" s="818" t="s">
        <v>186</v>
      </c>
      <c r="B106" s="881">
        <v>7364</v>
      </c>
      <c r="C106" s="882">
        <v>9464</v>
      </c>
      <c r="D106" s="883">
        <v>11988</v>
      </c>
      <c r="E106" s="882">
        <v>8311</v>
      </c>
      <c r="F106" s="883">
        <v>19466</v>
      </c>
      <c r="G106" s="883">
        <v>22371</v>
      </c>
      <c r="H106" s="884">
        <v>23215</v>
      </c>
    </row>
    <row r="107" spans="1:8" s="809" customFormat="1" ht="16" x14ac:dyDescent="0.8">
      <c r="A107" s="818"/>
      <c r="B107" s="878">
        <f t="shared" ref="B107:H107" si="72">B106/B122</f>
        <v>3.0276617439068513E-2</v>
      </c>
      <c r="C107" s="879">
        <f t="shared" si="72"/>
        <v>2.6052032493469098E-2</v>
      </c>
      <c r="D107" s="879">
        <f t="shared" si="72"/>
        <v>3.2575732872468781E-2</v>
      </c>
      <c r="E107" s="879">
        <f t="shared" si="72"/>
        <v>2.9680658824201647E-2</v>
      </c>
      <c r="F107" s="879">
        <f t="shared" si="72"/>
        <v>5.7877679659857878E-2</v>
      </c>
      <c r="G107" s="879">
        <f t="shared" si="72"/>
        <v>6.6036538387741428E-2</v>
      </c>
      <c r="H107" s="880">
        <f t="shared" si="72"/>
        <v>7.3185187053330769E-2</v>
      </c>
    </row>
    <row r="108" spans="1:8" s="809" customFormat="1" ht="16" x14ac:dyDescent="0.8">
      <c r="A108" s="818" t="s">
        <v>213</v>
      </c>
      <c r="B108" s="881">
        <v>0</v>
      </c>
      <c r="C108" s="882">
        <v>0</v>
      </c>
      <c r="D108" s="883">
        <v>4744</v>
      </c>
      <c r="E108" s="882">
        <v>4606</v>
      </c>
      <c r="F108" s="883">
        <v>3766</v>
      </c>
      <c r="G108" s="883">
        <v>5580</v>
      </c>
      <c r="H108" s="884">
        <v>4662</v>
      </c>
    </row>
    <row r="109" spans="1:8" s="809" customFormat="1" ht="16" x14ac:dyDescent="0.8">
      <c r="A109" s="818"/>
      <c r="B109" s="878">
        <f t="shared" ref="B109:H109" si="73">B108/$F$122</f>
        <v>0</v>
      </c>
      <c r="C109" s="879">
        <f t="shared" si="73"/>
        <v>0</v>
      </c>
      <c r="D109" s="879">
        <f t="shared" si="73"/>
        <v>1.4105194303214105E-2</v>
      </c>
      <c r="E109" s="879">
        <f t="shared" si="73"/>
        <v>1.3694883001813695E-2</v>
      </c>
      <c r="F109" s="879">
        <f t="shared" si="73"/>
        <v>1.1197335949811198E-2</v>
      </c>
      <c r="G109" s="879">
        <f t="shared" si="73"/>
        <v>1.6590848274016592E-2</v>
      </c>
      <c r="H109" s="880">
        <f t="shared" si="73"/>
        <v>1.3861386138613862E-2</v>
      </c>
    </row>
    <row r="110" spans="1:8" s="809" customFormat="1" ht="16" x14ac:dyDescent="0.8">
      <c r="A110" s="818" t="s">
        <v>214</v>
      </c>
      <c r="B110" s="881">
        <v>2929</v>
      </c>
      <c r="C110" s="882">
        <v>10481</v>
      </c>
      <c r="D110" s="883">
        <v>10332</v>
      </c>
      <c r="E110" s="882">
        <v>9994</v>
      </c>
      <c r="F110" s="883">
        <v>11838</v>
      </c>
      <c r="G110" s="883">
        <v>11694</v>
      </c>
      <c r="H110" s="884">
        <v>12353</v>
      </c>
    </row>
    <row r="111" spans="1:8" s="809" customFormat="1" ht="16" x14ac:dyDescent="0.8">
      <c r="A111" s="818"/>
      <c r="B111" s="878">
        <f t="shared" ref="B111:H111" si="74">B110/$F$122</f>
        <v>8.7087087087087088E-3</v>
      </c>
      <c r="C111" s="879">
        <f t="shared" si="74"/>
        <v>3.1162846014331162E-2</v>
      </c>
      <c r="D111" s="879">
        <f t="shared" si="74"/>
        <v>3.0719828739630719E-2</v>
      </c>
      <c r="E111" s="879">
        <f t="shared" si="74"/>
        <v>2.9714863378229716E-2</v>
      </c>
      <c r="F111" s="879">
        <f t="shared" si="74"/>
        <v>3.51975738114352E-2</v>
      </c>
      <c r="G111" s="879">
        <f t="shared" si="74"/>
        <v>3.4769422888234772E-2</v>
      </c>
      <c r="H111" s="880">
        <f t="shared" si="74"/>
        <v>3.6728808015936726E-2</v>
      </c>
    </row>
    <row r="112" spans="1:8" s="809" customFormat="1" ht="16" x14ac:dyDescent="0.8">
      <c r="A112" s="818" t="s">
        <v>215</v>
      </c>
      <c r="B112" s="881">
        <v>3922</v>
      </c>
      <c r="C112" s="882">
        <v>9372</v>
      </c>
      <c r="D112" s="883">
        <v>6797</v>
      </c>
      <c r="E112" s="882">
        <v>3981</v>
      </c>
      <c r="F112" s="883">
        <v>2962</v>
      </c>
      <c r="G112" s="883">
        <v>2688</v>
      </c>
      <c r="H112" s="884">
        <v>3151</v>
      </c>
    </row>
    <row r="113" spans="1:8" s="809" customFormat="1" ht="16" x14ac:dyDescent="0.8">
      <c r="A113" s="818"/>
      <c r="B113" s="878">
        <f t="shared" ref="B113:H113" si="75">B112/$F$122</f>
        <v>1.1661166116611662E-2</v>
      </c>
      <c r="C113" s="879">
        <f t="shared" si="75"/>
        <v>2.7865489251627865E-2</v>
      </c>
      <c r="D113" s="879">
        <f t="shared" si="75"/>
        <v>2.0209318229120209E-2</v>
      </c>
      <c r="E113" s="879">
        <f t="shared" si="75"/>
        <v>1.1836589064311837E-2</v>
      </c>
      <c r="F113" s="879">
        <f t="shared" si="75"/>
        <v>8.8068266286088076E-3</v>
      </c>
      <c r="G113" s="879">
        <f t="shared" si="75"/>
        <v>7.9921505664079916E-3</v>
      </c>
      <c r="H113" s="880">
        <f t="shared" si="75"/>
        <v>9.3687747153093689E-3</v>
      </c>
    </row>
    <row r="114" spans="1:8" s="809" customFormat="1" ht="16" x14ac:dyDescent="0.8">
      <c r="A114" s="818" t="s">
        <v>216</v>
      </c>
      <c r="B114" s="881">
        <v>0</v>
      </c>
      <c r="C114" s="882">
        <v>0</v>
      </c>
      <c r="D114" s="883">
        <v>2587</v>
      </c>
      <c r="E114" s="882">
        <v>2529</v>
      </c>
      <c r="F114" s="883">
        <v>3031</v>
      </c>
      <c r="G114" s="883">
        <v>4300</v>
      </c>
      <c r="H114" s="884">
        <v>3904</v>
      </c>
    </row>
    <row r="115" spans="1:8" s="809" customFormat="1" ht="16" x14ac:dyDescent="0.8">
      <c r="A115" s="818"/>
      <c r="B115" s="878">
        <f t="shared" ref="B115:H115" si="76">B114/$F$122</f>
        <v>0</v>
      </c>
      <c r="C115" s="879">
        <f t="shared" si="76"/>
        <v>0</v>
      </c>
      <c r="D115" s="879">
        <f t="shared" si="76"/>
        <v>7.6918502661076915E-3</v>
      </c>
      <c r="E115" s="879">
        <f t="shared" si="76"/>
        <v>7.5194005887075192E-3</v>
      </c>
      <c r="F115" s="879">
        <f t="shared" si="76"/>
        <v>9.0119822793090117E-3</v>
      </c>
      <c r="G115" s="879">
        <f t="shared" si="76"/>
        <v>1.2785062290012784E-2</v>
      </c>
      <c r="H115" s="880">
        <f t="shared" si="76"/>
        <v>1.1607647251211608E-2</v>
      </c>
    </row>
    <row r="116" spans="1:8" s="809" customFormat="1" ht="16" x14ac:dyDescent="0.8">
      <c r="A116" s="818" t="s">
        <v>210</v>
      </c>
      <c r="B116" s="881">
        <v>7086</v>
      </c>
      <c r="C116" s="882">
        <v>10149</v>
      </c>
      <c r="D116" s="883">
        <v>3896</v>
      </c>
      <c r="E116" s="882">
        <v>2965</v>
      </c>
      <c r="F116" s="883">
        <v>2075</v>
      </c>
      <c r="G116" s="883">
        <v>1143</v>
      </c>
      <c r="H116" s="884">
        <v>2083</v>
      </c>
    </row>
    <row r="117" spans="1:8" s="809" customFormat="1" ht="16" x14ac:dyDescent="0.8">
      <c r="A117" s="818"/>
      <c r="B117" s="878">
        <f t="shared" ref="B117:H117" si="77">B116/$F$122</f>
        <v>2.106859334582107E-2</v>
      </c>
      <c r="C117" s="879">
        <f t="shared" si="77"/>
        <v>3.0175720274730176E-2</v>
      </c>
      <c r="D117" s="879">
        <f t="shared" si="77"/>
        <v>1.1583861088811584E-2</v>
      </c>
      <c r="E117" s="879">
        <f t="shared" si="77"/>
        <v>8.8157464395088158E-3</v>
      </c>
      <c r="F117" s="879">
        <f t="shared" si="77"/>
        <v>6.1695358725061692E-3</v>
      </c>
      <c r="G117" s="879">
        <f t="shared" si="77"/>
        <v>3.3984479529033983E-3</v>
      </c>
      <c r="H117" s="880">
        <f t="shared" si="77"/>
        <v>6.1933220349061936E-3</v>
      </c>
    </row>
    <row r="118" spans="1:8" s="809" customFormat="1" ht="16" x14ac:dyDescent="0.8">
      <c r="A118" s="818" t="s">
        <v>217</v>
      </c>
      <c r="B118" s="881">
        <v>6103</v>
      </c>
      <c r="C118" s="882">
        <v>8319</v>
      </c>
      <c r="D118" s="883">
        <v>8198</v>
      </c>
      <c r="E118" s="882">
        <v>6080</v>
      </c>
      <c r="F118" s="883">
        <v>5245</v>
      </c>
      <c r="G118" s="883">
        <v>5163</v>
      </c>
      <c r="H118" s="884">
        <v>4293</v>
      </c>
    </row>
    <row r="119" spans="1:8" s="809" customFormat="1" ht="16" x14ac:dyDescent="0.8">
      <c r="A119" s="818"/>
      <c r="B119" s="878">
        <f t="shared" ref="B119:H119" si="78">B118/$F$122</f>
        <v>1.8145868640918147E-2</v>
      </c>
      <c r="C119" s="879">
        <f t="shared" si="78"/>
        <v>2.4734635625724734E-2</v>
      </c>
      <c r="D119" s="879">
        <f t="shared" si="78"/>
        <v>2.4374869919424374E-2</v>
      </c>
      <c r="E119" s="879">
        <f t="shared" si="78"/>
        <v>1.8077483424018076E-2</v>
      </c>
      <c r="F119" s="879">
        <f t="shared" si="78"/>
        <v>1.5594802723515594E-2</v>
      </c>
      <c r="G119" s="879">
        <f t="shared" si="78"/>
        <v>1.5350994558915351E-2</v>
      </c>
      <c r="H119" s="880">
        <f t="shared" si="78"/>
        <v>1.2764249397912764E-2</v>
      </c>
    </row>
    <row r="120" spans="1:8" s="809" customFormat="1" ht="16" x14ac:dyDescent="0.8">
      <c r="A120" s="818" t="s">
        <v>210</v>
      </c>
      <c r="B120" s="881">
        <v>4383</v>
      </c>
      <c r="C120" s="882">
        <v>5933</v>
      </c>
      <c r="D120" s="883">
        <v>6986</v>
      </c>
      <c r="E120" s="882">
        <v>7173</v>
      </c>
      <c r="F120" s="883">
        <v>6661</v>
      </c>
      <c r="G120" s="883">
        <v>5117</v>
      </c>
      <c r="H120" s="884">
        <v>4257</v>
      </c>
    </row>
    <row r="121" spans="1:8" s="809" customFormat="1" ht="16" x14ac:dyDescent="0.8">
      <c r="A121" s="818"/>
      <c r="B121" s="878">
        <f t="shared" ref="B121:H121" si="79">B120/$F$122</f>
        <v>1.3031843724913032E-2</v>
      </c>
      <c r="C121" s="879">
        <f t="shared" si="79"/>
        <v>1.7640412689917642E-2</v>
      </c>
      <c r="D121" s="879">
        <f t="shared" si="79"/>
        <v>2.0771266315820772E-2</v>
      </c>
      <c r="E121" s="879">
        <f t="shared" si="79"/>
        <v>2.1327267861921326E-2</v>
      </c>
      <c r="F121" s="879">
        <f t="shared" si="79"/>
        <v>1.9804953468319807E-2</v>
      </c>
      <c r="G121" s="879">
        <f t="shared" si="79"/>
        <v>1.5214224125115213E-2</v>
      </c>
      <c r="H121" s="880">
        <f t="shared" si="79"/>
        <v>1.2657211667112657E-2</v>
      </c>
    </row>
    <row r="122" spans="1:8" s="809" customFormat="1" ht="16.75" thickBot="1" x14ac:dyDescent="0.95">
      <c r="A122" s="1168" t="s">
        <v>160</v>
      </c>
      <c r="B122" s="1169">
        <v>243224</v>
      </c>
      <c r="C122" s="1166">
        <v>363273</v>
      </c>
      <c r="D122" s="1166">
        <v>368004</v>
      </c>
      <c r="E122" s="1166">
        <v>280014</v>
      </c>
      <c r="F122" s="1166">
        <v>336330</v>
      </c>
      <c r="G122" s="1166">
        <v>338767</v>
      </c>
      <c r="H122" s="1167">
        <v>317209</v>
      </c>
    </row>
  </sheetData>
  <mergeCells count="3">
    <mergeCell ref="I1:N2"/>
    <mergeCell ref="O1:AP2"/>
    <mergeCell ref="B1:H2"/>
  </mergeCells>
  <conditionalFormatting sqref="I49:AP50">
    <cfRule type="cellIs" dxfId="1" priority="1" operator="equal">
      <formula>FALSE</formula>
    </cfRule>
    <cfRule type="cellIs" dxfId="0" priority="2" operator="equal">
      <formula>TRUE</formula>
    </cfRule>
  </conditionalFormatting>
  <hyperlinks>
    <hyperlink ref="B65" r:id="rId1" xr:uid="{00000000-0004-0000-0E00-000000000000}"/>
    <hyperlink ref="A1" location="'Cover Page '!A1" display="Back to cover page " xr:uid="{00000000-0004-0000-0E00-000001000000}"/>
  </hyperlinks>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AK76"/>
  <sheetViews>
    <sheetView showGridLines="0" zoomScale="85" zoomScaleNormal="85" zoomScalePageLayoutView="85" workbookViewId="0">
      <selection activeCell="B14" sqref="B14"/>
    </sheetView>
  </sheetViews>
  <sheetFormatPr defaultColWidth="8.83203125" defaultRowHeight="14.75" x14ac:dyDescent="0.75"/>
  <cols>
    <col min="1" max="1" width="78.6640625" style="231" bestFit="1" customWidth="1"/>
    <col min="2" max="30" width="8.33203125" style="231" bestFit="1" customWidth="1"/>
    <col min="31" max="37" width="9.33203125" style="231" bestFit="1" customWidth="1"/>
    <col min="38" max="16384" width="8.83203125" style="231"/>
  </cols>
  <sheetData>
    <row r="1" spans="1:37" ht="18.5" x14ac:dyDescent="0.9">
      <c r="A1" s="1195" t="s">
        <v>533</v>
      </c>
      <c r="B1" s="1735"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37" ht="16" x14ac:dyDescent="0.75">
      <c r="B2" s="769"/>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37" ht="16" x14ac:dyDescent="0.75">
      <c r="A3" s="689"/>
      <c r="B3" s="769">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37" customFormat="1" ht="16.75" thickBot="1" x14ac:dyDescent="0.95">
      <c r="B4" s="131"/>
      <c r="C4" s="7"/>
    </row>
    <row r="5" spans="1:37" ht="15.5" thickBot="1" x14ac:dyDescent="0.9">
      <c r="A5" s="690" t="s">
        <v>491</v>
      </c>
      <c r="B5" s="770">
        <f>'Income Taxes'!G20/'Income Taxes'!G7</f>
        <v>0.21984883338810385</v>
      </c>
      <c r="C5" s="691">
        <f>'Income Taxes'!H20/'Income Taxes'!H7</f>
        <v>0.37242964792030314</v>
      </c>
      <c r="D5" s="770">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770">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691">
        <f>'Income Taxes'!AO35</f>
        <v>0.30399578615145073</v>
      </c>
      <c r="AK5" s="692">
        <f>'Income Taxes'!AP35</f>
        <v>0.30399578615145073</v>
      </c>
    </row>
    <row r="6" spans="1:37" ht="15.5" thickBot="1" x14ac:dyDescent="0.9">
      <c r="B6" s="730"/>
      <c r="C6" s="701"/>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37" x14ac:dyDescent="0.75">
      <c r="A7" s="724" t="s">
        <v>490</v>
      </c>
      <c r="B7" s="771">
        <f>'Income Statement '!F16</f>
        <v>27510</v>
      </c>
      <c r="C7" s="725">
        <f>'Income Statement '!G16</f>
        <v>25833</v>
      </c>
      <c r="D7" s="771">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71">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row>
    <row r="8" spans="1:37" x14ac:dyDescent="0.75">
      <c r="A8" s="700" t="s">
        <v>349</v>
      </c>
      <c r="B8" s="772">
        <f>-'Income Statement '!F19-'Income Statement '!F18-'Income Statement '!F20</f>
        <v>-2920</v>
      </c>
      <c r="C8" s="694">
        <f>-'Income Statement '!G19-'Income Statement '!G18-'Income Statement '!G20</f>
        <v>2344</v>
      </c>
      <c r="D8" s="772">
        <f>-'Income Statement '!H19</f>
        <v>1876.07964977041</v>
      </c>
      <c r="E8" s="694">
        <f>-'Income Statement '!I19</f>
        <v>838.73669921570274</v>
      </c>
      <c r="F8" s="694">
        <f>-'Income Statement '!J19</f>
        <v>927.39105572269409</v>
      </c>
      <c r="G8" s="694">
        <f>-'Income Statement '!K19</f>
        <v>1049.8489072575617</v>
      </c>
      <c r="H8" s="694">
        <f>-'Income Statement '!L19</f>
        <v>1144.2271859355301</v>
      </c>
      <c r="I8" s="694">
        <f>-'Income Statement '!M19</f>
        <v>1274.0647631415347</v>
      </c>
      <c r="J8" s="772">
        <f>-'Income Statement '!N19</f>
        <v>1111.3998661053115</v>
      </c>
      <c r="K8" s="694">
        <f>-'Income Statement '!O19</f>
        <v>1119.8641336110929</v>
      </c>
      <c r="L8" s="694">
        <f>-'Income Statement '!P19</f>
        <v>1101.4898876006077</v>
      </c>
      <c r="M8" s="694">
        <f>-'Income Statement '!Q19</f>
        <v>1088.3285621651637</v>
      </c>
      <c r="N8" s="694">
        <f>-'Income Statement '!R19</f>
        <v>1050.9611148136444</v>
      </c>
      <c r="O8" s="694">
        <f>-'Income Statement '!S19</f>
        <v>994.89541116770852</v>
      </c>
      <c r="P8" s="694">
        <f>-'Income Statement '!T19</f>
        <v>951.97404060055658</v>
      </c>
      <c r="Q8" s="694">
        <f>-'Income Statement '!U19</f>
        <v>874.57526840373646</v>
      </c>
      <c r="R8" s="694">
        <f>-'Income Statement '!V19</f>
        <v>788.7989693736115</v>
      </c>
      <c r="S8" s="694">
        <f>-'Income Statement '!W19</f>
        <v>701.75027296149563</v>
      </c>
      <c r="T8" s="694">
        <f>-'Income Statement '!X19</f>
        <v>608.04881792225956</v>
      </c>
      <c r="U8" s="694">
        <f>-'Income Statement '!Y19</f>
        <v>517.0804581104594</v>
      </c>
      <c r="V8" s="694">
        <f>-'Income Statement '!Z19</f>
        <v>422.27929891970871</v>
      </c>
      <c r="W8" s="694">
        <f>-'Income Statement '!AA19</f>
        <v>335.93802980177509</v>
      </c>
      <c r="X8" s="694">
        <f>-'Income Statement '!AB19</f>
        <v>262.47463367100448</v>
      </c>
      <c r="Y8" s="694">
        <f>-'Income Statement '!AC19</f>
        <v>203.96216323286112</v>
      </c>
      <c r="Z8" s="694">
        <f>-'Income Statement '!AD19</f>
        <v>159.04600882942867</v>
      </c>
      <c r="AA8" s="694">
        <f>-'Income Statement '!AE19</f>
        <v>128.34663917404603</v>
      </c>
      <c r="AB8" s="694">
        <f>-'Income Statement '!AF19</f>
        <v>111.60598499550267</v>
      </c>
      <c r="AC8" s="694">
        <f>-'Income Statement '!AG19</f>
        <v>108.21252097676525</v>
      </c>
      <c r="AD8" s="694">
        <f>-'Income Statement '!AH19</f>
        <v>116.93118190016983</v>
      </c>
      <c r="AE8" s="694">
        <f>-'Income Statement '!AI19</f>
        <v>136.33938165809093</v>
      </c>
      <c r="AF8" s="694">
        <f>-'Income Statement '!AJ19</f>
        <v>164.45960327361493</v>
      </c>
      <c r="AG8" s="694">
        <f>-'Income Statement '!AK19</f>
        <v>159.88026220133159</v>
      </c>
      <c r="AH8" s="694">
        <f>-'Income Statement '!AL19</f>
        <v>155.50502491276058</v>
      </c>
      <c r="AI8" s="694">
        <f>-'Income Statement '!AM19</f>
        <v>151.32602160877317</v>
      </c>
      <c r="AJ8" s="694">
        <f>-'Income Statement '!AN19</f>
        <v>147.3324988311112</v>
      </c>
      <c r="AK8" s="695">
        <f>-'Income Statement '!AO19</f>
        <v>143.51692407775414</v>
      </c>
    </row>
    <row r="9" spans="1:37" x14ac:dyDescent="0.75">
      <c r="A9" s="696" t="s">
        <v>489</v>
      </c>
      <c r="B9" s="772">
        <f t="shared" ref="B9" si="0">B7-B8</f>
        <v>30430</v>
      </c>
      <c r="C9" s="694">
        <f t="shared" ref="C9" si="1">C7-C8</f>
        <v>23489</v>
      </c>
      <c r="D9" s="772">
        <f t="shared" ref="D9:AK9" si="2">D7-D8</f>
        <v>16584.695440494619</v>
      </c>
      <c r="E9" s="694">
        <f t="shared" si="2"/>
        <v>25063.78764767028</v>
      </c>
      <c r="F9" s="694">
        <f t="shared" si="2"/>
        <v>19464.946085684798</v>
      </c>
      <c r="G9" s="694">
        <f t="shared" si="2"/>
        <v>19706.24663109133</v>
      </c>
      <c r="H9" s="694">
        <f t="shared" si="2"/>
        <v>12068.134515575695</v>
      </c>
      <c r="I9" s="694">
        <f t="shared" si="2"/>
        <v>19095.438400689483</v>
      </c>
      <c r="J9" s="772">
        <f t="shared" si="2"/>
        <v>19038.849901617963</v>
      </c>
      <c r="K9" s="694">
        <f t="shared" si="2"/>
        <v>16973.307354685672</v>
      </c>
      <c r="L9" s="694">
        <f t="shared" si="2"/>
        <v>16261.08722745733</v>
      </c>
      <c r="M9" s="694">
        <f t="shared" si="2"/>
        <v>12487.358197048041</v>
      </c>
      <c r="N9" s="694">
        <f t="shared" si="2"/>
        <v>4881.4981087585493</v>
      </c>
      <c r="O9" s="694">
        <f t="shared" si="2"/>
        <v>3081.9522707616634</v>
      </c>
      <c r="P9" s="694">
        <f t="shared" si="2"/>
        <v>3211.8417646215548</v>
      </c>
      <c r="Q9" s="694">
        <f t="shared" si="2"/>
        <v>4475.3313911433434</v>
      </c>
      <c r="R9" s="694">
        <f t="shared" si="2"/>
        <v>6983.0371953546173</v>
      </c>
      <c r="S9" s="694">
        <f t="shared" si="2"/>
        <v>8114.321938654246</v>
      </c>
      <c r="T9" s="694">
        <f t="shared" si="2"/>
        <v>8405.8886715095723</v>
      </c>
      <c r="U9" s="694">
        <f t="shared" si="2"/>
        <v>9014.6056534145464</v>
      </c>
      <c r="V9" s="694">
        <f t="shared" si="2"/>
        <v>10152.56751601856</v>
      </c>
      <c r="W9" s="694">
        <f t="shared" si="2"/>
        <v>11196.771280171462</v>
      </c>
      <c r="X9" s="694">
        <f t="shared" si="2"/>
        <v>12917.124705394755</v>
      </c>
      <c r="Y9" s="694">
        <f t="shared" si="2"/>
        <v>14343.067740426975</v>
      </c>
      <c r="Z9" s="694">
        <f t="shared" si="2"/>
        <v>15358.16937999107</v>
      </c>
      <c r="AA9" s="694">
        <f t="shared" si="2"/>
        <v>15983.904156504699</v>
      </c>
      <c r="AB9" s="694">
        <f t="shared" si="2"/>
        <v>16355.457896079246</v>
      </c>
      <c r="AC9" s="694">
        <f t="shared" si="2"/>
        <v>16597.77532712647</v>
      </c>
      <c r="AD9" s="694">
        <f t="shared" si="2"/>
        <v>16700.774693659045</v>
      </c>
      <c r="AE9" s="694">
        <f t="shared" si="2"/>
        <v>16175.258726224241</v>
      </c>
      <c r="AF9" s="694">
        <f t="shared" si="2"/>
        <v>15662.321927047502</v>
      </c>
      <c r="AG9" s="694">
        <f t="shared" si="2"/>
        <v>15204.821411915378</v>
      </c>
      <c r="AH9" s="694">
        <f t="shared" si="2"/>
        <v>14766.75143874732</v>
      </c>
      <c r="AI9" s="694">
        <f t="shared" si="2"/>
        <v>14348.855830432469</v>
      </c>
      <c r="AJ9" s="694">
        <f t="shared" si="2"/>
        <v>13948.911744313325</v>
      </c>
      <c r="AK9" s="695">
        <f t="shared" si="2"/>
        <v>13567.12410224128</v>
      </c>
    </row>
    <row r="10" spans="1:37" x14ac:dyDescent="0.75">
      <c r="A10" s="697" t="s">
        <v>488</v>
      </c>
      <c r="B10" s="773"/>
      <c r="C10" s="694">
        <f t="shared" ref="C10" si="3">C9+C21</f>
        <v>23489</v>
      </c>
      <c r="D10" s="772">
        <f t="shared" ref="D10" si="4">D9+D21</f>
        <v>16584.695440494619</v>
      </c>
      <c r="E10" s="694">
        <f t="shared" ref="E10:AK10" si="5">E9+E21</f>
        <v>25063.78764767028</v>
      </c>
      <c r="F10" s="694">
        <f t="shared" si="5"/>
        <v>19464.946085684798</v>
      </c>
      <c r="G10" s="694">
        <f t="shared" si="5"/>
        <v>19706.24663109133</v>
      </c>
      <c r="H10" s="694">
        <f t="shared" si="5"/>
        <v>12068.134515575695</v>
      </c>
      <c r="I10" s="694">
        <f t="shared" si="5"/>
        <v>19095.438400689483</v>
      </c>
      <c r="J10" s="772">
        <f t="shared" si="5"/>
        <v>19038.849901617963</v>
      </c>
      <c r="K10" s="694">
        <f t="shared" si="5"/>
        <v>16973.307354685672</v>
      </c>
      <c r="L10" s="694">
        <f t="shared" si="5"/>
        <v>16261.08722745733</v>
      </c>
      <c r="M10" s="694">
        <f t="shared" si="5"/>
        <v>12487.358197048041</v>
      </c>
      <c r="N10" s="694">
        <f t="shared" si="5"/>
        <v>4881.4981087585493</v>
      </c>
      <c r="O10" s="694">
        <f t="shared" si="5"/>
        <v>3081.9522707616634</v>
      </c>
      <c r="P10" s="694">
        <f t="shared" si="5"/>
        <v>3211.8417646215548</v>
      </c>
      <c r="Q10" s="694">
        <f t="shared" si="5"/>
        <v>4475.3313911433434</v>
      </c>
      <c r="R10" s="694">
        <f t="shared" si="5"/>
        <v>6983.0371953546173</v>
      </c>
      <c r="S10" s="694">
        <f t="shared" si="5"/>
        <v>8114.321938654246</v>
      </c>
      <c r="T10" s="694">
        <f t="shared" si="5"/>
        <v>8405.8886715095723</v>
      </c>
      <c r="U10" s="694">
        <f t="shared" si="5"/>
        <v>9014.6056534145464</v>
      </c>
      <c r="V10" s="694">
        <f t="shared" si="5"/>
        <v>10152.56751601856</v>
      </c>
      <c r="W10" s="694">
        <f t="shared" si="5"/>
        <v>11196.771280171462</v>
      </c>
      <c r="X10" s="694">
        <f t="shared" si="5"/>
        <v>12917.124705394755</v>
      </c>
      <c r="Y10" s="694">
        <f t="shared" si="5"/>
        <v>14343.067740426975</v>
      </c>
      <c r="Z10" s="694">
        <f t="shared" si="5"/>
        <v>15358.16937999107</v>
      </c>
      <c r="AA10" s="694">
        <f t="shared" si="5"/>
        <v>15983.904156504699</v>
      </c>
      <c r="AB10" s="694">
        <f t="shared" si="5"/>
        <v>16355.457896079246</v>
      </c>
      <c r="AC10" s="694">
        <f t="shared" si="5"/>
        <v>16597.77532712647</v>
      </c>
      <c r="AD10" s="694">
        <f t="shared" si="5"/>
        <v>16700.774693659045</v>
      </c>
      <c r="AE10" s="694">
        <f t="shared" si="5"/>
        <v>16175.258726224241</v>
      </c>
      <c r="AF10" s="694">
        <f t="shared" si="5"/>
        <v>15662.321927047502</v>
      </c>
      <c r="AG10" s="694">
        <f t="shared" si="5"/>
        <v>15204.821411915378</v>
      </c>
      <c r="AH10" s="694">
        <f t="shared" si="5"/>
        <v>14766.75143874732</v>
      </c>
      <c r="AI10" s="694">
        <f t="shared" si="5"/>
        <v>14348.855830432469</v>
      </c>
      <c r="AJ10" s="694">
        <f t="shared" si="5"/>
        <v>13948.911744313325</v>
      </c>
      <c r="AK10" s="695">
        <f t="shared" si="5"/>
        <v>13567.12410224128</v>
      </c>
    </row>
    <row r="11" spans="1:37" x14ac:dyDescent="0.75">
      <c r="A11" s="733" t="s">
        <v>487</v>
      </c>
      <c r="B11" s="774">
        <f>B10-D30-D28</f>
        <v>0</v>
      </c>
      <c r="C11" s="728">
        <f t="shared" ref="C11:AK11" si="6">C10-D35-D33</f>
        <v>23489</v>
      </c>
      <c r="D11" s="774">
        <f t="shared" si="6"/>
        <v>16584.695440494619</v>
      </c>
      <c r="E11" s="728">
        <f t="shared" si="6"/>
        <v>25063.78764767028</v>
      </c>
      <c r="F11" s="728">
        <f t="shared" si="6"/>
        <v>19464.946085684798</v>
      </c>
      <c r="G11" s="728">
        <f t="shared" si="6"/>
        <v>19706.24663109133</v>
      </c>
      <c r="H11" s="728">
        <f t="shared" si="6"/>
        <v>12068.134515575695</v>
      </c>
      <c r="I11" s="728">
        <f t="shared" si="6"/>
        <v>19095.438400689483</v>
      </c>
      <c r="J11" s="774">
        <f t="shared" si="6"/>
        <v>19038.849901617963</v>
      </c>
      <c r="K11" s="728">
        <f t="shared" si="6"/>
        <v>16973.307354685672</v>
      </c>
      <c r="L11" s="728">
        <f t="shared" si="6"/>
        <v>16261.08722745733</v>
      </c>
      <c r="M11" s="728">
        <f t="shared" si="6"/>
        <v>12487.358197048041</v>
      </c>
      <c r="N11" s="728">
        <f t="shared" si="6"/>
        <v>4881.4981087585493</v>
      </c>
      <c r="O11" s="728">
        <f t="shared" si="6"/>
        <v>3081.9522707616634</v>
      </c>
      <c r="P11" s="728">
        <f t="shared" si="6"/>
        <v>3211.8417646215548</v>
      </c>
      <c r="Q11" s="728">
        <f t="shared" si="6"/>
        <v>4475.3313911433434</v>
      </c>
      <c r="R11" s="728">
        <f t="shared" si="6"/>
        <v>6983.0371953546173</v>
      </c>
      <c r="S11" s="728">
        <f t="shared" si="6"/>
        <v>8114.321938654246</v>
      </c>
      <c r="T11" s="728">
        <f t="shared" si="6"/>
        <v>8405.8886715095723</v>
      </c>
      <c r="U11" s="728">
        <f t="shared" si="6"/>
        <v>9014.6056534145464</v>
      </c>
      <c r="V11" s="728">
        <f t="shared" si="6"/>
        <v>10152.56751601856</v>
      </c>
      <c r="W11" s="728">
        <f t="shared" si="6"/>
        <v>11196.771280171462</v>
      </c>
      <c r="X11" s="728">
        <f t="shared" si="6"/>
        <v>12917.124705394755</v>
      </c>
      <c r="Y11" s="728">
        <f t="shared" si="6"/>
        <v>14343.067740426975</v>
      </c>
      <c r="Z11" s="728">
        <f t="shared" si="6"/>
        <v>15358.16937999107</v>
      </c>
      <c r="AA11" s="728">
        <f t="shared" si="6"/>
        <v>15983.904156504699</v>
      </c>
      <c r="AB11" s="728">
        <f t="shared" si="6"/>
        <v>16355.457896079246</v>
      </c>
      <c r="AC11" s="728">
        <f t="shared" si="6"/>
        <v>16597.77532712647</v>
      </c>
      <c r="AD11" s="728">
        <f t="shared" si="6"/>
        <v>16700.774693659045</v>
      </c>
      <c r="AE11" s="728">
        <f t="shared" si="6"/>
        <v>16175.258726224241</v>
      </c>
      <c r="AF11" s="728">
        <f t="shared" si="6"/>
        <v>15662.321927047502</v>
      </c>
      <c r="AG11" s="728">
        <f t="shared" si="6"/>
        <v>15204.821411915378</v>
      </c>
      <c r="AH11" s="728">
        <f t="shared" si="6"/>
        <v>14766.75143874732</v>
      </c>
      <c r="AI11" s="728">
        <f t="shared" si="6"/>
        <v>14348.855830432469</v>
      </c>
      <c r="AJ11" s="728">
        <f t="shared" si="6"/>
        <v>13948.911744313325</v>
      </c>
      <c r="AK11" s="734">
        <f t="shared" si="6"/>
        <v>13567.12410224128</v>
      </c>
    </row>
    <row r="12" spans="1:37" x14ac:dyDescent="0.75">
      <c r="A12" s="697"/>
      <c r="B12" s="727"/>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37" x14ac:dyDescent="0.75">
      <c r="A13" s="762" t="s">
        <v>486</v>
      </c>
      <c r="B13" s="775">
        <f t="shared" ref="B13" si="7">IF(B9&gt;0, (B9-(MIN(B9,B19)))*B5,0)</f>
        <v>6690</v>
      </c>
      <c r="C13" s="760">
        <f>IF(C9&gt;0, (C9-(MIN(C9,C19)))*C5,0)</f>
        <v>8748</v>
      </c>
      <c r="D13" s="775">
        <f t="shared" ref="D13:AK13" si="8">IF(D9&gt;0, (D9-(MIN(D9,D19)))*D5,0)</f>
        <v>4921.9012660096287</v>
      </c>
      <c r="E13" s="760">
        <f t="shared" si="8"/>
        <v>6255.0199482054359</v>
      </c>
      <c r="F13" s="760">
        <f t="shared" si="8"/>
        <v>4725.4024661953445</v>
      </c>
      <c r="G13" s="760">
        <f t="shared" si="8"/>
        <v>5109.936251452651</v>
      </c>
      <c r="H13" s="760">
        <f t="shared" si="8"/>
        <v>4303.1289389750664</v>
      </c>
      <c r="I13" s="760">
        <f t="shared" si="8"/>
        <v>6561.5059599153601</v>
      </c>
      <c r="J13" s="775">
        <f t="shared" si="8"/>
        <v>5902.4474588382218</v>
      </c>
      <c r="K13" s="760">
        <f t="shared" si="8"/>
        <v>5108.0429494958462</v>
      </c>
      <c r="L13" s="760">
        <f t="shared" si="8"/>
        <v>5026.2174308052809</v>
      </c>
      <c r="M13" s="760">
        <f t="shared" si="8"/>
        <v>3765.7689398591938</v>
      </c>
      <c r="N13" s="760">
        <f t="shared" si="8"/>
        <v>1491.7926580715964</v>
      </c>
      <c r="O13" s="760">
        <f t="shared" si="8"/>
        <v>936.05436460689987</v>
      </c>
      <c r="P13" s="760">
        <f t="shared" si="8"/>
        <v>975.23907747440023</v>
      </c>
      <c r="Q13" s="760">
        <f t="shared" si="8"/>
        <v>1361.9396257892186</v>
      </c>
      <c r="R13" s="760">
        <f t="shared" si="8"/>
        <v>2122.102759742128</v>
      </c>
      <c r="S13" s="760">
        <f t="shared" si="8"/>
        <v>2466.3615614775804</v>
      </c>
      <c r="T13" s="760">
        <f t="shared" si="8"/>
        <v>2555.8589869791454</v>
      </c>
      <c r="U13" s="760">
        <f t="shared" si="8"/>
        <v>2740.1437939839411</v>
      </c>
      <c r="V13" s="760">
        <f t="shared" si="8"/>
        <v>3086.2945051780953</v>
      </c>
      <c r="W13" s="760">
        <f t="shared" si="8"/>
        <v>3403.8723632451333</v>
      </c>
      <c r="X13" s="760">
        <f t="shared" si="8"/>
        <v>3926.6486207033495</v>
      </c>
      <c r="Y13" s="760">
        <f t="shared" si="8"/>
        <v>4360.2168831341432</v>
      </c>
      <c r="Z13" s="760">
        <f t="shared" si="8"/>
        <v>4668.8187745175237</v>
      </c>
      <c r="AA13" s="760">
        <f t="shared" si="8"/>
        <v>4859.0395098260869</v>
      </c>
      <c r="AB13" s="760">
        <f t="shared" si="8"/>
        <v>4971.990280985563</v>
      </c>
      <c r="AC13" s="760">
        <f t="shared" si="8"/>
        <v>5045.6537589349637</v>
      </c>
      <c r="AD13" s="760">
        <f t="shared" si="8"/>
        <v>5076.9651323371354</v>
      </c>
      <c r="AE13" s="760">
        <f t="shared" si="8"/>
        <v>4917.2104926816519</v>
      </c>
      <c r="AF13" s="760">
        <f t="shared" si="8"/>
        <v>4761.2798671699102</v>
      </c>
      <c r="AG13" s="760">
        <f t="shared" si="8"/>
        <v>4622.2016384076269</v>
      </c>
      <c r="AH13" s="760">
        <f t="shared" si="8"/>
        <v>4489.0302125250573</v>
      </c>
      <c r="AI13" s="760">
        <f t="shared" si="8"/>
        <v>4361.9917085461457</v>
      </c>
      <c r="AJ13" s="760">
        <f t="shared" si="8"/>
        <v>4240.4103916697331</v>
      </c>
      <c r="AK13" s="763">
        <f t="shared" si="8"/>
        <v>4124.3485572751333</v>
      </c>
    </row>
    <row r="14" spans="1:37" x14ac:dyDescent="0.75">
      <c r="A14" s="764" t="s">
        <v>485</v>
      </c>
      <c r="B14" s="776">
        <f t="shared" ref="B14:C14" si="9">B38</f>
        <v>0</v>
      </c>
      <c r="C14" s="761">
        <f t="shared" si="9"/>
        <v>0</v>
      </c>
      <c r="D14" s="776">
        <f t="shared" ref="D14:AK14" si="10">D38</f>
        <v>0</v>
      </c>
      <c r="E14" s="761">
        <f t="shared" si="10"/>
        <v>0</v>
      </c>
      <c r="F14" s="761">
        <f t="shared" si="10"/>
        <v>0</v>
      </c>
      <c r="G14" s="761">
        <f t="shared" si="10"/>
        <v>0</v>
      </c>
      <c r="H14" s="761">
        <f t="shared" si="10"/>
        <v>0</v>
      </c>
      <c r="I14" s="761">
        <f t="shared" si="10"/>
        <v>0</v>
      </c>
      <c r="J14" s="776">
        <f t="shared" si="10"/>
        <v>0</v>
      </c>
      <c r="K14" s="761">
        <f t="shared" si="10"/>
        <v>0</v>
      </c>
      <c r="L14" s="761">
        <f t="shared" si="10"/>
        <v>0</v>
      </c>
      <c r="M14" s="761">
        <f t="shared" si="10"/>
        <v>0</v>
      </c>
      <c r="N14" s="761">
        <f t="shared" si="10"/>
        <v>0</v>
      </c>
      <c r="O14" s="761">
        <f t="shared" si="10"/>
        <v>0</v>
      </c>
      <c r="P14" s="761">
        <f t="shared" si="10"/>
        <v>0</v>
      </c>
      <c r="Q14" s="761">
        <f t="shared" si="10"/>
        <v>0</v>
      </c>
      <c r="R14" s="761">
        <f t="shared" si="10"/>
        <v>0</v>
      </c>
      <c r="S14" s="761">
        <f t="shared" si="10"/>
        <v>0</v>
      </c>
      <c r="T14" s="761">
        <f t="shared" si="10"/>
        <v>0</v>
      </c>
      <c r="U14" s="761">
        <f t="shared" si="10"/>
        <v>0</v>
      </c>
      <c r="V14" s="761">
        <f t="shared" si="10"/>
        <v>0</v>
      </c>
      <c r="W14" s="761">
        <f t="shared" si="10"/>
        <v>0</v>
      </c>
      <c r="X14" s="761">
        <f t="shared" si="10"/>
        <v>0</v>
      </c>
      <c r="Y14" s="761">
        <f t="shared" si="10"/>
        <v>0</v>
      </c>
      <c r="Z14" s="761">
        <f t="shared" si="10"/>
        <v>0</v>
      </c>
      <c r="AA14" s="761">
        <f t="shared" si="10"/>
        <v>0</v>
      </c>
      <c r="AB14" s="761">
        <f t="shared" si="10"/>
        <v>0</v>
      </c>
      <c r="AC14" s="761">
        <f t="shared" si="10"/>
        <v>0</v>
      </c>
      <c r="AD14" s="761">
        <f t="shared" si="10"/>
        <v>0</v>
      </c>
      <c r="AE14" s="761">
        <f t="shared" si="10"/>
        <v>0</v>
      </c>
      <c r="AF14" s="761">
        <f t="shared" si="10"/>
        <v>0</v>
      </c>
      <c r="AG14" s="761">
        <f t="shared" si="10"/>
        <v>0</v>
      </c>
      <c r="AH14" s="761">
        <f t="shared" si="10"/>
        <v>0</v>
      </c>
      <c r="AI14" s="761">
        <f t="shared" si="10"/>
        <v>0</v>
      </c>
      <c r="AJ14" s="761">
        <f t="shared" si="10"/>
        <v>0</v>
      </c>
      <c r="AK14" s="765">
        <f t="shared" si="10"/>
        <v>0</v>
      </c>
    </row>
    <row r="15" spans="1:37" ht="15.5" thickBot="1" x14ac:dyDescent="0.9">
      <c r="A15" s="700"/>
      <c r="B15" s="730"/>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37" ht="15.5" thickBot="1" x14ac:dyDescent="0.9">
      <c r="A16" s="690" t="s">
        <v>484</v>
      </c>
      <c r="B16" s="777">
        <f t="shared" ref="B16:AK16" si="11">B9-B13+B14</f>
        <v>23740</v>
      </c>
      <c r="C16" s="758">
        <f t="shared" si="11"/>
        <v>14741</v>
      </c>
      <c r="D16" s="777">
        <f t="shared" si="11"/>
        <v>11662.79417448499</v>
      </c>
      <c r="E16" s="758">
        <f t="shared" si="11"/>
        <v>18808.767699464843</v>
      </c>
      <c r="F16" s="758">
        <f t="shared" si="11"/>
        <v>14739.543619489454</v>
      </c>
      <c r="G16" s="758">
        <f t="shared" si="11"/>
        <v>14596.310379638679</v>
      </c>
      <c r="H16" s="758">
        <f t="shared" si="11"/>
        <v>7765.005576600629</v>
      </c>
      <c r="I16" s="758">
        <f t="shared" si="11"/>
        <v>12533.932440774122</v>
      </c>
      <c r="J16" s="777">
        <f t="shared" si="11"/>
        <v>13136.402442779741</v>
      </c>
      <c r="K16" s="758">
        <f t="shared" si="11"/>
        <v>11865.264405189826</v>
      </c>
      <c r="L16" s="758">
        <f t="shared" si="11"/>
        <v>11234.869796652049</v>
      </c>
      <c r="M16" s="758">
        <f t="shared" si="11"/>
        <v>8721.5892571888471</v>
      </c>
      <c r="N16" s="758">
        <f t="shared" si="11"/>
        <v>3389.7054506869526</v>
      </c>
      <c r="O16" s="758">
        <f t="shared" si="11"/>
        <v>2145.8979061547634</v>
      </c>
      <c r="P16" s="758">
        <f t="shared" si="11"/>
        <v>2236.6026871471545</v>
      </c>
      <c r="Q16" s="758">
        <f t="shared" si="11"/>
        <v>3113.3917653541248</v>
      </c>
      <c r="R16" s="758">
        <f t="shared" si="11"/>
        <v>4860.9344356124893</v>
      </c>
      <c r="S16" s="758">
        <f t="shared" si="11"/>
        <v>5647.9603771766651</v>
      </c>
      <c r="T16" s="758">
        <f t="shared" si="11"/>
        <v>5850.0296845304274</v>
      </c>
      <c r="U16" s="758">
        <f t="shared" si="11"/>
        <v>6274.4618594306048</v>
      </c>
      <c r="V16" s="758">
        <f t="shared" si="11"/>
        <v>7066.2730108404648</v>
      </c>
      <c r="W16" s="758">
        <f t="shared" si="11"/>
        <v>7792.8989169263295</v>
      </c>
      <c r="X16" s="758">
        <f t="shared" si="11"/>
        <v>8990.4760846914069</v>
      </c>
      <c r="Y16" s="758">
        <f t="shared" si="11"/>
        <v>9982.8508572928331</v>
      </c>
      <c r="Z16" s="758">
        <f t="shared" si="11"/>
        <v>10689.350605473546</v>
      </c>
      <c r="AA16" s="758">
        <f t="shared" si="11"/>
        <v>11124.864646678612</v>
      </c>
      <c r="AB16" s="758">
        <f t="shared" si="11"/>
        <v>11383.467615093683</v>
      </c>
      <c r="AC16" s="758">
        <f t="shared" si="11"/>
        <v>11552.121568191506</v>
      </c>
      <c r="AD16" s="758">
        <f t="shared" si="11"/>
        <v>11623.809561321908</v>
      </c>
      <c r="AE16" s="758">
        <f t="shared" si="11"/>
        <v>11258.04823354259</v>
      </c>
      <c r="AF16" s="758">
        <f t="shared" si="11"/>
        <v>10901.042059877593</v>
      </c>
      <c r="AG16" s="758">
        <f t="shared" si="11"/>
        <v>10582.619773507751</v>
      </c>
      <c r="AH16" s="758">
        <f t="shared" si="11"/>
        <v>10277.721226222264</v>
      </c>
      <c r="AI16" s="758">
        <f t="shared" si="11"/>
        <v>9986.8641218863231</v>
      </c>
      <c r="AJ16" s="758">
        <f t="shared" si="11"/>
        <v>9708.5013526435923</v>
      </c>
      <c r="AK16" s="759">
        <f t="shared" si="11"/>
        <v>9442.7755449661454</v>
      </c>
    </row>
    <row r="17" spans="1:37" x14ac:dyDescent="0.75">
      <c r="A17" s="700"/>
      <c r="B17" s="730"/>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30"/>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78">
        <v>0</v>
      </c>
      <c r="C19" s="729">
        <f t="shared" ref="C19:E19" si="12">B23</f>
        <v>0</v>
      </c>
      <c r="D19" s="778">
        <f t="shared" si="12"/>
        <v>0</v>
      </c>
      <c r="E19" s="729">
        <f t="shared" si="12"/>
        <v>0</v>
      </c>
      <c r="F19" s="729">
        <f t="shared" ref="F19:AK19" si="13">E23</f>
        <v>0</v>
      </c>
      <c r="G19" s="729">
        <f t="shared" si="13"/>
        <v>0</v>
      </c>
      <c r="H19" s="729">
        <f t="shared" si="13"/>
        <v>0</v>
      </c>
      <c r="I19" s="729">
        <f t="shared" si="13"/>
        <v>0</v>
      </c>
      <c r="J19" s="778">
        <f t="shared" si="13"/>
        <v>0</v>
      </c>
      <c r="K19" s="729">
        <f t="shared" si="13"/>
        <v>0</v>
      </c>
      <c r="L19" s="729">
        <f t="shared" si="13"/>
        <v>0</v>
      </c>
      <c r="M19" s="729">
        <f t="shared" si="13"/>
        <v>0</v>
      </c>
      <c r="N19" s="729">
        <f t="shared" si="13"/>
        <v>0</v>
      </c>
      <c r="O19" s="729">
        <f t="shared" si="13"/>
        <v>0</v>
      </c>
      <c r="P19" s="729">
        <f t="shared" si="13"/>
        <v>0</v>
      </c>
      <c r="Q19" s="729">
        <f t="shared" si="13"/>
        <v>0</v>
      </c>
      <c r="R19" s="729">
        <f t="shared" si="13"/>
        <v>0</v>
      </c>
      <c r="S19" s="729">
        <f t="shared" si="13"/>
        <v>0</v>
      </c>
      <c r="T19" s="729">
        <f t="shared" si="13"/>
        <v>0</v>
      </c>
      <c r="U19" s="729">
        <f t="shared" si="13"/>
        <v>0</v>
      </c>
      <c r="V19" s="729">
        <f t="shared" si="13"/>
        <v>0</v>
      </c>
      <c r="W19" s="729">
        <f t="shared" si="13"/>
        <v>0</v>
      </c>
      <c r="X19" s="729">
        <f t="shared" si="13"/>
        <v>0</v>
      </c>
      <c r="Y19" s="729">
        <f t="shared" si="13"/>
        <v>0</v>
      </c>
      <c r="Z19" s="729">
        <f t="shared" si="13"/>
        <v>0</v>
      </c>
      <c r="AA19" s="729">
        <f t="shared" si="13"/>
        <v>0</v>
      </c>
      <c r="AB19" s="729">
        <f t="shared" si="13"/>
        <v>0</v>
      </c>
      <c r="AC19" s="729">
        <f t="shared" si="13"/>
        <v>0</v>
      </c>
      <c r="AD19" s="729">
        <f t="shared" si="13"/>
        <v>0</v>
      </c>
      <c r="AE19" s="729">
        <f t="shared" si="13"/>
        <v>0</v>
      </c>
      <c r="AF19" s="729">
        <f t="shared" si="13"/>
        <v>0</v>
      </c>
      <c r="AG19" s="729">
        <f t="shared" si="13"/>
        <v>0</v>
      </c>
      <c r="AH19" s="729">
        <f t="shared" si="13"/>
        <v>0</v>
      </c>
      <c r="AI19" s="729">
        <f t="shared" si="13"/>
        <v>0</v>
      </c>
      <c r="AJ19" s="729">
        <f t="shared" si="13"/>
        <v>0</v>
      </c>
      <c r="AK19" s="736">
        <f t="shared" si="13"/>
        <v>0</v>
      </c>
    </row>
    <row r="20" spans="1:37" s="232" customFormat="1" x14ac:dyDescent="0.75">
      <c r="A20" s="703" t="s">
        <v>481</v>
      </c>
      <c r="B20" s="779">
        <f>IF(B9&lt;0,-B16,0)</f>
        <v>0</v>
      </c>
      <c r="C20" s="704">
        <f>IF(C9&lt;0,-C16,0)</f>
        <v>0</v>
      </c>
      <c r="D20" s="779">
        <f t="shared" ref="D20:AK20" si="14">IF(D9&lt;0,-D10+-D36,0)</f>
        <v>0</v>
      </c>
      <c r="E20" s="704">
        <f t="shared" si="14"/>
        <v>0</v>
      </c>
      <c r="F20" s="704">
        <f t="shared" si="14"/>
        <v>0</v>
      </c>
      <c r="G20" s="704">
        <f t="shared" si="14"/>
        <v>0</v>
      </c>
      <c r="H20" s="704">
        <f t="shared" si="14"/>
        <v>0</v>
      </c>
      <c r="I20" s="704">
        <f t="shared" si="14"/>
        <v>0</v>
      </c>
      <c r="J20" s="779">
        <f t="shared" si="14"/>
        <v>0</v>
      </c>
      <c r="K20" s="704">
        <f t="shared" si="14"/>
        <v>0</v>
      </c>
      <c r="L20" s="704">
        <f t="shared" si="14"/>
        <v>0</v>
      </c>
      <c r="M20" s="704">
        <f t="shared" si="14"/>
        <v>0</v>
      </c>
      <c r="N20" s="704">
        <f t="shared" si="14"/>
        <v>0</v>
      </c>
      <c r="O20" s="704">
        <f t="shared" si="14"/>
        <v>0</v>
      </c>
      <c r="P20" s="704">
        <f t="shared" si="14"/>
        <v>0</v>
      </c>
      <c r="Q20" s="704">
        <f t="shared" si="14"/>
        <v>0</v>
      </c>
      <c r="R20" s="704">
        <f t="shared" si="14"/>
        <v>0</v>
      </c>
      <c r="S20" s="704">
        <f t="shared" si="14"/>
        <v>0</v>
      </c>
      <c r="T20" s="704">
        <f t="shared" si="14"/>
        <v>0</v>
      </c>
      <c r="U20" s="704">
        <f t="shared" si="14"/>
        <v>0</v>
      </c>
      <c r="V20" s="704">
        <f t="shared" si="14"/>
        <v>0</v>
      </c>
      <c r="W20" s="704">
        <f t="shared" si="14"/>
        <v>0</v>
      </c>
      <c r="X20" s="704">
        <f t="shared" si="14"/>
        <v>0</v>
      </c>
      <c r="Y20" s="704">
        <f t="shared" si="14"/>
        <v>0</v>
      </c>
      <c r="Z20" s="704">
        <f t="shared" si="14"/>
        <v>0</v>
      </c>
      <c r="AA20" s="704">
        <f t="shared" si="14"/>
        <v>0</v>
      </c>
      <c r="AB20" s="704">
        <f t="shared" si="14"/>
        <v>0</v>
      </c>
      <c r="AC20" s="704">
        <f t="shared" si="14"/>
        <v>0</v>
      </c>
      <c r="AD20" s="704">
        <f t="shared" si="14"/>
        <v>0</v>
      </c>
      <c r="AE20" s="704">
        <f t="shared" si="14"/>
        <v>0</v>
      </c>
      <c r="AF20" s="704">
        <f t="shared" si="14"/>
        <v>0</v>
      </c>
      <c r="AG20" s="704">
        <f t="shared" si="14"/>
        <v>0</v>
      </c>
      <c r="AH20" s="704">
        <f t="shared" si="14"/>
        <v>0</v>
      </c>
      <c r="AI20" s="704">
        <f t="shared" si="14"/>
        <v>0</v>
      </c>
      <c r="AJ20" s="704">
        <f t="shared" si="14"/>
        <v>0</v>
      </c>
      <c r="AK20" s="705">
        <f t="shared" si="14"/>
        <v>0</v>
      </c>
    </row>
    <row r="21" spans="1:37" s="232" customFormat="1" x14ac:dyDescent="0.75">
      <c r="A21" s="703" t="s">
        <v>480</v>
      </c>
      <c r="B21" s="779">
        <f>IF(B9&gt;0,-MIN(B16,B19),0)</f>
        <v>0</v>
      </c>
      <c r="C21" s="704">
        <f>IF(C9&gt;0,-MIN(C16,C19),0)</f>
        <v>0</v>
      </c>
      <c r="D21" s="779">
        <f>IF(D9&gt;0,-MIN(D16,D19),0)</f>
        <v>0</v>
      </c>
      <c r="E21" s="704">
        <f>IF(E9&gt;0,-MIN(E16,E19),0)</f>
        <v>0</v>
      </c>
      <c r="F21" s="704">
        <f>IF(F9&gt;0,-MIN(F16,F19),0)</f>
        <v>0</v>
      </c>
      <c r="G21" s="704">
        <f t="shared" ref="G21:AK21" si="15">IF(G16&gt;0,-MIN(G16,G19),0)</f>
        <v>0</v>
      </c>
      <c r="H21" s="704">
        <f t="shared" si="15"/>
        <v>0</v>
      </c>
      <c r="I21" s="704">
        <f t="shared" si="15"/>
        <v>0</v>
      </c>
      <c r="J21" s="779">
        <f t="shared" si="15"/>
        <v>0</v>
      </c>
      <c r="K21" s="704">
        <f t="shared" si="15"/>
        <v>0</v>
      </c>
      <c r="L21" s="704">
        <f t="shared" si="15"/>
        <v>0</v>
      </c>
      <c r="M21" s="704">
        <f t="shared" si="15"/>
        <v>0</v>
      </c>
      <c r="N21" s="704">
        <f t="shared" si="15"/>
        <v>0</v>
      </c>
      <c r="O21" s="704">
        <f t="shared" si="15"/>
        <v>0</v>
      </c>
      <c r="P21" s="704">
        <f t="shared" si="15"/>
        <v>0</v>
      </c>
      <c r="Q21" s="704">
        <f t="shared" si="15"/>
        <v>0</v>
      </c>
      <c r="R21" s="704">
        <f t="shared" si="15"/>
        <v>0</v>
      </c>
      <c r="S21" s="704">
        <f t="shared" si="15"/>
        <v>0</v>
      </c>
      <c r="T21" s="704">
        <f t="shared" si="15"/>
        <v>0</v>
      </c>
      <c r="U21" s="704">
        <f t="shared" si="15"/>
        <v>0</v>
      </c>
      <c r="V21" s="704">
        <f t="shared" si="15"/>
        <v>0</v>
      </c>
      <c r="W21" s="704">
        <f t="shared" si="15"/>
        <v>0</v>
      </c>
      <c r="X21" s="704">
        <f t="shared" si="15"/>
        <v>0</v>
      </c>
      <c r="Y21" s="704">
        <f t="shared" si="15"/>
        <v>0</v>
      </c>
      <c r="Z21" s="704">
        <f t="shared" si="15"/>
        <v>0</v>
      </c>
      <c r="AA21" s="704">
        <f t="shared" si="15"/>
        <v>0</v>
      </c>
      <c r="AB21" s="704">
        <f t="shared" si="15"/>
        <v>0</v>
      </c>
      <c r="AC21" s="704">
        <f t="shared" si="15"/>
        <v>0</v>
      </c>
      <c r="AD21" s="704">
        <f t="shared" si="15"/>
        <v>0</v>
      </c>
      <c r="AE21" s="704">
        <f t="shared" si="15"/>
        <v>0</v>
      </c>
      <c r="AF21" s="704">
        <f t="shared" si="15"/>
        <v>0</v>
      </c>
      <c r="AG21" s="704">
        <f t="shared" si="15"/>
        <v>0</v>
      </c>
      <c r="AH21" s="704">
        <f t="shared" si="15"/>
        <v>0</v>
      </c>
      <c r="AI21" s="704">
        <f t="shared" si="15"/>
        <v>0</v>
      </c>
      <c r="AJ21" s="704">
        <f t="shared" si="15"/>
        <v>0</v>
      </c>
      <c r="AK21" s="705">
        <f t="shared" si="15"/>
        <v>0</v>
      </c>
    </row>
    <row r="22" spans="1:37" x14ac:dyDescent="0.75">
      <c r="A22" s="700" t="s">
        <v>479</v>
      </c>
      <c r="B22" s="772">
        <f t="shared" ref="B22:E22" si="16">B75</f>
        <v>0</v>
      </c>
      <c r="C22" s="694">
        <f t="shared" si="16"/>
        <v>0</v>
      </c>
      <c r="D22" s="772">
        <f t="shared" si="16"/>
        <v>0</v>
      </c>
      <c r="E22" s="694">
        <f t="shared" si="16"/>
        <v>0</v>
      </c>
      <c r="F22" s="694">
        <f t="shared" ref="F22:AK22" si="17">F75</f>
        <v>0</v>
      </c>
      <c r="G22" s="694">
        <f t="shared" si="17"/>
        <v>0</v>
      </c>
      <c r="H22" s="694">
        <f t="shared" si="17"/>
        <v>0</v>
      </c>
      <c r="I22" s="694">
        <f t="shared" si="17"/>
        <v>0</v>
      </c>
      <c r="J22" s="772">
        <f t="shared" si="17"/>
        <v>0</v>
      </c>
      <c r="K22" s="694">
        <f t="shared" si="17"/>
        <v>0</v>
      </c>
      <c r="L22" s="694">
        <f t="shared" si="17"/>
        <v>0</v>
      </c>
      <c r="M22" s="694">
        <f t="shared" si="17"/>
        <v>0</v>
      </c>
      <c r="N22" s="694">
        <f t="shared" si="17"/>
        <v>0</v>
      </c>
      <c r="O22" s="694">
        <f t="shared" si="17"/>
        <v>0</v>
      </c>
      <c r="P22" s="694">
        <f t="shared" si="17"/>
        <v>0</v>
      </c>
      <c r="Q22" s="694">
        <f t="shared" si="17"/>
        <v>0</v>
      </c>
      <c r="R22" s="694">
        <f t="shared" si="17"/>
        <v>0</v>
      </c>
      <c r="S22" s="694">
        <f t="shared" si="17"/>
        <v>0</v>
      </c>
      <c r="T22" s="694">
        <f t="shared" si="17"/>
        <v>0</v>
      </c>
      <c r="U22" s="694">
        <f t="shared" si="17"/>
        <v>0</v>
      </c>
      <c r="V22" s="694">
        <f t="shared" si="17"/>
        <v>0</v>
      </c>
      <c r="W22" s="694">
        <f t="shared" si="17"/>
        <v>0</v>
      </c>
      <c r="X22" s="694">
        <f t="shared" si="17"/>
        <v>0</v>
      </c>
      <c r="Y22" s="694">
        <f t="shared" si="17"/>
        <v>0</v>
      </c>
      <c r="Z22" s="694">
        <f t="shared" si="17"/>
        <v>0</v>
      </c>
      <c r="AA22" s="694">
        <f t="shared" si="17"/>
        <v>0</v>
      </c>
      <c r="AB22" s="694">
        <f t="shared" si="17"/>
        <v>0</v>
      </c>
      <c r="AC22" s="694">
        <f t="shared" si="17"/>
        <v>0</v>
      </c>
      <c r="AD22" s="694">
        <f t="shared" si="17"/>
        <v>0</v>
      </c>
      <c r="AE22" s="694">
        <f t="shared" si="17"/>
        <v>0</v>
      </c>
      <c r="AF22" s="694">
        <f t="shared" si="17"/>
        <v>0</v>
      </c>
      <c r="AG22" s="694">
        <f t="shared" si="17"/>
        <v>0</v>
      </c>
      <c r="AH22" s="694">
        <f t="shared" si="17"/>
        <v>0</v>
      </c>
      <c r="AI22" s="694">
        <f t="shared" si="17"/>
        <v>0</v>
      </c>
      <c r="AJ22" s="694">
        <f t="shared" si="17"/>
        <v>0</v>
      </c>
      <c r="AK22" s="695">
        <f t="shared" si="17"/>
        <v>0</v>
      </c>
    </row>
    <row r="23" spans="1:37" x14ac:dyDescent="0.75">
      <c r="A23" s="737" t="s">
        <v>478</v>
      </c>
      <c r="B23" s="774">
        <f t="shared" ref="B23:AK23" si="18">SUM(B19:B22)</f>
        <v>0</v>
      </c>
      <c r="C23" s="728">
        <f t="shared" si="18"/>
        <v>0</v>
      </c>
      <c r="D23" s="774">
        <f t="shared" si="18"/>
        <v>0</v>
      </c>
      <c r="E23" s="728">
        <f t="shared" si="18"/>
        <v>0</v>
      </c>
      <c r="F23" s="728">
        <f t="shared" si="18"/>
        <v>0</v>
      </c>
      <c r="G23" s="728">
        <f t="shared" si="18"/>
        <v>0</v>
      </c>
      <c r="H23" s="728">
        <f t="shared" si="18"/>
        <v>0</v>
      </c>
      <c r="I23" s="728">
        <f t="shared" si="18"/>
        <v>0</v>
      </c>
      <c r="J23" s="774">
        <f t="shared" si="18"/>
        <v>0</v>
      </c>
      <c r="K23" s="728">
        <f t="shared" si="18"/>
        <v>0</v>
      </c>
      <c r="L23" s="728">
        <f t="shared" si="18"/>
        <v>0</v>
      </c>
      <c r="M23" s="728">
        <f t="shared" si="18"/>
        <v>0</v>
      </c>
      <c r="N23" s="728">
        <f t="shared" si="18"/>
        <v>0</v>
      </c>
      <c r="O23" s="728">
        <f t="shared" si="18"/>
        <v>0</v>
      </c>
      <c r="P23" s="728">
        <f t="shared" si="18"/>
        <v>0</v>
      </c>
      <c r="Q23" s="728">
        <f t="shared" si="18"/>
        <v>0</v>
      </c>
      <c r="R23" s="728">
        <f t="shared" si="18"/>
        <v>0</v>
      </c>
      <c r="S23" s="728">
        <f t="shared" si="18"/>
        <v>0</v>
      </c>
      <c r="T23" s="728">
        <f t="shared" si="18"/>
        <v>0</v>
      </c>
      <c r="U23" s="728">
        <f t="shared" si="18"/>
        <v>0</v>
      </c>
      <c r="V23" s="728">
        <f t="shared" si="18"/>
        <v>0</v>
      </c>
      <c r="W23" s="728">
        <f t="shared" si="18"/>
        <v>0</v>
      </c>
      <c r="X23" s="728">
        <f t="shared" si="18"/>
        <v>0</v>
      </c>
      <c r="Y23" s="728">
        <f t="shared" si="18"/>
        <v>0</v>
      </c>
      <c r="Z23" s="728">
        <f t="shared" si="18"/>
        <v>0</v>
      </c>
      <c r="AA23" s="728">
        <f t="shared" si="18"/>
        <v>0</v>
      </c>
      <c r="AB23" s="728">
        <f t="shared" si="18"/>
        <v>0</v>
      </c>
      <c r="AC23" s="728">
        <f t="shared" si="18"/>
        <v>0</v>
      </c>
      <c r="AD23" s="728">
        <f t="shared" si="18"/>
        <v>0</v>
      </c>
      <c r="AE23" s="728">
        <f t="shared" si="18"/>
        <v>0</v>
      </c>
      <c r="AF23" s="728">
        <f t="shared" si="18"/>
        <v>0</v>
      </c>
      <c r="AG23" s="728">
        <f t="shared" si="18"/>
        <v>0</v>
      </c>
      <c r="AH23" s="728">
        <f t="shared" si="18"/>
        <v>0</v>
      </c>
      <c r="AI23" s="728">
        <f t="shared" si="18"/>
        <v>0</v>
      </c>
      <c r="AJ23" s="728">
        <f t="shared" si="18"/>
        <v>0</v>
      </c>
      <c r="AK23" s="734">
        <f t="shared" si="18"/>
        <v>0</v>
      </c>
    </row>
    <row r="24" spans="1:37" x14ac:dyDescent="0.75">
      <c r="A24" s="700"/>
      <c r="B24" s="730"/>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2" t="s">
        <v>477</v>
      </c>
      <c r="B25" s="780"/>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35" t="s">
        <v>476</v>
      </c>
      <c r="B26" s="781"/>
      <c r="C26" s="234">
        <f t="shared" ref="C26:AK26" si="19">IF(C9&lt;0,-C9,0)</f>
        <v>0</v>
      </c>
      <c r="D26" s="790">
        <f t="shared" si="19"/>
        <v>0</v>
      </c>
      <c r="E26" s="234">
        <f t="shared" si="19"/>
        <v>0</v>
      </c>
      <c r="F26" s="234">
        <f t="shared" si="19"/>
        <v>0</v>
      </c>
      <c r="G26" s="234">
        <f t="shared" si="19"/>
        <v>0</v>
      </c>
      <c r="H26" s="234">
        <f t="shared" si="19"/>
        <v>0</v>
      </c>
      <c r="I26" s="234">
        <f t="shared" si="19"/>
        <v>0</v>
      </c>
      <c r="J26" s="790">
        <f t="shared" si="19"/>
        <v>0</v>
      </c>
      <c r="K26" s="234">
        <f t="shared" si="19"/>
        <v>0</v>
      </c>
      <c r="L26" s="234">
        <f t="shared" si="19"/>
        <v>0</v>
      </c>
      <c r="M26" s="234">
        <f t="shared" si="19"/>
        <v>0</v>
      </c>
      <c r="N26" s="234">
        <f t="shared" si="19"/>
        <v>0</v>
      </c>
      <c r="O26" s="234">
        <f t="shared" si="19"/>
        <v>0</v>
      </c>
      <c r="P26" s="234">
        <f t="shared" si="19"/>
        <v>0</v>
      </c>
      <c r="Q26" s="234">
        <f t="shared" si="19"/>
        <v>0</v>
      </c>
      <c r="R26" s="234">
        <f t="shared" si="19"/>
        <v>0</v>
      </c>
      <c r="S26" s="234">
        <f t="shared" si="19"/>
        <v>0</v>
      </c>
      <c r="T26" s="234">
        <f t="shared" si="19"/>
        <v>0</v>
      </c>
      <c r="U26" s="234">
        <f t="shared" si="19"/>
        <v>0</v>
      </c>
      <c r="V26" s="234">
        <f t="shared" si="19"/>
        <v>0</v>
      </c>
      <c r="W26" s="234">
        <f t="shared" si="19"/>
        <v>0</v>
      </c>
      <c r="X26" s="234">
        <f t="shared" si="19"/>
        <v>0</v>
      </c>
      <c r="Y26" s="234">
        <f t="shared" si="19"/>
        <v>0</v>
      </c>
      <c r="Z26" s="234">
        <f t="shared" si="19"/>
        <v>0</v>
      </c>
      <c r="AA26" s="234">
        <f t="shared" si="19"/>
        <v>0</v>
      </c>
      <c r="AB26" s="234">
        <f t="shared" si="19"/>
        <v>0</v>
      </c>
      <c r="AC26" s="234">
        <f t="shared" si="19"/>
        <v>0</v>
      </c>
      <c r="AD26" s="234">
        <f t="shared" si="19"/>
        <v>0</v>
      </c>
      <c r="AE26" s="234">
        <f t="shared" si="19"/>
        <v>0</v>
      </c>
      <c r="AF26" s="234">
        <f t="shared" si="19"/>
        <v>0</v>
      </c>
      <c r="AG26" s="234">
        <f t="shared" si="19"/>
        <v>0</v>
      </c>
      <c r="AH26" s="234">
        <f t="shared" si="19"/>
        <v>0</v>
      </c>
      <c r="AI26" s="234">
        <f t="shared" si="19"/>
        <v>0</v>
      </c>
      <c r="AJ26" s="234">
        <f t="shared" si="19"/>
        <v>0</v>
      </c>
      <c r="AK26" s="717">
        <f t="shared" si="19"/>
        <v>0</v>
      </c>
    </row>
    <row r="27" spans="1:37" x14ac:dyDescent="0.75">
      <c r="A27" s="700" t="s">
        <v>475</v>
      </c>
      <c r="B27" s="782"/>
      <c r="C27" s="710"/>
      <c r="D27" s="791">
        <f t="shared" ref="D27:AK27" si="20">IF(AND(D9&lt;0,B9&gt;0,B9+D9&gt;=0),-D9*B5,0)</f>
        <v>0</v>
      </c>
      <c r="E27" s="235">
        <f t="shared" si="20"/>
        <v>0</v>
      </c>
      <c r="F27" s="235">
        <f t="shared" si="20"/>
        <v>0</v>
      </c>
      <c r="G27" s="235">
        <f t="shared" si="20"/>
        <v>0</v>
      </c>
      <c r="H27" s="235">
        <f t="shared" si="20"/>
        <v>0</v>
      </c>
      <c r="I27" s="235">
        <f t="shared" si="20"/>
        <v>0</v>
      </c>
      <c r="J27" s="791">
        <f t="shared" si="20"/>
        <v>0</v>
      </c>
      <c r="K27" s="235">
        <f t="shared" si="20"/>
        <v>0</v>
      </c>
      <c r="L27" s="235">
        <f t="shared" si="20"/>
        <v>0</v>
      </c>
      <c r="M27" s="235">
        <f t="shared" si="20"/>
        <v>0</v>
      </c>
      <c r="N27" s="235">
        <f t="shared" si="20"/>
        <v>0</v>
      </c>
      <c r="O27" s="235">
        <f t="shared" si="20"/>
        <v>0</v>
      </c>
      <c r="P27" s="235">
        <f t="shared" si="20"/>
        <v>0</v>
      </c>
      <c r="Q27" s="235">
        <f t="shared" si="20"/>
        <v>0</v>
      </c>
      <c r="R27" s="235">
        <f t="shared" si="20"/>
        <v>0</v>
      </c>
      <c r="S27" s="235">
        <f t="shared" si="20"/>
        <v>0</v>
      </c>
      <c r="T27" s="235">
        <f t="shared" si="20"/>
        <v>0</v>
      </c>
      <c r="U27" s="235">
        <f t="shared" si="20"/>
        <v>0</v>
      </c>
      <c r="V27" s="235">
        <f t="shared" si="20"/>
        <v>0</v>
      </c>
      <c r="W27" s="235">
        <f t="shared" si="20"/>
        <v>0</v>
      </c>
      <c r="X27" s="235">
        <f t="shared" si="20"/>
        <v>0</v>
      </c>
      <c r="Y27" s="235">
        <f t="shared" si="20"/>
        <v>0</v>
      </c>
      <c r="Z27" s="235">
        <f t="shared" si="20"/>
        <v>0</v>
      </c>
      <c r="AA27" s="235">
        <f t="shared" si="20"/>
        <v>0</v>
      </c>
      <c r="AB27" s="235">
        <f t="shared" si="20"/>
        <v>0</v>
      </c>
      <c r="AC27" s="235">
        <f t="shared" si="20"/>
        <v>0</v>
      </c>
      <c r="AD27" s="235">
        <f t="shared" si="20"/>
        <v>0</v>
      </c>
      <c r="AE27" s="235">
        <f t="shared" si="20"/>
        <v>0</v>
      </c>
      <c r="AF27" s="235">
        <f t="shared" si="20"/>
        <v>0</v>
      </c>
      <c r="AG27" s="235">
        <f t="shared" si="20"/>
        <v>0</v>
      </c>
      <c r="AH27" s="235">
        <f t="shared" si="20"/>
        <v>0</v>
      </c>
      <c r="AI27" s="235">
        <f t="shared" si="20"/>
        <v>0</v>
      </c>
      <c r="AJ27" s="235">
        <f t="shared" si="20"/>
        <v>0</v>
      </c>
      <c r="AK27" s="709">
        <f t="shared" si="20"/>
        <v>0</v>
      </c>
    </row>
    <row r="28" spans="1:37" x14ac:dyDescent="0.75">
      <c r="A28" s="711" t="s">
        <v>470</v>
      </c>
      <c r="B28" s="783"/>
      <c r="C28" s="713"/>
      <c r="D28" s="792">
        <f t="shared" ref="D28:AK28" si="21">IF(AND(D29=0,B9&gt;0),D26,0)</f>
        <v>0</v>
      </c>
      <c r="E28" s="714">
        <f t="shared" si="21"/>
        <v>0</v>
      </c>
      <c r="F28" s="714">
        <f t="shared" si="21"/>
        <v>0</v>
      </c>
      <c r="G28" s="714">
        <f t="shared" si="21"/>
        <v>0</v>
      </c>
      <c r="H28" s="714">
        <f t="shared" si="21"/>
        <v>0</v>
      </c>
      <c r="I28" s="714">
        <f t="shared" si="21"/>
        <v>0</v>
      </c>
      <c r="J28" s="792">
        <f t="shared" si="21"/>
        <v>0</v>
      </c>
      <c r="K28" s="714">
        <f t="shared" si="21"/>
        <v>0</v>
      </c>
      <c r="L28" s="714">
        <f t="shared" si="21"/>
        <v>0</v>
      </c>
      <c r="M28" s="714">
        <f t="shared" si="21"/>
        <v>0</v>
      </c>
      <c r="N28" s="714">
        <f t="shared" si="21"/>
        <v>0</v>
      </c>
      <c r="O28" s="714">
        <f t="shared" si="21"/>
        <v>0</v>
      </c>
      <c r="P28" s="714">
        <f t="shared" si="21"/>
        <v>0</v>
      </c>
      <c r="Q28" s="714">
        <f t="shared" si="21"/>
        <v>0</v>
      </c>
      <c r="R28" s="714">
        <f t="shared" si="21"/>
        <v>0</v>
      </c>
      <c r="S28" s="714">
        <f t="shared" si="21"/>
        <v>0</v>
      </c>
      <c r="T28" s="714">
        <f t="shared" si="21"/>
        <v>0</v>
      </c>
      <c r="U28" s="714">
        <f t="shared" si="21"/>
        <v>0</v>
      </c>
      <c r="V28" s="714">
        <f t="shared" si="21"/>
        <v>0</v>
      </c>
      <c r="W28" s="714">
        <f t="shared" si="21"/>
        <v>0</v>
      </c>
      <c r="X28" s="714">
        <f t="shared" si="21"/>
        <v>0</v>
      </c>
      <c r="Y28" s="714">
        <f t="shared" si="21"/>
        <v>0</v>
      </c>
      <c r="Z28" s="714">
        <f t="shared" si="21"/>
        <v>0</v>
      </c>
      <c r="AA28" s="714">
        <f t="shared" si="21"/>
        <v>0</v>
      </c>
      <c r="AB28" s="714">
        <f t="shared" si="21"/>
        <v>0</v>
      </c>
      <c r="AC28" s="714">
        <f t="shared" si="21"/>
        <v>0</v>
      </c>
      <c r="AD28" s="714">
        <f t="shared" si="21"/>
        <v>0</v>
      </c>
      <c r="AE28" s="714">
        <f t="shared" si="21"/>
        <v>0</v>
      </c>
      <c r="AF28" s="714">
        <f t="shared" si="21"/>
        <v>0</v>
      </c>
      <c r="AG28" s="714">
        <f t="shared" si="21"/>
        <v>0</v>
      </c>
      <c r="AH28" s="714">
        <f t="shared" si="21"/>
        <v>0</v>
      </c>
      <c r="AI28" s="714">
        <f t="shared" si="21"/>
        <v>0</v>
      </c>
      <c r="AJ28" s="714">
        <f t="shared" si="21"/>
        <v>0</v>
      </c>
      <c r="AK28" s="715">
        <f t="shared" si="21"/>
        <v>0</v>
      </c>
    </row>
    <row r="29" spans="1:37" x14ac:dyDescent="0.75">
      <c r="A29" s="700" t="s">
        <v>474</v>
      </c>
      <c r="B29" s="782"/>
      <c r="C29" s="710"/>
      <c r="D29" s="791">
        <f t="shared" ref="D29:AK29" si="22">IF(AND(D9&lt;0,B9&gt;0,B9+D9&lt;0),B9*B5,0)</f>
        <v>0</v>
      </c>
      <c r="E29" s="235">
        <f t="shared" si="22"/>
        <v>0</v>
      </c>
      <c r="F29" s="235">
        <f t="shared" si="22"/>
        <v>0</v>
      </c>
      <c r="G29" s="235">
        <f t="shared" si="22"/>
        <v>0</v>
      </c>
      <c r="H29" s="235">
        <f t="shared" si="22"/>
        <v>0</v>
      </c>
      <c r="I29" s="235">
        <f t="shared" si="22"/>
        <v>0</v>
      </c>
      <c r="J29" s="791">
        <f t="shared" si="22"/>
        <v>0</v>
      </c>
      <c r="K29" s="235">
        <f t="shared" si="22"/>
        <v>0</v>
      </c>
      <c r="L29" s="235">
        <f t="shared" si="22"/>
        <v>0</v>
      </c>
      <c r="M29" s="235">
        <f t="shared" si="22"/>
        <v>0</v>
      </c>
      <c r="N29" s="235">
        <f t="shared" si="22"/>
        <v>0</v>
      </c>
      <c r="O29" s="235">
        <f t="shared" si="22"/>
        <v>0</v>
      </c>
      <c r="P29" s="235">
        <f t="shared" si="22"/>
        <v>0</v>
      </c>
      <c r="Q29" s="235">
        <f t="shared" si="22"/>
        <v>0</v>
      </c>
      <c r="R29" s="235">
        <f t="shared" si="22"/>
        <v>0</v>
      </c>
      <c r="S29" s="235">
        <f t="shared" si="22"/>
        <v>0</v>
      </c>
      <c r="T29" s="235">
        <f t="shared" si="22"/>
        <v>0</v>
      </c>
      <c r="U29" s="235">
        <f t="shared" si="22"/>
        <v>0</v>
      </c>
      <c r="V29" s="235">
        <f t="shared" si="22"/>
        <v>0</v>
      </c>
      <c r="W29" s="235">
        <f t="shared" si="22"/>
        <v>0</v>
      </c>
      <c r="X29" s="235">
        <f t="shared" si="22"/>
        <v>0</v>
      </c>
      <c r="Y29" s="235">
        <f t="shared" si="22"/>
        <v>0</v>
      </c>
      <c r="Z29" s="235">
        <f t="shared" si="22"/>
        <v>0</v>
      </c>
      <c r="AA29" s="235">
        <f t="shared" si="22"/>
        <v>0</v>
      </c>
      <c r="AB29" s="235">
        <f t="shared" si="22"/>
        <v>0</v>
      </c>
      <c r="AC29" s="235">
        <f t="shared" si="22"/>
        <v>0</v>
      </c>
      <c r="AD29" s="235">
        <f t="shared" si="22"/>
        <v>0</v>
      </c>
      <c r="AE29" s="235">
        <f t="shared" si="22"/>
        <v>0</v>
      </c>
      <c r="AF29" s="235">
        <f t="shared" si="22"/>
        <v>0</v>
      </c>
      <c r="AG29" s="235">
        <f t="shared" si="22"/>
        <v>0</v>
      </c>
      <c r="AH29" s="235">
        <f t="shared" si="22"/>
        <v>0</v>
      </c>
      <c r="AI29" s="235">
        <f t="shared" si="22"/>
        <v>0</v>
      </c>
      <c r="AJ29" s="235">
        <f t="shared" si="22"/>
        <v>0</v>
      </c>
      <c r="AK29" s="709">
        <f t="shared" si="22"/>
        <v>0</v>
      </c>
    </row>
    <row r="30" spans="1:37" x14ac:dyDescent="0.75">
      <c r="A30" s="711" t="s">
        <v>470</v>
      </c>
      <c r="B30" s="783"/>
      <c r="C30" s="713"/>
      <c r="D30" s="792">
        <f t="shared" ref="D30:AK30" si="23">IF(AND(D27=0,B9&gt;0,D9&lt;0),B9,0)</f>
        <v>0</v>
      </c>
      <c r="E30" s="714">
        <f t="shared" si="23"/>
        <v>0</v>
      </c>
      <c r="F30" s="714">
        <f t="shared" si="23"/>
        <v>0</v>
      </c>
      <c r="G30" s="714">
        <f t="shared" si="23"/>
        <v>0</v>
      </c>
      <c r="H30" s="714">
        <f t="shared" si="23"/>
        <v>0</v>
      </c>
      <c r="I30" s="714">
        <f t="shared" si="23"/>
        <v>0</v>
      </c>
      <c r="J30" s="792">
        <f t="shared" si="23"/>
        <v>0</v>
      </c>
      <c r="K30" s="714">
        <f t="shared" si="23"/>
        <v>0</v>
      </c>
      <c r="L30" s="714">
        <f t="shared" si="23"/>
        <v>0</v>
      </c>
      <c r="M30" s="714">
        <f t="shared" si="23"/>
        <v>0</v>
      </c>
      <c r="N30" s="714">
        <f t="shared" si="23"/>
        <v>0</v>
      </c>
      <c r="O30" s="714">
        <f t="shared" si="23"/>
        <v>0</v>
      </c>
      <c r="P30" s="714">
        <f t="shared" si="23"/>
        <v>0</v>
      </c>
      <c r="Q30" s="714">
        <f t="shared" si="23"/>
        <v>0</v>
      </c>
      <c r="R30" s="714">
        <f t="shared" si="23"/>
        <v>0</v>
      </c>
      <c r="S30" s="714">
        <f t="shared" si="23"/>
        <v>0</v>
      </c>
      <c r="T30" s="714">
        <f t="shared" si="23"/>
        <v>0</v>
      </c>
      <c r="U30" s="714">
        <f t="shared" si="23"/>
        <v>0</v>
      </c>
      <c r="V30" s="714">
        <f t="shared" si="23"/>
        <v>0</v>
      </c>
      <c r="W30" s="714">
        <f t="shared" si="23"/>
        <v>0</v>
      </c>
      <c r="X30" s="714">
        <f t="shared" si="23"/>
        <v>0</v>
      </c>
      <c r="Y30" s="714">
        <f t="shared" si="23"/>
        <v>0</v>
      </c>
      <c r="Z30" s="714">
        <f t="shared" si="23"/>
        <v>0</v>
      </c>
      <c r="AA30" s="714">
        <f t="shared" si="23"/>
        <v>0</v>
      </c>
      <c r="AB30" s="714">
        <f t="shared" si="23"/>
        <v>0</v>
      </c>
      <c r="AC30" s="714">
        <f t="shared" si="23"/>
        <v>0</v>
      </c>
      <c r="AD30" s="714">
        <f t="shared" si="23"/>
        <v>0</v>
      </c>
      <c r="AE30" s="714">
        <f t="shared" si="23"/>
        <v>0</v>
      </c>
      <c r="AF30" s="714">
        <f t="shared" si="23"/>
        <v>0</v>
      </c>
      <c r="AG30" s="714">
        <f t="shared" si="23"/>
        <v>0</v>
      </c>
      <c r="AH30" s="714">
        <f t="shared" si="23"/>
        <v>0</v>
      </c>
      <c r="AI30" s="714">
        <f t="shared" si="23"/>
        <v>0</v>
      </c>
      <c r="AJ30" s="714">
        <f t="shared" si="23"/>
        <v>0</v>
      </c>
      <c r="AK30" s="715">
        <f t="shared" si="23"/>
        <v>0</v>
      </c>
    </row>
    <row r="31" spans="1:37" x14ac:dyDescent="0.75">
      <c r="A31" s="716" t="s">
        <v>473</v>
      </c>
      <c r="B31" s="784"/>
      <c r="C31" s="234">
        <f t="shared" ref="C31:AK31" si="24">C26-C30-C28</f>
        <v>0</v>
      </c>
      <c r="D31" s="790">
        <f t="shared" si="24"/>
        <v>0</v>
      </c>
      <c r="E31" s="234">
        <f t="shared" si="24"/>
        <v>0</v>
      </c>
      <c r="F31" s="234">
        <f t="shared" si="24"/>
        <v>0</v>
      </c>
      <c r="G31" s="234">
        <f t="shared" si="24"/>
        <v>0</v>
      </c>
      <c r="H31" s="234">
        <f t="shared" si="24"/>
        <v>0</v>
      </c>
      <c r="I31" s="234">
        <f t="shared" si="24"/>
        <v>0</v>
      </c>
      <c r="J31" s="790">
        <f t="shared" si="24"/>
        <v>0</v>
      </c>
      <c r="K31" s="234">
        <f t="shared" si="24"/>
        <v>0</v>
      </c>
      <c r="L31" s="234">
        <f t="shared" si="24"/>
        <v>0</v>
      </c>
      <c r="M31" s="234">
        <f t="shared" si="24"/>
        <v>0</v>
      </c>
      <c r="N31" s="234">
        <f t="shared" si="24"/>
        <v>0</v>
      </c>
      <c r="O31" s="234">
        <f t="shared" si="24"/>
        <v>0</v>
      </c>
      <c r="P31" s="234">
        <f t="shared" si="24"/>
        <v>0</v>
      </c>
      <c r="Q31" s="234">
        <f t="shared" si="24"/>
        <v>0</v>
      </c>
      <c r="R31" s="234">
        <f t="shared" si="24"/>
        <v>0</v>
      </c>
      <c r="S31" s="234">
        <f t="shared" si="24"/>
        <v>0</v>
      </c>
      <c r="T31" s="234">
        <f t="shared" si="24"/>
        <v>0</v>
      </c>
      <c r="U31" s="234">
        <f t="shared" si="24"/>
        <v>0</v>
      </c>
      <c r="V31" s="234">
        <f t="shared" si="24"/>
        <v>0</v>
      </c>
      <c r="W31" s="234">
        <f t="shared" si="24"/>
        <v>0</v>
      </c>
      <c r="X31" s="234">
        <f t="shared" si="24"/>
        <v>0</v>
      </c>
      <c r="Y31" s="234">
        <f t="shared" si="24"/>
        <v>0</v>
      </c>
      <c r="Z31" s="234">
        <f t="shared" si="24"/>
        <v>0</v>
      </c>
      <c r="AA31" s="234">
        <f t="shared" si="24"/>
        <v>0</v>
      </c>
      <c r="AB31" s="234">
        <f t="shared" si="24"/>
        <v>0</v>
      </c>
      <c r="AC31" s="234">
        <f t="shared" si="24"/>
        <v>0</v>
      </c>
      <c r="AD31" s="234">
        <f t="shared" si="24"/>
        <v>0</v>
      </c>
      <c r="AE31" s="234">
        <f t="shared" si="24"/>
        <v>0</v>
      </c>
      <c r="AF31" s="234">
        <f t="shared" si="24"/>
        <v>0</v>
      </c>
      <c r="AG31" s="234">
        <f t="shared" si="24"/>
        <v>0</v>
      </c>
      <c r="AH31" s="234">
        <f t="shared" si="24"/>
        <v>0</v>
      </c>
      <c r="AI31" s="234">
        <f t="shared" si="24"/>
        <v>0</v>
      </c>
      <c r="AJ31" s="234">
        <f t="shared" si="24"/>
        <v>0</v>
      </c>
      <c r="AK31" s="717">
        <f t="shared" si="24"/>
        <v>0</v>
      </c>
    </row>
    <row r="32" spans="1:37" x14ac:dyDescent="0.75">
      <c r="A32" s="700" t="s">
        <v>472</v>
      </c>
      <c r="B32" s="782"/>
      <c r="C32" s="235">
        <f>IF(AND(C9&lt;0,B9&gt;0,B9+C9&gt;=0),-C9*B5,0)</f>
        <v>0</v>
      </c>
      <c r="D32" s="791">
        <f t="shared" ref="D32:AK32" si="25">IF(AND(D31&gt;0,D31&lt;=C10,D31&lt;=-D9),D31*C5,0)</f>
        <v>0</v>
      </c>
      <c r="E32" s="235">
        <f t="shared" si="25"/>
        <v>0</v>
      </c>
      <c r="F32" s="235">
        <f t="shared" si="25"/>
        <v>0</v>
      </c>
      <c r="G32" s="235">
        <f t="shared" si="25"/>
        <v>0</v>
      </c>
      <c r="H32" s="235">
        <f t="shared" si="25"/>
        <v>0</v>
      </c>
      <c r="I32" s="235">
        <f t="shared" si="25"/>
        <v>0</v>
      </c>
      <c r="J32" s="791">
        <f t="shared" si="25"/>
        <v>0</v>
      </c>
      <c r="K32" s="235">
        <f t="shared" si="25"/>
        <v>0</v>
      </c>
      <c r="L32" s="235">
        <f t="shared" si="25"/>
        <v>0</v>
      </c>
      <c r="M32" s="235">
        <f t="shared" si="25"/>
        <v>0</v>
      </c>
      <c r="N32" s="235">
        <f t="shared" si="25"/>
        <v>0</v>
      </c>
      <c r="O32" s="235">
        <f t="shared" si="25"/>
        <v>0</v>
      </c>
      <c r="P32" s="235">
        <f t="shared" si="25"/>
        <v>0</v>
      </c>
      <c r="Q32" s="235">
        <f t="shared" si="25"/>
        <v>0</v>
      </c>
      <c r="R32" s="235">
        <f t="shared" si="25"/>
        <v>0</v>
      </c>
      <c r="S32" s="235">
        <f t="shared" si="25"/>
        <v>0</v>
      </c>
      <c r="T32" s="235">
        <f t="shared" si="25"/>
        <v>0</v>
      </c>
      <c r="U32" s="235">
        <f t="shared" si="25"/>
        <v>0</v>
      </c>
      <c r="V32" s="235">
        <f t="shared" si="25"/>
        <v>0</v>
      </c>
      <c r="W32" s="235">
        <f t="shared" si="25"/>
        <v>0</v>
      </c>
      <c r="X32" s="235">
        <f t="shared" si="25"/>
        <v>0</v>
      </c>
      <c r="Y32" s="235">
        <f t="shared" si="25"/>
        <v>0</v>
      </c>
      <c r="Z32" s="235">
        <f t="shared" si="25"/>
        <v>0</v>
      </c>
      <c r="AA32" s="235">
        <f t="shared" si="25"/>
        <v>0</v>
      </c>
      <c r="AB32" s="235">
        <f t="shared" si="25"/>
        <v>0</v>
      </c>
      <c r="AC32" s="235">
        <f t="shared" si="25"/>
        <v>0</v>
      </c>
      <c r="AD32" s="235">
        <f t="shared" si="25"/>
        <v>0</v>
      </c>
      <c r="AE32" s="235">
        <f t="shared" si="25"/>
        <v>0</v>
      </c>
      <c r="AF32" s="235">
        <f t="shared" si="25"/>
        <v>0</v>
      </c>
      <c r="AG32" s="235">
        <f t="shared" si="25"/>
        <v>0</v>
      </c>
      <c r="AH32" s="235">
        <f t="shared" si="25"/>
        <v>0</v>
      </c>
      <c r="AI32" s="235">
        <f t="shared" si="25"/>
        <v>0</v>
      </c>
      <c r="AJ32" s="235">
        <f t="shared" si="25"/>
        <v>0</v>
      </c>
      <c r="AK32" s="709">
        <f t="shared" si="25"/>
        <v>0</v>
      </c>
    </row>
    <row r="33" spans="1:37" x14ac:dyDescent="0.75">
      <c r="A33" s="711" t="s">
        <v>470</v>
      </c>
      <c r="B33" s="783"/>
      <c r="C33" s="714">
        <f>IF(AND(C29=0,B9&gt;0),C26,0)</f>
        <v>0</v>
      </c>
      <c r="D33" s="792">
        <f t="shared" ref="D33:AK33" si="26">IF(D32&gt;0,D31,0)</f>
        <v>0</v>
      </c>
      <c r="E33" s="714">
        <f t="shared" si="26"/>
        <v>0</v>
      </c>
      <c r="F33" s="714">
        <f t="shared" si="26"/>
        <v>0</v>
      </c>
      <c r="G33" s="714">
        <f t="shared" si="26"/>
        <v>0</v>
      </c>
      <c r="H33" s="714">
        <f t="shared" si="26"/>
        <v>0</v>
      </c>
      <c r="I33" s="714">
        <f t="shared" si="26"/>
        <v>0</v>
      </c>
      <c r="J33" s="792">
        <f t="shared" si="26"/>
        <v>0</v>
      </c>
      <c r="K33" s="714">
        <f t="shared" si="26"/>
        <v>0</v>
      </c>
      <c r="L33" s="714">
        <f t="shared" si="26"/>
        <v>0</v>
      </c>
      <c r="M33" s="714">
        <f t="shared" si="26"/>
        <v>0</v>
      </c>
      <c r="N33" s="714">
        <f t="shared" si="26"/>
        <v>0</v>
      </c>
      <c r="O33" s="714">
        <f t="shared" si="26"/>
        <v>0</v>
      </c>
      <c r="P33" s="714">
        <f t="shared" si="26"/>
        <v>0</v>
      </c>
      <c r="Q33" s="714">
        <f t="shared" si="26"/>
        <v>0</v>
      </c>
      <c r="R33" s="714">
        <f t="shared" si="26"/>
        <v>0</v>
      </c>
      <c r="S33" s="714">
        <f t="shared" si="26"/>
        <v>0</v>
      </c>
      <c r="T33" s="714">
        <f t="shared" si="26"/>
        <v>0</v>
      </c>
      <c r="U33" s="714">
        <f t="shared" si="26"/>
        <v>0</v>
      </c>
      <c r="V33" s="714">
        <f t="shared" si="26"/>
        <v>0</v>
      </c>
      <c r="W33" s="714">
        <f t="shared" si="26"/>
        <v>0</v>
      </c>
      <c r="X33" s="714">
        <f t="shared" si="26"/>
        <v>0</v>
      </c>
      <c r="Y33" s="714">
        <f t="shared" si="26"/>
        <v>0</v>
      </c>
      <c r="Z33" s="714">
        <f t="shared" si="26"/>
        <v>0</v>
      </c>
      <c r="AA33" s="714">
        <f t="shared" si="26"/>
        <v>0</v>
      </c>
      <c r="AB33" s="714">
        <f t="shared" si="26"/>
        <v>0</v>
      </c>
      <c r="AC33" s="714">
        <f t="shared" si="26"/>
        <v>0</v>
      </c>
      <c r="AD33" s="714">
        <f t="shared" si="26"/>
        <v>0</v>
      </c>
      <c r="AE33" s="714">
        <f t="shared" si="26"/>
        <v>0</v>
      </c>
      <c r="AF33" s="714">
        <f t="shared" si="26"/>
        <v>0</v>
      </c>
      <c r="AG33" s="714">
        <f t="shared" si="26"/>
        <v>0</v>
      </c>
      <c r="AH33" s="714">
        <f t="shared" si="26"/>
        <v>0</v>
      </c>
      <c r="AI33" s="714">
        <f t="shared" si="26"/>
        <v>0</v>
      </c>
      <c r="AJ33" s="714">
        <f t="shared" si="26"/>
        <v>0</v>
      </c>
      <c r="AK33" s="715">
        <f t="shared" si="26"/>
        <v>0</v>
      </c>
    </row>
    <row r="34" spans="1:37" x14ac:dyDescent="0.75">
      <c r="A34" s="700" t="s">
        <v>471</v>
      </c>
      <c r="B34" s="782"/>
      <c r="C34" s="235">
        <f>IF(AND(C9&lt;0,B9&gt;0,B9+C9&lt;0),B9*B5,0)</f>
        <v>0</v>
      </c>
      <c r="D34" s="791">
        <f t="shared" ref="D34:AK34" si="27">IF(AND(D31&gt;0,D31&gt;C10,C10&gt;0,D31&lt;=-D9),C10*C5,0)</f>
        <v>0</v>
      </c>
      <c r="E34" s="235">
        <f t="shared" si="27"/>
        <v>0</v>
      </c>
      <c r="F34" s="235">
        <f t="shared" si="27"/>
        <v>0</v>
      </c>
      <c r="G34" s="235">
        <f t="shared" si="27"/>
        <v>0</v>
      </c>
      <c r="H34" s="235">
        <f t="shared" si="27"/>
        <v>0</v>
      </c>
      <c r="I34" s="235">
        <f t="shared" si="27"/>
        <v>0</v>
      </c>
      <c r="J34" s="791">
        <f t="shared" si="27"/>
        <v>0</v>
      </c>
      <c r="K34" s="235">
        <f t="shared" si="27"/>
        <v>0</v>
      </c>
      <c r="L34" s="235">
        <f t="shared" si="27"/>
        <v>0</v>
      </c>
      <c r="M34" s="235">
        <f t="shared" si="27"/>
        <v>0</v>
      </c>
      <c r="N34" s="235">
        <f t="shared" si="27"/>
        <v>0</v>
      </c>
      <c r="O34" s="235">
        <f t="shared" si="27"/>
        <v>0</v>
      </c>
      <c r="P34" s="235">
        <f t="shared" si="27"/>
        <v>0</v>
      </c>
      <c r="Q34" s="235">
        <f t="shared" si="27"/>
        <v>0</v>
      </c>
      <c r="R34" s="235">
        <f t="shared" si="27"/>
        <v>0</v>
      </c>
      <c r="S34" s="235">
        <f t="shared" si="27"/>
        <v>0</v>
      </c>
      <c r="T34" s="235">
        <f t="shared" si="27"/>
        <v>0</v>
      </c>
      <c r="U34" s="235">
        <f t="shared" si="27"/>
        <v>0</v>
      </c>
      <c r="V34" s="235">
        <f t="shared" si="27"/>
        <v>0</v>
      </c>
      <c r="W34" s="235">
        <f t="shared" si="27"/>
        <v>0</v>
      </c>
      <c r="X34" s="235">
        <f t="shared" si="27"/>
        <v>0</v>
      </c>
      <c r="Y34" s="235">
        <f t="shared" si="27"/>
        <v>0</v>
      </c>
      <c r="Z34" s="235">
        <f t="shared" si="27"/>
        <v>0</v>
      </c>
      <c r="AA34" s="235">
        <f t="shared" si="27"/>
        <v>0</v>
      </c>
      <c r="AB34" s="235">
        <f t="shared" si="27"/>
        <v>0</v>
      </c>
      <c r="AC34" s="235">
        <f t="shared" si="27"/>
        <v>0</v>
      </c>
      <c r="AD34" s="235">
        <f t="shared" si="27"/>
        <v>0</v>
      </c>
      <c r="AE34" s="235">
        <f t="shared" si="27"/>
        <v>0</v>
      </c>
      <c r="AF34" s="235">
        <f t="shared" si="27"/>
        <v>0</v>
      </c>
      <c r="AG34" s="235">
        <f t="shared" si="27"/>
        <v>0</v>
      </c>
      <c r="AH34" s="235">
        <f t="shared" si="27"/>
        <v>0</v>
      </c>
      <c r="AI34" s="235">
        <f t="shared" si="27"/>
        <v>0</v>
      </c>
      <c r="AJ34" s="235">
        <f t="shared" si="27"/>
        <v>0</v>
      </c>
      <c r="AK34" s="709">
        <f t="shared" si="27"/>
        <v>0</v>
      </c>
    </row>
    <row r="35" spans="1:37" x14ac:dyDescent="0.75">
      <c r="A35" s="711" t="s">
        <v>470</v>
      </c>
      <c r="B35" s="783"/>
      <c r="C35" s="714">
        <f>IF(AND(C27=0,B9&gt;0,C9&lt;0),B9,0)</f>
        <v>0</v>
      </c>
      <c r="D35" s="792">
        <f t="shared" ref="D35:AK35" si="28">IF(D34&gt;0,C10,0)</f>
        <v>0</v>
      </c>
      <c r="E35" s="714">
        <f t="shared" si="28"/>
        <v>0</v>
      </c>
      <c r="F35" s="714">
        <f t="shared" si="28"/>
        <v>0</v>
      </c>
      <c r="G35" s="714">
        <f t="shared" si="28"/>
        <v>0</v>
      </c>
      <c r="H35" s="714">
        <f t="shared" si="28"/>
        <v>0</v>
      </c>
      <c r="I35" s="714">
        <f t="shared" si="28"/>
        <v>0</v>
      </c>
      <c r="J35" s="792">
        <f t="shared" si="28"/>
        <v>0</v>
      </c>
      <c r="K35" s="714">
        <f t="shared" si="28"/>
        <v>0</v>
      </c>
      <c r="L35" s="714">
        <f t="shared" si="28"/>
        <v>0</v>
      </c>
      <c r="M35" s="714">
        <f t="shared" si="28"/>
        <v>0</v>
      </c>
      <c r="N35" s="714">
        <f t="shared" si="28"/>
        <v>0</v>
      </c>
      <c r="O35" s="714">
        <f t="shared" si="28"/>
        <v>0</v>
      </c>
      <c r="P35" s="714">
        <f t="shared" si="28"/>
        <v>0</v>
      </c>
      <c r="Q35" s="714">
        <f t="shared" si="28"/>
        <v>0</v>
      </c>
      <c r="R35" s="714">
        <f t="shared" si="28"/>
        <v>0</v>
      </c>
      <c r="S35" s="714">
        <f t="shared" si="28"/>
        <v>0</v>
      </c>
      <c r="T35" s="714">
        <f t="shared" si="28"/>
        <v>0</v>
      </c>
      <c r="U35" s="714">
        <f t="shared" si="28"/>
        <v>0</v>
      </c>
      <c r="V35" s="714">
        <f t="shared" si="28"/>
        <v>0</v>
      </c>
      <c r="W35" s="714">
        <f t="shared" si="28"/>
        <v>0</v>
      </c>
      <c r="X35" s="714">
        <f t="shared" si="28"/>
        <v>0</v>
      </c>
      <c r="Y35" s="714">
        <f t="shared" si="28"/>
        <v>0</v>
      </c>
      <c r="Z35" s="714">
        <f t="shared" si="28"/>
        <v>0</v>
      </c>
      <c r="AA35" s="714">
        <f t="shared" si="28"/>
        <v>0</v>
      </c>
      <c r="AB35" s="714">
        <f t="shared" si="28"/>
        <v>0</v>
      </c>
      <c r="AC35" s="714">
        <f t="shared" si="28"/>
        <v>0</v>
      </c>
      <c r="AD35" s="714">
        <f t="shared" si="28"/>
        <v>0</v>
      </c>
      <c r="AE35" s="714">
        <f t="shared" si="28"/>
        <v>0</v>
      </c>
      <c r="AF35" s="714">
        <f t="shared" si="28"/>
        <v>0</v>
      </c>
      <c r="AG35" s="714">
        <f t="shared" si="28"/>
        <v>0</v>
      </c>
      <c r="AH35" s="714">
        <f t="shared" si="28"/>
        <v>0</v>
      </c>
      <c r="AI35" s="714">
        <f t="shared" si="28"/>
        <v>0</v>
      </c>
      <c r="AJ35" s="714">
        <f t="shared" si="28"/>
        <v>0</v>
      </c>
      <c r="AK35" s="715">
        <f t="shared" si="28"/>
        <v>0</v>
      </c>
    </row>
    <row r="36" spans="1:37" x14ac:dyDescent="0.75">
      <c r="A36" s="718" t="s">
        <v>469</v>
      </c>
      <c r="B36" s="785"/>
      <c r="C36" s="234">
        <f t="shared" ref="C36:AK36" si="29">SUM(C28,C30,C33,C35)</f>
        <v>0</v>
      </c>
      <c r="D36" s="790">
        <f t="shared" si="29"/>
        <v>0</v>
      </c>
      <c r="E36" s="234">
        <f t="shared" si="29"/>
        <v>0</v>
      </c>
      <c r="F36" s="234">
        <f t="shared" si="29"/>
        <v>0</v>
      </c>
      <c r="G36" s="234">
        <f t="shared" si="29"/>
        <v>0</v>
      </c>
      <c r="H36" s="234">
        <f t="shared" si="29"/>
        <v>0</v>
      </c>
      <c r="I36" s="234">
        <f t="shared" si="29"/>
        <v>0</v>
      </c>
      <c r="J36" s="790">
        <f t="shared" si="29"/>
        <v>0</v>
      </c>
      <c r="K36" s="234">
        <f t="shared" si="29"/>
        <v>0</v>
      </c>
      <c r="L36" s="234">
        <f t="shared" si="29"/>
        <v>0</v>
      </c>
      <c r="M36" s="234">
        <f t="shared" si="29"/>
        <v>0</v>
      </c>
      <c r="N36" s="234">
        <f t="shared" si="29"/>
        <v>0</v>
      </c>
      <c r="O36" s="234">
        <f t="shared" si="29"/>
        <v>0</v>
      </c>
      <c r="P36" s="234">
        <f t="shared" si="29"/>
        <v>0</v>
      </c>
      <c r="Q36" s="234">
        <f t="shared" si="29"/>
        <v>0</v>
      </c>
      <c r="R36" s="234">
        <f t="shared" si="29"/>
        <v>0</v>
      </c>
      <c r="S36" s="234">
        <f t="shared" si="29"/>
        <v>0</v>
      </c>
      <c r="T36" s="234">
        <f t="shared" si="29"/>
        <v>0</v>
      </c>
      <c r="U36" s="234">
        <f t="shared" si="29"/>
        <v>0</v>
      </c>
      <c r="V36" s="234">
        <f t="shared" si="29"/>
        <v>0</v>
      </c>
      <c r="W36" s="234">
        <f t="shared" si="29"/>
        <v>0</v>
      </c>
      <c r="X36" s="234">
        <f t="shared" si="29"/>
        <v>0</v>
      </c>
      <c r="Y36" s="234">
        <f t="shared" si="29"/>
        <v>0</v>
      </c>
      <c r="Z36" s="234">
        <f t="shared" si="29"/>
        <v>0</v>
      </c>
      <c r="AA36" s="234">
        <f t="shared" si="29"/>
        <v>0</v>
      </c>
      <c r="AB36" s="234">
        <f t="shared" si="29"/>
        <v>0</v>
      </c>
      <c r="AC36" s="234">
        <f t="shared" si="29"/>
        <v>0</v>
      </c>
      <c r="AD36" s="234">
        <f t="shared" si="29"/>
        <v>0</v>
      </c>
      <c r="AE36" s="234">
        <f t="shared" si="29"/>
        <v>0</v>
      </c>
      <c r="AF36" s="234">
        <f t="shared" si="29"/>
        <v>0</v>
      </c>
      <c r="AG36" s="234">
        <f t="shared" si="29"/>
        <v>0</v>
      </c>
      <c r="AH36" s="234">
        <f t="shared" si="29"/>
        <v>0</v>
      </c>
      <c r="AI36" s="234">
        <f t="shared" si="29"/>
        <v>0</v>
      </c>
      <c r="AJ36" s="234">
        <f t="shared" si="29"/>
        <v>0</v>
      </c>
      <c r="AK36" s="717">
        <f t="shared" si="29"/>
        <v>0</v>
      </c>
    </row>
    <row r="37" spans="1:37" x14ac:dyDescent="0.75">
      <c r="A37" s="719" t="s">
        <v>468</v>
      </c>
      <c r="B37" s="786"/>
      <c r="C37" s="235">
        <f t="shared" ref="C37:AK37" si="30">C26-C36</f>
        <v>0</v>
      </c>
      <c r="D37" s="791">
        <f t="shared" si="30"/>
        <v>0</v>
      </c>
      <c r="E37" s="235">
        <f t="shared" si="30"/>
        <v>0</v>
      </c>
      <c r="F37" s="235">
        <f t="shared" si="30"/>
        <v>0</v>
      </c>
      <c r="G37" s="235">
        <f t="shared" si="30"/>
        <v>0</v>
      </c>
      <c r="H37" s="235">
        <f t="shared" si="30"/>
        <v>0</v>
      </c>
      <c r="I37" s="235">
        <f t="shared" si="30"/>
        <v>0</v>
      </c>
      <c r="J37" s="791">
        <f t="shared" si="30"/>
        <v>0</v>
      </c>
      <c r="K37" s="235">
        <f t="shared" si="30"/>
        <v>0</v>
      </c>
      <c r="L37" s="235">
        <f t="shared" si="30"/>
        <v>0</v>
      </c>
      <c r="M37" s="235">
        <f t="shared" si="30"/>
        <v>0</v>
      </c>
      <c r="N37" s="235">
        <f t="shared" si="30"/>
        <v>0</v>
      </c>
      <c r="O37" s="235">
        <f t="shared" si="30"/>
        <v>0</v>
      </c>
      <c r="P37" s="235">
        <f t="shared" si="30"/>
        <v>0</v>
      </c>
      <c r="Q37" s="235">
        <f t="shared" si="30"/>
        <v>0</v>
      </c>
      <c r="R37" s="235">
        <f t="shared" si="30"/>
        <v>0</v>
      </c>
      <c r="S37" s="235">
        <f t="shared" si="30"/>
        <v>0</v>
      </c>
      <c r="T37" s="235">
        <f t="shared" si="30"/>
        <v>0</v>
      </c>
      <c r="U37" s="235">
        <f t="shared" si="30"/>
        <v>0</v>
      </c>
      <c r="V37" s="235">
        <f t="shared" si="30"/>
        <v>0</v>
      </c>
      <c r="W37" s="235">
        <f t="shared" si="30"/>
        <v>0</v>
      </c>
      <c r="X37" s="235">
        <f t="shared" si="30"/>
        <v>0</v>
      </c>
      <c r="Y37" s="235">
        <f t="shared" si="30"/>
        <v>0</v>
      </c>
      <c r="Z37" s="235">
        <f t="shared" si="30"/>
        <v>0</v>
      </c>
      <c r="AA37" s="235">
        <f t="shared" si="30"/>
        <v>0</v>
      </c>
      <c r="AB37" s="235">
        <f t="shared" si="30"/>
        <v>0</v>
      </c>
      <c r="AC37" s="235">
        <f t="shared" si="30"/>
        <v>0</v>
      </c>
      <c r="AD37" s="235">
        <f t="shared" si="30"/>
        <v>0</v>
      </c>
      <c r="AE37" s="235">
        <f t="shared" si="30"/>
        <v>0</v>
      </c>
      <c r="AF37" s="235">
        <f t="shared" si="30"/>
        <v>0</v>
      </c>
      <c r="AG37" s="235">
        <f t="shared" si="30"/>
        <v>0</v>
      </c>
      <c r="AH37" s="235">
        <f t="shared" si="30"/>
        <v>0</v>
      </c>
      <c r="AI37" s="235">
        <f t="shared" si="30"/>
        <v>0</v>
      </c>
      <c r="AJ37" s="235">
        <f t="shared" si="30"/>
        <v>0</v>
      </c>
      <c r="AK37" s="709">
        <f t="shared" si="30"/>
        <v>0</v>
      </c>
    </row>
    <row r="38" spans="1:37" ht="15.5" thickBot="1" x14ac:dyDescent="0.9">
      <c r="A38" s="720" t="s">
        <v>467</v>
      </c>
      <c r="B38" s="787"/>
      <c r="C38" s="722">
        <f t="shared" ref="C38:E38" si="31">SUM(C27,C29,C32,C34)</f>
        <v>0</v>
      </c>
      <c r="D38" s="793">
        <f t="shared" si="31"/>
        <v>0</v>
      </c>
      <c r="E38" s="722">
        <f t="shared" si="31"/>
        <v>0</v>
      </c>
      <c r="F38" s="722">
        <f t="shared" ref="F38:AK38" si="32">SUM(F27,F29,F32,F34)</f>
        <v>0</v>
      </c>
      <c r="G38" s="722">
        <f t="shared" si="32"/>
        <v>0</v>
      </c>
      <c r="H38" s="722">
        <f t="shared" si="32"/>
        <v>0</v>
      </c>
      <c r="I38" s="722">
        <f t="shared" si="32"/>
        <v>0</v>
      </c>
      <c r="J38" s="793">
        <f t="shared" si="32"/>
        <v>0</v>
      </c>
      <c r="K38" s="722">
        <f t="shared" si="32"/>
        <v>0</v>
      </c>
      <c r="L38" s="722">
        <f t="shared" si="32"/>
        <v>0</v>
      </c>
      <c r="M38" s="722">
        <f t="shared" si="32"/>
        <v>0</v>
      </c>
      <c r="N38" s="722">
        <f t="shared" si="32"/>
        <v>0</v>
      </c>
      <c r="O38" s="722">
        <f t="shared" si="32"/>
        <v>0</v>
      </c>
      <c r="P38" s="722">
        <f t="shared" si="32"/>
        <v>0</v>
      </c>
      <c r="Q38" s="722">
        <f t="shared" si="32"/>
        <v>0</v>
      </c>
      <c r="R38" s="722">
        <f t="shared" si="32"/>
        <v>0</v>
      </c>
      <c r="S38" s="722">
        <f t="shared" si="32"/>
        <v>0</v>
      </c>
      <c r="T38" s="722">
        <f t="shared" si="32"/>
        <v>0</v>
      </c>
      <c r="U38" s="722">
        <f t="shared" si="32"/>
        <v>0</v>
      </c>
      <c r="V38" s="722">
        <f t="shared" si="32"/>
        <v>0</v>
      </c>
      <c r="W38" s="722">
        <f t="shared" si="32"/>
        <v>0</v>
      </c>
      <c r="X38" s="722">
        <f t="shared" si="32"/>
        <v>0</v>
      </c>
      <c r="Y38" s="722">
        <f t="shared" si="32"/>
        <v>0</v>
      </c>
      <c r="Z38" s="722">
        <f t="shared" si="32"/>
        <v>0</v>
      </c>
      <c r="AA38" s="722">
        <f t="shared" si="32"/>
        <v>0</v>
      </c>
      <c r="AB38" s="722">
        <f t="shared" si="32"/>
        <v>0</v>
      </c>
      <c r="AC38" s="722">
        <f t="shared" si="32"/>
        <v>0</v>
      </c>
      <c r="AD38" s="722">
        <f t="shared" si="32"/>
        <v>0</v>
      </c>
      <c r="AE38" s="722">
        <f t="shared" si="32"/>
        <v>0</v>
      </c>
      <c r="AF38" s="722">
        <f t="shared" si="32"/>
        <v>0</v>
      </c>
      <c r="AG38" s="722">
        <f t="shared" si="32"/>
        <v>0</v>
      </c>
      <c r="AH38" s="722">
        <f t="shared" si="32"/>
        <v>0</v>
      </c>
      <c r="AI38" s="722">
        <f t="shared" si="32"/>
        <v>0</v>
      </c>
      <c r="AJ38" s="722">
        <f t="shared" si="32"/>
        <v>0</v>
      </c>
      <c r="AK38" s="723">
        <f t="shared" si="32"/>
        <v>0</v>
      </c>
    </row>
    <row r="39" spans="1:37" ht="15.5" thickBot="1" x14ac:dyDescent="0.9">
      <c r="B39" s="730"/>
      <c r="C39" s="701"/>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row>
    <row r="40" spans="1:37" ht="15.5" thickBot="1" x14ac:dyDescent="0.9">
      <c r="A40" s="768" t="s">
        <v>466</v>
      </c>
      <c r="B40" s="730"/>
      <c r="C40" s="701"/>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x14ac:dyDescent="0.75">
      <c r="A41" s="766">
        <v>2017</v>
      </c>
      <c r="B41" s="788"/>
      <c r="C41" s="767"/>
      <c r="D41" s="794">
        <f>D$20</f>
        <v>0</v>
      </c>
      <c r="E41" s="740">
        <f t="shared" ref="E41:X41" si="33">MAX(D41+E21,0)</f>
        <v>0</v>
      </c>
      <c r="F41" s="740">
        <f t="shared" si="33"/>
        <v>0</v>
      </c>
      <c r="G41" s="740">
        <f t="shared" si="33"/>
        <v>0</v>
      </c>
      <c r="H41" s="740">
        <f t="shared" si="33"/>
        <v>0</v>
      </c>
      <c r="I41" s="740">
        <f t="shared" si="33"/>
        <v>0</v>
      </c>
      <c r="J41" s="794">
        <f t="shared" si="33"/>
        <v>0</v>
      </c>
      <c r="K41" s="740">
        <f t="shared" si="33"/>
        <v>0</v>
      </c>
      <c r="L41" s="740">
        <f t="shared" si="33"/>
        <v>0</v>
      </c>
      <c r="M41" s="740">
        <f t="shared" si="33"/>
        <v>0</v>
      </c>
      <c r="N41" s="740">
        <f t="shared" si="33"/>
        <v>0</v>
      </c>
      <c r="O41" s="740">
        <f t="shared" si="33"/>
        <v>0</v>
      </c>
      <c r="P41" s="740">
        <f t="shared" si="33"/>
        <v>0</v>
      </c>
      <c r="Q41" s="740">
        <f t="shared" si="33"/>
        <v>0</v>
      </c>
      <c r="R41" s="740">
        <f t="shared" si="33"/>
        <v>0</v>
      </c>
      <c r="S41" s="740">
        <f t="shared" si="33"/>
        <v>0</v>
      </c>
      <c r="T41" s="740">
        <f t="shared" si="33"/>
        <v>0</v>
      </c>
      <c r="U41" s="740">
        <f t="shared" si="33"/>
        <v>0</v>
      </c>
      <c r="V41" s="740">
        <f t="shared" si="33"/>
        <v>0</v>
      </c>
      <c r="W41" s="740">
        <f t="shared" si="33"/>
        <v>0</v>
      </c>
      <c r="X41" s="740">
        <f t="shared" si="33"/>
        <v>0</v>
      </c>
      <c r="Y41" s="740">
        <f t="shared" ref="Y41:AK41" si="34">IF(X41&gt;0,-X41,0)</f>
        <v>0</v>
      </c>
      <c r="Z41" s="740">
        <f t="shared" si="34"/>
        <v>0</v>
      </c>
      <c r="AA41" s="740">
        <f t="shared" si="34"/>
        <v>0</v>
      </c>
      <c r="AB41" s="740">
        <f t="shared" si="34"/>
        <v>0</v>
      </c>
      <c r="AC41" s="740">
        <f t="shared" si="34"/>
        <v>0</v>
      </c>
      <c r="AD41" s="740">
        <f t="shared" si="34"/>
        <v>0</v>
      </c>
      <c r="AE41" s="740">
        <f t="shared" si="34"/>
        <v>0</v>
      </c>
      <c r="AF41" s="740">
        <f t="shared" si="34"/>
        <v>0</v>
      </c>
      <c r="AG41" s="740">
        <f t="shared" si="34"/>
        <v>0</v>
      </c>
      <c r="AH41" s="740">
        <f t="shared" si="34"/>
        <v>0</v>
      </c>
      <c r="AI41" s="740">
        <f t="shared" si="34"/>
        <v>0</v>
      </c>
      <c r="AJ41" s="740">
        <f t="shared" si="34"/>
        <v>0</v>
      </c>
      <c r="AK41" s="741">
        <f t="shared" si="34"/>
        <v>0</v>
      </c>
    </row>
    <row r="42" spans="1:37" x14ac:dyDescent="0.75">
      <c r="A42" s="742">
        <v>2018</v>
      </c>
      <c r="B42" s="748"/>
      <c r="C42" s="743"/>
      <c r="D42" s="791"/>
      <c r="E42" s="235">
        <f>E$20</f>
        <v>0</v>
      </c>
      <c r="F42" s="235">
        <f t="shared" ref="F42:X42" si="35">IF(AND(F41=0,E42&gt;0,E41+F21&gt;0),MAX(E42+F21,0),IF(AND(F41=0,E42&gt;0,E41+F21&lt;0),E42+E41+F21,E42))</f>
        <v>0</v>
      </c>
      <c r="G42" s="235">
        <f t="shared" si="35"/>
        <v>0</v>
      </c>
      <c r="H42" s="235">
        <f t="shared" si="35"/>
        <v>0</v>
      </c>
      <c r="I42" s="235">
        <f t="shared" si="35"/>
        <v>0</v>
      </c>
      <c r="J42" s="791">
        <f t="shared" si="35"/>
        <v>0</v>
      </c>
      <c r="K42" s="235">
        <f t="shared" si="35"/>
        <v>0</v>
      </c>
      <c r="L42" s="235">
        <f t="shared" si="35"/>
        <v>0</v>
      </c>
      <c r="M42" s="235">
        <f t="shared" si="35"/>
        <v>0</v>
      </c>
      <c r="N42" s="235">
        <f t="shared" si="35"/>
        <v>0</v>
      </c>
      <c r="O42" s="235">
        <f t="shared" si="35"/>
        <v>0</v>
      </c>
      <c r="P42" s="235">
        <f t="shared" si="35"/>
        <v>0</v>
      </c>
      <c r="Q42" s="235">
        <f t="shared" si="35"/>
        <v>0</v>
      </c>
      <c r="R42" s="235">
        <f t="shared" si="35"/>
        <v>0</v>
      </c>
      <c r="S42" s="235">
        <f t="shared" si="35"/>
        <v>0</v>
      </c>
      <c r="T42" s="235">
        <f t="shared" si="35"/>
        <v>0</v>
      </c>
      <c r="U42" s="235">
        <f t="shared" si="35"/>
        <v>0</v>
      </c>
      <c r="V42" s="235">
        <f t="shared" si="35"/>
        <v>0</v>
      </c>
      <c r="W42" s="235">
        <f t="shared" si="35"/>
        <v>0</v>
      </c>
      <c r="X42" s="235">
        <f t="shared" si="35"/>
        <v>0</v>
      </c>
      <c r="Y42" s="235">
        <f>IF(AND(Y41=0,X42&gt;0,X41+Y$21&gt;0),MAX(X42+Y$21,0),IF(AND(Y41=0,X42&gt;0,X41+Y$21&lt;0),X42+X41+Y$21,X42))-2*IF(AND(Y41=0,X42&gt;0,X41+Y$21&gt;0),MAX(X42+Y$21,0),IF(AND(Y41=0,X42&gt;0,X41+Y$21&lt;0),X42+X41+Y$21,X42))</f>
        <v>0</v>
      </c>
      <c r="Z42" s="235">
        <f t="shared" ref="Z42:AK42" si="36">IF(Y42&gt;0,-Y42,0)</f>
        <v>0</v>
      </c>
      <c r="AA42" s="235">
        <f t="shared" si="36"/>
        <v>0</v>
      </c>
      <c r="AB42" s="235">
        <f t="shared" si="36"/>
        <v>0</v>
      </c>
      <c r="AC42" s="235">
        <f t="shared" si="36"/>
        <v>0</v>
      </c>
      <c r="AD42" s="235">
        <f t="shared" si="36"/>
        <v>0</v>
      </c>
      <c r="AE42" s="235">
        <f t="shared" si="36"/>
        <v>0</v>
      </c>
      <c r="AF42" s="235">
        <f t="shared" si="36"/>
        <v>0</v>
      </c>
      <c r="AG42" s="235">
        <f t="shared" si="36"/>
        <v>0</v>
      </c>
      <c r="AH42" s="235">
        <f t="shared" si="36"/>
        <v>0</v>
      </c>
      <c r="AI42" s="235">
        <f t="shared" si="36"/>
        <v>0</v>
      </c>
      <c r="AJ42" s="235">
        <f t="shared" si="36"/>
        <v>0</v>
      </c>
      <c r="AK42" s="709">
        <f t="shared" si="36"/>
        <v>0</v>
      </c>
    </row>
    <row r="43" spans="1:37" x14ac:dyDescent="0.75">
      <c r="A43" s="742">
        <v>2019</v>
      </c>
      <c r="B43" s="748"/>
      <c r="C43" s="743"/>
      <c r="D43" s="791"/>
      <c r="E43" s="235"/>
      <c r="F43" s="235">
        <f>F$20</f>
        <v>0</v>
      </c>
      <c r="G43" s="235">
        <f t="shared" ref="G43:Y43" si="37">IF(AND(G42=0,F43&gt;0,F42+G21&gt;0),MAX(F43+G21,0),IF(AND(G42=0,F43&gt;0,F42+G21&lt;0),F43+F42+G21,F43))</f>
        <v>0</v>
      </c>
      <c r="H43" s="235">
        <f t="shared" si="37"/>
        <v>0</v>
      </c>
      <c r="I43" s="235">
        <f t="shared" si="37"/>
        <v>0</v>
      </c>
      <c r="J43" s="791">
        <f t="shared" si="37"/>
        <v>0</v>
      </c>
      <c r="K43" s="235">
        <f t="shared" si="37"/>
        <v>0</v>
      </c>
      <c r="L43" s="235">
        <f t="shared" si="37"/>
        <v>0</v>
      </c>
      <c r="M43" s="235">
        <f t="shared" si="37"/>
        <v>0</v>
      </c>
      <c r="N43" s="235">
        <f t="shared" si="37"/>
        <v>0</v>
      </c>
      <c r="O43" s="235">
        <f t="shared" si="37"/>
        <v>0</v>
      </c>
      <c r="P43" s="235">
        <f t="shared" si="37"/>
        <v>0</v>
      </c>
      <c r="Q43" s="235">
        <f t="shared" si="37"/>
        <v>0</v>
      </c>
      <c r="R43" s="235">
        <f t="shared" si="37"/>
        <v>0</v>
      </c>
      <c r="S43" s="235">
        <f t="shared" si="37"/>
        <v>0</v>
      </c>
      <c r="T43" s="235">
        <f t="shared" si="37"/>
        <v>0</v>
      </c>
      <c r="U43" s="235">
        <f t="shared" si="37"/>
        <v>0</v>
      </c>
      <c r="V43" s="235">
        <f t="shared" si="37"/>
        <v>0</v>
      </c>
      <c r="W43" s="235">
        <f t="shared" si="37"/>
        <v>0</v>
      </c>
      <c r="X43" s="235">
        <f t="shared" si="37"/>
        <v>0</v>
      </c>
      <c r="Y43" s="235">
        <f t="shared" si="37"/>
        <v>0</v>
      </c>
      <c r="Z43" s="235">
        <f>IF(AND(Z42=0,Y43&gt;0,Y42+Z$21&gt;0),MAX(Y43+Z$21,0),IF(AND(Z42=0,Y43&gt;0,Y42+Z$21&lt;0),Y43+Y42+Z$21,Y43))-2*IF(AND(Z42=0,Y43&gt;0,Y42+Z$21&gt;0),MAX(Y43+Z$21,0),IF(AND(Z42=0,Y43&gt;0,Y42+Z$21&lt;0),Y43+Y42+Z$21,Y43))</f>
        <v>0</v>
      </c>
      <c r="AA43" s="235">
        <f t="shared" ref="AA43:AK43" si="38">IF(Z43&gt;0,-Z43,0)</f>
        <v>0</v>
      </c>
      <c r="AB43" s="235">
        <f t="shared" si="38"/>
        <v>0</v>
      </c>
      <c r="AC43" s="235">
        <f t="shared" si="38"/>
        <v>0</v>
      </c>
      <c r="AD43" s="235">
        <f t="shared" si="38"/>
        <v>0</v>
      </c>
      <c r="AE43" s="235">
        <f t="shared" si="38"/>
        <v>0</v>
      </c>
      <c r="AF43" s="235">
        <f t="shared" si="38"/>
        <v>0</v>
      </c>
      <c r="AG43" s="235">
        <f t="shared" si="38"/>
        <v>0</v>
      </c>
      <c r="AH43" s="235">
        <f t="shared" si="38"/>
        <v>0</v>
      </c>
      <c r="AI43" s="235">
        <f t="shared" si="38"/>
        <v>0</v>
      </c>
      <c r="AJ43" s="235">
        <f t="shared" si="38"/>
        <v>0</v>
      </c>
      <c r="AK43" s="709">
        <f t="shared" si="38"/>
        <v>0</v>
      </c>
    </row>
    <row r="44" spans="1:37" x14ac:dyDescent="0.75">
      <c r="A44" s="742">
        <v>2020</v>
      </c>
      <c r="B44" s="748"/>
      <c r="C44" s="743"/>
      <c r="D44" s="791"/>
      <c r="E44" s="235"/>
      <c r="F44" s="235"/>
      <c r="G44" s="235">
        <f>G$20</f>
        <v>0</v>
      </c>
      <c r="H44" s="235">
        <f t="shared" ref="H44:Z44" si="39">IF(AND(H43=0,G44&gt;0,G43+H21&gt;0),MAX(G44+H21,0),IF(AND(H43=0,G44&gt;0,G43+H21&lt;0),G44+G43+H21,G44))</f>
        <v>0</v>
      </c>
      <c r="I44" s="235">
        <f t="shared" si="39"/>
        <v>0</v>
      </c>
      <c r="J44" s="791">
        <f t="shared" si="39"/>
        <v>0</v>
      </c>
      <c r="K44" s="235">
        <f t="shared" si="39"/>
        <v>0</v>
      </c>
      <c r="L44" s="235">
        <f t="shared" si="39"/>
        <v>0</v>
      </c>
      <c r="M44" s="235">
        <f t="shared" si="39"/>
        <v>0</v>
      </c>
      <c r="N44" s="235">
        <f t="shared" si="39"/>
        <v>0</v>
      </c>
      <c r="O44" s="235">
        <f t="shared" si="39"/>
        <v>0</v>
      </c>
      <c r="P44" s="235">
        <f t="shared" si="39"/>
        <v>0</v>
      </c>
      <c r="Q44" s="235">
        <f t="shared" si="39"/>
        <v>0</v>
      </c>
      <c r="R44" s="235">
        <f t="shared" si="39"/>
        <v>0</v>
      </c>
      <c r="S44" s="235">
        <f t="shared" si="39"/>
        <v>0</v>
      </c>
      <c r="T44" s="235">
        <f t="shared" si="39"/>
        <v>0</v>
      </c>
      <c r="U44" s="235">
        <f t="shared" si="39"/>
        <v>0</v>
      </c>
      <c r="V44" s="235">
        <f t="shared" si="39"/>
        <v>0</v>
      </c>
      <c r="W44" s="235">
        <f t="shared" si="39"/>
        <v>0</v>
      </c>
      <c r="X44" s="235">
        <f t="shared" si="39"/>
        <v>0</v>
      </c>
      <c r="Y44" s="235">
        <f t="shared" si="39"/>
        <v>0</v>
      </c>
      <c r="Z44" s="235">
        <f t="shared" si="39"/>
        <v>0</v>
      </c>
      <c r="AA44" s="235">
        <f>IF(AND(AA43=0,Z44&gt;0,Z43+AA$21&gt;0),MAX(Z44+AA$21,0),IF(AND(AA43=0,Z44&gt;0,Z43+AA$21&lt;0),Z44+Z43+AA$21,Z44))-2*IF(AND(AA43=0,Z44&gt;0,Z43+AA$21&gt;0),MAX(Z44+AA$21,0),IF(AND(AA43=0,Z44&gt;0,Z43+AA$21&lt;0),Z44+Z43+AA$21,Z44))</f>
        <v>0</v>
      </c>
      <c r="AB44" s="235">
        <f t="shared" ref="AB44:AK44" si="40">IF(AA44&gt;0,-AA44,0)</f>
        <v>0</v>
      </c>
      <c r="AC44" s="235">
        <f t="shared" si="40"/>
        <v>0</v>
      </c>
      <c r="AD44" s="235">
        <f t="shared" si="40"/>
        <v>0</v>
      </c>
      <c r="AE44" s="235">
        <f t="shared" si="40"/>
        <v>0</v>
      </c>
      <c r="AF44" s="235">
        <f t="shared" si="40"/>
        <v>0</v>
      </c>
      <c r="AG44" s="235">
        <f t="shared" si="40"/>
        <v>0</v>
      </c>
      <c r="AH44" s="235">
        <f t="shared" si="40"/>
        <v>0</v>
      </c>
      <c r="AI44" s="235">
        <f t="shared" si="40"/>
        <v>0</v>
      </c>
      <c r="AJ44" s="235">
        <f t="shared" si="40"/>
        <v>0</v>
      </c>
      <c r="AK44" s="709">
        <f t="shared" si="40"/>
        <v>0</v>
      </c>
    </row>
    <row r="45" spans="1:37" x14ac:dyDescent="0.75">
      <c r="A45" s="742">
        <v>2021</v>
      </c>
      <c r="B45" s="748"/>
      <c r="C45" s="743"/>
      <c r="D45" s="791"/>
      <c r="E45" s="235"/>
      <c r="F45" s="235"/>
      <c r="G45" s="235"/>
      <c r="H45" s="235">
        <f>H$20</f>
        <v>0</v>
      </c>
      <c r="I45" s="235">
        <f t="shared" ref="I45:AA45" si="41">IF(AND(I44=0,H45&gt;0,H44+I21&gt;0),MAX(H45+I21,0),IF(AND(I44=0,H45&gt;0,H44+I21&lt;0),H45+H44+I21,H45))</f>
        <v>0</v>
      </c>
      <c r="J45" s="791">
        <f t="shared" si="41"/>
        <v>0</v>
      </c>
      <c r="K45" s="235">
        <f t="shared" si="41"/>
        <v>0</v>
      </c>
      <c r="L45" s="235">
        <f t="shared" si="41"/>
        <v>0</v>
      </c>
      <c r="M45" s="235">
        <f t="shared" si="41"/>
        <v>0</v>
      </c>
      <c r="N45" s="235">
        <f t="shared" si="41"/>
        <v>0</v>
      </c>
      <c r="O45" s="235">
        <f t="shared" si="41"/>
        <v>0</v>
      </c>
      <c r="P45" s="235">
        <f t="shared" si="41"/>
        <v>0</v>
      </c>
      <c r="Q45" s="235">
        <f t="shared" si="41"/>
        <v>0</v>
      </c>
      <c r="R45" s="235">
        <f t="shared" si="41"/>
        <v>0</v>
      </c>
      <c r="S45" s="235">
        <f t="shared" si="41"/>
        <v>0</v>
      </c>
      <c r="T45" s="235">
        <f t="shared" si="41"/>
        <v>0</v>
      </c>
      <c r="U45" s="235">
        <f t="shared" si="41"/>
        <v>0</v>
      </c>
      <c r="V45" s="235">
        <f t="shared" si="41"/>
        <v>0</v>
      </c>
      <c r="W45" s="235">
        <f t="shared" si="41"/>
        <v>0</v>
      </c>
      <c r="X45" s="235">
        <f t="shared" si="41"/>
        <v>0</v>
      </c>
      <c r="Y45" s="235">
        <f t="shared" si="41"/>
        <v>0</v>
      </c>
      <c r="Z45" s="235">
        <f t="shared" si="41"/>
        <v>0</v>
      </c>
      <c r="AA45" s="235">
        <f t="shared" si="41"/>
        <v>0</v>
      </c>
      <c r="AB45" s="235">
        <f>IF(AND(AB44=0,AA45&gt;0,AA44+AB$21&gt;0),MAX(AA45+AB$21,0),IF(AND(AB44=0,AA45&gt;0,AA44+AB$21&lt;0),AA45+AA44+AB$21,AA45))-2*IF(AND(AB44=0,AA45&gt;0,AA44+AB$21&gt;0),MAX(AA45+AB$21,0),IF(AND(AB44=0,AA45&gt;0,AA44+AB$21&lt;0),AA45+AA44+AB$21,AA45))</f>
        <v>0</v>
      </c>
      <c r="AC45" s="235">
        <f t="shared" ref="AC45:AK45" si="42">IF(AB45&gt;0,-AB45,0)</f>
        <v>0</v>
      </c>
      <c r="AD45" s="235">
        <f t="shared" si="42"/>
        <v>0</v>
      </c>
      <c r="AE45" s="235">
        <f t="shared" si="42"/>
        <v>0</v>
      </c>
      <c r="AF45" s="235">
        <f t="shared" si="42"/>
        <v>0</v>
      </c>
      <c r="AG45" s="235">
        <f t="shared" si="42"/>
        <v>0</v>
      </c>
      <c r="AH45" s="235">
        <f t="shared" si="42"/>
        <v>0</v>
      </c>
      <c r="AI45" s="235">
        <f t="shared" si="42"/>
        <v>0</v>
      </c>
      <c r="AJ45" s="235">
        <f t="shared" si="42"/>
        <v>0</v>
      </c>
      <c r="AK45" s="709">
        <f t="shared" si="42"/>
        <v>0</v>
      </c>
    </row>
    <row r="46" spans="1:37" x14ac:dyDescent="0.75">
      <c r="A46" s="742">
        <v>2022</v>
      </c>
      <c r="B46" s="748"/>
      <c r="C46" s="743"/>
      <c r="D46" s="791"/>
      <c r="E46" s="235"/>
      <c r="F46" s="235"/>
      <c r="G46" s="235"/>
      <c r="H46" s="235"/>
      <c r="I46" s="235">
        <f>I$20</f>
        <v>0</v>
      </c>
      <c r="J46" s="791">
        <f t="shared" ref="J46:AB46" si="43">IF(AND(J45=0,I46&gt;0,I45+J21&gt;0),MAX(I46+J21,0),IF(AND(J45=0,I46&gt;0,I45+J21&lt;0),I46+I45+J21,I46))</f>
        <v>0</v>
      </c>
      <c r="K46" s="235">
        <f t="shared" si="43"/>
        <v>0</v>
      </c>
      <c r="L46" s="235">
        <f t="shared" si="43"/>
        <v>0</v>
      </c>
      <c r="M46" s="235">
        <f t="shared" si="43"/>
        <v>0</v>
      </c>
      <c r="N46" s="235">
        <f t="shared" si="43"/>
        <v>0</v>
      </c>
      <c r="O46" s="235">
        <f t="shared" si="43"/>
        <v>0</v>
      </c>
      <c r="P46" s="235">
        <f t="shared" si="43"/>
        <v>0</v>
      </c>
      <c r="Q46" s="235">
        <f t="shared" si="43"/>
        <v>0</v>
      </c>
      <c r="R46" s="235">
        <f t="shared" si="43"/>
        <v>0</v>
      </c>
      <c r="S46" s="235">
        <f t="shared" si="43"/>
        <v>0</v>
      </c>
      <c r="T46" s="235">
        <f t="shared" si="43"/>
        <v>0</v>
      </c>
      <c r="U46" s="235">
        <f t="shared" si="43"/>
        <v>0</v>
      </c>
      <c r="V46" s="235">
        <f t="shared" si="43"/>
        <v>0</v>
      </c>
      <c r="W46" s="235">
        <f t="shared" si="43"/>
        <v>0</v>
      </c>
      <c r="X46" s="235">
        <f t="shared" si="43"/>
        <v>0</v>
      </c>
      <c r="Y46" s="235">
        <f t="shared" si="43"/>
        <v>0</v>
      </c>
      <c r="Z46" s="235">
        <f t="shared" si="43"/>
        <v>0</v>
      </c>
      <c r="AA46" s="235">
        <f t="shared" si="43"/>
        <v>0</v>
      </c>
      <c r="AB46" s="235">
        <f t="shared" si="43"/>
        <v>0</v>
      </c>
      <c r="AC46" s="235">
        <f>IF(AND(AC45=0,AB46&gt;0,AB45+AC$21&gt;0),MAX(AB46+AC$21,0),IF(AND(AC45=0,AB46&gt;0,AB45+AC$21&lt;0),AB46+AB45+AC$21,AB46))-2*IF(AND(AC45=0,AB46&gt;0,AB45+AC$21&gt;0),MAX(AB46+AC$21,0),IF(AND(AC45=0,AB46&gt;0,AB45+AC$21&lt;0),AB46+AB45+AC$21,AB46))</f>
        <v>0</v>
      </c>
      <c r="AD46" s="235">
        <f t="shared" ref="AD46:AK46" si="44">IF(AC46&gt;0,-AC46,0)</f>
        <v>0</v>
      </c>
      <c r="AE46" s="235">
        <f t="shared" si="44"/>
        <v>0</v>
      </c>
      <c r="AF46" s="235">
        <f t="shared" si="44"/>
        <v>0</v>
      </c>
      <c r="AG46" s="235">
        <f t="shared" si="44"/>
        <v>0</v>
      </c>
      <c r="AH46" s="235">
        <f t="shared" si="44"/>
        <v>0</v>
      </c>
      <c r="AI46" s="235">
        <f t="shared" si="44"/>
        <v>0</v>
      </c>
      <c r="AJ46" s="235">
        <f t="shared" si="44"/>
        <v>0</v>
      </c>
      <c r="AK46" s="709">
        <f t="shared" si="44"/>
        <v>0</v>
      </c>
    </row>
    <row r="47" spans="1:37" x14ac:dyDescent="0.75">
      <c r="A47" s="742">
        <v>2023</v>
      </c>
      <c r="B47" s="748"/>
      <c r="C47" s="743"/>
      <c r="D47" s="791"/>
      <c r="E47" s="235"/>
      <c r="F47" s="235"/>
      <c r="G47" s="235"/>
      <c r="H47" s="235"/>
      <c r="I47" s="235"/>
      <c r="J47" s="791">
        <f>J$20</f>
        <v>0</v>
      </c>
      <c r="K47" s="235">
        <f t="shared" ref="K47:AC47" si="45">IF(AND(K46=0,J47&gt;0,J46+K21&gt;0),MAX(J47+K21,0),IF(AND(K46=0,J47&gt;0,J46+K21&lt;0),J47+J46+K21,J47))</f>
        <v>0</v>
      </c>
      <c r="L47" s="235">
        <f t="shared" si="45"/>
        <v>0</v>
      </c>
      <c r="M47" s="235">
        <f t="shared" si="45"/>
        <v>0</v>
      </c>
      <c r="N47" s="235">
        <f t="shared" si="45"/>
        <v>0</v>
      </c>
      <c r="O47" s="235">
        <f t="shared" si="45"/>
        <v>0</v>
      </c>
      <c r="P47" s="235">
        <f t="shared" si="45"/>
        <v>0</v>
      </c>
      <c r="Q47" s="235">
        <f t="shared" si="45"/>
        <v>0</v>
      </c>
      <c r="R47" s="235">
        <f t="shared" si="45"/>
        <v>0</v>
      </c>
      <c r="S47" s="235">
        <f t="shared" si="45"/>
        <v>0</v>
      </c>
      <c r="T47" s="235">
        <f t="shared" si="45"/>
        <v>0</v>
      </c>
      <c r="U47" s="235">
        <f t="shared" si="45"/>
        <v>0</v>
      </c>
      <c r="V47" s="235">
        <f t="shared" si="45"/>
        <v>0</v>
      </c>
      <c r="W47" s="235">
        <f t="shared" si="45"/>
        <v>0</v>
      </c>
      <c r="X47" s="235">
        <f t="shared" si="45"/>
        <v>0</v>
      </c>
      <c r="Y47" s="235">
        <f t="shared" si="45"/>
        <v>0</v>
      </c>
      <c r="Z47" s="235">
        <f t="shared" si="45"/>
        <v>0</v>
      </c>
      <c r="AA47" s="235">
        <f t="shared" si="45"/>
        <v>0</v>
      </c>
      <c r="AB47" s="235">
        <f t="shared" si="45"/>
        <v>0</v>
      </c>
      <c r="AC47" s="235">
        <f t="shared" si="45"/>
        <v>0</v>
      </c>
      <c r="AD47" s="235">
        <f>IF(AND(AD46=0,AC47&gt;0,AC46+AD$21&gt;0),MAX(AC47+AD$21,0),IF(AND(AD46=0,AC47&gt;0,AC46+AD$21&lt;0),AC47+AC46+AD$21,AC47))-2*IF(AND(AD46=0,AC47&gt;0,AC46+AD$21&gt;0),MAX(AC47+AD$21,0),IF(AND(AD46=0,AC47&gt;0,AC46+AD$21&lt;0),AC47+AC46+AD$21,AC47))</f>
        <v>0</v>
      </c>
      <c r="AE47" s="235">
        <f t="shared" ref="AE47:AK47" si="46">IF(AD47&gt;0,-AD47,0)</f>
        <v>0</v>
      </c>
      <c r="AF47" s="235">
        <f t="shared" si="46"/>
        <v>0</v>
      </c>
      <c r="AG47" s="235">
        <f t="shared" si="46"/>
        <v>0</v>
      </c>
      <c r="AH47" s="235">
        <f t="shared" si="46"/>
        <v>0</v>
      </c>
      <c r="AI47" s="235">
        <f t="shared" si="46"/>
        <v>0</v>
      </c>
      <c r="AJ47" s="235">
        <f t="shared" si="46"/>
        <v>0</v>
      </c>
      <c r="AK47" s="709">
        <f t="shared" si="46"/>
        <v>0</v>
      </c>
    </row>
    <row r="48" spans="1:37" x14ac:dyDescent="0.75">
      <c r="A48" s="742">
        <v>2024</v>
      </c>
      <c r="B48" s="748"/>
      <c r="C48" s="743"/>
      <c r="D48" s="791"/>
      <c r="E48" s="235"/>
      <c r="F48" s="235"/>
      <c r="G48" s="235"/>
      <c r="H48" s="235"/>
      <c r="I48" s="235"/>
      <c r="J48" s="791"/>
      <c r="K48" s="235">
        <f>K$20</f>
        <v>0</v>
      </c>
      <c r="L48" s="235">
        <f t="shared" ref="L48:AD48" si="47">IF(AND(L47=0,K48&gt;0,K47+L21&gt;0),MAX(K48+L21,0),IF(AND(L47=0,K48&gt;0,K47+L21&lt;0),K48+K47+L21,K48))</f>
        <v>0</v>
      </c>
      <c r="M48" s="235">
        <f t="shared" si="47"/>
        <v>0</v>
      </c>
      <c r="N48" s="235">
        <f t="shared" si="47"/>
        <v>0</v>
      </c>
      <c r="O48" s="235">
        <f t="shared" si="47"/>
        <v>0</v>
      </c>
      <c r="P48" s="235">
        <f t="shared" si="47"/>
        <v>0</v>
      </c>
      <c r="Q48" s="235">
        <f t="shared" si="47"/>
        <v>0</v>
      </c>
      <c r="R48" s="235">
        <f t="shared" si="47"/>
        <v>0</v>
      </c>
      <c r="S48" s="235">
        <f t="shared" si="47"/>
        <v>0</v>
      </c>
      <c r="T48" s="235">
        <f t="shared" si="47"/>
        <v>0</v>
      </c>
      <c r="U48" s="235">
        <f t="shared" si="47"/>
        <v>0</v>
      </c>
      <c r="V48" s="235">
        <f t="shared" si="47"/>
        <v>0</v>
      </c>
      <c r="W48" s="235">
        <f t="shared" si="47"/>
        <v>0</v>
      </c>
      <c r="X48" s="235">
        <f t="shared" si="47"/>
        <v>0</v>
      </c>
      <c r="Y48" s="235">
        <f t="shared" si="47"/>
        <v>0</v>
      </c>
      <c r="Z48" s="235">
        <f t="shared" si="47"/>
        <v>0</v>
      </c>
      <c r="AA48" s="235">
        <f t="shared" si="47"/>
        <v>0</v>
      </c>
      <c r="AB48" s="235">
        <f t="shared" si="47"/>
        <v>0</v>
      </c>
      <c r="AC48" s="235">
        <f t="shared" si="47"/>
        <v>0</v>
      </c>
      <c r="AD48" s="235">
        <f t="shared" si="47"/>
        <v>0</v>
      </c>
      <c r="AE48" s="235">
        <f>IF(AND(AE47=0,AD48&gt;0,AD47+AE$21&gt;0),MAX(AD48+AE$21,0),IF(AND(AE47=0,AD48&gt;0,AD47+AE$21&lt;0),AD48+AD47+AE$21,AD48))-2*IF(AND(AE47=0,AD48&gt;0,AD47+AE$21&gt;0),MAX(AD48+AE$21,0),IF(AND(AE47=0,AD48&gt;0,AD47+AE$21&lt;0),AD48+AD47+AE$21,AD48))</f>
        <v>0</v>
      </c>
      <c r="AF48" s="235">
        <f t="shared" ref="AF48:AK48" si="48">IF(AE48&gt;0,-AE48,0)</f>
        <v>0</v>
      </c>
      <c r="AG48" s="235">
        <f t="shared" si="48"/>
        <v>0</v>
      </c>
      <c r="AH48" s="235">
        <f t="shared" si="48"/>
        <v>0</v>
      </c>
      <c r="AI48" s="235">
        <f t="shared" si="48"/>
        <v>0</v>
      </c>
      <c r="AJ48" s="235">
        <f t="shared" si="48"/>
        <v>0</v>
      </c>
      <c r="AK48" s="709">
        <f t="shared" si="48"/>
        <v>0</v>
      </c>
    </row>
    <row r="49" spans="1:37" x14ac:dyDescent="0.75">
      <c r="A49" s="742">
        <v>2025</v>
      </c>
      <c r="B49" s="748"/>
      <c r="C49" s="743"/>
      <c r="D49" s="791"/>
      <c r="E49" s="235"/>
      <c r="F49" s="235"/>
      <c r="G49" s="235"/>
      <c r="H49" s="235"/>
      <c r="I49" s="235"/>
      <c r="J49" s="791"/>
      <c r="K49" s="235"/>
      <c r="L49" s="235">
        <f>L$20</f>
        <v>0</v>
      </c>
      <c r="M49" s="235">
        <f t="shared" ref="M49:AE49" si="49">IF(AND(M48=0,L49&gt;0,L48+M21&gt;0),MAX(L49+M21,0),IF(AND(M48=0,L49&gt;0,L48+M21&lt;0),L49+L48+M21,L49))</f>
        <v>0</v>
      </c>
      <c r="N49" s="235">
        <f t="shared" si="49"/>
        <v>0</v>
      </c>
      <c r="O49" s="235">
        <f t="shared" si="49"/>
        <v>0</v>
      </c>
      <c r="P49" s="235">
        <f t="shared" si="49"/>
        <v>0</v>
      </c>
      <c r="Q49" s="235">
        <f t="shared" si="49"/>
        <v>0</v>
      </c>
      <c r="R49" s="235">
        <f t="shared" si="49"/>
        <v>0</v>
      </c>
      <c r="S49" s="235">
        <f t="shared" si="49"/>
        <v>0</v>
      </c>
      <c r="T49" s="235">
        <f t="shared" si="49"/>
        <v>0</v>
      </c>
      <c r="U49" s="235">
        <f t="shared" si="49"/>
        <v>0</v>
      </c>
      <c r="V49" s="235">
        <f t="shared" si="49"/>
        <v>0</v>
      </c>
      <c r="W49" s="235">
        <f t="shared" si="49"/>
        <v>0</v>
      </c>
      <c r="X49" s="235">
        <f t="shared" si="49"/>
        <v>0</v>
      </c>
      <c r="Y49" s="235">
        <f t="shared" si="49"/>
        <v>0</v>
      </c>
      <c r="Z49" s="235">
        <f t="shared" si="49"/>
        <v>0</v>
      </c>
      <c r="AA49" s="235">
        <f t="shared" si="49"/>
        <v>0</v>
      </c>
      <c r="AB49" s="235">
        <f t="shared" si="49"/>
        <v>0</v>
      </c>
      <c r="AC49" s="235">
        <f t="shared" si="49"/>
        <v>0</v>
      </c>
      <c r="AD49" s="235">
        <f t="shared" si="49"/>
        <v>0</v>
      </c>
      <c r="AE49" s="235">
        <f t="shared" si="49"/>
        <v>0</v>
      </c>
      <c r="AF49" s="235">
        <f>IF(AND(AF48=0,AE49&gt;0,AE48+AF$21&gt;0),MAX(AE49+AF$21,0),IF(AND(AF48=0,AE49&gt;0,AE48+AF$21&lt;0),AE49+AE48+AF$21,AE49))-2*IF(AND(AF48=0,AE49&gt;0,AE48+AF$21&gt;0),MAX(AE49+AF$21,0),IF(AND(AF48=0,AE49&gt;0,AE48+AF$21&lt;0),AE49+AE48+AF$21,AE49))</f>
        <v>0</v>
      </c>
      <c r="AG49" s="235">
        <f>IF(AF49&gt;0,-AF49,0)</f>
        <v>0</v>
      </c>
      <c r="AH49" s="235">
        <f>IF(AG49&gt;0,-AG49,0)</f>
        <v>0</v>
      </c>
      <c r="AI49" s="235">
        <f>IF(AH49&gt;0,-AH49,0)</f>
        <v>0</v>
      </c>
      <c r="AJ49" s="235">
        <f>IF(AI49&gt;0,-AI49,0)</f>
        <v>0</v>
      </c>
      <c r="AK49" s="709">
        <f>IF(AJ49&gt;0,-AJ49,0)</f>
        <v>0</v>
      </c>
    </row>
    <row r="50" spans="1:37" x14ac:dyDescent="0.75">
      <c r="A50" s="742">
        <v>2026</v>
      </c>
      <c r="B50" s="748"/>
      <c r="C50" s="743"/>
      <c r="D50" s="791"/>
      <c r="E50" s="235"/>
      <c r="F50" s="235"/>
      <c r="G50" s="235"/>
      <c r="H50" s="235"/>
      <c r="I50" s="235"/>
      <c r="J50" s="791"/>
      <c r="K50" s="235"/>
      <c r="L50" s="235"/>
      <c r="M50" s="235">
        <f>M$20</f>
        <v>0</v>
      </c>
      <c r="N50" s="235">
        <f t="shared" ref="N50:AF50" si="50">IF(AND(N49=0,M50&gt;0,M49+N21&gt;0),MAX(M50+N21,0),IF(AND(N49=0,M50&gt;0,M49+N21&lt;0),M50+M49+N21,M50))</f>
        <v>0</v>
      </c>
      <c r="O50" s="235">
        <f t="shared" si="50"/>
        <v>0</v>
      </c>
      <c r="P50" s="235">
        <f t="shared" si="50"/>
        <v>0</v>
      </c>
      <c r="Q50" s="235">
        <f t="shared" si="50"/>
        <v>0</v>
      </c>
      <c r="R50" s="235">
        <f t="shared" si="50"/>
        <v>0</v>
      </c>
      <c r="S50" s="235">
        <f t="shared" si="50"/>
        <v>0</v>
      </c>
      <c r="T50" s="235">
        <f t="shared" si="50"/>
        <v>0</v>
      </c>
      <c r="U50" s="235">
        <f t="shared" si="50"/>
        <v>0</v>
      </c>
      <c r="V50" s="235">
        <f t="shared" si="50"/>
        <v>0</v>
      </c>
      <c r="W50" s="235">
        <f t="shared" si="50"/>
        <v>0</v>
      </c>
      <c r="X50" s="235">
        <f t="shared" si="50"/>
        <v>0</v>
      </c>
      <c r="Y50" s="235">
        <f t="shared" si="50"/>
        <v>0</v>
      </c>
      <c r="Z50" s="235">
        <f t="shared" si="50"/>
        <v>0</v>
      </c>
      <c r="AA50" s="235">
        <f t="shared" si="50"/>
        <v>0</v>
      </c>
      <c r="AB50" s="235">
        <f t="shared" si="50"/>
        <v>0</v>
      </c>
      <c r="AC50" s="235">
        <f t="shared" si="50"/>
        <v>0</v>
      </c>
      <c r="AD50" s="235">
        <f t="shared" si="50"/>
        <v>0</v>
      </c>
      <c r="AE50" s="235">
        <f t="shared" si="50"/>
        <v>0</v>
      </c>
      <c r="AF50" s="235">
        <f t="shared" si="50"/>
        <v>0</v>
      </c>
      <c r="AG50" s="235">
        <f>IF(AND(AG49=0,AF50&gt;0,AF49+AG$21&gt;0),MAX(AF50+AG$21,0),IF(AND(AG49=0,AF50&gt;0,AF49+AG$21&lt;0),AF50+AF49+AG$21,AF50))-2*IF(AND(AG49=0,AF50&gt;0,AF49+AG$21&gt;0),MAX(AF50+AG$21,0),IF(AND(AG49=0,AF50&gt;0,AF49+AG$21&lt;0),AF50+AF49+AG$21,AF50))</f>
        <v>0</v>
      </c>
      <c r="AH50" s="235">
        <f>IF(AG50&gt;0,-AG50,0)</f>
        <v>0</v>
      </c>
      <c r="AI50" s="235">
        <f>IF(AH50&gt;0,-AH50,0)</f>
        <v>0</v>
      </c>
      <c r="AJ50" s="235">
        <f>IF(AI50&gt;0,-AI50,0)</f>
        <v>0</v>
      </c>
      <c r="AK50" s="709">
        <f>IF(AJ50&gt;0,-AJ50,0)</f>
        <v>0</v>
      </c>
    </row>
    <row r="51" spans="1:37" x14ac:dyDescent="0.75">
      <c r="A51" s="742">
        <v>2027</v>
      </c>
      <c r="B51" s="748"/>
      <c r="C51" s="743"/>
      <c r="D51" s="791"/>
      <c r="E51" s="235"/>
      <c r="F51" s="235"/>
      <c r="G51" s="235"/>
      <c r="H51" s="235"/>
      <c r="I51" s="235"/>
      <c r="J51" s="791"/>
      <c r="K51" s="235"/>
      <c r="L51" s="235"/>
      <c r="M51" s="235"/>
      <c r="N51" s="235">
        <f>N$20</f>
        <v>0</v>
      </c>
      <c r="O51" s="235">
        <f t="shared" ref="O51:AG51" si="51">IF(AND(O50=0,N51&gt;0,N50+O21&gt;0),MAX(N51+O21,0),IF(AND(O50=0,N51&gt;0,N50+O21&lt;0),N51+N50+O21,N51))</f>
        <v>0</v>
      </c>
      <c r="P51" s="235">
        <f t="shared" si="51"/>
        <v>0</v>
      </c>
      <c r="Q51" s="235">
        <f t="shared" si="51"/>
        <v>0</v>
      </c>
      <c r="R51" s="235">
        <f t="shared" si="51"/>
        <v>0</v>
      </c>
      <c r="S51" s="235">
        <f t="shared" si="51"/>
        <v>0</v>
      </c>
      <c r="T51" s="235">
        <f t="shared" si="51"/>
        <v>0</v>
      </c>
      <c r="U51" s="235">
        <f t="shared" si="51"/>
        <v>0</v>
      </c>
      <c r="V51" s="235">
        <f t="shared" si="51"/>
        <v>0</v>
      </c>
      <c r="W51" s="235">
        <f t="shared" si="51"/>
        <v>0</v>
      </c>
      <c r="X51" s="235">
        <f t="shared" si="51"/>
        <v>0</v>
      </c>
      <c r="Y51" s="235">
        <f t="shared" si="51"/>
        <v>0</v>
      </c>
      <c r="Z51" s="235">
        <f t="shared" si="51"/>
        <v>0</v>
      </c>
      <c r="AA51" s="235">
        <f t="shared" si="51"/>
        <v>0</v>
      </c>
      <c r="AB51" s="235">
        <f t="shared" si="51"/>
        <v>0</v>
      </c>
      <c r="AC51" s="235">
        <f t="shared" si="51"/>
        <v>0</v>
      </c>
      <c r="AD51" s="235">
        <f t="shared" si="51"/>
        <v>0</v>
      </c>
      <c r="AE51" s="235">
        <f t="shared" si="51"/>
        <v>0</v>
      </c>
      <c r="AF51" s="235">
        <f t="shared" si="51"/>
        <v>0</v>
      </c>
      <c r="AG51" s="235">
        <f t="shared" si="51"/>
        <v>0</v>
      </c>
      <c r="AH51" s="235">
        <f>IF(AND(AH50=0,AG51&gt;0,AG50+AH$21&gt;0),MAX(AG51+AH$21,0),IF(AND(AH50=0,AG51&gt;0,AG50+AH$21&lt;0),AG51+AG50+AH$21,AG51))-2*IF(AND(AH50=0,AG51&gt;0,AG50+AH$21&gt;0),MAX(AG51+AH$21,0),IF(AND(AH50=0,AG51&gt;0,AG50+AH$21&lt;0),AG51+AG50+AH$21,AG51))</f>
        <v>0</v>
      </c>
      <c r="AI51" s="235">
        <f>IF(AH51&gt;0,-AH51,0)</f>
        <v>0</v>
      </c>
      <c r="AJ51" s="235">
        <f>IF(AI51&gt;0,-AI51,0)</f>
        <v>0</v>
      </c>
      <c r="AK51" s="709">
        <f>IF(AJ51&gt;0,-AJ51,0)</f>
        <v>0</v>
      </c>
    </row>
    <row r="52" spans="1:37" x14ac:dyDescent="0.75">
      <c r="A52" s="742">
        <v>2028</v>
      </c>
      <c r="B52" s="748"/>
      <c r="C52" s="743"/>
      <c r="D52" s="791"/>
      <c r="E52" s="235"/>
      <c r="F52" s="235"/>
      <c r="G52" s="235"/>
      <c r="H52" s="235"/>
      <c r="I52" s="235"/>
      <c r="J52" s="791"/>
      <c r="K52" s="235"/>
      <c r="L52" s="235"/>
      <c r="M52" s="235"/>
      <c r="N52" s="235"/>
      <c r="O52" s="235">
        <f>O$20</f>
        <v>0</v>
      </c>
      <c r="P52" s="235">
        <f t="shared" ref="P52:AH52" si="52">IF(AND(P51=0,O52&gt;0,O51+P21&gt;0),MAX(O52+P21,0),IF(AND(P51=0,O52&gt;0,O51+P21&lt;0),O52+O51+P21,O52))</f>
        <v>0</v>
      </c>
      <c r="Q52" s="235">
        <f t="shared" si="52"/>
        <v>0</v>
      </c>
      <c r="R52" s="235">
        <f t="shared" si="52"/>
        <v>0</v>
      </c>
      <c r="S52" s="235">
        <f t="shared" si="52"/>
        <v>0</v>
      </c>
      <c r="T52" s="235">
        <f t="shared" si="52"/>
        <v>0</v>
      </c>
      <c r="U52" s="235">
        <f t="shared" si="52"/>
        <v>0</v>
      </c>
      <c r="V52" s="235">
        <f t="shared" si="52"/>
        <v>0</v>
      </c>
      <c r="W52" s="235">
        <f t="shared" si="52"/>
        <v>0</v>
      </c>
      <c r="X52" s="235">
        <f t="shared" si="52"/>
        <v>0</v>
      </c>
      <c r="Y52" s="235">
        <f t="shared" si="52"/>
        <v>0</v>
      </c>
      <c r="Z52" s="235">
        <f t="shared" si="52"/>
        <v>0</v>
      </c>
      <c r="AA52" s="235">
        <f t="shared" si="52"/>
        <v>0</v>
      </c>
      <c r="AB52" s="235">
        <f t="shared" si="52"/>
        <v>0</v>
      </c>
      <c r="AC52" s="235">
        <f t="shared" si="52"/>
        <v>0</v>
      </c>
      <c r="AD52" s="235">
        <f t="shared" si="52"/>
        <v>0</v>
      </c>
      <c r="AE52" s="235">
        <f t="shared" si="52"/>
        <v>0</v>
      </c>
      <c r="AF52" s="235">
        <f t="shared" si="52"/>
        <v>0</v>
      </c>
      <c r="AG52" s="235">
        <f t="shared" si="52"/>
        <v>0</v>
      </c>
      <c r="AH52" s="235">
        <f t="shared" si="52"/>
        <v>0</v>
      </c>
      <c r="AI52" s="235">
        <f>IF(AND(AI51=0,AH52&gt;0,AH51+AI$21&gt;0),MAX(AH52+AI$21,0),IF(AND(AI51=0,AH52&gt;0,AH51+AI$21&lt;0),AH52+AH51+AI$21,AH52))-2*IF(AND(AI51=0,AH52&gt;0,AH51+AI$21&gt;0),MAX(AH52+AI$21,0),IF(AND(AI51=0,AH52&gt;0,AH51+AI$21&lt;0),AH52+AH51+AI$21,AH52))</f>
        <v>0</v>
      </c>
      <c r="AJ52" s="235">
        <f>IF(AI52&gt;0,-AI52,0)</f>
        <v>0</v>
      </c>
      <c r="AK52" s="709">
        <f>IF(AJ52&gt;0,-AJ52,0)</f>
        <v>0</v>
      </c>
    </row>
    <row r="53" spans="1:37" x14ac:dyDescent="0.75">
      <c r="A53" s="742">
        <v>2029</v>
      </c>
      <c r="B53" s="748"/>
      <c r="C53" s="743"/>
      <c r="D53" s="791"/>
      <c r="E53" s="235"/>
      <c r="F53" s="235"/>
      <c r="G53" s="235"/>
      <c r="H53" s="235"/>
      <c r="I53" s="235"/>
      <c r="J53" s="791"/>
      <c r="K53" s="235"/>
      <c r="L53" s="235"/>
      <c r="M53" s="235"/>
      <c r="N53" s="235"/>
      <c r="O53" s="235"/>
      <c r="P53" s="235">
        <f>P$20</f>
        <v>0</v>
      </c>
      <c r="Q53" s="235">
        <f t="shared" ref="Q53:AI53" si="53">IF(AND(Q52=0,P53&gt;0,P52+Q21&gt;0),MAX(P53+Q21,0),IF(AND(Q52=0,P53&gt;0,P52+Q21&lt;0),P53+P52+Q21,P53))</f>
        <v>0</v>
      </c>
      <c r="R53" s="235">
        <f t="shared" si="53"/>
        <v>0</v>
      </c>
      <c r="S53" s="235">
        <f t="shared" si="53"/>
        <v>0</v>
      </c>
      <c r="T53" s="235">
        <f t="shared" si="53"/>
        <v>0</v>
      </c>
      <c r="U53" s="235">
        <f t="shared" si="53"/>
        <v>0</v>
      </c>
      <c r="V53" s="235">
        <f t="shared" si="53"/>
        <v>0</v>
      </c>
      <c r="W53" s="235">
        <f t="shared" si="53"/>
        <v>0</v>
      </c>
      <c r="X53" s="235">
        <f t="shared" si="53"/>
        <v>0</v>
      </c>
      <c r="Y53" s="235">
        <f t="shared" si="53"/>
        <v>0</v>
      </c>
      <c r="Z53" s="235">
        <f t="shared" si="53"/>
        <v>0</v>
      </c>
      <c r="AA53" s="235">
        <f t="shared" si="53"/>
        <v>0</v>
      </c>
      <c r="AB53" s="235">
        <f t="shared" si="53"/>
        <v>0</v>
      </c>
      <c r="AC53" s="235">
        <f t="shared" si="53"/>
        <v>0</v>
      </c>
      <c r="AD53" s="235">
        <f t="shared" si="53"/>
        <v>0</v>
      </c>
      <c r="AE53" s="235">
        <f t="shared" si="53"/>
        <v>0</v>
      </c>
      <c r="AF53" s="235">
        <f t="shared" si="53"/>
        <v>0</v>
      </c>
      <c r="AG53" s="235">
        <f t="shared" si="53"/>
        <v>0</v>
      </c>
      <c r="AH53" s="235">
        <f t="shared" si="53"/>
        <v>0</v>
      </c>
      <c r="AI53" s="235">
        <f t="shared" si="53"/>
        <v>0</v>
      </c>
      <c r="AJ53" s="235">
        <f>IF(AND(AJ52=0,AI53&gt;0,AI52+AJ$21&gt;0),MAX(AI53+AJ$21,0),IF(AND(AJ52=0,AI53&gt;0,AI52+AJ$21&lt;0),AI53+AI52+AJ$21,AI53))-2*IF(AND(AJ52=0,AI53&gt;0,AI52+AJ$21&gt;0),MAX(AI53+AJ$21,0),IF(AND(AJ52=0,AI53&gt;0,AI52+AJ$21&lt;0),AI53+AI52+AJ$21,AI53))</f>
        <v>0</v>
      </c>
      <c r="AK53" s="709">
        <f t="shared" ref="AK53:AK73" si="54">IF(AJ53&gt;0,-AJ53,0)</f>
        <v>0</v>
      </c>
    </row>
    <row r="54" spans="1:37" x14ac:dyDescent="0.75">
      <c r="A54" s="742">
        <v>2030</v>
      </c>
      <c r="B54" s="748"/>
      <c r="C54" s="743"/>
      <c r="D54" s="791"/>
      <c r="E54" s="235"/>
      <c r="F54" s="235"/>
      <c r="G54" s="235"/>
      <c r="H54" s="235"/>
      <c r="I54" s="235"/>
      <c r="J54" s="791"/>
      <c r="K54" s="235"/>
      <c r="L54" s="235"/>
      <c r="M54" s="235"/>
      <c r="N54" s="235"/>
      <c r="O54" s="235"/>
      <c r="P54" s="235"/>
      <c r="Q54" s="235">
        <f>Q$20</f>
        <v>0</v>
      </c>
      <c r="R54" s="235">
        <f t="shared" ref="R54:AJ54" si="55">IF(AND(R53=0,Q54&gt;0,Q53+R21&gt;0),MAX(Q54+R21,0),IF(AND(R53=0,Q54&gt;0,Q53+R21&lt;0),Q54+Q53+R21,Q54))</f>
        <v>0</v>
      </c>
      <c r="S54" s="235">
        <f t="shared" si="55"/>
        <v>0</v>
      </c>
      <c r="T54" s="235">
        <f t="shared" si="55"/>
        <v>0</v>
      </c>
      <c r="U54" s="235">
        <f t="shared" si="55"/>
        <v>0</v>
      </c>
      <c r="V54" s="235">
        <f t="shared" si="55"/>
        <v>0</v>
      </c>
      <c r="W54" s="235">
        <f t="shared" si="55"/>
        <v>0</v>
      </c>
      <c r="X54" s="235">
        <f t="shared" si="55"/>
        <v>0</v>
      </c>
      <c r="Y54" s="235">
        <f t="shared" si="55"/>
        <v>0</v>
      </c>
      <c r="Z54" s="235">
        <f t="shared" si="55"/>
        <v>0</v>
      </c>
      <c r="AA54" s="235">
        <f t="shared" si="55"/>
        <v>0</v>
      </c>
      <c r="AB54" s="235">
        <f t="shared" si="55"/>
        <v>0</v>
      </c>
      <c r="AC54" s="235">
        <f t="shared" si="55"/>
        <v>0</v>
      </c>
      <c r="AD54" s="235">
        <f t="shared" si="55"/>
        <v>0</v>
      </c>
      <c r="AE54" s="235">
        <f t="shared" si="55"/>
        <v>0</v>
      </c>
      <c r="AF54" s="235">
        <f t="shared" si="55"/>
        <v>0</v>
      </c>
      <c r="AG54" s="235">
        <f t="shared" si="55"/>
        <v>0</v>
      </c>
      <c r="AH54" s="235">
        <f t="shared" si="55"/>
        <v>0</v>
      </c>
      <c r="AI54" s="235">
        <f t="shared" si="55"/>
        <v>0</v>
      </c>
      <c r="AJ54" s="235">
        <f t="shared" si="55"/>
        <v>0</v>
      </c>
      <c r="AK54" s="709">
        <f t="shared" si="54"/>
        <v>0</v>
      </c>
    </row>
    <row r="55" spans="1:37" x14ac:dyDescent="0.75">
      <c r="A55" s="742">
        <v>2031</v>
      </c>
      <c r="B55" s="748"/>
      <c r="C55" s="743"/>
      <c r="D55" s="791"/>
      <c r="E55" s="235"/>
      <c r="F55" s="235"/>
      <c r="G55" s="235"/>
      <c r="H55" s="235"/>
      <c r="I55" s="235"/>
      <c r="J55" s="791"/>
      <c r="K55" s="235"/>
      <c r="L55" s="235"/>
      <c r="M55" s="235"/>
      <c r="N55" s="235"/>
      <c r="O55" s="235"/>
      <c r="P55" s="235"/>
      <c r="Q55" s="235"/>
      <c r="R55" s="235">
        <f>R$20</f>
        <v>0</v>
      </c>
      <c r="S55" s="235">
        <f t="shared" ref="S55:AJ55" si="56">IF(AND(S54=0,R55&gt;0,R54+S21&gt;0),MAX(R55+S21,0),IF(AND(S54=0,R55&gt;0,R54+S21&lt;0),R55+R54+S21,R55))</f>
        <v>0</v>
      </c>
      <c r="T55" s="235">
        <f t="shared" si="56"/>
        <v>0</v>
      </c>
      <c r="U55" s="235">
        <f t="shared" si="56"/>
        <v>0</v>
      </c>
      <c r="V55" s="235">
        <f t="shared" si="56"/>
        <v>0</v>
      </c>
      <c r="W55" s="235">
        <f t="shared" si="56"/>
        <v>0</v>
      </c>
      <c r="X55" s="235">
        <f t="shared" si="56"/>
        <v>0</v>
      </c>
      <c r="Y55" s="235">
        <f t="shared" si="56"/>
        <v>0</v>
      </c>
      <c r="Z55" s="235">
        <f t="shared" si="56"/>
        <v>0</v>
      </c>
      <c r="AA55" s="235">
        <f t="shared" si="56"/>
        <v>0</v>
      </c>
      <c r="AB55" s="235">
        <f t="shared" si="56"/>
        <v>0</v>
      </c>
      <c r="AC55" s="235">
        <f t="shared" si="56"/>
        <v>0</v>
      </c>
      <c r="AD55" s="235">
        <f t="shared" si="56"/>
        <v>0</v>
      </c>
      <c r="AE55" s="235">
        <f t="shared" si="56"/>
        <v>0</v>
      </c>
      <c r="AF55" s="235">
        <f t="shared" si="56"/>
        <v>0</v>
      </c>
      <c r="AG55" s="235">
        <f t="shared" si="56"/>
        <v>0</v>
      </c>
      <c r="AH55" s="235">
        <f t="shared" si="56"/>
        <v>0</v>
      </c>
      <c r="AI55" s="235">
        <f t="shared" si="56"/>
        <v>0</v>
      </c>
      <c r="AJ55" s="235">
        <f t="shared" si="56"/>
        <v>0</v>
      </c>
      <c r="AK55" s="709">
        <f t="shared" si="54"/>
        <v>0</v>
      </c>
    </row>
    <row r="56" spans="1:37" x14ac:dyDescent="0.75">
      <c r="A56" s="742">
        <v>2032</v>
      </c>
      <c r="B56" s="748"/>
      <c r="C56" s="743"/>
      <c r="D56" s="791"/>
      <c r="E56" s="235"/>
      <c r="F56" s="235"/>
      <c r="G56" s="235"/>
      <c r="H56" s="235"/>
      <c r="I56" s="235"/>
      <c r="J56" s="791"/>
      <c r="K56" s="235"/>
      <c r="L56" s="235"/>
      <c r="M56" s="235"/>
      <c r="N56" s="235"/>
      <c r="O56" s="235"/>
      <c r="P56" s="235"/>
      <c r="Q56" s="235"/>
      <c r="R56" s="235"/>
      <c r="S56" s="235">
        <f>S$20</f>
        <v>0</v>
      </c>
      <c r="T56" s="235">
        <f t="shared" ref="T56:AJ56" si="57">IF(AND(T55=0,S56&gt;0,S55+T21&gt;0),MAX(S56+T21,0),IF(AND(T55=0,S56&gt;0,S55+T21&lt;0),S56+S55+T21,S56))</f>
        <v>0</v>
      </c>
      <c r="U56" s="235">
        <f t="shared" si="57"/>
        <v>0</v>
      </c>
      <c r="V56" s="235">
        <f t="shared" si="57"/>
        <v>0</v>
      </c>
      <c r="W56" s="235">
        <f t="shared" si="57"/>
        <v>0</v>
      </c>
      <c r="X56" s="235">
        <f t="shared" si="57"/>
        <v>0</v>
      </c>
      <c r="Y56" s="235">
        <f t="shared" si="57"/>
        <v>0</v>
      </c>
      <c r="Z56" s="235">
        <f t="shared" si="57"/>
        <v>0</v>
      </c>
      <c r="AA56" s="235">
        <f t="shared" si="57"/>
        <v>0</v>
      </c>
      <c r="AB56" s="235">
        <f t="shared" si="57"/>
        <v>0</v>
      </c>
      <c r="AC56" s="235">
        <f t="shared" si="57"/>
        <v>0</v>
      </c>
      <c r="AD56" s="235">
        <f t="shared" si="57"/>
        <v>0</v>
      </c>
      <c r="AE56" s="235">
        <f t="shared" si="57"/>
        <v>0</v>
      </c>
      <c r="AF56" s="235">
        <f t="shared" si="57"/>
        <v>0</v>
      </c>
      <c r="AG56" s="235">
        <f t="shared" si="57"/>
        <v>0</v>
      </c>
      <c r="AH56" s="235">
        <f t="shared" si="57"/>
        <v>0</v>
      </c>
      <c r="AI56" s="235">
        <f t="shared" si="57"/>
        <v>0</v>
      </c>
      <c r="AJ56" s="235">
        <f t="shared" si="57"/>
        <v>0</v>
      </c>
      <c r="AK56" s="709">
        <f t="shared" si="54"/>
        <v>0</v>
      </c>
    </row>
    <row r="57" spans="1:37" x14ac:dyDescent="0.75">
      <c r="A57" s="742">
        <v>2033</v>
      </c>
      <c r="B57" s="748"/>
      <c r="C57" s="743"/>
      <c r="D57" s="791"/>
      <c r="E57" s="235"/>
      <c r="F57" s="235"/>
      <c r="G57" s="235"/>
      <c r="H57" s="235"/>
      <c r="I57" s="235"/>
      <c r="J57" s="791"/>
      <c r="K57" s="235"/>
      <c r="L57" s="235"/>
      <c r="M57" s="235"/>
      <c r="N57" s="235"/>
      <c r="O57" s="235"/>
      <c r="P57" s="235"/>
      <c r="Q57" s="235"/>
      <c r="R57" s="235"/>
      <c r="S57" s="235"/>
      <c r="T57" s="235">
        <f>T$20</f>
        <v>0</v>
      </c>
      <c r="U57" s="235">
        <f t="shared" ref="U57:AJ57" si="58">IF(AND(U56=0,T57&gt;0,T56+U21&gt;0),MAX(T57+U21,0),IF(AND(U56=0,T57&gt;0,T56+U21&lt;0),T57+T56+U21,T57))</f>
        <v>0</v>
      </c>
      <c r="V57" s="235">
        <f t="shared" si="58"/>
        <v>0</v>
      </c>
      <c r="W57" s="235">
        <f t="shared" si="58"/>
        <v>0</v>
      </c>
      <c r="X57" s="235">
        <f t="shared" si="58"/>
        <v>0</v>
      </c>
      <c r="Y57" s="235">
        <f t="shared" si="58"/>
        <v>0</v>
      </c>
      <c r="Z57" s="235">
        <f t="shared" si="58"/>
        <v>0</v>
      </c>
      <c r="AA57" s="235">
        <f t="shared" si="58"/>
        <v>0</v>
      </c>
      <c r="AB57" s="235">
        <f t="shared" si="58"/>
        <v>0</v>
      </c>
      <c r="AC57" s="235">
        <f t="shared" si="58"/>
        <v>0</v>
      </c>
      <c r="AD57" s="235">
        <f t="shared" si="58"/>
        <v>0</v>
      </c>
      <c r="AE57" s="235">
        <f t="shared" si="58"/>
        <v>0</v>
      </c>
      <c r="AF57" s="235">
        <f t="shared" si="58"/>
        <v>0</v>
      </c>
      <c r="AG57" s="235">
        <f t="shared" si="58"/>
        <v>0</v>
      </c>
      <c r="AH57" s="235">
        <f t="shared" si="58"/>
        <v>0</v>
      </c>
      <c r="AI57" s="235">
        <f t="shared" si="58"/>
        <v>0</v>
      </c>
      <c r="AJ57" s="235">
        <f t="shared" si="58"/>
        <v>0</v>
      </c>
      <c r="AK57" s="709">
        <f t="shared" si="54"/>
        <v>0</v>
      </c>
    </row>
    <row r="58" spans="1:37" x14ac:dyDescent="0.75">
      <c r="A58" s="742">
        <v>2034</v>
      </c>
      <c r="B58" s="748"/>
      <c r="C58" s="743"/>
      <c r="D58" s="791"/>
      <c r="E58" s="235"/>
      <c r="F58" s="235"/>
      <c r="G58" s="235"/>
      <c r="H58" s="235"/>
      <c r="I58" s="235"/>
      <c r="J58" s="791"/>
      <c r="K58" s="235"/>
      <c r="L58" s="235"/>
      <c r="M58" s="235"/>
      <c r="N58" s="235"/>
      <c r="O58" s="235"/>
      <c r="P58" s="235"/>
      <c r="Q58" s="235"/>
      <c r="R58" s="235"/>
      <c r="S58" s="235"/>
      <c r="T58" s="235"/>
      <c r="U58" s="235">
        <f>U$20</f>
        <v>0</v>
      </c>
      <c r="V58" s="235">
        <f t="shared" ref="V58:AJ58" si="59">IF(AND(V57=0,U58&gt;0,U57+V21&gt;0),MAX(U58+V21,0),IF(AND(V57=0,U58&gt;0,U57+V21&lt;0),U58+U57+V21,U58))</f>
        <v>0</v>
      </c>
      <c r="W58" s="235">
        <f t="shared" si="59"/>
        <v>0</v>
      </c>
      <c r="X58" s="235">
        <f t="shared" si="59"/>
        <v>0</v>
      </c>
      <c r="Y58" s="235">
        <f t="shared" si="59"/>
        <v>0</v>
      </c>
      <c r="Z58" s="235">
        <f t="shared" si="59"/>
        <v>0</v>
      </c>
      <c r="AA58" s="235">
        <f t="shared" si="59"/>
        <v>0</v>
      </c>
      <c r="AB58" s="235">
        <f t="shared" si="59"/>
        <v>0</v>
      </c>
      <c r="AC58" s="235">
        <f t="shared" si="59"/>
        <v>0</v>
      </c>
      <c r="AD58" s="235">
        <f t="shared" si="59"/>
        <v>0</v>
      </c>
      <c r="AE58" s="235">
        <f t="shared" si="59"/>
        <v>0</v>
      </c>
      <c r="AF58" s="235">
        <f t="shared" si="59"/>
        <v>0</v>
      </c>
      <c r="AG58" s="235">
        <f t="shared" si="59"/>
        <v>0</v>
      </c>
      <c r="AH58" s="235">
        <f t="shared" si="59"/>
        <v>0</v>
      </c>
      <c r="AI58" s="235">
        <f t="shared" si="59"/>
        <v>0</v>
      </c>
      <c r="AJ58" s="235">
        <f t="shared" si="59"/>
        <v>0</v>
      </c>
      <c r="AK58" s="709">
        <f t="shared" si="54"/>
        <v>0</v>
      </c>
    </row>
    <row r="59" spans="1:37" x14ac:dyDescent="0.75">
      <c r="A59" s="742">
        <v>2035</v>
      </c>
      <c r="B59" s="748"/>
      <c r="C59" s="743"/>
      <c r="D59" s="791"/>
      <c r="E59" s="235"/>
      <c r="F59" s="235"/>
      <c r="G59" s="235"/>
      <c r="H59" s="235"/>
      <c r="I59" s="235"/>
      <c r="J59" s="791"/>
      <c r="K59" s="235"/>
      <c r="L59" s="235"/>
      <c r="M59" s="235"/>
      <c r="N59" s="235"/>
      <c r="O59" s="235"/>
      <c r="P59" s="235"/>
      <c r="Q59" s="235"/>
      <c r="R59" s="235"/>
      <c r="S59" s="235"/>
      <c r="T59" s="235"/>
      <c r="U59" s="235"/>
      <c r="V59" s="235">
        <f>V$20</f>
        <v>0</v>
      </c>
      <c r="W59" s="235">
        <f t="shared" ref="W59:AJ59" si="60">IF(AND(W58=0,V59&gt;0,V58+W21&gt;0),MAX(V59+W21,0),IF(AND(W58=0,V59&gt;0,V58+W21&lt;0),V59+V58+W21,V59))</f>
        <v>0</v>
      </c>
      <c r="X59" s="235">
        <f t="shared" si="60"/>
        <v>0</v>
      </c>
      <c r="Y59" s="235">
        <f t="shared" si="60"/>
        <v>0</v>
      </c>
      <c r="Z59" s="235">
        <f t="shared" si="60"/>
        <v>0</v>
      </c>
      <c r="AA59" s="235">
        <f t="shared" si="60"/>
        <v>0</v>
      </c>
      <c r="AB59" s="235">
        <f t="shared" si="60"/>
        <v>0</v>
      </c>
      <c r="AC59" s="235">
        <f t="shared" si="60"/>
        <v>0</v>
      </c>
      <c r="AD59" s="235">
        <f t="shared" si="60"/>
        <v>0</v>
      </c>
      <c r="AE59" s="235">
        <f t="shared" si="60"/>
        <v>0</v>
      </c>
      <c r="AF59" s="235">
        <f t="shared" si="60"/>
        <v>0</v>
      </c>
      <c r="AG59" s="235">
        <f t="shared" si="60"/>
        <v>0</v>
      </c>
      <c r="AH59" s="235">
        <f t="shared" si="60"/>
        <v>0</v>
      </c>
      <c r="AI59" s="235">
        <f t="shared" si="60"/>
        <v>0</v>
      </c>
      <c r="AJ59" s="235">
        <f t="shared" si="60"/>
        <v>0</v>
      </c>
      <c r="AK59" s="709">
        <f t="shared" si="54"/>
        <v>0</v>
      </c>
    </row>
    <row r="60" spans="1:37" x14ac:dyDescent="0.75">
      <c r="A60" s="742">
        <v>2036</v>
      </c>
      <c r="B60" s="748"/>
      <c r="C60" s="743"/>
      <c r="D60" s="791"/>
      <c r="E60" s="235"/>
      <c r="F60" s="235"/>
      <c r="G60" s="235"/>
      <c r="H60" s="235"/>
      <c r="I60" s="235"/>
      <c r="J60" s="791"/>
      <c r="K60" s="235"/>
      <c r="L60" s="235"/>
      <c r="M60" s="235"/>
      <c r="N60" s="235"/>
      <c r="O60" s="235"/>
      <c r="P60" s="235"/>
      <c r="Q60" s="235"/>
      <c r="R60" s="235"/>
      <c r="S60" s="235"/>
      <c r="T60" s="235"/>
      <c r="U60" s="235"/>
      <c r="V60" s="235"/>
      <c r="W60" s="235">
        <f>W$20</f>
        <v>0</v>
      </c>
      <c r="X60" s="235">
        <f t="shared" ref="X60:AJ60" si="61">IF(AND(X59=0,W60&gt;0,W59+X21&gt;0),MAX(W60+X21,0),IF(AND(X59=0,W60&gt;0,W59+X21&lt;0),W60+W59+X21,W60))</f>
        <v>0</v>
      </c>
      <c r="Y60" s="235">
        <f t="shared" si="61"/>
        <v>0</v>
      </c>
      <c r="Z60" s="235">
        <f t="shared" si="61"/>
        <v>0</v>
      </c>
      <c r="AA60" s="235">
        <f t="shared" si="61"/>
        <v>0</v>
      </c>
      <c r="AB60" s="235">
        <f t="shared" si="61"/>
        <v>0</v>
      </c>
      <c r="AC60" s="235">
        <f t="shared" si="61"/>
        <v>0</v>
      </c>
      <c r="AD60" s="235">
        <f t="shared" si="61"/>
        <v>0</v>
      </c>
      <c r="AE60" s="235">
        <f t="shared" si="61"/>
        <v>0</v>
      </c>
      <c r="AF60" s="235">
        <f t="shared" si="61"/>
        <v>0</v>
      </c>
      <c r="AG60" s="235">
        <f t="shared" si="61"/>
        <v>0</v>
      </c>
      <c r="AH60" s="235">
        <f t="shared" si="61"/>
        <v>0</v>
      </c>
      <c r="AI60" s="235">
        <f t="shared" si="61"/>
        <v>0</v>
      </c>
      <c r="AJ60" s="235">
        <f t="shared" si="61"/>
        <v>0</v>
      </c>
      <c r="AK60" s="709">
        <f t="shared" si="54"/>
        <v>0</v>
      </c>
    </row>
    <row r="61" spans="1:37" x14ac:dyDescent="0.75">
      <c r="A61" s="742">
        <v>2037</v>
      </c>
      <c r="B61" s="748"/>
      <c r="C61" s="743"/>
      <c r="D61" s="791"/>
      <c r="E61" s="235"/>
      <c r="F61" s="235"/>
      <c r="G61" s="235"/>
      <c r="H61" s="235"/>
      <c r="I61" s="235"/>
      <c r="J61" s="791"/>
      <c r="K61" s="235"/>
      <c r="L61" s="235"/>
      <c r="M61" s="235"/>
      <c r="N61" s="235"/>
      <c r="O61" s="235"/>
      <c r="P61" s="235"/>
      <c r="Q61" s="235"/>
      <c r="R61" s="235"/>
      <c r="S61" s="235"/>
      <c r="T61" s="235"/>
      <c r="U61" s="235"/>
      <c r="V61" s="235"/>
      <c r="W61" s="235"/>
      <c r="X61" s="235">
        <f>X$20</f>
        <v>0</v>
      </c>
      <c r="Y61" s="235">
        <f t="shared" ref="Y61:AJ61" si="62">IF(AND(Y60=0,X61&gt;0,X60+Y21&gt;0),MAX(X61+Y21,0),IF(AND(Y60=0,X61&gt;0,X60+Y21&lt;0),X61+X60+Y21,X61))</f>
        <v>0</v>
      </c>
      <c r="Z61" s="235">
        <f t="shared" si="62"/>
        <v>0</v>
      </c>
      <c r="AA61" s="235">
        <f t="shared" si="62"/>
        <v>0</v>
      </c>
      <c r="AB61" s="235">
        <f t="shared" si="62"/>
        <v>0</v>
      </c>
      <c r="AC61" s="235">
        <f t="shared" si="62"/>
        <v>0</v>
      </c>
      <c r="AD61" s="235">
        <f t="shared" si="62"/>
        <v>0</v>
      </c>
      <c r="AE61" s="235">
        <f t="shared" si="62"/>
        <v>0</v>
      </c>
      <c r="AF61" s="235">
        <f t="shared" si="62"/>
        <v>0</v>
      </c>
      <c r="AG61" s="235">
        <f t="shared" si="62"/>
        <v>0</v>
      </c>
      <c r="AH61" s="235">
        <f t="shared" si="62"/>
        <v>0</v>
      </c>
      <c r="AI61" s="235">
        <f t="shared" si="62"/>
        <v>0</v>
      </c>
      <c r="AJ61" s="235">
        <f t="shared" si="62"/>
        <v>0</v>
      </c>
      <c r="AK61" s="709">
        <f t="shared" si="54"/>
        <v>0</v>
      </c>
    </row>
    <row r="62" spans="1:37" x14ac:dyDescent="0.75">
      <c r="A62" s="742">
        <v>2038</v>
      </c>
      <c r="B62" s="748"/>
      <c r="C62" s="743"/>
      <c r="D62" s="791"/>
      <c r="E62" s="235"/>
      <c r="F62" s="235"/>
      <c r="G62" s="235"/>
      <c r="H62" s="235"/>
      <c r="I62" s="235"/>
      <c r="J62" s="791"/>
      <c r="K62" s="235"/>
      <c r="L62" s="235"/>
      <c r="M62" s="235"/>
      <c r="N62" s="235"/>
      <c r="O62" s="235"/>
      <c r="P62" s="235"/>
      <c r="Q62" s="235"/>
      <c r="R62" s="235"/>
      <c r="S62" s="235"/>
      <c r="T62" s="235"/>
      <c r="U62" s="235"/>
      <c r="V62" s="235"/>
      <c r="W62" s="235"/>
      <c r="X62" s="235"/>
      <c r="Y62" s="235">
        <f>Y$20</f>
        <v>0</v>
      </c>
      <c r="Z62" s="235">
        <f t="shared" ref="Z62:AJ62" si="63">IF(AND(Z61=0,Y62&gt;0,Y61+Z21&gt;0),MAX(Y62+Z21,0),IF(AND(Z61=0,Y62&gt;0,Y61+Z21&lt;0),Y62+Y61+Z21,Y62))</f>
        <v>0</v>
      </c>
      <c r="AA62" s="235">
        <f t="shared" si="63"/>
        <v>0</v>
      </c>
      <c r="AB62" s="235">
        <f t="shared" si="63"/>
        <v>0</v>
      </c>
      <c r="AC62" s="235">
        <f t="shared" si="63"/>
        <v>0</v>
      </c>
      <c r="AD62" s="235">
        <f t="shared" si="63"/>
        <v>0</v>
      </c>
      <c r="AE62" s="235">
        <f t="shared" si="63"/>
        <v>0</v>
      </c>
      <c r="AF62" s="235">
        <f t="shared" si="63"/>
        <v>0</v>
      </c>
      <c r="AG62" s="235">
        <f t="shared" si="63"/>
        <v>0</v>
      </c>
      <c r="AH62" s="235">
        <f t="shared" si="63"/>
        <v>0</v>
      </c>
      <c r="AI62" s="235">
        <f t="shared" si="63"/>
        <v>0</v>
      </c>
      <c r="AJ62" s="235">
        <f t="shared" si="63"/>
        <v>0</v>
      </c>
      <c r="AK62" s="709">
        <f t="shared" si="54"/>
        <v>0</v>
      </c>
    </row>
    <row r="63" spans="1:37" x14ac:dyDescent="0.75">
      <c r="A63" s="742">
        <v>2039</v>
      </c>
      <c r="B63" s="748"/>
      <c r="C63" s="743"/>
      <c r="D63" s="791"/>
      <c r="E63" s="235"/>
      <c r="F63" s="235"/>
      <c r="G63" s="235"/>
      <c r="H63" s="235"/>
      <c r="I63" s="235"/>
      <c r="J63" s="791"/>
      <c r="K63" s="235"/>
      <c r="L63" s="235"/>
      <c r="M63" s="235"/>
      <c r="N63" s="235"/>
      <c r="O63" s="235"/>
      <c r="P63" s="235"/>
      <c r="Q63" s="235"/>
      <c r="R63" s="235"/>
      <c r="S63" s="235"/>
      <c r="T63" s="235"/>
      <c r="U63" s="235"/>
      <c r="V63" s="235"/>
      <c r="W63" s="235"/>
      <c r="X63" s="235"/>
      <c r="Y63" s="235"/>
      <c r="Z63" s="235">
        <f>Z$20</f>
        <v>0</v>
      </c>
      <c r="AA63" s="235">
        <f t="shared" ref="AA63:AJ63" si="64">IF(AND(AA62=0,Z63&gt;0,Z62+AA21&gt;0),MAX(Z63+AA21,0),IF(AND(AA62=0,Z63&gt;0,Z62+AA21&lt;0),Z63+Z62+AA21,Z63))</f>
        <v>0</v>
      </c>
      <c r="AB63" s="235">
        <f t="shared" si="64"/>
        <v>0</v>
      </c>
      <c r="AC63" s="235">
        <f t="shared" si="64"/>
        <v>0</v>
      </c>
      <c r="AD63" s="235">
        <f t="shared" si="64"/>
        <v>0</v>
      </c>
      <c r="AE63" s="235">
        <f t="shared" si="64"/>
        <v>0</v>
      </c>
      <c r="AF63" s="235">
        <f t="shared" si="64"/>
        <v>0</v>
      </c>
      <c r="AG63" s="235">
        <f t="shared" si="64"/>
        <v>0</v>
      </c>
      <c r="AH63" s="235">
        <f t="shared" si="64"/>
        <v>0</v>
      </c>
      <c r="AI63" s="235">
        <f t="shared" si="64"/>
        <v>0</v>
      </c>
      <c r="AJ63" s="235">
        <f t="shared" si="64"/>
        <v>0</v>
      </c>
      <c r="AK63" s="709">
        <f t="shared" si="54"/>
        <v>0</v>
      </c>
    </row>
    <row r="64" spans="1:37" x14ac:dyDescent="0.75">
      <c r="A64" s="742">
        <v>2040</v>
      </c>
      <c r="B64" s="748"/>
      <c r="C64" s="743"/>
      <c r="D64" s="791"/>
      <c r="E64" s="235"/>
      <c r="F64" s="235"/>
      <c r="G64" s="235"/>
      <c r="H64" s="235"/>
      <c r="I64" s="235"/>
      <c r="J64" s="791"/>
      <c r="K64" s="235"/>
      <c r="L64" s="235"/>
      <c r="M64" s="235"/>
      <c r="N64" s="235"/>
      <c r="O64" s="235"/>
      <c r="P64" s="235"/>
      <c r="Q64" s="235"/>
      <c r="R64" s="235"/>
      <c r="S64" s="235"/>
      <c r="T64" s="235"/>
      <c r="U64" s="235"/>
      <c r="V64" s="235"/>
      <c r="W64" s="235"/>
      <c r="X64" s="235"/>
      <c r="Y64" s="235"/>
      <c r="Z64" s="235"/>
      <c r="AA64" s="235">
        <f>AA$20</f>
        <v>0</v>
      </c>
      <c r="AB64" s="235">
        <f t="shared" ref="AB64:AJ64" si="65">IF(AND(AB63=0,AA64&gt;0,AA63+AB21&gt;0),MAX(AA64+AB21,0),IF(AND(AB63=0,AA64&gt;0,AA63+AB21&lt;0),AA64+AA63+AB21,AA64))</f>
        <v>0</v>
      </c>
      <c r="AC64" s="235">
        <f t="shared" si="65"/>
        <v>0</v>
      </c>
      <c r="AD64" s="235">
        <f t="shared" si="65"/>
        <v>0</v>
      </c>
      <c r="AE64" s="235">
        <f t="shared" si="65"/>
        <v>0</v>
      </c>
      <c r="AF64" s="235">
        <f t="shared" si="65"/>
        <v>0</v>
      </c>
      <c r="AG64" s="235">
        <f t="shared" si="65"/>
        <v>0</v>
      </c>
      <c r="AH64" s="235">
        <f t="shared" si="65"/>
        <v>0</v>
      </c>
      <c r="AI64" s="235">
        <f t="shared" si="65"/>
        <v>0</v>
      </c>
      <c r="AJ64" s="235">
        <f t="shared" si="65"/>
        <v>0</v>
      </c>
      <c r="AK64" s="709">
        <f t="shared" si="54"/>
        <v>0</v>
      </c>
    </row>
    <row r="65" spans="1:37" x14ac:dyDescent="0.75">
      <c r="A65" s="742">
        <v>2041</v>
      </c>
      <c r="B65" s="748"/>
      <c r="C65" s="743"/>
      <c r="D65" s="791"/>
      <c r="E65" s="235"/>
      <c r="F65" s="235"/>
      <c r="G65" s="235"/>
      <c r="H65" s="235"/>
      <c r="I65" s="235"/>
      <c r="J65" s="791"/>
      <c r="K65" s="235"/>
      <c r="L65" s="235"/>
      <c r="M65" s="235"/>
      <c r="N65" s="235"/>
      <c r="O65" s="235"/>
      <c r="P65" s="235"/>
      <c r="Q65" s="235"/>
      <c r="R65" s="235"/>
      <c r="S65" s="235"/>
      <c r="T65" s="235"/>
      <c r="U65" s="235"/>
      <c r="V65" s="235"/>
      <c r="W65" s="235"/>
      <c r="X65" s="235"/>
      <c r="Y65" s="235"/>
      <c r="Z65" s="235"/>
      <c r="AA65" s="235"/>
      <c r="AB65" s="235">
        <f>AB$20</f>
        <v>0</v>
      </c>
      <c r="AC65" s="235">
        <f t="shared" ref="AC65:AJ65" si="66">IF(AND(AC64=0,AB65&gt;0,AB64+AC21&gt;0),MAX(AB65+AC21,0),IF(AND(AC64=0,AB65&gt;0,AB64+AC21&lt;0),AB65+AB64+AC21,AB65))</f>
        <v>0</v>
      </c>
      <c r="AD65" s="235">
        <f t="shared" si="66"/>
        <v>0</v>
      </c>
      <c r="AE65" s="235">
        <f t="shared" si="66"/>
        <v>0</v>
      </c>
      <c r="AF65" s="235">
        <f t="shared" si="66"/>
        <v>0</v>
      </c>
      <c r="AG65" s="235">
        <f t="shared" si="66"/>
        <v>0</v>
      </c>
      <c r="AH65" s="235">
        <f t="shared" si="66"/>
        <v>0</v>
      </c>
      <c r="AI65" s="235">
        <f t="shared" si="66"/>
        <v>0</v>
      </c>
      <c r="AJ65" s="235">
        <f t="shared" si="66"/>
        <v>0</v>
      </c>
      <c r="AK65" s="709">
        <f t="shared" si="54"/>
        <v>0</v>
      </c>
    </row>
    <row r="66" spans="1:37" x14ac:dyDescent="0.75">
      <c r="A66" s="742">
        <v>2042</v>
      </c>
      <c r="B66" s="748"/>
      <c r="C66" s="743"/>
      <c r="D66" s="791"/>
      <c r="E66" s="235"/>
      <c r="F66" s="235"/>
      <c r="G66" s="235"/>
      <c r="H66" s="235"/>
      <c r="I66" s="235"/>
      <c r="J66" s="791"/>
      <c r="K66" s="235"/>
      <c r="L66" s="235"/>
      <c r="M66" s="235"/>
      <c r="N66" s="235"/>
      <c r="O66" s="235"/>
      <c r="P66" s="235"/>
      <c r="Q66" s="235"/>
      <c r="R66" s="235"/>
      <c r="S66" s="235"/>
      <c r="T66" s="235"/>
      <c r="U66" s="235"/>
      <c r="V66" s="235"/>
      <c r="W66" s="235"/>
      <c r="X66" s="235"/>
      <c r="Y66" s="235"/>
      <c r="Z66" s="235"/>
      <c r="AA66" s="235"/>
      <c r="AB66" s="235"/>
      <c r="AC66" s="235">
        <f>AC$20</f>
        <v>0</v>
      </c>
      <c r="AD66" s="235">
        <f t="shared" ref="AD66:AJ66" si="67">IF(AND(AD65=0,AC66&gt;0,AC65+AD21&gt;0),MAX(AC66+AD21,0),IF(AND(AD65=0,AC66&gt;0,AC65+AD21&lt;0),AC66+AC65+AD21,AC66))</f>
        <v>0</v>
      </c>
      <c r="AE66" s="235">
        <f t="shared" si="67"/>
        <v>0</v>
      </c>
      <c r="AF66" s="235">
        <f t="shared" si="67"/>
        <v>0</v>
      </c>
      <c r="AG66" s="235">
        <f t="shared" si="67"/>
        <v>0</v>
      </c>
      <c r="AH66" s="235">
        <f t="shared" si="67"/>
        <v>0</v>
      </c>
      <c r="AI66" s="235">
        <f t="shared" si="67"/>
        <v>0</v>
      </c>
      <c r="AJ66" s="235">
        <f t="shared" si="67"/>
        <v>0</v>
      </c>
      <c r="AK66" s="709">
        <f t="shared" si="54"/>
        <v>0</v>
      </c>
    </row>
    <row r="67" spans="1:37" x14ac:dyDescent="0.75">
      <c r="A67" s="742">
        <v>2043</v>
      </c>
      <c r="B67" s="748"/>
      <c r="C67" s="743"/>
      <c r="D67" s="791"/>
      <c r="E67" s="235"/>
      <c r="F67" s="235"/>
      <c r="G67" s="235"/>
      <c r="H67" s="235"/>
      <c r="I67" s="235"/>
      <c r="J67" s="791"/>
      <c r="K67" s="235"/>
      <c r="L67" s="235"/>
      <c r="M67" s="235"/>
      <c r="N67" s="235"/>
      <c r="O67" s="235"/>
      <c r="P67" s="235"/>
      <c r="Q67" s="235"/>
      <c r="R67" s="235"/>
      <c r="S67" s="235"/>
      <c r="T67" s="235"/>
      <c r="U67" s="235"/>
      <c r="V67" s="235"/>
      <c r="W67" s="235"/>
      <c r="X67" s="235"/>
      <c r="Y67" s="235"/>
      <c r="Z67" s="235"/>
      <c r="AA67" s="235"/>
      <c r="AB67" s="235"/>
      <c r="AC67" s="235"/>
      <c r="AD67" s="235">
        <f>AD$20</f>
        <v>0</v>
      </c>
      <c r="AE67" s="235">
        <f t="shared" ref="AE67:AJ67" si="68">IF(AND(AE66=0,AD67&gt;0,AD66+AE21&gt;0),MAX(AD67+AE21,0),IF(AND(AE66=0,AD67&gt;0,AD66+AE21&lt;0),AD67+AD66+AE21,AD67))</f>
        <v>0</v>
      </c>
      <c r="AF67" s="235">
        <f t="shared" si="68"/>
        <v>0</v>
      </c>
      <c r="AG67" s="235">
        <f t="shared" si="68"/>
        <v>0</v>
      </c>
      <c r="AH67" s="235">
        <f t="shared" si="68"/>
        <v>0</v>
      </c>
      <c r="AI67" s="235">
        <f t="shared" si="68"/>
        <v>0</v>
      </c>
      <c r="AJ67" s="235">
        <f t="shared" si="68"/>
        <v>0</v>
      </c>
      <c r="AK67" s="709">
        <f t="shared" si="54"/>
        <v>0</v>
      </c>
    </row>
    <row r="68" spans="1:37" x14ac:dyDescent="0.75">
      <c r="A68" s="742">
        <v>2044</v>
      </c>
      <c r="B68" s="748"/>
      <c r="C68" s="743"/>
      <c r="D68" s="791"/>
      <c r="E68" s="235"/>
      <c r="F68" s="235"/>
      <c r="G68" s="235"/>
      <c r="H68" s="235"/>
      <c r="I68" s="235"/>
      <c r="J68" s="791"/>
      <c r="K68" s="235"/>
      <c r="L68" s="235"/>
      <c r="M68" s="235"/>
      <c r="N68" s="235"/>
      <c r="O68" s="235"/>
      <c r="P68" s="235"/>
      <c r="Q68" s="235"/>
      <c r="R68" s="235"/>
      <c r="S68" s="235"/>
      <c r="T68" s="235"/>
      <c r="U68" s="235"/>
      <c r="V68" s="235"/>
      <c r="W68" s="235"/>
      <c r="X68" s="235"/>
      <c r="Y68" s="235"/>
      <c r="Z68" s="235"/>
      <c r="AA68" s="235"/>
      <c r="AB68" s="235"/>
      <c r="AC68" s="235"/>
      <c r="AD68" s="235"/>
      <c r="AE68" s="235">
        <f>AE$20</f>
        <v>0</v>
      </c>
      <c r="AF68" s="235">
        <f>IF(AND(AF67=0,AE68&gt;0,AE67+AF21&gt;0),MAX(AE68+AF21,0),IF(AND(AF67=0,AE68&gt;0,AE67+AF21&lt;0),AE68+AE67+AF21,AE68))</f>
        <v>0</v>
      </c>
      <c r="AG68" s="235">
        <f>IF(AND(AG67=0,AF68&gt;0,AF67+AG21&gt;0),MAX(AF68+AG21,0),IF(AND(AG67=0,AF68&gt;0,AF67+AG21&lt;0),AF68+AF67+AG21,AF68))</f>
        <v>0</v>
      </c>
      <c r="AH68" s="235">
        <f>IF(AND(AH67=0,AG68&gt;0,AG67+AH21&gt;0),MAX(AG68+AH21,0),IF(AND(AH67=0,AG68&gt;0,AG67+AH21&lt;0),AG68+AG67+AH21,AG68))</f>
        <v>0</v>
      </c>
      <c r="AI68" s="235">
        <f>IF(AND(AI67=0,AH68&gt;0,AH67+AI21&gt;0),MAX(AH68+AI21,0),IF(AND(AI67=0,AH68&gt;0,AH67+AI21&lt;0),AH68+AH67+AI21,AH68))</f>
        <v>0</v>
      </c>
      <c r="AJ68" s="235">
        <f>IF(AND(AJ67=0,AI68&gt;0,AI67+AJ21&gt;0),MAX(AI68+AJ21,0),IF(AND(AJ67=0,AI68&gt;0,AI67+AJ21&lt;0),AI68+AI67+AJ21,AI68))</f>
        <v>0</v>
      </c>
      <c r="AK68" s="709">
        <f t="shared" si="54"/>
        <v>0</v>
      </c>
    </row>
    <row r="69" spans="1:37" x14ac:dyDescent="0.75">
      <c r="A69" s="742">
        <v>2045</v>
      </c>
      <c r="B69" s="748"/>
      <c r="C69" s="743"/>
      <c r="D69" s="791"/>
      <c r="E69" s="235"/>
      <c r="F69" s="235"/>
      <c r="G69" s="235"/>
      <c r="H69" s="235"/>
      <c r="I69" s="235"/>
      <c r="J69" s="791"/>
      <c r="K69" s="235"/>
      <c r="L69" s="235"/>
      <c r="M69" s="235"/>
      <c r="N69" s="235"/>
      <c r="O69" s="235"/>
      <c r="P69" s="235"/>
      <c r="Q69" s="235"/>
      <c r="R69" s="235"/>
      <c r="S69" s="235"/>
      <c r="T69" s="235"/>
      <c r="U69" s="235"/>
      <c r="V69" s="235"/>
      <c r="W69" s="235"/>
      <c r="X69" s="235"/>
      <c r="Y69" s="235"/>
      <c r="Z69" s="235"/>
      <c r="AA69" s="235"/>
      <c r="AB69" s="235"/>
      <c r="AC69" s="235"/>
      <c r="AD69" s="235"/>
      <c r="AE69" s="235"/>
      <c r="AF69" s="235">
        <f>AF$20</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54"/>
        <v>0</v>
      </c>
    </row>
    <row r="70" spans="1:37" x14ac:dyDescent="0.75">
      <c r="A70" s="742">
        <v>2046</v>
      </c>
      <c r="B70" s="748"/>
      <c r="C70" s="743"/>
      <c r="D70" s="791"/>
      <c r="E70" s="235"/>
      <c r="F70" s="235"/>
      <c r="G70" s="235"/>
      <c r="H70" s="235"/>
      <c r="I70" s="235"/>
      <c r="J70" s="791"/>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f>AG$20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54"/>
        <v>0</v>
      </c>
    </row>
    <row r="71" spans="1:37" x14ac:dyDescent="0.75">
      <c r="A71" s="742">
        <v>2047</v>
      </c>
      <c r="B71" s="748"/>
      <c r="C71" s="743"/>
      <c r="D71" s="791"/>
      <c r="E71" s="235"/>
      <c r="F71" s="235"/>
      <c r="G71" s="235"/>
      <c r="H71" s="235"/>
      <c r="I71" s="235"/>
      <c r="J71" s="791"/>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f>AH$20</f>
        <v>0</v>
      </c>
      <c r="AI71" s="235">
        <f>IF(AND(AI70=0,AH71&gt;0,AH70+AI21&gt;0),MAX(AH71+AI21,0),IF(AND(AI70=0,AH71&gt;0,AH70+AI21&lt;0),AH71+AH70+AI21,AH71))</f>
        <v>0</v>
      </c>
      <c r="AJ71" s="235">
        <f>IF(AND(AJ70=0,AI71&gt;0,AI70+AJ21&gt;0),MAX(AI71+AJ21,0),IF(AND(AJ70=0,AI71&gt;0,AI70+AJ21&lt;0),AI71+AI70+AJ21,AI71))</f>
        <v>0</v>
      </c>
      <c r="AK71" s="709">
        <f t="shared" si="54"/>
        <v>0</v>
      </c>
    </row>
    <row r="72" spans="1:37" x14ac:dyDescent="0.75">
      <c r="A72" s="742">
        <v>2048</v>
      </c>
      <c r="B72" s="748"/>
      <c r="C72" s="743"/>
      <c r="D72" s="791"/>
      <c r="E72" s="235"/>
      <c r="F72" s="235"/>
      <c r="G72" s="235"/>
      <c r="H72" s="235"/>
      <c r="I72" s="235"/>
      <c r="J72" s="791"/>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f>AI$20</f>
        <v>0</v>
      </c>
      <c r="AJ72" s="235">
        <f>IF(AND(AJ71=0,AI72&gt;0,AI71+AJ21&gt;0),MAX(AI72+AJ21,0),IF(AND(AJ71=0,AI72&gt;0,AI71+AJ21&lt;0),AI72+AI71+AJ21,AI72))</f>
        <v>0</v>
      </c>
      <c r="AK72" s="709">
        <f t="shared" si="54"/>
        <v>0</v>
      </c>
    </row>
    <row r="73" spans="1:37" x14ac:dyDescent="0.75">
      <c r="A73" s="742">
        <v>2049</v>
      </c>
      <c r="B73" s="748"/>
      <c r="C73" s="743"/>
      <c r="D73" s="791"/>
      <c r="E73" s="235"/>
      <c r="F73" s="235"/>
      <c r="G73" s="235"/>
      <c r="H73" s="235"/>
      <c r="I73" s="235"/>
      <c r="J73" s="791"/>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f>AJ$20</f>
        <v>0</v>
      </c>
      <c r="AK73" s="709">
        <f t="shared" si="54"/>
        <v>0</v>
      </c>
    </row>
    <row r="74" spans="1:37" x14ac:dyDescent="0.75">
      <c r="A74" s="756">
        <v>2050</v>
      </c>
      <c r="B74" s="749"/>
      <c r="C74" s="750"/>
      <c r="D74" s="795"/>
      <c r="E74" s="732"/>
      <c r="F74" s="732"/>
      <c r="G74" s="732"/>
      <c r="H74" s="732"/>
      <c r="I74" s="732"/>
      <c r="J74" s="795"/>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57">
        <f>-AK20</f>
        <v>0</v>
      </c>
    </row>
    <row r="75" spans="1:37" ht="15.5" thickBot="1" x14ac:dyDescent="0.9">
      <c r="A75" s="796" t="s">
        <v>465</v>
      </c>
      <c r="B75" s="797"/>
      <c r="C75" s="798"/>
      <c r="D75" s="799">
        <f t="shared" ref="D75:AK75" si="69">SUMIF(D41:D74,"&lt;0")</f>
        <v>0</v>
      </c>
      <c r="E75" s="799">
        <f t="shared" si="69"/>
        <v>0</v>
      </c>
      <c r="F75" s="799">
        <f t="shared" si="69"/>
        <v>0</v>
      </c>
      <c r="G75" s="799">
        <f t="shared" si="69"/>
        <v>0</v>
      </c>
      <c r="H75" s="799">
        <f t="shared" si="69"/>
        <v>0</v>
      </c>
      <c r="I75" s="799">
        <f t="shared" si="69"/>
        <v>0</v>
      </c>
      <c r="J75" s="799">
        <f t="shared" si="69"/>
        <v>0</v>
      </c>
      <c r="K75" s="799">
        <f t="shared" si="69"/>
        <v>0</v>
      </c>
      <c r="L75" s="799">
        <f t="shared" si="69"/>
        <v>0</v>
      </c>
      <c r="M75" s="799">
        <f t="shared" si="69"/>
        <v>0</v>
      </c>
      <c r="N75" s="799">
        <f t="shared" si="69"/>
        <v>0</v>
      </c>
      <c r="O75" s="799">
        <f t="shared" si="69"/>
        <v>0</v>
      </c>
      <c r="P75" s="799">
        <f t="shared" si="69"/>
        <v>0</v>
      </c>
      <c r="Q75" s="799">
        <f t="shared" si="69"/>
        <v>0</v>
      </c>
      <c r="R75" s="799">
        <f t="shared" si="69"/>
        <v>0</v>
      </c>
      <c r="S75" s="799">
        <f t="shared" si="69"/>
        <v>0</v>
      </c>
      <c r="T75" s="799">
        <f t="shared" si="69"/>
        <v>0</v>
      </c>
      <c r="U75" s="799">
        <f t="shared" si="69"/>
        <v>0</v>
      </c>
      <c r="V75" s="799">
        <f t="shared" si="69"/>
        <v>0</v>
      </c>
      <c r="W75" s="799">
        <f t="shared" si="69"/>
        <v>0</v>
      </c>
      <c r="X75" s="799">
        <f t="shared" si="69"/>
        <v>0</v>
      </c>
      <c r="Y75" s="799">
        <f t="shared" si="69"/>
        <v>0</v>
      </c>
      <c r="Z75" s="799">
        <f t="shared" si="69"/>
        <v>0</v>
      </c>
      <c r="AA75" s="799">
        <f t="shared" si="69"/>
        <v>0</v>
      </c>
      <c r="AB75" s="799">
        <f t="shared" si="69"/>
        <v>0</v>
      </c>
      <c r="AC75" s="799">
        <f t="shared" si="69"/>
        <v>0</v>
      </c>
      <c r="AD75" s="799">
        <f t="shared" si="69"/>
        <v>0</v>
      </c>
      <c r="AE75" s="799">
        <f t="shared" si="69"/>
        <v>0</v>
      </c>
      <c r="AF75" s="799">
        <f t="shared" si="69"/>
        <v>0</v>
      </c>
      <c r="AG75" s="799">
        <f t="shared" si="69"/>
        <v>0</v>
      </c>
      <c r="AH75" s="799">
        <f t="shared" si="69"/>
        <v>0</v>
      </c>
      <c r="AI75" s="799">
        <f t="shared" si="69"/>
        <v>0</v>
      </c>
      <c r="AJ75" s="799">
        <f t="shared" si="69"/>
        <v>0</v>
      </c>
      <c r="AK75" s="800">
        <f t="shared" si="69"/>
        <v>0</v>
      </c>
    </row>
    <row r="76" spans="1:37" ht="16.25" thickTop="1" thickBot="1" x14ac:dyDescent="0.9">
      <c r="A76" s="744"/>
      <c r="B76" s="789"/>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c r="AA76" s="745"/>
      <c r="AB76" s="745"/>
      <c r="AC76" s="745"/>
      <c r="AD76" s="745"/>
      <c r="AE76" s="745"/>
      <c r="AF76" s="745"/>
      <c r="AG76" s="745"/>
      <c r="AH76" s="745"/>
      <c r="AI76" s="745"/>
      <c r="AJ76" s="745"/>
      <c r="AK76" s="746"/>
    </row>
  </sheetData>
  <mergeCells count="3">
    <mergeCell ref="B1:C1"/>
    <mergeCell ref="D1:I2"/>
    <mergeCell ref="J1:AK2"/>
  </mergeCells>
  <hyperlinks>
    <hyperlink ref="A1" location="'Cover Page '!A1" display="Back to cover page" xr:uid="{00000000-0004-0000-0F00-000000000000}"/>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AN77"/>
  <sheetViews>
    <sheetView showGridLines="0" zoomScale="85" zoomScaleNormal="85" zoomScalePageLayoutView="85" workbookViewId="0">
      <pane xSplit="1" ySplit="3" topLeftCell="B4" activePane="bottomRight" state="frozen"/>
      <selection pane="topRight" activeCell="B1" sqref="B1"/>
      <selection pane="bottomLeft" activeCell="A4" sqref="A4"/>
      <selection pane="bottomRight"/>
    </sheetView>
  </sheetViews>
  <sheetFormatPr defaultColWidth="8.83203125" defaultRowHeight="14.75" x14ac:dyDescent="0.75"/>
  <cols>
    <col min="1" max="1" width="83.1640625" style="231" bestFit="1" customWidth="1"/>
    <col min="2" max="20" width="7.83203125" style="231" bestFit="1" customWidth="1"/>
    <col min="21" max="37" width="8.6640625" style="231" bestFit="1" customWidth="1"/>
    <col min="38" max="38" width="8.83203125" style="231"/>
    <col min="39" max="39" width="10.1640625" style="231" bestFit="1" customWidth="1"/>
    <col min="40" max="16384" width="8.83203125" style="231"/>
  </cols>
  <sheetData>
    <row r="1" spans="1:40" ht="18.5" x14ac:dyDescent="0.9">
      <c r="A1" s="1195" t="s">
        <v>534</v>
      </c>
      <c r="B1" s="1652" t="s">
        <v>445</v>
      </c>
      <c r="C1" s="1653"/>
      <c r="D1" s="1663" t="s">
        <v>443</v>
      </c>
      <c r="E1" s="1664"/>
      <c r="F1" s="1664"/>
      <c r="G1" s="1664"/>
      <c r="H1" s="1664"/>
      <c r="I1" s="1665"/>
      <c r="J1" s="1666" t="s">
        <v>444</v>
      </c>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row>
    <row r="2" spans="1:40" ht="16" x14ac:dyDescent="0.75">
      <c r="B2" s="250"/>
      <c r="C2" s="255"/>
      <c r="D2" s="1663"/>
      <c r="E2" s="1664"/>
      <c r="F2" s="1664"/>
      <c r="G2" s="1664"/>
      <c r="H2" s="1664"/>
      <c r="I2" s="1665"/>
      <c r="J2" s="1666"/>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row>
    <row r="3" spans="1:40" ht="16" x14ac:dyDescent="0.75">
      <c r="A3" s="689"/>
      <c r="B3" s="286">
        <v>2015</v>
      </c>
      <c r="C3" s="286">
        <v>2016</v>
      </c>
      <c r="D3" s="252">
        <v>2017</v>
      </c>
      <c r="E3" s="256">
        <v>2018</v>
      </c>
      <c r="F3" s="256">
        <v>2019</v>
      </c>
      <c r="G3" s="256">
        <v>2020</v>
      </c>
      <c r="H3" s="256">
        <v>2021</v>
      </c>
      <c r="I3" s="256">
        <v>2022</v>
      </c>
      <c r="J3" s="251">
        <v>2023</v>
      </c>
      <c r="K3" s="254">
        <v>2024</v>
      </c>
      <c r="L3" s="254">
        <v>2025</v>
      </c>
      <c r="M3" s="254">
        <v>2026</v>
      </c>
      <c r="N3" s="254">
        <v>2027</v>
      </c>
      <c r="O3" s="254">
        <v>2028</v>
      </c>
      <c r="P3" s="254">
        <v>2029</v>
      </c>
      <c r="Q3" s="254">
        <v>2030</v>
      </c>
      <c r="R3" s="254">
        <v>2031</v>
      </c>
      <c r="S3" s="254">
        <v>2032</v>
      </c>
      <c r="T3" s="254">
        <v>2033</v>
      </c>
      <c r="U3" s="254">
        <v>2034</v>
      </c>
      <c r="V3" s="254">
        <v>2035</v>
      </c>
      <c r="W3" s="254">
        <v>2036</v>
      </c>
      <c r="X3" s="254">
        <v>2037</v>
      </c>
      <c r="Y3" s="254">
        <v>2038</v>
      </c>
      <c r="Z3" s="254">
        <v>2039</v>
      </c>
      <c r="AA3" s="254">
        <v>2040</v>
      </c>
      <c r="AB3" s="254">
        <v>2041</v>
      </c>
      <c r="AC3" s="254">
        <v>2042</v>
      </c>
      <c r="AD3" s="254">
        <v>2043</v>
      </c>
      <c r="AE3" s="254">
        <v>2044</v>
      </c>
      <c r="AF3" s="254">
        <v>2045</v>
      </c>
      <c r="AG3" s="254">
        <v>2046</v>
      </c>
      <c r="AH3" s="254">
        <v>2047</v>
      </c>
      <c r="AI3" s="254">
        <v>2048</v>
      </c>
      <c r="AJ3" s="254">
        <v>2049</v>
      </c>
      <c r="AK3" s="254">
        <v>2050</v>
      </c>
    </row>
    <row r="4" spans="1:40" customFormat="1" ht="16.75" thickBot="1" x14ac:dyDescent="0.95">
      <c r="B4" s="257"/>
    </row>
    <row r="5" spans="1:40" ht="15.5" thickBot="1" x14ac:dyDescent="0.9">
      <c r="A5" s="690" t="s">
        <v>491</v>
      </c>
      <c r="B5" s="691">
        <f>'Income Taxes'!G20/'Income Taxes'!G7</f>
        <v>0.21984883338810385</v>
      </c>
      <c r="C5" s="691">
        <f>'Income Taxes'!H20/'Income Taxes'!H7</f>
        <v>0.37242964792030314</v>
      </c>
      <c r="D5" s="691">
        <f>'Income Taxes'!I35</f>
        <v>0.29677369015724531</v>
      </c>
      <c r="E5" s="691">
        <f>'Income Taxes'!J35</f>
        <v>0.24956403382179349</v>
      </c>
      <c r="F5" s="691">
        <f>'Income Taxes'!K35</f>
        <v>0.2427647343791294</v>
      </c>
      <c r="G5" s="691">
        <f>'Income Taxes'!L35</f>
        <v>0.25930540437824934</v>
      </c>
      <c r="H5" s="691">
        <f>'Income Taxes'!M35</f>
        <v>0.35656952061822378</v>
      </c>
      <c r="I5" s="691">
        <f>'Income Taxes'!N35</f>
        <v>0.34361640839198759</v>
      </c>
      <c r="J5" s="691">
        <f>'Income Taxes'!O35</f>
        <v>0.31002121920907727</v>
      </c>
      <c r="K5" s="691">
        <f>'Income Taxes'!P35</f>
        <v>0.3009456461698794</v>
      </c>
      <c r="L5" s="691">
        <f>'Income Taxes'!Q35</f>
        <v>0.30909479547704305</v>
      </c>
      <c r="M5" s="691">
        <f>'Income Taxes'!R35</f>
        <v>0.30156650273309255</v>
      </c>
      <c r="N5" s="691">
        <f>'Income Taxes'!S35</f>
        <v>0.30560140039693379</v>
      </c>
      <c r="O5" s="691">
        <f>'Income Taxes'!T35</f>
        <v>0.30372123977623006</v>
      </c>
      <c r="P5" s="691">
        <f>'Income Taxes'!U35</f>
        <v>0.30363858151938278</v>
      </c>
      <c r="Q5" s="691">
        <f>'Income Taxes'!V35</f>
        <v>0.30432151426472903</v>
      </c>
      <c r="R5" s="691">
        <f>'Income Taxes'!W35</f>
        <v>0.30389395049389567</v>
      </c>
      <c r="S5" s="691">
        <f>'Income Taxes'!X35</f>
        <v>0.30395165241454847</v>
      </c>
      <c r="T5" s="691">
        <f>'Income Taxes'!Y35</f>
        <v>0.30405577409582218</v>
      </c>
      <c r="U5" s="691">
        <f>'Income Taxes'!Z35</f>
        <v>0.30396712838414969</v>
      </c>
      <c r="V5" s="691">
        <f>'Income Taxes'!AA35</f>
        <v>0.30399152729677381</v>
      </c>
      <c r="W5" s="691">
        <f>'Income Taxes'!AB35</f>
        <v>0.30400481335839236</v>
      </c>
      <c r="X5" s="691">
        <f>'Income Taxes'!AC35</f>
        <v>0.30398782316186895</v>
      </c>
      <c r="Y5" s="691">
        <f>'Income Taxes'!AD35</f>
        <v>0.30399472149493906</v>
      </c>
      <c r="Z5" s="691">
        <f>'Income Taxes'!AE35</f>
        <v>0.30399578615145073</v>
      </c>
      <c r="AA5" s="691">
        <f>'Income Taxes'!AF35</f>
        <v>0.30399578615145073</v>
      </c>
      <c r="AB5" s="691">
        <f>'Income Taxes'!AG35</f>
        <v>0.30399578615145073</v>
      </c>
      <c r="AC5" s="691">
        <f>'Income Taxes'!AH35</f>
        <v>0.30399578615145073</v>
      </c>
      <c r="AD5" s="691">
        <f>'Income Taxes'!AI35</f>
        <v>0.30399578615145073</v>
      </c>
      <c r="AE5" s="691">
        <f>'Income Taxes'!AJ35</f>
        <v>0.30399578615145073</v>
      </c>
      <c r="AF5" s="691">
        <f>'Income Taxes'!AK35</f>
        <v>0.30399578615145073</v>
      </c>
      <c r="AG5" s="691">
        <f>'Income Taxes'!AL35</f>
        <v>0.30399578615145073</v>
      </c>
      <c r="AH5" s="691">
        <f>'Income Taxes'!AM35</f>
        <v>0.30399578615145073</v>
      </c>
      <c r="AI5" s="691">
        <f>'Income Taxes'!AN35</f>
        <v>0.30399578615145073</v>
      </c>
      <c r="AJ5" s="1332">
        <f>'Income Taxes'!AO35</f>
        <v>0.30399578615145073</v>
      </c>
      <c r="AK5" s="1333">
        <f>'Income Taxes'!AP35</f>
        <v>0.30399578615145073</v>
      </c>
    </row>
    <row r="6" spans="1:40" ht="15.5" thickBot="1" x14ac:dyDescent="0.9">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row>
    <row r="7" spans="1:40" x14ac:dyDescent="0.75">
      <c r="A7" s="724" t="s">
        <v>490</v>
      </c>
      <c r="B7" s="725">
        <f>'Income Statement '!F16</f>
        <v>27510</v>
      </c>
      <c r="C7" s="725">
        <f>'Income Statement '!G16</f>
        <v>25833</v>
      </c>
      <c r="D7" s="725">
        <f>'Income Statement '!H16</f>
        <v>18460.77509026503</v>
      </c>
      <c r="E7" s="725">
        <f>'Income Statement '!I16</f>
        <v>25902.524346885984</v>
      </c>
      <c r="F7" s="725">
        <f>'Income Statement '!J16</f>
        <v>20392.337141407494</v>
      </c>
      <c r="G7" s="725">
        <f>'Income Statement '!K16</f>
        <v>20756.095538348891</v>
      </c>
      <c r="H7" s="725">
        <f>'Income Statement '!L16</f>
        <v>13212.361701511225</v>
      </c>
      <c r="I7" s="725">
        <f>'Income Statement '!M16</f>
        <v>20369.503163831017</v>
      </c>
      <c r="J7" s="725">
        <f>'Income Statement '!N16</f>
        <v>20150.249767723275</v>
      </c>
      <c r="K7" s="725">
        <f>'Income Statement '!O16</f>
        <v>18093.171488296764</v>
      </c>
      <c r="L7" s="725">
        <f>'Income Statement '!P16</f>
        <v>17362.577115057938</v>
      </c>
      <c r="M7" s="725">
        <f>'Income Statement '!Q16</f>
        <v>13575.686759213204</v>
      </c>
      <c r="N7" s="725">
        <f>'Income Statement '!R16</f>
        <v>5932.4592235721939</v>
      </c>
      <c r="O7" s="725">
        <f>'Income Statement '!S16</f>
        <v>4076.8476819293719</v>
      </c>
      <c r="P7" s="725">
        <f>'Income Statement '!T16</f>
        <v>4163.8158052221115</v>
      </c>
      <c r="Q7" s="725">
        <f>'Income Statement '!U16</f>
        <v>5349.9066595470795</v>
      </c>
      <c r="R7" s="725">
        <f>'Income Statement '!V16</f>
        <v>7771.8361647282291</v>
      </c>
      <c r="S7" s="725">
        <f>'Income Statement '!W16</f>
        <v>8816.0722116157413</v>
      </c>
      <c r="T7" s="725">
        <f>'Income Statement '!X16</f>
        <v>9013.9374894318316</v>
      </c>
      <c r="U7" s="725">
        <f>'Income Statement '!Y16</f>
        <v>9531.6861115250067</v>
      </c>
      <c r="V7" s="725">
        <f>'Income Statement '!Z16</f>
        <v>10574.846814938268</v>
      </c>
      <c r="W7" s="725">
        <f>'Income Statement '!AA16</f>
        <v>11532.709309973237</v>
      </c>
      <c r="X7" s="725">
        <f>'Income Statement '!AB16</f>
        <v>13179.59933906576</v>
      </c>
      <c r="Y7" s="725">
        <f>'Income Statement '!AC16</f>
        <v>14547.029903659837</v>
      </c>
      <c r="Z7" s="725">
        <f>'Income Statement '!AD16</f>
        <v>15517.215388820499</v>
      </c>
      <c r="AA7" s="725">
        <f>'Income Statement '!AE16</f>
        <v>16112.250795678745</v>
      </c>
      <c r="AB7" s="725">
        <f>'Income Statement '!AF16</f>
        <v>16467.063881074748</v>
      </c>
      <c r="AC7" s="725">
        <f>'Income Statement '!AG16</f>
        <v>16705.987848103236</v>
      </c>
      <c r="AD7" s="725">
        <f>'Income Statement '!AH16</f>
        <v>16817.705875559215</v>
      </c>
      <c r="AE7" s="725">
        <f>'Income Statement '!AI16</f>
        <v>16311.598107882332</v>
      </c>
      <c r="AF7" s="725">
        <f>'Income Statement '!AJ16</f>
        <v>15826.781530321117</v>
      </c>
      <c r="AG7" s="725">
        <f>'Income Statement '!AK16</f>
        <v>15364.70167411671</v>
      </c>
      <c r="AH7" s="725">
        <f>'Income Statement '!AL16</f>
        <v>14922.25646366008</v>
      </c>
      <c r="AI7" s="725">
        <f>'Income Statement '!AM16</f>
        <v>14500.181852041242</v>
      </c>
      <c r="AJ7" s="725">
        <f>'Income Statement '!AN16</f>
        <v>14096.244243144436</v>
      </c>
      <c r="AK7" s="726">
        <f>'Income Statement '!AO16</f>
        <v>13710.641026319034</v>
      </c>
      <c r="AM7" s="1331"/>
      <c r="AN7" s="1331"/>
    </row>
    <row r="8" spans="1:40" x14ac:dyDescent="0.75">
      <c r="A8" s="693" t="s">
        <v>492</v>
      </c>
      <c r="B8" s="694">
        <v>0</v>
      </c>
      <c r="C8" s="694">
        <v>0</v>
      </c>
      <c r="D8" s="694">
        <v>0</v>
      </c>
      <c r="E8" s="694">
        <v>0</v>
      </c>
      <c r="F8" s="694">
        <v>0</v>
      </c>
      <c r="G8" s="694">
        <v>0</v>
      </c>
      <c r="H8" s="694">
        <v>0</v>
      </c>
      <c r="I8" s="694">
        <v>0</v>
      </c>
      <c r="J8" s="694">
        <v>0</v>
      </c>
      <c r="K8" s="694">
        <v>0</v>
      </c>
      <c r="L8" s="694">
        <v>0</v>
      </c>
      <c r="M8" s="694">
        <v>0</v>
      </c>
      <c r="N8" s="694">
        <v>0</v>
      </c>
      <c r="O8" s="694">
        <v>0</v>
      </c>
      <c r="P8" s="694">
        <v>0</v>
      </c>
      <c r="Q8" s="694">
        <v>0</v>
      </c>
      <c r="R8" s="694">
        <v>0</v>
      </c>
      <c r="S8" s="694">
        <v>0</v>
      </c>
      <c r="T8" s="694">
        <v>0</v>
      </c>
      <c r="U8" s="694">
        <v>0</v>
      </c>
      <c r="V8" s="694">
        <v>0</v>
      </c>
      <c r="W8" s="694">
        <v>0</v>
      </c>
      <c r="X8" s="694">
        <v>0</v>
      </c>
      <c r="Y8" s="694">
        <v>0</v>
      </c>
      <c r="Z8" s="694">
        <v>0</v>
      </c>
      <c r="AA8" s="694">
        <v>0</v>
      </c>
      <c r="AB8" s="694">
        <v>0</v>
      </c>
      <c r="AC8" s="694">
        <v>0</v>
      </c>
      <c r="AD8" s="694">
        <v>0</v>
      </c>
      <c r="AE8" s="694">
        <v>0</v>
      </c>
      <c r="AF8" s="694">
        <v>0</v>
      </c>
      <c r="AG8" s="694">
        <v>0</v>
      </c>
      <c r="AH8" s="694">
        <v>0</v>
      </c>
      <c r="AI8" s="694">
        <v>0</v>
      </c>
      <c r="AJ8" s="694">
        <v>0</v>
      </c>
      <c r="AK8" s="695">
        <v>0</v>
      </c>
    </row>
    <row r="9" spans="1:40" x14ac:dyDescent="0.75">
      <c r="A9" s="696" t="s">
        <v>489</v>
      </c>
      <c r="B9" s="694">
        <f t="shared" ref="B9:AK9" si="0">B7-B8</f>
        <v>27510</v>
      </c>
      <c r="C9" s="694">
        <f t="shared" si="0"/>
        <v>25833</v>
      </c>
      <c r="D9" s="694">
        <f t="shared" si="0"/>
        <v>18460.77509026503</v>
      </c>
      <c r="E9" s="694">
        <f t="shared" si="0"/>
        <v>25902.524346885984</v>
      </c>
      <c r="F9" s="694">
        <f t="shared" si="0"/>
        <v>20392.337141407494</v>
      </c>
      <c r="G9" s="694">
        <f t="shared" si="0"/>
        <v>20756.095538348891</v>
      </c>
      <c r="H9" s="694">
        <f t="shared" si="0"/>
        <v>13212.361701511225</v>
      </c>
      <c r="I9" s="694">
        <f t="shared" si="0"/>
        <v>20369.503163831017</v>
      </c>
      <c r="J9" s="694">
        <f t="shared" si="0"/>
        <v>20150.249767723275</v>
      </c>
      <c r="K9" s="694">
        <f t="shared" si="0"/>
        <v>18093.171488296764</v>
      </c>
      <c r="L9" s="694">
        <f t="shared" si="0"/>
        <v>17362.577115057938</v>
      </c>
      <c r="M9" s="694">
        <f t="shared" si="0"/>
        <v>13575.686759213204</v>
      </c>
      <c r="N9" s="694">
        <f t="shared" si="0"/>
        <v>5932.4592235721939</v>
      </c>
      <c r="O9" s="694">
        <f t="shared" si="0"/>
        <v>4076.8476819293719</v>
      </c>
      <c r="P9" s="694">
        <f t="shared" si="0"/>
        <v>4163.8158052221115</v>
      </c>
      <c r="Q9" s="694">
        <f t="shared" si="0"/>
        <v>5349.9066595470795</v>
      </c>
      <c r="R9" s="694">
        <f t="shared" si="0"/>
        <v>7771.8361647282291</v>
      </c>
      <c r="S9" s="694">
        <f t="shared" si="0"/>
        <v>8816.0722116157413</v>
      </c>
      <c r="T9" s="694">
        <f t="shared" si="0"/>
        <v>9013.9374894318316</v>
      </c>
      <c r="U9" s="694">
        <f t="shared" si="0"/>
        <v>9531.6861115250067</v>
      </c>
      <c r="V9" s="694">
        <f t="shared" si="0"/>
        <v>10574.846814938268</v>
      </c>
      <c r="W9" s="694">
        <f t="shared" si="0"/>
        <v>11532.709309973237</v>
      </c>
      <c r="X9" s="694">
        <f t="shared" si="0"/>
        <v>13179.59933906576</v>
      </c>
      <c r="Y9" s="694">
        <f t="shared" si="0"/>
        <v>14547.029903659837</v>
      </c>
      <c r="Z9" s="694">
        <f t="shared" si="0"/>
        <v>15517.215388820499</v>
      </c>
      <c r="AA9" s="694">
        <f t="shared" si="0"/>
        <v>16112.250795678745</v>
      </c>
      <c r="AB9" s="694">
        <f t="shared" si="0"/>
        <v>16467.063881074748</v>
      </c>
      <c r="AC9" s="694">
        <f t="shared" si="0"/>
        <v>16705.987848103236</v>
      </c>
      <c r="AD9" s="694">
        <f t="shared" si="0"/>
        <v>16817.705875559215</v>
      </c>
      <c r="AE9" s="694">
        <f t="shared" si="0"/>
        <v>16311.598107882332</v>
      </c>
      <c r="AF9" s="694">
        <f t="shared" si="0"/>
        <v>15826.781530321117</v>
      </c>
      <c r="AG9" s="694">
        <f t="shared" si="0"/>
        <v>15364.70167411671</v>
      </c>
      <c r="AH9" s="694">
        <f t="shared" si="0"/>
        <v>14922.25646366008</v>
      </c>
      <c r="AI9" s="694">
        <f t="shared" si="0"/>
        <v>14500.181852041242</v>
      </c>
      <c r="AJ9" s="694">
        <f t="shared" si="0"/>
        <v>14096.244243144436</v>
      </c>
      <c r="AK9" s="695">
        <f t="shared" si="0"/>
        <v>13710.641026319034</v>
      </c>
    </row>
    <row r="10" spans="1:40" x14ac:dyDescent="0.75">
      <c r="A10" s="697" t="s">
        <v>488</v>
      </c>
      <c r="B10" s="698"/>
      <c r="C10" s="694">
        <f t="shared" ref="C10:AK10" si="1">C9+C21</f>
        <v>25833</v>
      </c>
      <c r="D10" s="694">
        <f t="shared" si="1"/>
        <v>18460.77509026503</v>
      </c>
      <c r="E10" s="694">
        <f t="shared" si="1"/>
        <v>25902.524346885984</v>
      </c>
      <c r="F10" s="694">
        <f t="shared" si="1"/>
        <v>20392.337141407494</v>
      </c>
      <c r="G10" s="694">
        <f t="shared" si="1"/>
        <v>20756.095538348891</v>
      </c>
      <c r="H10" s="694">
        <f t="shared" si="1"/>
        <v>13212.361701511225</v>
      </c>
      <c r="I10" s="694">
        <f t="shared" si="1"/>
        <v>20369.503163831017</v>
      </c>
      <c r="J10" s="694">
        <f t="shared" si="1"/>
        <v>20150.249767723275</v>
      </c>
      <c r="K10" s="694">
        <f t="shared" si="1"/>
        <v>18093.171488296764</v>
      </c>
      <c r="L10" s="694">
        <f t="shared" si="1"/>
        <v>17362.577115057938</v>
      </c>
      <c r="M10" s="694">
        <f t="shared" si="1"/>
        <v>13575.686759213204</v>
      </c>
      <c r="N10" s="694">
        <f t="shared" si="1"/>
        <v>5932.4592235721939</v>
      </c>
      <c r="O10" s="694">
        <f t="shared" si="1"/>
        <v>4076.8476819293719</v>
      </c>
      <c r="P10" s="694">
        <f t="shared" si="1"/>
        <v>4163.8158052221115</v>
      </c>
      <c r="Q10" s="694">
        <f t="shared" si="1"/>
        <v>5349.9066595470795</v>
      </c>
      <c r="R10" s="694">
        <f t="shared" si="1"/>
        <v>7771.8361647282291</v>
      </c>
      <c r="S10" s="694">
        <f t="shared" si="1"/>
        <v>8816.0722116157413</v>
      </c>
      <c r="T10" s="694">
        <f t="shared" si="1"/>
        <v>9013.9374894318316</v>
      </c>
      <c r="U10" s="694">
        <f t="shared" si="1"/>
        <v>9531.6861115250067</v>
      </c>
      <c r="V10" s="694">
        <f t="shared" si="1"/>
        <v>10574.846814938268</v>
      </c>
      <c r="W10" s="694">
        <f t="shared" si="1"/>
        <v>11532.709309973237</v>
      </c>
      <c r="X10" s="694">
        <f t="shared" si="1"/>
        <v>13179.59933906576</v>
      </c>
      <c r="Y10" s="694">
        <f t="shared" si="1"/>
        <v>14547.029903659837</v>
      </c>
      <c r="Z10" s="694">
        <f t="shared" si="1"/>
        <v>15517.215388820499</v>
      </c>
      <c r="AA10" s="694">
        <f t="shared" si="1"/>
        <v>16112.250795678745</v>
      </c>
      <c r="AB10" s="694">
        <f t="shared" si="1"/>
        <v>16467.063881074748</v>
      </c>
      <c r="AC10" s="694">
        <f t="shared" si="1"/>
        <v>16705.987848103236</v>
      </c>
      <c r="AD10" s="694">
        <f t="shared" si="1"/>
        <v>16817.705875559215</v>
      </c>
      <c r="AE10" s="694">
        <f t="shared" si="1"/>
        <v>16311.598107882332</v>
      </c>
      <c r="AF10" s="694">
        <f t="shared" si="1"/>
        <v>15826.781530321117</v>
      </c>
      <c r="AG10" s="694">
        <f t="shared" si="1"/>
        <v>15364.70167411671</v>
      </c>
      <c r="AH10" s="694">
        <f t="shared" si="1"/>
        <v>14922.25646366008</v>
      </c>
      <c r="AI10" s="694">
        <f t="shared" si="1"/>
        <v>14500.181852041242</v>
      </c>
      <c r="AJ10" s="694">
        <f t="shared" si="1"/>
        <v>14096.244243144436</v>
      </c>
      <c r="AK10" s="695">
        <f t="shared" si="1"/>
        <v>13710.641026319034</v>
      </c>
    </row>
    <row r="11" spans="1:40" x14ac:dyDescent="0.75">
      <c r="A11" s="733" t="s">
        <v>487</v>
      </c>
      <c r="B11" s="728">
        <f>B10-D31-D29</f>
        <v>0</v>
      </c>
      <c r="C11" s="728">
        <f>C10-D36-D34</f>
        <v>25833</v>
      </c>
      <c r="D11" s="728">
        <f t="shared" ref="D11:AK11" si="2">D10-E36-E34</f>
        <v>18460.77509026503</v>
      </c>
      <c r="E11" s="728">
        <f t="shared" si="2"/>
        <v>25902.524346885984</v>
      </c>
      <c r="F11" s="728">
        <f t="shared" si="2"/>
        <v>20392.337141407494</v>
      </c>
      <c r="G11" s="728">
        <f t="shared" si="2"/>
        <v>20756.095538348891</v>
      </c>
      <c r="H11" s="728">
        <f t="shared" si="2"/>
        <v>13212.361701511225</v>
      </c>
      <c r="I11" s="728">
        <f t="shared" si="2"/>
        <v>20369.503163831017</v>
      </c>
      <c r="J11" s="728">
        <f t="shared" si="2"/>
        <v>20150.249767723275</v>
      </c>
      <c r="K11" s="728">
        <f t="shared" si="2"/>
        <v>18093.171488296764</v>
      </c>
      <c r="L11" s="728">
        <f t="shared" si="2"/>
        <v>17362.577115057938</v>
      </c>
      <c r="M11" s="728">
        <f t="shared" si="2"/>
        <v>13575.686759213204</v>
      </c>
      <c r="N11" s="728">
        <f t="shared" si="2"/>
        <v>5932.4592235721939</v>
      </c>
      <c r="O11" s="728">
        <f t="shared" si="2"/>
        <v>4076.8476819293719</v>
      </c>
      <c r="P11" s="728">
        <f t="shared" si="2"/>
        <v>4163.8158052221115</v>
      </c>
      <c r="Q11" s="728">
        <f t="shared" si="2"/>
        <v>5349.9066595470795</v>
      </c>
      <c r="R11" s="728">
        <f t="shared" si="2"/>
        <v>7771.8361647282291</v>
      </c>
      <c r="S11" s="728">
        <f t="shared" si="2"/>
        <v>8816.0722116157413</v>
      </c>
      <c r="T11" s="728">
        <f t="shared" si="2"/>
        <v>9013.9374894318316</v>
      </c>
      <c r="U11" s="728">
        <f t="shared" si="2"/>
        <v>9531.6861115250067</v>
      </c>
      <c r="V11" s="728">
        <f t="shared" si="2"/>
        <v>10574.846814938268</v>
      </c>
      <c r="W11" s="728">
        <f t="shared" si="2"/>
        <v>11532.709309973237</v>
      </c>
      <c r="X11" s="728">
        <f t="shared" si="2"/>
        <v>13179.59933906576</v>
      </c>
      <c r="Y11" s="728">
        <f t="shared" si="2"/>
        <v>14547.029903659837</v>
      </c>
      <c r="Z11" s="728">
        <f t="shared" si="2"/>
        <v>15517.215388820499</v>
      </c>
      <c r="AA11" s="728">
        <f t="shared" si="2"/>
        <v>16112.250795678745</v>
      </c>
      <c r="AB11" s="728">
        <f t="shared" si="2"/>
        <v>16467.063881074748</v>
      </c>
      <c r="AC11" s="728">
        <f t="shared" si="2"/>
        <v>16705.987848103236</v>
      </c>
      <c r="AD11" s="728">
        <f t="shared" si="2"/>
        <v>16817.705875559215</v>
      </c>
      <c r="AE11" s="728">
        <f t="shared" si="2"/>
        <v>16311.598107882332</v>
      </c>
      <c r="AF11" s="728">
        <f t="shared" si="2"/>
        <v>15826.781530321117</v>
      </c>
      <c r="AG11" s="728">
        <f t="shared" si="2"/>
        <v>15364.70167411671</v>
      </c>
      <c r="AH11" s="728">
        <f t="shared" si="2"/>
        <v>14922.25646366008</v>
      </c>
      <c r="AI11" s="728">
        <f t="shared" si="2"/>
        <v>14500.181852041242</v>
      </c>
      <c r="AJ11" s="728">
        <f t="shared" si="2"/>
        <v>14096.244243144436</v>
      </c>
      <c r="AK11" s="734">
        <f t="shared" si="2"/>
        <v>13710.641026319034</v>
      </c>
    </row>
    <row r="12" spans="1:40" x14ac:dyDescent="0.75">
      <c r="A12" s="697"/>
      <c r="B12" s="699"/>
      <c r="C12" s="699"/>
      <c r="D12" s="694"/>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5"/>
    </row>
    <row r="13" spans="1:40" x14ac:dyDescent="0.75">
      <c r="A13" s="762" t="s">
        <v>486</v>
      </c>
      <c r="B13" s="760">
        <f t="shared" ref="B13" si="3">IF(B9&gt;0, (B9-(MIN(B9,B19)))*B5,0)</f>
        <v>6048.0414065067371</v>
      </c>
      <c r="C13" s="760">
        <f>IF(C9&gt;0, (C9-(MIN(C9,C19)))*C5,0)</f>
        <v>9620.9750947251905</v>
      </c>
      <c r="D13" s="760">
        <f t="shared" ref="D13:AK13" si="4">IF(D9&gt;0, (D9-(MIN(D9,D19)))*D5,0)</f>
        <v>5478.672346700906</v>
      </c>
      <c r="E13" s="760">
        <f t="shared" si="4"/>
        <v>6464.3384621760833</v>
      </c>
      <c r="F13" s="760">
        <f t="shared" si="4"/>
        <v>4950.5403095034453</v>
      </c>
      <c r="G13" s="760">
        <f t="shared" si="4"/>
        <v>5382.1677468851358</v>
      </c>
      <c r="H13" s="760">
        <f t="shared" si="4"/>
        <v>4711.1254781424368</v>
      </c>
      <c r="I13" s="760">
        <f t="shared" si="4"/>
        <v>6999.2955178848424</v>
      </c>
      <c r="J13" s="760">
        <f t="shared" si="4"/>
        <v>6247.0050003569959</v>
      </c>
      <c r="K13" s="760">
        <f t="shared" si="4"/>
        <v>5445.0611848079079</v>
      </c>
      <c r="L13" s="760">
        <f t="shared" si="4"/>
        <v>5366.6822223332219</v>
      </c>
      <c r="M13" s="760">
        <f t="shared" si="4"/>
        <v>4093.9723781758771</v>
      </c>
      <c r="N13" s="760">
        <f t="shared" si="4"/>
        <v>1812.967846521369</v>
      </c>
      <c r="O13" s="760">
        <f t="shared" si="4"/>
        <v>1238.2252323344385</v>
      </c>
      <c r="P13" s="760">
        <f t="shared" si="4"/>
        <v>1264.2951248056286</v>
      </c>
      <c r="Q13" s="760">
        <f t="shared" si="4"/>
        <v>1628.0916958083253</v>
      </c>
      <c r="R13" s="760">
        <f t="shared" si="4"/>
        <v>2361.8139946905885</v>
      </c>
      <c r="S13" s="760">
        <f t="shared" si="4"/>
        <v>2679.6597165265875</v>
      </c>
      <c r="T13" s="760">
        <f t="shared" si="4"/>
        <v>2740.7397410005474</v>
      </c>
      <c r="U13" s="760">
        <f t="shared" si="4"/>
        <v>2897.3192559793383</v>
      </c>
      <c r="V13" s="760">
        <f t="shared" si="4"/>
        <v>3214.663834202508</v>
      </c>
      <c r="W13" s="760">
        <f t="shared" si="4"/>
        <v>3505.999141295008</v>
      </c>
      <c r="X13" s="760">
        <f t="shared" si="4"/>
        <v>4006.4377132282075</v>
      </c>
      <c r="Y13" s="760">
        <f t="shared" si="4"/>
        <v>4422.2203041416224</v>
      </c>
      <c r="Z13" s="760">
        <f t="shared" si="4"/>
        <v>4717.1680910058767</v>
      </c>
      <c r="AA13" s="760">
        <f t="shared" si="4"/>
        <v>4898.0563473016973</v>
      </c>
      <c r="AB13" s="760">
        <f t="shared" si="4"/>
        <v>5005.9180301334773</v>
      </c>
      <c r="AC13" s="760">
        <f t="shared" si="4"/>
        <v>5078.5499093207254</v>
      </c>
      <c r="AD13" s="760">
        <f t="shared" si="4"/>
        <v>5112.5117189044959</v>
      </c>
      <c r="AE13" s="760">
        <f t="shared" si="4"/>
        <v>4958.6570901922059</v>
      </c>
      <c r="AF13" s="760">
        <f t="shared" si="4"/>
        <v>4811.2748935572281</v>
      </c>
      <c r="AG13" s="760">
        <f t="shared" si="4"/>
        <v>4670.8045644056201</v>
      </c>
      <c r="AH13" s="760">
        <f t="shared" si="4"/>
        <v>4536.3030848239132</v>
      </c>
      <c r="AI13" s="760">
        <f t="shared" si="4"/>
        <v>4407.9941814502763</v>
      </c>
      <c r="AJ13" s="760">
        <f t="shared" si="4"/>
        <v>4285.1988504775545</v>
      </c>
      <c r="AK13" s="763">
        <f t="shared" si="4"/>
        <v>4167.9770974361882</v>
      </c>
    </row>
    <row r="14" spans="1:40" x14ac:dyDescent="0.75">
      <c r="A14" s="764" t="s">
        <v>485</v>
      </c>
      <c r="B14" s="761">
        <f t="shared" ref="B14:AK14" si="5">B39</f>
        <v>0</v>
      </c>
      <c r="C14" s="761">
        <f t="shared" si="5"/>
        <v>0</v>
      </c>
      <c r="D14" s="761">
        <f t="shared" si="5"/>
        <v>0</v>
      </c>
      <c r="E14" s="761">
        <f t="shared" si="5"/>
        <v>0</v>
      </c>
      <c r="F14" s="761">
        <f t="shared" si="5"/>
        <v>0</v>
      </c>
      <c r="G14" s="761">
        <f t="shared" si="5"/>
        <v>0</v>
      </c>
      <c r="H14" s="761">
        <f t="shared" si="5"/>
        <v>0</v>
      </c>
      <c r="I14" s="761">
        <f t="shared" si="5"/>
        <v>0</v>
      </c>
      <c r="J14" s="761">
        <f t="shared" si="5"/>
        <v>0</v>
      </c>
      <c r="K14" s="761">
        <f t="shared" si="5"/>
        <v>0</v>
      </c>
      <c r="L14" s="761">
        <f t="shared" si="5"/>
        <v>0</v>
      </c>
      <c r="M14" s="761">
        <f t="shared" si="5"/>
        <v>0</v>
      </c>
      <c r="N14" s="761">
        <f t="shared" si="5"/>
        <v>0</v>
      </c>
      <c r="O14" s="761">
        <f t="shared" si="5"/>
        <v>0</v>
      </c>
      <c r="P14" s="761">
        <f t="shared" si="5"/>
        <v>0</v>
      </c>
      <c r="Q14" s="761">
        <f t="shared" si="5"/>
        <v>0</v>
      </c>
      <c r="R14" s="761">
        <f t="shared" si="5"/>
        <v>0</v>
      </c>
      <c r="S14" s="761">
        <f t="shared" si="5"/>
        <v>0</v>
      </c>
      <c r="T14" s="761">
        <f t="shared" si="5"/>
        <v>0</v>
      </c>
      <c r="U14" s="761">
        <f t="shared" si="5"/>
        <v>0</v>
      </c>
      <c r="V14" s="761">
        <f t="shared" si="5"/>
        <v>0</v>
      </c>
      <c r="W14" s="761">
        <f t="shared" si="5"/>
        <v>0</v>
      </c>
      <c r="X14" s="761">
        <f t="shared" si="5"/>
        <v>0</v>
      </c>
      <c r="Y14" s="761">
        <f t="shared" si="5"/>
        <v>0</v>
      </c>
      <c r="Z14" s="761">
        <f t="shared" si="5"/>
        <v>0</v>
      </c>
      <c r="AA14" s="761">
        <f t="shared" si="5"/>
        <v>0</v>
      </c>
      <c r="AB14" s="761">
        <f t="shared" si="5"/>
        <v>0</v>
      </c>
      <c r="AC14" s="761">
        <f t="shared" si="5"/>
        <v>0</v>
      </c>
      <c r="AD14" s="761">
        <f t="shared" si="5"/>
        <v>0</v>
      </c>
      <c r="AE14" s="761">
        <f t="shared" si="5"/>
        <v>0</v>
      </c>
      <c r="AF14" s="761">
        <f t="shared" si="5"/>
        <v>0</v>
      </c>
      <c r="AG14" s="761">
        <f t="shared" si="5"/>
        <v>0</v>
      </c>
      <c r="AH14" s="761">
        <f t="shared" si="5"/>
        <v>0</v>
      </c>
      <c r="AI14" s="761">
        <f t="shared" si="5"/>
        <v>0</v>
      </c>
      <c r="AJ14" s="761">
        <f t="shared" si="5"/>
        <v>0</v>
      </c>
      <c r="AK14" s="765">
        <f t="shared" si="5"/>
        <v>0</v>
      </c>
    </row>
    <row r="15" spans="1:40" ht="15.5" thickBot="1" x14ac:dyDescent="0.9">
      <c r="A15" s="700"/>
      <c r="B15" s="701"/>
      <c r="C15" s="701"/>
      <c r="D15" s="694"/>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5"/>
    </row>
    <row r="16" spans="1:40" ht="15.5" thickBot="1" x14ac:dyDescent="0.9">
      <c r="A16" s="690" t="s">
        <v>484</v>
      </c>
      <c r="B16" s="758">
        <f t="shared" ref="B16:AK16" si="6">B9-B13+B14</f>
        <v>21461.958593493262</v>
      </c>
      <c r="C16" s="758">
        <f t="shared" si="6"/>
        <v>16212.024905274809</v>
      </c>
      <c r="D16" s="758">
        <f t="shared" si="6"/>
        <v>12982.102743564123</v>
      </c>
      <c r="E16" s="758">
        <f t="shared" si="6"/>
        <v>19438.185884709899</v>
      </c>
      <c r="F16" s="758">
        <f t="shared" si="6"/>
        <v>15441.796831904048</v>
      </c>
      <c r="G16" s="758">
        <f t="shared" si="6"/>
        <v>15373.927791463755</v>
      </c>
      <c r="H16" s="758">
        <f t="shared" si="6"/>
        <v>8501.2362233687891</v>
      </c>
      <c r="I16" s="758">
        <f t="shared" si="6"/>
        <v>13370.207645946175</v>
      </c>
      <c r="J16" s="758">
        <f t="shared" si="6"/>
        <v>13903.244767366279</v>
      </c>
      <c r="K16" s="758">
        <f t="shared" si="6"/>
        <v>12648.110303488857</v>
      </c>
      <c r="L16" s="758">
        <f t="shared" si="6"/>
        <v>11995.894892724717</v>
      </c>
      <c r="M16" s="758">
        <f t="shared" si="6"/>
        <v>9481.7143810373273</v>
      </c>
      <c r="N16" s="758">
        <f t="shared" si="6"/>
        <v>4119.4913770508247</v>
      </c>
      <c r="O16" s="758">
        <f t="shared" si="6"/>
        <v>2838.6224495949336</v>
      </c>
      <c r="P16" s="758">
        <f t="shared" si="6"/>
        <v>2899.5206804164827</v>
      </c>
      <c r="Q16" s="758">
        <f t="shared" si="6"/>
        <v>3721.8149637387542</v>
      </c>
      <c r="R16" s="758">
        <f t="shared" si="6"/>
        <v>5410.0221700376405</v>
      </c>
      <c r="S16" s="758">
        <f t="shared" si="6"/>
        <v>6136.4124950891537</v>
      </c>
      <c r="T16" s="758">
        <f t="shared" si="6"/>
        <v>6273.1977484312847</v>
      </c>
      <c r="U16" s="758">
        <f t="shared" si="6"/>
        <v>6634.3668555456679</v>
      </c>
      <c r="V16" s="758">
        <f t="shared" si="6"/>
        <v>7360.1829807357599</v>
      </c>
      <c r="W16" s="758">
        <f t="shared" si="6"/>
        <v>8026.7101686782298</v>
      </c>
      <c r="X16" s="758">
        <f t="shared" si="6"/>
        <v>9173.1616258375525</v>
      </c>
      <c r="Y16" s="758">
        <f t="shared" si="6"/>
        <v>10124.809599518216</v>
      </c>
      <c r="Z16" s="758">
        <f t="shared" si="6"/>
        <v>10800.047297814623</v>
      </c>
      <c r="AA16" s="758">
        <f t="shared" si="6"/>
        <v>11214.194448377048</v>
      </c>
      <c r="AB16" s="758">
        <f t="shared" si="6"/>
        <v>11461.14585094127</v>
      </c>
      <c r="AC16" s="758">
        <f t="shared" si="6"/>
        <v>11627.43793878251</v>
      </c>
      <c r="AD16" s="758">
        <f t="shared" si="6"/>
        <v>11705.194156654719</v>
      </c>
      <c r="AE16" s="758">
        <f t="shared" si="6"/>
        <v>11352.941017690126</v>
      </c>
      <c r="AF16" s="758">
        <f t="shared" si="6"/>
        <v>11015.50663676389</v>
      </c>
      <c r="AG16" s="758">
        <f t="shared" si="6"/>
        <v>10693.89710971109</v>
      </c>
      <c r="AH16" s="758">
        <f t="shared" si="6"/>
        <v>10385.953378836166</v>
      </c>
      <c r="AI16" s="758">
        <f t="shared" si="6"/>
        <v>10092.187670590965</v>
      </c>
      <c r="AJ16" s="758">
        <f t="shared" si="6"/>
        <v>9811.0453926668815</v>
      </c>
      <c r="AK16" s="759">
        <f t="shared" si="6"/>
        <v>9542.6639288828446</v>
      </c>
    </row>
    <row r="17" spans="1:37" x14ac:dyDescent="0.75">
      <c r="A17" s="700"/>
      <c r="B17" s="701"/>
      <c r="C17" s="701"/>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5"/>
    </row>
    <row r="18" spans="1:37" x14ac:dyDescent="0.75">
      <c r="A18" s="702" t="s">
        <v>483</v>
      </c>
      <c r="B18" s="701"/>
      <c r="C18" s="701"/>
      <c r="D18" s="694"/>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5"/>
    </row>
    <row r="19" spans="1:37" x14ac:dyDescent="0.75">
      <c r="A19" s="735" t="s">
        <v>482</v>
      </c>
      <c r="B19" s="729">
        <v>0</v>
      </c>
      <c r="C19" s="729">
        <f t="shared" ref="C19:AK19" si="7">B23</f>
        <v>0</v>
      </c>
      <c r="D19" s="729">
        <f t="shared" si="7"/>
        <v>0</v>
      </c>
      <c r="E19" s="729">
        <f t="shared" si="7"/>
        <v>0</v>
      </c>
      <c r="F19" s="729">
        <f t="shared" si="7"/>
        <v>0</v>
      </c>
      <c r="G19" s="729">
        <f t="shared" si="7"/>
        <v>0</v>
      </c>
      <c r="H19" s="729">
        <f t="shared" si="7"/>
        <v>0</v>
      </c>
      <c r="I19" s="729">
        <f t="shared" si="7"/>
        <v>0</v>
      </c>
      <c r="J19" s="729">
        <f t="shared" si="7"/>
        <v>0</v>
      </c>
      <c r="K19" s="729">
        <f t="shared" si="7"/>
        <v>0</v>
      </c>
      <c r="L19" s="729">
        <f t="shared" si="7"/>
        <v>0</v>
      </c>
      <c r="M19" s="729">
        <f t="shared" si="7"/>
        <v>0</v>
      </c>
      <c r="N19" s="729">
        <f t="shared" si="7"/>
        <v>0</v>
      </c>
      <c r="O19" s="729">
        <f t="shared" si="7"/>
        <v>0</v>
      </c>
      <c r="P19" s="729">
        <f t="shared" si="7"/>
        <v>0</v>
      </c>
      <c r="Q19" s="729">
        <f t="shared" si="7"/>
        <v>0</v>
      </c>
      <c r="R19" s="729">
        <f t="shared" si="7"/>
        <v>0</v>
      </c>
      <c r="S19" s="729">
        <f t="shared" si="7"/>
        <v>0</v>
      </c>
      <c r="T19" s="729">
        <f t="shared" si="7"/>
        <v>0</v>
      </c>
      <c r="U19" s="729">
        <f t="shared" si="7"/>
        <v>0</v>
      </c>
      <c r="V19" s="729">
        <f t="shared" si="7"/>
        <v>0</v>
      </c>
      <c r="W19" s="729">
        <f t="shared" si="7"/>
        <v>0</v>
      </c>
      <c r="X19" s="729">
        <f t="shared" si="7"/>
        <v>0</v>
      </c>
      <c r="Y19" s="729">
        <f t="shared" si="7"/>
        <v>0</v>
      </c>
      <c r="Z19" s="729">
        <f t="shared" si="7"/>
        <v>0</v>
      </c>
      <c r="AA19" s="729">
        <f t="shared" si="7"/>
        <v>0</v>
      </c>
      <c r="AB19" s="729">
        <f t="shared" si="7"/>
        <v>0</v>
      </c>
      <c r="AC19" s="729">
        <f t="shared" si="7"/>
        <v>0</v>
      </c>
      <c r="AD19" s="729">
        <f t="shared" si="7"/>
        <v>0</v>
      </c>
      <c r="AE19" s="729">
        <f t="shared" si="7"/>
        <v>0</v>
      </c>
      <c r="AF19" s="729">
        <f t="shared" si="7"/>
        <v>0</v>
      </c>
      <c r="AG19" s="729">
        <f t="shared" si="7"/>
        <v>0</v>
      </c>
      <c r="AH19" s="729">
        <f t="shared" si="7"/>
        <v>0</v>
      </c>
      <c r="AI19" s="729">
        <f t="shared" si="7"/>
        <v>0</v>
      </c>
      <c r="AJ19" s="729">
        <f t="shared" si="7"/>
        <v>0</v>
      </c>
      <c r="AK19" s="736">
        <f t="shared" si="7"/>
        <v>0</v>
      </c>
    </row>
    <row r="20" spans="1:37" s="232" customFormat="1" x14ac:dyDescent="0.75">
      <c r="A20" s="703" t="s">
        <v>481</v>
      </c>
      <c r="B20" s="704">
        <f>IF(B9&lt;0,-B16,0)</f>
        <v>0</v>
      </c>
      <c r="C20" s="704">
        <f>IF(C9&lt;0,-C16,0)</f>
        <v>0</v>
      </c>
      <c r="D20" s="704">
        <f t="shared" ref="D20:AK20" si="8">IF(D9&lt;0,-D10+-D37,0)</f>
        <v>0</v>
      </c>
      <c r="E20" s="704">
        <f t="shared" si="8"/>
        <v>0</v>
      </c>
      <c r="F20" s="704">
        <f t="shared" si="8"/>
        <v>0</v>
      </c>
      <c r="G20" s="704">
        <f t="shared" si="8"/>
        <v>0</v>
      </c>
      <c r="H20" s="704">
        <f t="shared" si="8"/>
        <v>0</v>
      </c>
      <c r="I20" s="704">
        <f t="shared" si="8"/>
        <v>0</v>
      </c>
      <c r="J20" s="704">
        <f t="shared" si="8"/>
        <v>0</v>
      </c>
      <c r="K20" s="704">
        <f t="shared" si="8"/>
        <v>0</v>
      </c>
      <c r="L20" s="704">
        <f t="shared" si="8"/>
        <v>0</v>
      </c>
      <c r="M20" s="704">
        <f t="shared" si="8"/>
        <v>0</v>
      </c>
      <c r="N20" s="704">
        <f t="shared" si="8"/>
        <v>0</v>
      </c>
      <c r="O20" s="704">
        <f t="shared" si="8"/>
        <v>0</v>
      </c>
      <c r="P20" s="704">
        <f t="shared" si="8"/>
        <v>0</v>
      </c>
      <c r="Q20" s="704">
        <f t="shared" si="8"/>
        <v>0</v>
      </c>
      <c r="R20" s="704">
        <f t="shared" si="8"/>
        <v>0</v>
      </c>
      <c r="S20" s="704">
        <f t="shared" si="8"/>
        <v>0</v>
      </c>
      <c r="T20" s="704">
        <f t="shared" si="8"/>
        <v>0</v>
      </c>
      <c r="U20" s="704">
        <f t="shared" si="8"/>
        <v>0</v>
      </c>
      <c r="V20" s="704">
        <f t="shared" si="8"/>
        <v>0</v>
      </c>
      <c r="W20" s="704">
        <f t="shared" si="8"/>
        <v>0</v>
      </c>
      <c r="X20" s="704">
        <f t="shared" si="8"/>
        <v>0</v>
      </c>
      <c r="Y20" s="704">
        <f t="shared" si="8"/>
        <v>0</v>
      </c>
      <c r="Z20" s="704">
        <f t="shared" si="8"/>
        <v>0</v>
      </c>
      <c r="AA20" s="704">
        <f t="shared" si="8"/>
        <v>0</v>
      </c>
      <c r="AB20" s="704">
        <f t="shared" si="8"/>
        <v>0</v>
      </c>
      <c r="AC20" s="704">
        <f t="shared" si="8"/>
        <v>0</v>
      </c>
      <c r="AD20" s="704">
        <f t="shared" si="8"/>
        <v>0</v>
      </c>
      <c r="AE20" s="704">
        <f t="shared" si="8"/>
        <v>0</v>
      </c>
      <c r="AF20" s="704">
        <f t="shared" si="8"/>
        <v>0</v>
      </c>
      <c r="AG20" s="704">
        <f t="shared" si="8"/>
        <v>0</v>
      </c>
      <c r="AH20" s="704">
        <f t="shared" si="8"/>
        <v>0</v>
      </c>
      <c r="AI20" s="704">
        <f t="shared" si="8"/>
        <v>0</v>
      </c>
      <c r="AJ20" s="704">
        <f t="shared" si="8"/>
        <v>0</v>
      </c>
      <c r="AK20" s="705">
        <f t="shared" si="8"/>
        <v>0</v>
      </c>
    </row>
    <row r="21" spans="1:37" s="232" customFormat="1" x14ac:dyDescent="0.75">
      <c r="A21" s="703" t="s">
        <v>480</v>
      </c>
      <c r="B21" s="704">
        <f>IF(B9&gt;0,-MIN(B16,B19),0)</f>
        <v>0</v>
      </c>
      <c r="C21" s="704">
        <f>IF(C9&gt;0,-MIN(C16,C19),0)</f>
        <v>0</v>
      </c>
      <c r="D21" s="704">
        <f>IF(D9&gt;0,-MIN(D16,D19),0)</f>
        <v>0</v>
      </c>
      <c r="E21" s="704">
        <f>IF(E9&gt;0,-MIN(E16,E19),0)</f>
        <v>0</v>
      </c>
      <c r="F21" s="704">
        <f>IF(F9&gt;0,-MIN(F16,F19),0)</f>
        <v>0</v>
      </c>
      <c r="G21" s="704">
        <f t="shared" ref="G21:AK21" si="9">IF(G16&gt;0,-MIN(G16,G19),0)</f>
        <v>0</v>
      </c>
      <c r="H21" s="704">
        <f t="shared" si="9"/>
        <v>0</v>
      </c>
      <c r="I21" s="704">
        <f t="shared" si="9"/>
        <v>0</v>
      </c>
      <c r="J21" s="704">
        <f t="shared" si="9"/>
        <v>0</v>
      </c>
      <c r="K21" s="704">
        <f t="shared" si="9"/>
        <v>0</v>
      </c>
      <c r="L21" s="704">
        <f t="shared" si="9"/>
        <v>0</v>
      </c>
      <c r="M21" s="704">
        <f t="shared" si="9"/>
        <v>0</v>
      </c>
      <c r="N21" s="704">
        <f t="shared" si="9"/>
        <v>0</v>
      </c>
      <c r="O21" s="704">
        <f t="shared" si="9"/>
        <v>0</v>
      </c>
      <c r="P21" s="704">
        <f t="shared" si="9"/>
        <v>0</v>
      </c>
      <c r="Q21" s="704">
        <f t="shared" si="9"/>
        <v>0</v>
      </c>
      <c r="R21" s="704">
        <f t="shared" si="9"/>
        <v>0</v>
      </c>
      <c r="S21" s="704">
        <f t="shared" si="9"/>
        <v>0</v>
      </c>
      <c r="T21" s="704">
        <f t="shared" si="9"/>
        <v>0</v>
      </c>
      <c r="U21" s="704">
        <f t="shared" si="9"/>
        <v>0</v>
      </c>
      <c r="V21" s="704">
        <f t="shared" si="9"/>
        <v>0</v>
      </c>
      <c r="W21" s="704">
        <f t="shared" si="9"/>
        <v>0</v>
      </c>
      <c r="X21" s="704">
        <f t="shared" si="9"/>
        <v>0</v>
      </c>
      <c r="Y21" s="704">
        <f t="shared" si="9"/>
        <v>0</v>
      </c>
      <c r="Z21" s="704">
        <f t="shared" si="9"/>
        <v>0</v>
      </c>
      <c r="AA21" s="704">
        <f t="shared" si="9"/>
        <v>0</v>
      </c>
      <c r="AB21" s="704">
        <f t="shared" si="9"/>
        <v>0</v>
      </c>
      <c r="AC21" s="704">
        <f t="shared" si="9"/>
        <v>0</v>
      </c>
      <c r="AD21" s="704">
        <f t="shared" si="9"/>
        <v>0</v>
      </c>
      <c r="AE21" s="704">
        <f t="shared" si="9"/>
        <v>0</v>
      </c>
      <c r="AF21" s="704">
        <f t="shared" si="9"/>
        <v>0</v>
      </c>
      <c r="AG21" s="704">
        <f t="shared" si="9"/>
        <v>0</v>
      </c>
      <c r="AH21" s="704">
        <f t="shared" si="9"/>
        <v>0</v>
      </c>
      <c r="AI21" s="704">
        <f t="shared" si="9"/>
        <v>0</v>
      </c>
      <c r="AJ21" s="704">
        <f t="shared" si="9"/>
        <v>0</v>
      </c>
      <c r="AK21" s="705">
        <f t="shared" si="9"/>
        <v>0</v>
      </c>
    </row>
    <row r="22" spans="1:37" x14ac:dyDescent="0.75">
      <c r="A22" s="700" t="s">
        <v>479</v>
      </c>
      <c r="B22" s="694">
        <f t="shared" ref="B22:AK22" si="10">B76</f>
        <v>0</v>
      </c>
      <c r="C22" s="694">
        <f t="shared" si="10"/>
        <v>0</v>
      </c>
      <c r="D22" s="694">
        <f t="shared" si="10"/>
        <v>0</v>
      </c>
      <c r="E22" s="694">
        <f t="shared" si="10"/>
        <v>0</v>
      </c>
      <c r="F22" s="694">
        <f t="shared" si="10"/>
        <v>0</v>
      </c>
      <c r="G22" s="694">
        <f t="shared" si="10"/>
        <v>0</v>
      </c>
      <c r="H22" s="694">
        <f t="shared" si="10"/>
        <v>0</v>
      </c>
      <c r="I22" s="694">
        <f t="shared" si="10"/>
        <v>0</v>
      </c>
      <c r="J22" s="694">
        <f t="shared" si="10"/>
        <v>0</v>
      </c>
      <c r="K22" s="694">
        <f t="shared" si="10"/>
        <v>0</v>
      </c>
      <c r="L22" s="694">
        <f t="shared" si="10"/>
        <v>0</v>
      </c>
      <c r="M22" s="694">
        <f t="shared" si="10"/>
        <v>0</v>
      </c>
      <c r="N22" s="694">
        <f t="shared" si="10"/>
        <v>0</v>
      </c>
      <c r="O22" s="694">
        <f t="shared" si="10"/>
        <v>0</v>
      </c>
      <c r="P22" s="694">
        <f t="shared" si="10"/>
        <v>0</v>
      </c>
      <c r="Q22" s="694">
        <f t="shared" si="10"/>
        <v>0</v>
      </c>
      <c r="R22" s="694">
        <f t="shared" si="10"/>
        <v>0</v>
      </c>
      <c r="S22" s="694">
        <f t="shared" si="10"/>
        <v>0</v>
      </c>
      <c r="T22" s="694">
        <f t="shared" si="10"/>
        <v>0</v>
      </c>
      <c r="U22" s="694">
        <f t="shared" si="10"/>
        <v>0</v>
      </c>
      <c r="V22" s="694">
        <f t="shared" si="10"/>
        <v>0</v>
      </c>
      <c r="W22" s="694">
        <f t="shared" si="10"/>
        <v>0</v>
      </c>
      <c r="X22" s="694">
        <f t="shared" si="10"/>
        <v>0</v>
      </c>
      <c r="Y22" s="694">
        <f t="shared" si="10"/>
        <v>0</v>
      </c>
      <c r="Z22" s="694">
        <f t="shared" si="10"/>
        <v>0</v>
      </c>
      <c r="AA22" s="694">
        <f t="shared" si="10"/>
        <v>0</v>
      </c>
      <c r="AB22" s="694">
        <f t="shared" si="10"/>
        <v>0</v>
      </c>
      <c r="AC22" s="694">
        <f t="shared" si="10"/>
        <v>0</v>
      </c>
      <c r="AD22" s="694">
        <f t="shared" si="10"/>
        <v>0</v>
      </c>
      <c r="AE22" s="694">
        <f t="shared" si="10"/>
        <v>0</v>
      </c>
      <c r="AF22" s="694">
        <f t="shared" si="10"/>
        <v>0</v>
      </c>
      <c r="AG22" s="694">
        <f t="shared" si="10"/>
        <v>0</v>
      </c>
      <c r="AH22" s="694">
        <f t="shared" si="10"/>
        <v>0</v>
      </c>
      <c r="AI22" s="694">
        <f t="shared" si="10"/>
        <v>0</v>
      </c>
      <c r="AJ22" s="694">
        <f t="shared" si="10"/>
        <v>0</v>
      </c>
      <c r="AK22" s="695">
        <f t="shared" si="10"/>
        <v>0</v>
      </c>
    </row>
    <row r="23" spans="1:37" x14ac:dyDescent="0.75">
      <c r="A23" s="737" t="s">
        <v>478</v>
      </c>
      <c r="B23" s="728">
        <f t="shared" ref="B23:AK23" si="11">SUM(B19:B22)</f>
        <v>0</v>
      </c>
      <c r="C23" s="728">
        <f t="shared" si="11"/>
        <v>0</v>
      </c>
      <c r="D23" s="728">
        <f t="shared" si="11"/>
        <v>0</v>
      </c>
      <c r="E23" s="728">
        <f t="shared" si="11"/>
        <v>0</v>
      </c>
      <c r="F23" s="728">
        <f t="shared" si="11"/>
        <v>0</v>
      </c>
      <c r="G23" s="728">
        <f t="shared" si="11"/>
        <v>0</v>
      </c>
      <c r="H23" s="728">
        <f t="shared" si="11"/>
        <v>0</v>
      </c>
      <c r="I23" s="728">
        <f t="shared" si="11"/>
        <v>0</v>
      </c>
      <c r="J23" s="728">
        <f t="shared" si="11"/>
        <v>0</v>
      </c>
      <c r="K23" s="728">
        <f t="shared" si="11"/>
        <v>0</v>
      </c>
      <c r="L23" s="728">
        <f t="shared" si="11"/>
        <v>0</v>
      </c>
      <c r="M23" s="728">
        <f t="shared" si="11"/>
        <v>0</v>
      </c>
      <c r="N23" s="728">
        <f t="shared" si="11"/>
        <v>0</v>
      </c>
      <c r="O23" s="728">
        <f t="shared" si="11"/>
        <v>0</v>
      </c>
      <c r="P23" s="728">
        <f t="shared" si="11"/>
        <v>0</v>
      </c>
      <c r="Q23" s="728">
        <f t="shared" si="11"/>
        <v>0</v>
      </c>
      <c r="R23" s="728">
        <f t="shared" si="11"/>
        <v>0</v>
      </c>
      <c r="S23" s="728">
        <f t="shared" si="11"/>
        <v>0</v>
      </c>
      <c r="T23" s="728">
        <f t="shared" si="11"/>
        <v>0</v>
      </c>
      <c r="U23" s="728">
        <f t="shared" si="11"/>
        <v>0</v>
      </c>
      <c r="V23" s="728">
        <f t="shared" si="11"/>
        <v>0</v>
      </c>
      <c r="W23" s="728">
        <f t="shared" si="11"/>
        <v>0</v>
      </c>
      <c r="X23" s="728">
        <f t="shared" si="11"/>
        <v>0</v>
      </c>
      <c r="Y23" s="728">
        <f t="shared" si="11"/>
        <v>0</v>
      </c>
      <c r="Z23" s="728">
        <f t="shared" si="11"/>
        <v>0</v>
      </c>
      <c r="AA23" s="728">
        <f t="shared" si="11"/>
        <v>0</v>
      </c>
      <c r="AB23" s="728">
        <f t="shared" si="11"/>
        <v>0</v>
      </c>
      <c r="AC23" s="728">
        <f t="shared" si="11"/>
        <v>0</v>
      </c>
      <c r="AD23" s="728">
        <f t="shared" si="11"/>
        <v>0</v>
      </c>
      <c r="AE23" s="728">
        <f t="shared" si="11"/>
        <v>0</v>
      </c>
      <c r="AF23" s="728">
        <f t="shared" si="11"/>
        <v>0</v>
      </c>
      <c r="AG23" s="728">
        <f t="shared" si="11"/>
        <v>0</v>
      </c>
      <c r="AH23" s="728">
        <f t="shared" si="11"/>
        <v>0</v>
      </c>
      <c r="AI23" s="728">
        <f t="shared" si="11"/>
        <v>0</v>
      </c>
      <c r="AJ23" s="728">
        <f t="shared" si="11"/>
        <v>0</v>
      </c>
      <c r="AK23" s="734">
        <f t="shared" si="11"/>
        <v>0</v>
      </c>
    </row>
    <row r="24" spans="1:37" x14ac:dyDescent="0.75">
      <c r="A24" s="700"/>
      <c r="B24" s="701"/>
      <c r="C24" s="701"/>
      <c r="D24" s="701"/>
      <c r="E24" s="701"/>
      <c r="F24" s="701"/>
      <c r="G24" s="701"/>
      <c r="H24" s="701"/>
      <c r="I24" s="701"/>
      <c r="J24" s="701"/>
      <c r="K24" s="701"/>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6"/>
    </row>
    <row r="25" spans="1:37" x14ac:dyDescent="0.75">
      <c r="A25" s="700"/>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6"/>
    </row>
    <row r="26" spans="1:37" x14ac:dyDescent="0.75">
      <c r="A26" s="702" t="s">
        <v>477</v>
      </c>
      <c r="B26" s="707"/>
      <c r="C26" s="701"/>
      <c r="D26" s="701"/>
      <c r="E26" s="701"/>
      <c r="F26" s="701"/>
      <c r="G26" s="701"/>
      <c r="H26" s="701"/>
      <c r="I26" s="701"/>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6"/>
    </row>
    <row r="27" spans="1:37" x14ac:dyDescent="0.75">
      <c r="A27" s="735" t="s">
        <v>476</v>
      </c>
      <c r="B27" s="731"/>
      <c r="C27" s="234">
        <f t="shared" ref="C27:AK27" si="12">IF(C9&lt;0,-C9,0)</f>
        <v>0</v>
      </c>
      <c r="D27" s="234">
        <f t="shared" si="12"/>
        <v>0</v>
      </c>
      <c r="E27" s="234">
        <f t="shared" si="12"/>
        <v>0</v>
      </c>
      <c r="F27" s="234">
        <f t="shared" si="12"/>
        <v>0</v>
      </c>
      <c r="G27" s="234">
        <f t="shared" si="12"/>
        <v>0</v>
      </c>
      <c r="H27" s="234">
        <f t="shared" si="12"/>
        <v>0</v>
      </c>
      <c r="I27" s="234">
        <f t="shared" si="12"/>
        <v>0</v>
      </c>
      <c r="J27" s="234">
        <f t="shared" si="12"/>
        <v>0</v>
      </c>
      <c r="K27" s="234">
        <f t="shared" si="12"/>
        <v>0</v>
      </c>
      <c r="L27" s="234">
        <f t="shared" si="12"/>
        <v>0</v>
      </c>
      <c r="M27" s="234">
        <f t="shared" si="12"/>
        <v>0</v>
      </c>
      <c r="N27" s="234">
        <f t="shared" si="12"/>
        <v>0</v>
      </c>
      <c r="O27" s="234">
        <f t="shared" si="12"/>
        <v>0</v>
      </c>
      <c r="P27" s="234">
        <f t="shared" si="12"/>
        <v>0</v>
      </c>
      <c r="Q27" s="234">
        <f t="shared" si="12"/>
        <v>0</v>
      </c>
      <c r="R27" s="234">
        <f t="shared" si="12"/>
        <v>0</v>
      </c>
      <c r="S27" s="234">
        <f t="shared" si="12"/>
        <v>0</v>
      </c>
      <c r="T27" s="234">
        <f t="shared" si="12"/>
        <v>0</v>
      </c>
      <c r="U27" s="234">
        <f t="shared" si="12"/>
        <v>0</v>
      </c>
      <c r="V27" s="234">
        <f t="shared" si="12"/>
        <v>0</v>
      </c>
      <c r="W27" s="234">
        <f t="shared" si="12"/>
        <v>0</v>
      </c>
      <c r="X27" s="234">
        <f t="shared" si="12"/>
        <v>0</v>
      </c>
      <c r="Y27" s="234">
        <f t="shared" si="12"/>
        <v>0</v>
      </c>
      <c r="Z27" s="234">
        <f t="shared" si="12"/>
        <v>0</v>
      </c>
      <c r="AA27" s="234">
        <f t="shared" si="12"/>
        <v>0</v>
      </c>
      <c r="AB27" s="234">
        <f t="shared" si="12"/>
        <v>0</v>
      </c>
      <c r="AC27" s="234">
        <f t="shared" si="12"/>
        <v>0</v>
      </c>
      <c r="AD27" s="234">
        <f t="shared" si="12"/>
        <v>0</v>
      </c>
      <c r="AE27" s="234">
        <f t="shared" si="12"/>
        <v>0</v>
      </c>
      <c r="AF27" s="234">
        <f t="shared" si="12"/>
        <v>0</v>
      </c>
      <c r="AG27" s="234">
        <f t="shared" si="12"/>
        <v>0</v>
      </c>
      <c r="AH27" s="234">
        <f t="shared" si="12"/>
        <v>0</v>
      </c>
      <c r="AI27" s="234">
        <f t="shared" si="12"/>
        <v>0</v>
      </c>
      <c r="AJ27" s="234">
        <f t="shared" si="12"/>
        <v>0</v>
      </c>
      <c r="AK27" s="717">
        <f t="shared" si="12"/>
        <v>0</v>
      </c>
    </row>
    <row r="28" spans="1:37" x14ac:dyDescent="0.75">
      <c r="A28" s="700" t="s">
        <v>475</v>
      </c>
      <c r="B28" s="708"/>
      <c r="C28" s="710"/>
      <c r="D28" s="235">
        <f t="shared" ref="D28:AK28" si="13">IF(AND(D9&lt;0,B9&gt;0,B9+D9&gt;=0),-D9*B5,0)</f>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709">
        <f t="shared" si="13"/>
        <v>0</v>
      </c>
    </row>
    <row r="29" spans="1:37" x14ac:dyDescent="0.75">
      <c r="A29" s="711" t="s">
        <v>470</v>
      </c>
      <c r="B29" s="712"/>
      <c r="C29" s="713"/>
      <c r="D29" s="714">
        <f t="shared" ref="D29:AK29" si="14">IF(AND(D30=0,B9&gt;0),D27,0)</f>
        <v>0</v>
      </c>
      <c r="E29" s="714">
        <f t="shared" si="14"/>
        <v>0</v>
      </c>
      <c r="F29" s="714">
        <f t="shared" si="14"/>
        <v>0</v>
      </c>
      <c r="G29" s="714">
        <f t="shared" si="14"/>
        <v>0</v>
      </c>
      <c r="H29" s="714">
        <f t="shared" si="14"/>
        <v>0</v>
      </c>
      <c r="I29" s="714">
        <f t="shared" si="14"/>
        <v>0</v>
      </c>
      <c r="J29" s="714">
        <f t="shared" si="14"/>
        <v>0</v>
      </c>
      <c r="K29" s="714">
        <f t="shared" si="14"/>
        <v>0</v>
      </c>
      <c r="L29" s="714">
        <f t="shared" si="14"/>
        <v>0</v>
      </c>
      <c r="M29" s="714">
        <f t="shared" si="14"/>
        <v>0</v>
      </c>
      <c r="N29" s="714">
        <f t="shared" si="14"/>
        <v>0</v>
      </c>
      <c r="O29" s="714">
        <f t="shared" si="14"/>
        <v>0</v>
      </c>
      <c r="P29" s="714">
        <f t="shared" si="14"/>
        <v>0</v>
      </c>
      <c r="Q29" s="714">
        <f t="shared" si="14"/>
        <v>0</v>
      </c>
      <c r="R29" s="714">
        <f t="shared" si="14"/>
        <v>0</v>
      </c>
      <c r="S29" s="714">
        <f t="shared" si="14"/>
        <v>0</v>
      </c>
      <c r="T29" s="714">
        <f t="shared" si="14"/>
        <v>0</v>
      </c>
      <c r="U29" s="714">
        <f t="shared" si="14"/>
        <v>0</v>
      </c>
      <c r="V29" s="714">
        <f t="shared" si="14"/>
        <v>0</v>
      </c>
      <c r="W29" s="714">
        <f t="shared" si="14"/>
        <v>0</v>
      </c>
      <c r="X29" s="714">
        <f t="shared" si="14"/>
        <v>0</v>
      </c>
      <c r="Y29" s="714">
        <f t="shared" si="14"/>
        <v>0</v>
      </c>
      <c r="Z29" s="714">
        <f t="shared" si="14"/>
        <v>0</v>
      </c>
      <c r="AA29" s="714">
        <f t="shared" si="14"/>
        <v>0</v>
      </c>
      <c r="AB29" s="714">
        <f t="shared" si="14"/>
        <v>0</v>
      </c>
      <c r="AC29" s="714">
        <f t="shared" si="14"/>
        <v>0</v>
      </c>
      <c r="AD29" s="714">
        <f t="shared" si="14"/>
        <v>0</v>
      </c>
      <c r="AE29" s="714">
        <f t="shared" si="14"/>
        <v>0</v>
      </c>
      <c r="AF29" s="714">
        <f t="shared" si="14"/>
        <v>0</v>
      </c>
      <c r="AG29" s="714">
        <f t="shared" si="14"/>
        <v>0</v>
      </c>
      <c r="AH29" s="714">
        <f t="shared" si="14"/>
        <v>0</v>
      </c>
      <c r="AI29" s="714">
        <f t="shared" si="14"/>
        <v>0</v>
      </c>
      <c r="AJ29" s="714">
        <f t="shared" si="14"/>
        <v>0</v>
      </c>
      <c r="AK29" s="715">
        <f t="shared" si="14"/>
        <v>0</v>
      </c>
    </row>
    <row r="30" spans="1:37" x14ac:dyDescent="0.75">
      <c r="A30" s="700" t="s">
        <v>474</v>
      </c>
      <c r="B30" s="708"/>
      <c r="C30" s="710"/>
      <c r="D30" s="235">
        <f t="shared" ref="D30:AK30" si="15">IF(AND(D9&lt;0,B9&gt;0,B9+D9&lt;0),B9*B5,0)</f>
        <v>0</v>
      </c>
      <c r="E30" s="235">
        <f t="shared" si="15"/>
        <v>0</v>
      </c>
      <c r="F30" s="235">
        <f t="shared" si="15"/>
        <v>0</v>
      </c>
      <c r="G30" s="235">
        <f t="shared" si="15"/>
        <v>0</v>
      </c>
      <c r="H30" s="235">
        <f t="shared" si="15"/>
        <v>0</v>
      </c>
      <c r="I30" s="235">
        <f t="shared" si="15"/>
        <v>0</v>
      </c>
      <c r="J30" s="235">
        <f t="shared" si="15"/>
        <v>0</v>
      </c>
      <c r="K30" s="235">
        <f t="shared" si="15"/>
        <v>0</v>
      </c>
      <c r="L30" s="235">
        <f t="shared" si="15"/>
        <v>0</v>
      </c>
      <c r="M30" s="235">
        <f t="shared" si="15"/>
        <v>0</v>
      </c>
      <c r="N30" s="235">
        <f t="shared" si="15"/>
        <v>0</v>
      </c>
      <c r="O30" s="235">
        <f t="shared" si="15"/>
        <v>0</v>
      </c>
      <c r="P30" s="235">
        <f t="shared" si="15"/>
        <v>0</v>
      </c>
      <c r="Q30" s="235">
        <f t="shared" si="15"/>
        <v>0</v>
      </c>
      <c r="R30" s="235">
        <f t="shared" si="15"/>
        <v>0</v>
      </c>
      <c r="S30" s="235">
        <f t="shared" si="15"/>
        <v>0</v>
      </c>
      <c r="T30" s="235">
        <f t="shared" si="15"/>
        <v>0</v>
      </c>
      <c r="U30" s="235">
        <f t="shared" si="15"/>
        <v>0</v>
      </c>
      <c r="V30" s="235">
        <f t="shared" si="15"/>
        <v>0</v>
      </c>
      <c r="W30" s="235">
        <f t="shared" si="15"/>
        <v>0</v>
      </c>
      <c r="X30" s="235">
        <f t="shared" si="15"/>
        <v>0</v>
      </c>
      <c r="Y30" s="235">
        <f t="shared" si="15"/>
        <v>0</v>
      </c>
      <c r="Z30" s="235">
        <f t="shared" si="15"/>
        <v>0</v>
      </c>
      <c r="AA30" s="235">
        <f t="shared" si="15"/>
        <v>0</v>
      </c>
      <c r="AB30" s="235">
        <f t="shared" si="15"/>
        <v>0</v>
      </c>
      <c r="AC30" s="235">
        <f t="shared" si="15"/>
        <v>0</v>
      </c>
      <c r="AD30" s="235">
        <f t="shared" si="15"/>
        <v>0</v>
      </c>
      <c r="AE30" s="235">
        <f t="shared" si="15"/>
        <v>0</v>
      </c>
      <c r="AF30" s="235">
        <f t="shared" si="15"/>
        <v>0</v>
      </c>
      <c r="AG30" s="235">
        <f t="shared" si="15"/>
        <v>0</v>
      </c>
      <c r="AH30" s="235">
        <f t="shared" si="15"/>
        <v>0</v>
      </c>
      <c r="AI30" s="235">
        <f t="shared" si="15"/>
        <v>0</v>
      </c>
      <c r="AJ30" s="235">
        <f t="shared" si="15"/>
        <v>0</v>
      </c>
      <c r="AK30" s="709">
        <f t="shared" si="15"/>
        <v>0</v>
      </c>
    </row>
    <row r="31" spans="1:37" x14ac:dyDescent="0.75">
      <c r="A31" s="711" t="s">
        <v>470</v>
      </c>
      <c r="B31" s="712"/>
      <c r="C31" s="713"/>
      <c r="D31" s="714">
        <f t="shared" ref="D31:AK31" si="16">IF(AND(D28=0,B9&gt;0,D9&lt;0),B9,0)</f>
        <v>0</v>
      </c>
      <c r="E31" s="714">
        <f t="shared" si="16"/>
        <v>0</v>
      </c>
      <c r="F31" s="714">
        <f t="shared" si="16"/>
        <v>0</v>
      </c>
      <c r="G31" s="714">
        <f t="shared" si="16"/>
        <v>0</v>
      </c>
      <c r="H31" s="714">
        <f t="shared" si="16"/>
        <v>0</v>
      </c>
      <c r="I31" s="714">
        <f t="shared" si="16"/>
        <v>0</v>
      </c>
      <c r="J31" s="714">
        <f t="shared" si="16"/>
        <v>0</v>
      </c>
      <c r="K31" s="714">
        <f t="shared" si="16"/>
        <v>0</v>
      </c>
      <c r="L31" s="714">
        <f t="shared" si="16"/>
        <v>0</v>
      </c>
      <c r="M31" s="714">
        <f t="shared" si="16"/>
        <v>0</v>
      </c>
      <c r="N31" s="714">
        <f t="shared" si="16"/>
        <v>0</v>
      </c>
      <c r="O31" s="714">
        <f t="shared" si="16"/>
        <v>0</v>
      </c>
      <c r="P31" s="714">
        <f t="shared" si="16"/>
        <v>0</v>
      </c>
      <c r="Q31" s="714">
        <f t="shared" si="16"/>
        <v>0</v>
      </c>
      <c r="R31" s="714">
        <f t="shared" si="16"/>
        <v>0</v>
      </c>
      <c r="S31" s="714">
        <f t="shared" si="16"/>
        <v>0</v>
      </c>
      <c r="T31" s="714">
        <f t="shared" si="16"/>
        <v>0</v>
      </c>
      <c r="U31" s="714">
        <f t="shared" si="16"/>
        <v>0</v>
      </c>
      <c r="V31" s="714">
        <f t="shared" si="16"/>
        <v>0</v>
      </c>
      <c r="W31" s="714">
        <f t="shared" si="16"/>
        <v>0</v>
      </c>
      <c r="X31" s="714">
        <f t="shared" si="16"/>
        <v>0</v>
      </c>
      <c r="Y31" s="714">
        <f t="shared" si="16"/>
        <v>0</v>
      </c>
      <c r="Z31" s="714">
        <f t="shared" si="16"/>
        <v>0</v>
      </c>
      <c r="AA31" s="714">
        <f t="shared" si="16"/>
        <v>0</v>
      </c>
      <c r="AB31" s="714">
        <f t="shared" si="16"/>
        <v>0</v>
      </c>
      <c r="AC31" s="714">
        <f t="shared" si="16"/>
        <v>0</v>
      </c>
      <c r="AD31" s="714">
        <f t="shared" si="16"/>
        <v>0</v>
      </c>
      <c r="AE31" s="714">
        <f t="shared" si="16"/>
        <v>0</v>
      </c>
      <c r="AF31" s="714">
        <f t="shared" si="16"/>
        <v>0</v>
      </c>
      <c r="AG31" s="714">
        <f t="shared" si="16"/>
        <v>0</v>
      </c>
      <c r="AH31" s="714">
        <f t="shared" si="16"/>
        <v>0</v>
      </c>
      <c r="AI31" s="714">
        <f t="shared" si="16"/>
        <v>0</v>
      </c>
      <c r="AJ31" s="714">
        <f t="shared" si="16"/>
        <v>0</v>
      </c>
      <c r="AK31" s="715">
        <f t="shared" si="16"/>
        <v>0</v>
      </c>
    </row>
    <row r="32" spans="1:37" x14ac:dyDescent="0.75">
      <c r="A32" s="716" t="s">
        <v>473</v>
      </c>
      <c r="B32" s="236"/>
      <c r="C32" s="234">
        <f t="shared" ref="C32:AK32" si="17">C27-C31-C29</f>
        <v>0</v>
      </c>
      <c r="D32" s="234">
        <f t="shared" si="17"/>
        <v>0</v>
      </c>
      <c r="E32" s="234">
        <f t="shared" si="17"/>
        <v>0</v>
      </c>
      <c r="F32" s="234">
        <f t="shared" si="17"/>
        <v>0</v>
      </c>
      <c r="G32" s="234">
        <f t="shared" si="17"/>
        <v>0</v>
      </c>
      <c r="H32" s="234">
        <f t="shared" si="17"/>
        <v>0</v>
      </c>
      <c r="I32" s="234">
        <f t="shared" si="17"/>
        <v>0</v>
      </c>
      <c r="J32" s="234">
        <f t="shared" si="17"/>
        <v>0</v>
      </c>
      <c r="K32" s="234">
        <f t="shared" si="17"/>
        <v>0</v>
      </c>
      <c r="L32" s="234">
        <f t="shared" si="17"/>
        <v>0</v>
      </c>
      <c r="M32" s="234">
        <f t="shared" si="17"/>
        <v>0</v>
      </c>
      <c r="N32" s="234">
        <f t="shared" si="17"/>
        <v>0</v>
      </c>
      <c r="O32" s="234">
        <f t="shared" si="17"/>
        <v>0</v>
      </c>
      <c r="P32" s="234">
        <f t="shared" si="17"/>
        <v>0</v>
      </c>
      <c r="Q32" s="234">
        <f t="shared" si="17"/>
        <v>0</v>
      </c>
      <c r="R32" s="234">
        <f t="shared" si="17"/>
        <v>0</v>
      </c>
      <c r="S32" s="234">
        <f t="shared" si="17"/>
        <v>0</v>
      </c>
      <c r="T32" s="234">
        <f t="shared" si="17"/>
        <v>0</v>
      </c>
      <c r="U32" s="234">
        <f t="shared" si="17"/>
        <v>0</v>
      </c>
      <c r="V32" s="234">
        <f t="shared" si="17"/>
        <v>0</v>
      </c>
      <c r="W32" s="234">
        <f t="shared" si="17"/>
        <v>0</v>
      </c>
      <c r="X32" s="234">
        <f t="shared" si="17"/>
        <v>0</v>
      </c>
      <c r="Y32" s="234">
        <f t="shared" si="17"/>
        <v>0</v>
      </c>
      <c r="Z32" s="234">
        <f t="shared" si="17"/>
        <v>0</v>
      </c>
      <c r="AA32" s="234">
        <f t="shared" si="17"/>
        <v>0</v>
      </c>
      <c r="AB32" s="234">
        <f t="shared" si="17"/>
        <v>0</v>
      </c>
      <c r="AC32" s="234">
        <f t="shared" si="17"/>
        <v>0</v>
      </c>
      <c r="AD32" s="234">
        <f t="shared" si="17"/>
        <v>0</v>
      </c>
      <c r="AE32" s="234">
        <f t="shared" si="17"/>
        <v>0</v>
      </c>
      <c r="AF32" s="234">
        <f t="shared" si="17"/>
        <v>0</v>
      </c>
      <c r="AG32" s="234">
        <f t="shared" si="17"/>
        <v>0</v>
      </c>
      <c r="AH32" s="234">
        <f t="shared" si="17"/>
        <v>0</v>
      </c>
      <c r="AI32" s="234">
        <f t="shared" si="17"/>
        <v>0</v>
      </c>
      <c r="AJ32" s="234">
        <f t="shared" si="17"/>
        <v>0</v>
      </c>
      <c r="AK32" s="717">
        <f t="shared" si="17"/>
        <v>0</v>
      </c>
    </row>
    <row r="33" spans="1:37" x14ac:dyDescent="0.75">
      <c r="A33" s="700" t="s">
        <v>472</v>
      </c>
      <c r="B33" s="708"/>
      <c r="C33" s="235">
        <f>IF(AND(C9&lt;0,B9&gt;0,B9+C9&gt;=0),-C9*B5,0)</f>
        <v>0</v>
      </c>
      <c r="D33" s="235">
        <f t="shared" ref="D33:AK33" si="18">IF(AND(D32&gt;0,D32&lt;=C10,D32&lt;=-D9),D32*C5,0)</f>
        <v>0</v>
      </c>
      <c r="E33" s="235">
        <f t="shared" si="18"/>
        <v>0</v>
      </c>
      <c r="F33" s="235">
        <f t="shared" si="18"/>
        <v>0</v>
      </c>
      <c r="G33" s="235">
        <f t="shared" si="18"/>
        <v>0</v>
      </c>
      <c r="H33" s="235">
        <f t="shared" si="18"/>
        <v>0</v>
      </c>
      <c r="I33" s="235">
        <f t="shared" si="18"/>
        <v>0</v>
      </c>
      <c r="J33" s="235">
        <f t="shared" si="18"/>
        <v>0</v>
      </c>
      <c r="K33" s="235">
        <f t="shared" si="18"/>
        <v>0</v>
      </c>
      <c r="L33" s="235">
        <f t="shared" si="18"/>
        <v>0</v>
      </c>
      <c r="M33" s="235">
        <f t="shared" si="18"/>
        <v>0</v>
      </c>
      <c r="N33" s="235">
        <f t="shared" si="18"/>
        <v>0</v>
      </c>
      <c r="O33" s="235">
        <f t="shared" si="18"/>
        <v>0</v>
      </c>
      <c r="P33" s="235">
        <f t="shared" si="18"/>
        <v>0</v>
      </c>
      <c r="Q33" s="235">
        <f t="shared" si="18"/>
        <v>0</v>
      </c>
      <c r="R33" s="235">
        <f t="shared" si="18"/>
        <v>0</v>
      </c>
      <c r="S33" s="235">
        <f t="shared" si="18"/>
        <v>0</v>
      </c>
      <c r="T33" s="235">
        <f t="shared" si="18"/>
        <v>0</v>
      </c>
      <c r="U33" s="235">
        <f t="shared" si="18"/>
        <v>0</v>
      </c>
      <c r="V33" s="235">
        <f t="shared" si="18"/>
        <v>0</v>
      </c>
      <c r="W33" s="235">
        <f t="shared" si="18"/>
        <v>0</v>
      </c>
      <c r="X33" s="235">
        <f t="shared" si="18"/>
        <v>0</v>
      </c>
      <c r="Y33" s="235">
        <f t="shared" si="18"/>
        <v>0</v>
      </c>
      <c r="Z33" s="235">
        <f t="shared" si="18"/>
        <v>0</v>
      </c>
      <c r="AA33" s="235">
        <f t="shared" si="18"/>
        <v>0</v>
      </c>
      <c r="AB33" s="235">
        <f t="shared" si="18"/>
        <v>0</v>
      </c>
      <c r="AC33" s="235">
        <f t="shared" si="18"/>
        <v>0</v>
      </c>
      <c r="AD33" s="235">
        <f t="shared" si="18"/>
        <v>0</v>
      </c>
      <c r="AE33" s="235">
        <f t="shared" si="18"/>
        <v>0</v>
      </c>
      <c r="AF33" s="235">
        <f t="shared" si="18"/>
        <v>0</v>
      </c>
      <c r="AG33" s="235">
        <f t="shared" si="18"/>
        <v>0</v>
      </c>
      <c r="AH33" s="235">
        <f t="shared" si="18"/>
        <v>0</v>
      </c>
      <c r="AI33" s="235">
        <f t="shared" si="18"/>
        <v>0</v>
      </c>
      <c r="AJ33" s="235">
        <f t="shared" si="18"/>
        <v>0</v>
      </c>
      <c r="AK33" s="709">
        <f t="shared" si="18"/>
        <v>0</v>
      </c>
    </row>
    <row r="34" spans="1:37" x14ac:dyDescent="0.75">
      <c r="A34" s="711" t="s">
        <v>470</v>
      </c>
      <c r="B34" s="712"/>
      <c r="C34" s="714">
        <f>IF(AND(C30=0,B9&gt;0),C27,0)</f>
        <v>0</v>
      </c>
      <c r="D34" s="714">
        <f t="shared" ref="D34:AK34" si="19">IF(D33&gt;0,D32,0)</f>
        <v>0</v>
      </c>
      <c r="E34" s="714">
        <f t="shared" si="19"/>
        <v>0</v>
      </c>
      <c r="F34" s="714">
        <f t="shared" si="19"/>
        <v>0</v>
      </c>
      <c r="G34" s="714">
        <f t="shared" si="19"/>
        <v>0</v>
      </c>
      <c r="H34" s="714">
        <f t="shared" si="19"/>
        <v>0</v>
      </c>
      <c r="I34" s="714">
        <f t="shared" si="19"/>
        <v>0</v>
      </c>
      <c r="J34" s="714">
        <f t="shared" si="19"/>
        <v>0</v>
      </c>
      <c r="K34" s="714">
        <f t="shared" si="19"/>
        <v>0</v>
      </c>
      <c r="L34" s="714">
        <f t="shared" si="19"/>
        <v>0</v>
      </c>
      <c r="M34" s="714">
        <f t="shared" si="19"/>
        <v>0</v>
      </c>
      <c r="N34" s="714">
        <f t="shared" si="19"/>
        <v>0</v>
      </c>
      <c r="O34" s="714">
        <f t="shared" si="19"/>
        <v>0</v>
      </c>
      <c r="P34" s="714">
        <f t="shared" si="19"/>
        <v>0</v>
      </c>
      <c r="Q34" s="714">
        <f t="shared" si="19"/>
        <v>0</v>
      </c>
      <c r="R34" s="714">
        <f t="shared" si="19"/>
        <v>0</v>
      </c>
      <c r="S34" s="714">
        <f t="shared" si="19"/>
        <v>0</v>
      </c>
      <c r="T34" s="714">
        <f t="shared" si="19"/>
        <v>0</v>
      </c>
      <c r="U34" s="714">
        <f t="shared" si="19"/>
        <v>0</v>
      </c>
      <c r="V34" s="714">
        <f t="shared" si="19"/>
        <v>0</v>
      </c>
      <c r="W34" s="714">
        <f t="shared" si="19"/>
        <v>0</v>
      </c>
      <c r="X34" s="714">
        <f t="shared" si="19"/>
        <v>0</v>
      </c>
      <c r="Y34" s="714">
        <f t="shared" si="19"/>
        <v>0</v>
      </c>
      <c r="Z34" s="714">
        <f t="shared" si="19"/>
        <v>0</v>
      </c>
      <c r="AA34" s="714">
        <f t="shared" si="19"/>
        <v>0</v>
      </c>
      <c r="AB34" s="714">
        <f t="shared" si="19"/>
        <v>0</v>
      </c>
      <c r="AC34" s="714">
        <f t="shared" si="19"/>
        <v>0</v>
      </c>
      <c r="AD34" s="714">
        <f t="shared" si="19"/>
        <v>0</v>
      </c>
      <c r="AE34" s="714">
        <f t="shared" si="19"/>
        <v>0</v>
      </c>
      <c r="AF34" s="714">
        <f t="shared" si="19"/>
        <v>0</v>
      </c>
      <c r="AG34" s="714">
        <f t="shared" si="19"/>
        <v>0</v>
      </c>
      <c r="AH34" s="714">
        <f t="shared" si="19"/>
        <v>0</v>
      </c>
      <c r="AI34" s="714">
        <f t="shared" si="19"/>
        <v>0</v>
      </c>
      <c r="AJ34" s="714">
        <f t="shared" si="19"/>
        <v>0</v>
      </c>
      <c r="AK34" s="715">
        <f t="shared" si="19"/>
        <v>0</v>
      </c>
    </row>
    <row r="35" spans="1:37" x14ac:dyDescent="0.75">
      <c r="A35" s="700" t="s">
        <v>471</v>
      </c>
      <c r="B35" s="708"/>
      <c r="C35" s="235">
        <f>IF(AND(C9&lt;0,B9&gt;0,B9+C9&lt;0),B9*B5,0)</f>
        <v>0</v>
      </c>
      <c r="D35" s="235">
        <f t="shared" ref="D35:AK35" si="20">IF(AND(D32&gt;0,D32&gt;C10,C10&gt;0,D32&lt;=-D9),C10*C5,0)</f>
        <v>0</v>
      </c>
      <c r="E35" s="235">
        <f t="shared" si="20"/>
        <v>0</v>
      </c>
      <c r="F35" s="235">
        <f t="shared" si="20"/>
        <v>0</v>
      </c>
      <c r="G35" s="235">
        <f t="shared" si="20"/>
        <v>0</v>
      </c>
      <c r="H35" s="235">
        <f t="shared" si="20"/>
        <v>0</v>
      </c>
      <c r="I35" s="235">
        <f t="shared" si="20"/>
        <v>0</v>
      </c>
      <c r="J35" s="235">
        <f t="shared" si="20"/>
        <v>0</v>
      </c>
      <c r="K35" s="235">
        <f t="shared" si="20"/>
        <v>0</v>
      </c>
      <c r="L35" s="235">
        <f t="shared" si="20"/>
        <v>0</v>
      </c>
      <c r="M35" s="235">
        <f t="shared" si="20"/>
        <v>0</v>
      </c>
      <c r="N35" s="235">
        <f t="shared" si="20"/>
        <v>0</v>
      </c>
      <c r="O35" s="235">
        <f t="shared" si="20"/>
        <v>0</v>
      </c>
      <c r="P35" s="235">
        <f t="shared" si="20"/>
        <v>0</v>
      </c>
      <c r="Q35" s="235">
        <f t="shared" si="20"/>
        <v>0</v>
      </c>
      <c r="R35" s="235">
        <f t="shared" si="20"/>
        <v>0</v>
      </c>
      <c r="S35" s="235">
        <f t="shared" si="20"/>
        <v>0</v>
      </c>
      <c r="T35" s="235">
        <f t="shared" si="20"/>
        <v>0</v>
      </c>
      <c r="U35" s="235">
        <f t="shared" si="20"/>
        <v>0</v>
      </c>
      <c r="V35" s="235">
        <f t="shared" si="20"/>
        <v>0</v>
      </c>
      <c r="W35" s="235">
        <f t="shared" si="20"/>
        <v>0</v>
      </c>
      <c r="X35" s="235">
        <f t="shared" si="20"/>
        <v>0</v>
      </c>
      <c r="Y35" s="235">
        <f t="shared" si="20"/>
        <v>0</v>
      </c>
      <c r="Z35" s="235">
        <f t="shared" si="20"/>
        <v>0</v>
      </c>
      <c r="AA35" s="235">
        <f t="shared" si="20"/>
        <v>0</v>
      </c>
      <c r="AB35" s="235">
        <f t="shared" si="20"/>
        <v>0</v>
      </c>
      <c r="AC35" s="235">
        <f t="shared" si="20"/>
        <v>0</v>
      </c>
      <c r="AD35" s="235">
        <f t="shared" si="20"/>
        <v>0</v>
      </c>
      <c r="AE35" s="235">
        <f t="shared" si="20"/>
        <v>0</v>
      </c>
      <c r="AF35" s="235">
        <f t="shared" si="20"/>
        <v>0</v>
      </c>
      <c r="AG35" s="235">
        <f t="shared" si="20"/>
        <v>0</v>
      </c>
      <c r="AH35" s="235">
        <f t="shared" si="20"/>
        <v>0</v>
      </c>
      <c r="AI35" s="235">
        <f t="shared" si="20"/>
        <v>0</v>
      </c>
      <c r="AJ35" s="235">
        <f t="shared" si="20"/>
        <v>0</v>
      </c>
      <c r="AK35" s="709">
        <f t="shared" si="20"/>
        <v>0</v>
      </c>
    </row>
    <row r="36" spans="1:37" x14ac:dyDescent="0.75">
      <c r="A36" s="711" t="s">
        <v>470</v>
      </c>
      <c r="B36" s="712"/>
      <c r="C36" s="714">
        <f>IF(AND(C28=0,B9&gt;0,C9&lt;0),B9,0)</f>
        <v>0</v>
      </c>
      <c r="D36" s="714">
        <f t="shared" ref="D36:AK36" si="21">IF(D35&gt;0,C10,0)</f>
        <v>0</v>
      </c>
      <c r="E36" s="714">
        <f t="shared" si="21"/>
        <v>0</v>
      </c>
      <c r="F36" s="714">
        <f t="shared" si="21"/>
        <v>0</v>
      </c>
      <c r="G36" s="714">
        <f t="shared" si="21"/>
        <v>0</v>
      </c>
      <c r="H36" s="714">
        <f t="shared" si="21"/>
        <v>0</v>
      </c>
      <c r="I36" s="714">
        <f t="shared" si="21"/>
        <v>0</v>
      </c>
      <c r="J36" s="714">
        <f t="shared" si="21"/>
        <v>0</v>
      </c>
      <c r="K36" s="714">
        <f t="shared" si="21"/>
        <v>0</v>
      </c>
      <c r="L36" s="714">
        <f t="shared" si="21"/>
        <v>0</v>
      </c>
      <c r="M36" s="714">
        <f t="shared" si="21"/>
        <v>0</v>
      </c>
      <c r="N36" s="714">
        <f t="shared" si="21"/>
        <v>0</v>
      </c>
      <c r="O36" s="714">
        <f t="shared" si="21"/>
        <v>0</v>
      </c>
      <c r="P36" s="714">
        <f t="shared" si="21"/>
        <v>0</v>
      </c>
      <c r="Q36" s="714">
        <f t="shared" si="21"/>
        <v>0</v>
      </c>
      <c r="R36" s="714">
        <f t="shared" si="21"/>
        <v>0</v>
      </c>
      <c r="S36" s="714">
        <f t="shared" si="21"/>
        <v>0</v>
      </c>
      <c r="T36" s="714">
        <f t="shared" si="21"/>
        <v>0</v>
      </c>
      <c r="U36" s="714">
        <f t="shared" si="21"/>
        <v>0</v>
      </c>
      <c r="V36" s="714">
        <f t="shared" si="21"/>
        <v>0</v>
      </c>
      <c r="W36" s="714">
        <f t="shared" si="21"/>
        <v>0</v>
      </c>
      <c r="X36" s="714">
        <f t="shared" si="21"/>
        <v>0</v>
      </c>
      <c r="Y36" s="714">
        <f t="shared" si="21"/>
        <v>0</v>
      </c>
      <c r="Z36" s="714">
        <f t="shared" si="21"/>
        <v>0</v>
      </c>
      <c r="AA36" s="714">
        <f t="shared" si="21"/>
        <v>0</v>
      </c>
      <c r="AB36" s="714">
        <f t="shared" si="21"/>
        <v>0</v>
      </c>
      <c r="AC36" s="714">
        <f t="shared" si="21"/>
        <v>0</v>
      </c>
      <c r="AD36" s="714">
        <f t="shared" si="21"/>
        <v>0</v>
      </c>
      <c r="AE36" s="714">
        <f t="shared" si="21"/>
        <v>0</v>
      </c>
      <c r="AF36" s="714">
        <f t="shared" si="21"/>
        <v>0</v>
      </c>
      <c r="AG36" s="714">
        <f t="shared" si="21"/>
        <v>0</v>
      </c>
      <c r="AH36" s="714">
        <f t="shared" si="21"/>
        <v>0</v>
      </c>
      <c r="AI36" s="714">
        <f t="shared" si="21"/>
        <v>0</v>
      </c>
      <c r="AJ36" s="714">
        <f t="shared" si="21"/>
        <v>0</v>
      </c>
      <c r="AK36" s="715">
        <f t="shared" si="21"/>
        <v>0</v>
      </c>
    </row>
    <row r="37" spans="1:37" x14ac:dyDescent="0.75">
      <c r="A37" s="718" t="s">
        <v>469</v>
      </c>
      <c r="B37" s="237"/>
      <c r="C37" s="234">
        <f t="shared" ref="C37:AK37" si="22">SUM(C29,C31,C34,C36)</f>
        <v>0</v>
      </c>
      <c r="D37" s="234">
        <f t="shared" si="22"/>
        <v>0</v>
      </c>
      <c r="E37" s="234">
        <f t="shared" si="22"/>
        <v>0</v>
      </c>
      <c r="F37" s="234">
        <f t="shared" si="22"/>
        <v>0</v>
      </c>
      <c r="G37" s="234">
        <f t="shared" si="22"/>
        <v>0</v>
      </c>
      <c r="H37" s="234">
        <f t="shared" si="22"/>
        <v>0</v>
      </c>
      <c r="I37" s="234">
        <f t="shared" si="22"/>
        <v>0</v>
      </c>
      <c r="J37" s="234">
        <f t="shared" si="22"/>
        <v>0</v>
      </c>
      <c r="K37" s="234">
        <f t="shared" si="22"/>
        <v>0</v>
      </c>
      <c r="L37" s="234">
        <f t="shared" si="22"/>
        <v>0</v>
      </c>
      <c r="M37" s="234">
        <f t="shared" si="22"/>
        <v>0</v>
      </c>
      <c r="N37" s="234">
        <f t="shared" si="22"/>
        <v>0</v>
      </c>
      <c r="O37" s="234">
        <f t="shared" si="22"/>
        <v>0</v>
      </c>
      <c r="P37" s="234">
        <f t="shared" si="22"/>
        <v>0</v>
      </c>
      <c r="Q37" s="234">
        <f t="shared" si="22"/>
        <v>0</v>
      </c>
      <c r="R37" s="234">
        <f t="shared" si="22"/>
        <v>0</v>
      </c>
      <c r="S37" s="234">
        <f t="shared" si="22"/>
        <v>0</v>
      </c>
      <c r="T37" s="234">
        <f t="shared" si="22"/>
        <v>0</v>
      </c>
      <c r="U37" s="234">
        <f t="shared" si="22"/>
        <v>0</v>
      </c>
      <c r="V37" s="234">
        <f t="shared" si="22"/>
        <v>0</v>
      </c>
      <c r="W37" s="234">
        <f t="shared" si="22"/>
        <v>0</v>
      </c>
      <c r="X37" s="234">
        <f t="shared" si="22"/>
        <v>0</v>
      </c>
      <c r="Y37" s="234">
        <f t="shared" si="22"/>
        <v>0</v>
      </c>
      <c r="Z37" s="234">
        <f t="shared" si="22"/>
        <v>0</v>
      </c>
      <c r="AA37" s="234">
        <f t="shared" si="22"/>
        <v>0</v>
      </c>
      <c r="AB37" s="234">
        <f t="shared" si="22"/>
        <v>0</v>
      </c>
      <c r="AC37" s="234">
        <f t="shared" si="22"/>
        <v>0</v>
      </c>
      <c r="AD37" s="234">
        <f t="shared" si="22"/>
        <v>0</v>
      </c>
      <c r="AE37" s="234">
        <f t="shared" si="22"/>
        <v>0</v>
      </c>
      <c r="AF37" s="234">
        <f t="shared" si="22"/>
        <v>0</v>
      </c>
      <c r="AG37" s="234">
        <f t="shared" si="22"/>
        <v>0</v>
      </c>
      <c r="AH37" s="234">
        <f t="shared" si="22"/>
        <v>0</v>
      </c>
      <c r="AI37" s="234">
        <f t="shared" si="22"/>
        <v>0</v>
      </c>
      <c r="AJ37" s="234">
        <f t="shared" si="22"/>
        <v>0</v>
      </c>
      <c r="AK37" s="717">
        <f t="shared" si="22"/>
        <v>0</v>
      </c>
    </row>
    <row r="38" spans="1:37" x14ac:dyDescent="0.75">
      <c r="A38" s="719" t="s">
        <v>468</v>
      </c>
      <c r="B38" s="238"/>
      <c r="C38" s="235">
        <f t="shared" ref="C38:AK38" si="23">C27-C37</f>
        <v>0</v>
      </c>
      <c r="D38" s="235">
        <f t="shared" si="23"/>
        <v>0</v>
      </c>
      <c r="E38" s="235">
        <f t="shared" si="23"/>
        <v>0</v>
      </c>
      <c r="F38" s="235">
        <f t="shared" si="23"/>
        <v>0</v>
      </c>
      <c r="G38" s="235">
        <f t="shared" si="23"/>
        <v>0</v>
      </c>
      <c r="H38" s="235">
        <f t="shared" si="23"/>
        <v>0</v>
      </c>
      <c r="I38" s="235">
        <f t="shared" si="23"/>
        <v>0</v>
      </c>
      <c r="J38" s="235">
        <f t="shared" si="23"/>
        <v>0</v>
      </c>
      <c r="K38" s="235">
        <f t="shared" si="23"/>
        <v>0</v>
      </c>
      <c r="L38" s="235">
        <f t="shared" si="23"/>
        <v>0</v>
      </c>
      <c r="M38" s="235">
        <f t="shared" si="23"/>
        <v>0</v>
      </c>
      <c r="N38" s="235">
        <f t="shared" si="23"/>
        <v>0</v>
      </c>
      <c r="O38" s="235">
        <f t="shared" si="23"/>
        <v>0</v>
      </c>
      <c r="P38" s="235">
        <f t="shared" si="23"/>
        <v>0</v>
      </c>
      <c r="Q38" s="235">
        <f t="shared" si="23"/>
        <v>0</v>
      </c>
      <c r="R38" s="235">
        <f t="shared" si="23"/>
        <v>0</v>
      </c>
      <c r="S38" s="235">
        <f t="shared" si="23"/>
        <v>0</v>
      </c>
      <c r="T38" s="235">
        <f t="shared" si="23"/>
        <v>0</v>
      </c>
      <c r="U38" s="235">
        <f t="shared" si="23"/>
        <v>0</v>
      </c>
      <c r="V38" s="235">
        <f t="shared" si="23"/>
        <v>0</v>
      </c>
      <c r="W38" s="235">
        <f t="shared" si="23"/>
        <v>0</v>
      </c>
      <c r="X38" s="235">
        <f t="shared" si="23"/>
        <v>0</v>
      </c>
      <c r="Y38" s="235">
        <f t="shared" si="23"/>
        <v>0</v>
      </c>
      <c r="Z38" s="235">
        <f t="shared" si="23"/>
        <v>0</v>
      </c>
      <c r="AA38" s="235">
        <f t="shared" si="23"/>
        <v>0</v>
      </c>
      <c r="AB38" s="235">
        <f t="shared" si="23"/>
        <v>0</v>
      </c>
      <c r="AC38" s="235">
        <f t="shared" si="23"/>
        <v>0</v>
      </c>
      <c r="AD38" s="235">
        <f t="shared" si="23"/>
        <v>0</v>
      </c>
      <c r="AE38" s="235">
        <f t="shared" si="23"/>
        <v>0</v>
      </c>
      <c r="AF38" s="235">
        <f t="shared" si="23"/>
        <v>0</v>
      </c>
      <c r="AG38" s="235">
        <f t="shared" si="23"/>
        <v>0</v>
      </c>
      <c r="AH38" s="235">
        <f t="shared" si="23"/>
        <v>0</v>
      </c>
      <c r="AI38" s="235">
        <f t="shared" si="23"/>
        <v>0</v>
      </c>
      <c r="AJ38" s="235">
        <f t="shared" si="23"/>
        <v>0</v>
      </c>
      <c r="AK38" s="709">
        <f t="shared" si="23"/>
        <v>0</v>
      </c>
    </row>
    <row r="39" spans="1:37" ht="15.5" thickBot="1" x14ac:dyDescent="0.9">
      <c r="A39" s="720" t="s">
        <v>467</v>
      </c>
      <c r="B39" s="721"/>
      <c r="C39" s="722">
        <f t="shared" ref="C39:AK39" si="24">SUM(C28,C30,C33,C35)</f>
        <v>0</v>
      </c>
      <c r="D39" s="722">
        <f t="shared" si="24"/>
        <v>0</v>
      </c>
      <c r="E39" s="722">
        <f t="shared" si="24"/>
        <v>0</v>
      </c>
      <c r="F39" s="722">
        <f t="shared" si="24"/>
        <v>0</v>
      </c>
      <c r="G39" s="722">
        <f t="shared" si="24"/>
        <v>0</v>
      </c>
      <c r="H39" s="722">
        <f t="shared" si="24"/>
        <v>0</v>
      </c>
      <c r="I39" s="722">
        <f t="shared" si="24"/>
        <v>0</v>
      </c>
      <c r="J39" s="722">
        <f t="shared" si="24"/>
        <v>0</v>
      </c>
      <c r="K39" s="722">
        <f t="shared" si="24"/>
        <v>0</v>
      </c>
      <c r="L39" s="722">
        <f t="shared" si="24"/>
        <v>0</v>
      </c>
      <c r="M39" s="722">
        <f t="shared" si="24"/>
        <v>0</v>
      </c>
      <c r="N39" s="722">
        <f t="shared" si="24"/>
        <v>0</v>
      </c>
      <c r="O39" s="722">
        <f t="shared" si="24"/>
        <v>0</v>
      </c>
      <c r="P39" s="722">
        <f t="shared" si="24"/>
        <v>0</v>
      </c>
      <c r="Q39" s="722">
        <f t="shared" si="24"/>
        <v>0</v>
      </c>
      <c r="R39" s="722">
        <f t="shared" si="24"/>
        <v>0</v>
      </c>
      <c r="S39" s="722">
        <f t="shared" si="24"/>
        <v>0</v>
      </c>
      <c r="T39" s="722">
        <f t="shared" si="24"/>
        <v>0</v>
      </c>
      <c r="U39" s="722">
        <f t="shared" si="24"/>
        <v>0</v>
      </c>
      <c r="V39" s="722">
        <f t="shared" si="24"/>
        <v>0</v>
      </c>
      <c r="W39" s="722">
        <f t="shared" si="24"/>
        <v>0</v>
      </c>
      <c r="X39" s="722">
        <f t="shared" si="24"/>
        <v>0</v>
      </c>
      <c r="Y39" s="722">
        <f t="shared" si="24"/>
        <v>0</v>
      </c>
      <c r="Z39" s="722">
        <f t="shared" si="24"/>
        <v>0</v>
      </c>
      <c r="AA39" s="722">
        <f t="shared" si="24"/>
        <v>0</v>
      </c>
      <c r="AB39" s="722">
        <f t="shared" si="24"/>
        <v>0</v>
      </c>
      <c r="AC39" s="722">
        <f t="shared" si="24"/>
        <v>0</v>
      </c>
      <c r="AD39" s="722">
        <f t="shared" si="24"/>
        <v>0</v>
      </c>
      <c r="AE39" s="722">
        <f t="shared" si="24"/>
        <v>0</v>
      </c>
      <c r="AF39" s="722">
        <f t="shared" si="24"/>
        <v>0</v>
      </c>
      <c r="AG39" s="722">
        <f t="shared" si="24"/>
        <v>0</v>
      </c>
      <c r="AH39" s="722">
        <f t="shared" si="24"/>
        <v>0</v>
      </c>
      <c r="AI39" s="722">
        <f t="shared" si="24"/>
        <v>0</v>
      </c>
      <c r="AJ39" s="722">
        <f t="shared" si="24"/>
        <v>0</v>
      </c>
      <c r="AK39" s="723">
        <f t="shared" si="24"/>
        <v>0</v>
      </c>
    </row>
    <row r="40" spans="1:37" ht="15.5" thickBot="1" x14ac:dyDescent="0.9">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row>
    <row r="41" spans="1:37" ht="15.5" thickBot="1" x14ac:dyDescent="0.9">
      <c r="A41" s="738" t="s">
        <v>466</v>
      </c>
      <c r="B41" s="739"/>
      <c r="C41" s="739"/>
      <c r="D41" s="740"/>
      <c r="E41" s="740"/>
      <c r="F41" s="740"/>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1"/>
    </row>
    <row r="42" spans="1:37" x14ac:dyDescent="0.75">
      <c r="A42" s="755">
        <v>2017</v>
      </c>
      <c r="B42" s="747"/>
      <c r="C42" s="747"/>
      <c r="D42" s="234">
        <f>D$20</f>
        <v>0</v>
      </c>
      <c r="E42" s="234">
        <f t="shared" ref="E42:X42" si="25">MAX(D42+E21,0)</f>
        <v>0</v>
      </c>
      <c r="F42" s="234">
        <f t="shared" si="25"/>
        <v>0</v>
      </c>
      <c r="G42" s="234">
        <f t="shared" si="25"/>
        <v>0</v>
      </c>
      <c r="H42" s="234">
        <f t="shared" si="25"/>
        <v>0</v>
      </c>
      <c r="I42" s="234">
        <f t="shared" si="25"/>
        <v>0</v>
      </c>
      <c r="J42" s="234">
        <f t="shared" si="25"/>
        <v>0</v>
      </c>
      <c r="K42" s="234">
        <f t="shared" si="25"/>
        <v>0</v>
      </c>
      <c r="L42" s="234">
        <f t="shared" si="25"/>
        <v>0</v>
      </c>
      <c r="M42" s="234">
        <f t="shared" si="25"/>
        <v>0</v>
      </c>
      <c r="N42" s="234">
        <f t="shared" si="25"/>
        <v>0</v>
      </c>
      <c r="O42" s="234">
        <f t="shared" si="25"/>
        <v>0</v>
      </c>
      <c r="P42" s="234">
        <f t="shared" si="25"/>
        <v>0</v>
      </c>
      <c r="Q42" s="234">
        <f t="shared" si="25"/>
        <v>0</v>
      </c>
      <c r="R42" s="234">
        <f t="shared" si="25"/>
        <v>0</v>
      </c>
      <c r="S42" s="234">
        <f t="shared" si="25"/>
        <v>0</v>
      </c>
      <c r="T42" s="234">
        <f t="shared" si="25"/>
        <v>0</v>
      </c>
      <c r="U42" s="234">
        <f t="shared" si="25"/>
        <v>0</v>
      </c>
      <c r="V42" s="234">
        <f t="shared" si="25"/>
        <v>0</v>
      </c>
      <c r="W42" s="234">
        <f t="shared" si="25"/>
        <v>0</v>
      </c>
      <c r="X42" s="234">
        <f t="shared" si="25"/>
        <v>0</v>
      </c>
      <c r="Y42" s="234">
        <f t="shared" ref="Y42:AK49" si="26">IF(X42&gt;0,-X42,0)</f>
        <v>0</v>
      </c>
      <c r="Z42" s="234">
        <f t="shared" si="26"/>
        <v>0</v>
      </c>
      <c r="AA42" s="234">
        <f t="shared" si="26"/>
        <v>0</v>
      </c>
      <c r="AB42" s="234">
        <f t="shared" si="26"/>
        <v>0</v>
      </c>
      <c r="AC42" s="234">
        <f t="shared" si="26"/>
        <v>0</v>
      </c>
      <c r="AD42" s="234">
        <f t="shared" si="26"/>
        <v>0</v>
      </c>
      <c r="AE42" s="234">
        <f t="shared" si="26"/>
        <v>0</v>
      </c>
      <c r="AF42" s="234">
        <f t="shared" si="26"/>
        <v>0</v>
      </c>
      <c r="AG42" s="234">
        <f t="shared" si="26"/>
        <v>0</v>
      </c>
      <c r="AH42" s="234">
        <f t="shared" si="26"/>
        <v>0</v>
      </c>
      <c r="AI42" s="234">
        <f t="shared" si="26"/>
        <v>0</v>
      </c>
      <c r="AJ42" s="234">
        <f t="shared" si="26"/>
        <v>0</v>
      </c>
      <c r="AK42" s="717">
        <f t="shared" si="26"/>
        <v>0</v>
      </c>
    </row>
    <row r="43" spans="1:37" x14ac:dyDescent="0.75">
      <c r="A43" s="742">
        <v>2018</v>
      </c>
      <c r="B43" s="743"/>
      <c r="C43" s="743"/>
      <c r="D43" s="235"/>
      <c r="E43" s="235">
        <f>E$20</f>
        <v>0</v>
      </c>
      <c r="F43" s="235">
        <f t="shared" ref="F43:X43" si="27">IF(AND(F42=0,E43&gt;0,E42+F21&gt;0),MAX(E43+F21,0),IF(AND(F42=0,E43&gt;0,E42+F21&lt;0),E43+E42+F21,E43))</f>
        <v>0</v>
      </c>
      <c r="G43" s="235">
        <f t="shared" si="27"/>
        <v>0</v>
      </c>
      <c r="H43" s="235">
        <f t="shared" si="27"/>
        <v>0</v>
      </c>
      <c r="I43" s="235">
        <f t="shared" si="27"/>
        <v>0</v>
      </c>
      <c r="J43" s="235">
        <f t="shared" si="27"/>
        <v>0</v>
      </c>
      <c r="K43" s="235">
        <f t="shared" si="27"/>
        <v>0</v>
      </c>
      <c r="L43" s="235">
        <f t="shared" si="27"/>
        <v>0</v>
      </c>
      <c r="M43" s="235">
        <f t="shared" si="27"/>
        <v>0</v>
      </c>
      <c r="N43" s="235">
        <f t="shared" si="27"/>
        <v>0</v>
      </c>
      <c r="O43" s="235">
        <f t="shared" si="27"/>
        <v>0</v>
      </c>
      <c r="P43" s="235">
        <f t="shared" si="27"/>
        <v>0</v>
      </c>
      <c r="Q43" s="235">
        <f t="shared" si="27"/>
        <v>0</v>
      </c>
      <c r="R43" s="235">
        <f t="shared" si="27"/>
        <v>0</v>
      </c>
      <c r="S43" s="235">
        <f t="shared" si="27"/>
        <v>0</v>
      </c>
      <c r="T43" s="235">
        <f t="shared" si="27"/>
        <v>0</v>
      </c>
      <c r="U43" s="235">
        <f t="shared" si="27"/>
        <v>0</v>
      </c>
      <c r="V43" s="235">
        <f t="shared" si="27"/>
        <v>0</v>
      </c>
      <c r="W43" s="235">
        <f t="shared" si="27"/>
        <v>0</v>
      </c>
      <c r="X43" s="235">
        <f t="shared" si="27"/>
        <v>0</v>
      </c>
      <c r="Y43" s="235">
        <f>IF(AND(Y42=0,X43&gt;0,X42+Y$21&gt;0),MAX(X43+Y$21,0),IF(AND(Y42=0,X43&gt;0,X42+Y$21&lt;0),X43+X42+Y$21,X43))-2*IF(AND(Y42=0,X43&gt;0,X42+Y$21&gt;0),MAX(X43+Y$21,0),IF(AND(Y42=0,X43&gt;0,X42+Y$21&lt;0),X43+X42+Y$21,X43))</f>
        <v>0</v>
      </c>
      <c r="Z43" s="235">
        <f t="shared" si="26"/>
        <v>0</v>
      </c>
      <c r="AA43" s="235">
        <f t="shared" si="26"/>
        <v>0</v>
      </c>
      <c r="AB43" s="235">
        <f t="shared" si="26"/>
        <v>0</v>
      </c>
      <c r="AC43" s="235">
        <f t="shared" si="26"/>
        <v>0</v>
      </c>
      <c r="AD43" s="235">
        <f t="shared" si="26"/>
        <v>0</v>
      </c>
      <c r="AE43" s="235">
        <f t="shared" si="26"/>
        <v>0</v>
      </c>
      <c r="AF43" s="235">
        <f t="shared" si="26"/>
        <v>0</v>
      </c>
      <c r="AG43" s="235">
        <f t="shared" si="26"/>
        <v>0</v>
      </c>
      <c r="AH43" s="235">
        <f t="shared" si="26"/>
        <v>0</v>
      </c>
      <c r="AI43" s="235">
        <f t="shared" si="26"/>
        <v>0</v>
      </c>
      <c r="AJ43" s="235">
        <f t="shared" si="26"/>
        <v>0</v>
      </c>
      <c r="AK43" s="709">
        <f t="shared" si="26"/>
        <v>0</v>
      </c>
    </row>
    <row r="44" spans="1:37" x14ac:dyDescent="0.75">
      <c r="A44" s="742">
        <v>2019</v>
      </c>
      <c r="B44" s="743"/>
      <c r="C44" s="743"/>
      <c r="D44" s="235"/>
      <c r="E44" s="235"/>
      <c r="F44" s="235">
        <f>F$20</f>
        <v>0</v>
      </c>
      <c r="G44" s="235">
        <f t="shared" ref="G44:Y44" si="28">IF(AND(G43=0,F44&gt;0,F43+G21&gt;0),MAX(F44+G21,0),IF(AND(G43=0,F44&gt;0,F43+G21&lt;0),F44+F43+G21,F44))</f>
        <v>0</v>
      </c>
      <c r="H44" s="235">
        <f t="shared" si="28"/>
        <v>0</v>
      </c>
      <c r="I44" s="235">
        <f t="shared" si="28"/>
        <v>0</v>
      </c>
      <c r="J44" s="235">
        <f t="shared" si="28"/>
        <v>0</v>
      </c>
      <c r="K44" s="235">
        <f t="shared" si="28"/>
        <v>0</v>
      </c>
      <c r="L44" s="235">
        <f t="shared" si="28"/>
        <v>0</v>
      </c>
      <c r="M44" s="235">
        <f t="shared" si="28"/>
        <v>0</v>
      </c>
      <c r="N44" s="235">
        <f t="shared" si="28"/>
        <v>0</v>
      </c>
      <c r="O44" s="235">
        <f t="shared" si="28"/>
        <v>0</v>
      </c>
      <c r="P44" s="235">
        <f t="shared" si="28"/>
        <v>0</v>
      </c>
      <c r="Q44" s="235">
        <f t="shared" si="28"/>
        <v>0</v>
      </c>
      <c r="R44" s="235">
        <f t="shared" si="28"/>
        <v>0</v>
      </c>
      <c r="S44" s="235">
        <f t="shared" si="28"/>
        <v>0</v>
      </c>
      <c r="T44" s="235">
        <f t="shared" si="28"/>
        <v>0</v>
      </c>
      <c r="U44" s="235">
        <f t="shared" si="28"/>
        <v>0</v>
      </c>
      <c r="V44" s="235">
        <f t="shared" si="28"/>
        <v>0</v>
      </c>
      <c r="W44" s="235">
        <f t="shared" si="28"/>
        <v>0</v>
      </c>
      <c r="X44" s="235">
        <f t="shared" si="28"/>
        <v>0</v>
      </c>
      <c r="Y44" s="235">
        <f t="shared" si="28"/>
        <v>0</v>
      </c>
      <c r="Z44" s="235">
        <f>IF(AND(Z43=0,Y44&gt;0,Y43+Z$21&gt;0),MAX(Y44+Z$21,0),IF(AND(Z43=0,Y44&gt;0,Y43+Z$21&lt;0),Y44+Y43+Z$21,Y44))-2*IF(AND(Z43=0,Y44&gt;0,Y43+Z$21&gt;0),MAX(Y44+Z$21,0),IF(AND(Z43=0,Y44&gt;0,Y43+Z$21&lt;0),Y44+Y43+Z$21,Y44))</f>
        <v>0</v>
      </c>
      <c r="AA44" s="235">
        <f t="shared" si="26"/>
        <v>0</v>
      </c>
      <c r="AB44" s="235">
        <f t="shared" si="26"/>
        <v>0</v>
      </c>
      <c r="AC44" s="235">
        <f t="shared" si="26"/>
        <v>0</v>
      </c>
      <c r="AD44" s="235">
        <f t="shared" si="26"/>
        <v>0</v>
      </c>
      <c r="AE44" s="235">
        <f t="shared" si="26"/>
        <v>0</v>
      </c>
      <c r="AF44" s="235">
        <f t="shared" si="26"/>
        <v>0</v>
      </c>
      <c r="AG44" s="235">
        <f t="shared" si="26"/>
        <v>0</v>
      </c>
      <c r="AH44" s="235">
        <f t="shared" si="26"/>
        <v>0</v>
      </c>
      <c r="AI44" s="235">
        <f t="shared" si="26"/>
        <v>0</v>
      </c>
      <c r="AJ44" s="235">
        <f t="shared" si="26"/>
        <v>0</v>
      </c>
      <c r="AK44" s="709">
        <f t="shared" si="26"/>
        <v>0</v>
      </c>
    </row>
    <row r="45" spans="1:37" x14ac:dyDescent="0.75">
      <c r="A45" s="742">
        <v>2020</v>
      </c>
      <c r="B45" s="743"/>
      <c r="C45" s="743"/>
      <c r="D45" s="235"/>
      <c r="E45" s="235"/>
      <c r="F45" s="235"/>
      <c r="G45" s="235">
        <f>G$20</f>
        <v>0</v>
      </c>
      <c r="H45" s="235">
        <f t="shared" ref="H45:Z45" si="29">IF(AND(H44=0,G45&gt;0,G44+H21&gt;0),MAX(G45+H21,0),IF(AND(H44=0,G45&gt;0,G44+H21&lt;0),G45+G44+H21,G45))</f>
        <v>0</v>
      </c>
      <c r="I45" s="235">
        <f t="shared" si="29"/>
        <v>0</v>
      </c>
      <c r="J45" s="235">
        <f t="shared" si="29"/>
        <v>0</v>
      </c>
      <c r="K45" s="235">
        <f t="shared" si="29"/>
        <v>0</v>
      </c>
      <c r="L45" s="235">
        <f t="shared" si="29"/>
        <v>0</v>
      </c>
      <c r="M45" s="235">
        <f t="shared" si="29"/>
        <v>0</v>
      </c>
      <c r="N45" s="235">
        <f t="shared" si="29"/>
        <v>0</v>
      </c>
      <c r="O45" s="235">
        <f t="shared" si="29"/>
        <v>0</v>
      </c>
      <c r="P45" s="235">
        <f t="shared" si="29"/>
        <v>0</v>
      </c>
      <c r="Q45" s="235">
        <f t="shared" si="29"/>
        <v>0</v>
      </c>
      <c r="R45" s="235">
        <f t="shared" si="29"/>
        <v>0</v>
      </c>
      <c r="S45" s="235">
        <f t="shared" si="29"/>
        <v>0</v>
      </c>
      <c r="T45" s="235">
        <f t="shared" si="29"/>
        <v>0</v>
      </c>
      <c r="U45" s="235">
        <f t="shared" si="29"/>
        <v>0</v>
      </c>
      <c r="V45" s="235">
        <f t="shared" si="29"/>
        <v>0</v>
      </c>
      <c r="W45" s="235">
        <f t="shared" si="29"/>
        <v>0</v>
      </c>
      <c r="X45" s="235">
        <f t="shared" si="29"/>
        <v>0</v>
      </c>
      <c r="Y45" s="235">
        <f t="shared" si="29"/>
        <v>0</v>
      </c>
      <c r="Z45" s="235">
        <f t="shared" si="29"/>
        <v>0</v>
      </c>
      <c r="AA45" s="235">
        <f>IF(AND(AA44=0,Z45&gt;0,Z44+AA$21&gt;0),MAX(Z45+AA$21,0),IF(AND(AA44=0,Z45&gt;0,Z44+AA$21&lt;0),Z45+Z44+AA$21,Z45))-2*IF(AND(AA44=0,Z45&gt;0,Z44+AA$21&gt;0),MAX(Z45+AA$21,0),IF(AND(AA44=0,Z45&gt;0,Z44+AA$21&lt;0),Z45+Z44+AA$21,Z45))</f>
        <v>0</v>
      </c>
      <c r="AB45" s="235">
        <f t="shared" si="26"/>
        <v>0</v>
      </c>
      <c r="AC45" s="235">
        <f t="shared" si="26"/>
        <v>0</v>
      </c>
      <c r="AD45" s="235">
        <f t="shared" si="26"/>
        <v>0</v>
      </c>
      <c r="AE45" s="235">
        <f t="shared" si="26"/>
        <v>0</v>
      </c>
      <c r="AF45" s="235">
        <f t="shared" si="26"/>
        <v>0</v>
      </c>
      <c r="AG45" s="235">
        <f t="shared" si="26"/>
        <v>0</v>
      </c>
      <c r="AH45" s="235">
        <f t="shared" si="26"/>
        <v>0</v>
      </c>
      <c r="AI45" s="235">
        <f t="shared" si="26"/>
        <v>0</v>
      </c>
      <c r="AJ45" s="235">
        <f t="shared" si="26"/>
        <v>0</v>
      </c>
      <c r="AK45" s="709">
        <f t="shared" si="26"/>
        <v>0</v>
      </c>
    </row>
    <row r="46" spans="1:37" x14ac:dyDescent="0.75">
      <c r="A46" s="742">
        <v>2021</v>
      </c>
      <c r="B46" s="743"/>
      <c r="C46" s="743"/>
      <c r="D46" s="235"/>
      <c r="E46" s="235"/>
      <c r="F46" s="235"/>
      <c r="G46" s="235"/>
      <c r="H46" s="235">
        <f>H$20</f>
        <v>0</v>
      </c>
      <c r="I46" s="235">
        <f t="shared" ref="I46:AA46" si="30">IF(AND(I45=0,H46&gt;0,H45+I21&gt;0),MAX(H46+I21,0),IF(AND(I45=0,H46&gt;0,H45+I21&lt;0),H46+H45+I21,H46))</f>
        <v>0</v>
      </c>
      <c r="J46" s="235">
        <f t="shared" si="30"/>
        <v>0</v>
      </c>
      <c r="K46" s="235">
        <f t="shared" si="30"/>
        <v>0</v>
      </c>
      <c r="L46" s="235">
        <f t="shared" si="30"/>
        <v>0</v>
      </c>
      <c r="M46" s="235">
        <f t="shared" si="30"/>
        <v>0</v>
      </c>
      <c r="N46" s="235">
        <f t="shared" si="30"/>
        <v>0</v>
      </c>
      <c r="O46" s="235">
        <f t="shared" si="30"/>
        <v>0</v>
      </c>
      <c r="P46" s="235">
        <f t="shared" si="30"/>
        <v>0</v>
      </c>
      <c r="Q46" s="235">
        <f t="shared" si="30"/>
        <v>0</v>
      </c>
      <c r="R46" s="235">
        <f t="shared" si="30"/>
        <v>0</v>
      </c>
      <c r="S46" s="235">
        <f t="shared" si="30"/>
        <v>0</v>
      </c>
      <c r="T46" s="235">
        <f t="shared" si="30"/>
        <v>0</v>
      </c>
      <c r="U46" s="235">
        <f t="shared" si="30"/>
        <v>0</v>
      </c>
      <c r="V46" s="235">
        <f t="shared" si="30"/>
        <v>0</v>
      </c>
      <c r="W46" s="235">
        <f t="shared" si="30"/>
        <v>0</v>
      </c>
      <c r="X46" s="235">
        <f t="shared" si="30"/>
        <v>0</v>
      </c>
      <c r="Y46" s="235">
        <f t="shared" si="30"/>
        <v>0</v>
      </c>
      <c r="Z46" s="235">
        <f t="shared" si="30"/>
        <v>0</v>
      </c>
      <c r="AA46" s="235">
        <f t="shared" si="30"/>
        <v>0</v>
      </c>
      <c r="AB46" s="235">
        <f>IF(AND(AB45=0,AA46&gt;0,AA45+AB$21&gt;0),MAX(AA46+AB$21,0),IF(AND(AB45=0,AA46&gt;0,AA45+AB$21&lt;0),AA46+AA45+AB$21,AA46))-2*IF(AND(AB45=0,AA46&gt;0,AA45+AB$21&gt;0),MAX(AA46+AB$21,0),IF(AND(AB45=0,AA46&gt;0,AA45+AB$21&lt;0),AA46+AA45+AB$21,AA46))</f>
        <v>0</v>
      </c>
      <c r="AC46" s="235">
        <f t="shared" si="26"/>
        <v>0</v>
      </c>
      <c r="AD46" s="235">
        <f t="shared" si="26"/>
        <v>0</v>
      </c>
      <c r="AE46" s="235">
        <f t="shared" si="26"/>
        <v>0</v>
      </c>
      <c r="AF46" s="235">
        <f t="shared" si="26"/>
        <v>0</v>
      </c>
      <c r="AG46" s="235">
        <f t="shared" si="26"/>
        <v>0</v>
      </c>
      <c r="AH46" s="235">
        <f t="shared" si="26"/>
        <v>0</v>
      </c>
      <c r="AI46" s="235">
        <f t="shared" si="26"/>
        <v>0</v>
      </c>
      <c r="AJ46" s="235">
        <f t="shared" si="26"/>
        <v>0</v>
      </c>
      <c r="AK46" s="709">
        <f t="shared" si="26"/>
        <v>0</v>
      </c>
    </row>
    <row r="47" spans="1:37" x14ac:dyDescent="0.75">
      <c r="A47" s="742">
        <v>2022</v>
      </c>
      <c r="B47" s="743"/>
      <c r="C47" s="743"/>
      <c r="D47" s="235"/>
      <c r="E47" s="235"/>
      <c r="F47" s="235"/>
      <c r="G47" s="235"/>
      <c r="H47" s="235"/>
      <c r="I47" s="235">
        <f>I$20</f>
        <v>0</v>
      </c>
      <c r="J47" s="235">
        <f t="shared" ref="J47:AB47" si="31">IF(AND(J46=0,I47&gt;0,I46+J21&gt;0),MAX(I47+J21,0),IF(AND(J46=0,I47&gt;0,I46+J21&lt;0),I47+I46+J21,I47))</f>
        <v>0</v>
      </c>
      <c r="K47" s="235">
        <f t="shared" si="31"/>
        <v>0</v>
      </c>
      <c r="L47" s="235">
        <f t="shared" si="31"/>
        <v>0</v>
      </c>
      <c r="M47" s="235">
        <f t="shared" si="31"/>
        <v>0</v>
      </c>
      <c r="N47" s="235">
        <f t="shared" si="31"/>
        <v>0</v>
      </c>
      <c r="O47" s="235">
        <f t="shared" si="31"/>
        <v>0</v>
      </c>
      <c r="P47" s="235">
        <f t="shared" si="31"/>
        <v>0</v>
      </c>
      <c r="Q47" s="235">
        <f t="shared" si="31"/>
        <v>0</v>
      </c>
      <c r="R47" s="235">
        <f t="shared" si="31"/>
        <v>0</v>
      </c>
      <c r="S47" s="235">
        <f t="shared" si="31"/>
        <v>0</v>
      </c>
      <c r="T47" s="235">
        <f t="shared" si="31"/>
        <v>0</v>
      </c>
      <c r="U47" s="235">
        <f t="shared" si="31"/>
        <v>0</v>
      </c>
      <c r="V47" s="235">
        <f t="shared" si="31"/>
        <v>0</v>
      </c>
      <c r="W47" s="235">
        <f t="shared" si="31"/>
        <v>0</v>
      </c>
      <c r="X47" s="235">
        <f t="shared" si="31"/>
        <v>0</v>
      </c>
      <c r="Y47" s="235">
        <f t="shared" si="31"/>
        <v>0</v>
      </c>
      <c r="Z47" s="235">
        <f t="shared" si="31"/>
        <v>0</v>
      </c>
      <c r="AA47" s="235">
        <f t="shared" si="31"/>
        <v>0</v>
      </c>
      <c r="AB47" s="235">
        <f t="shared" si="31"/>
        <v>0</v>
      </c>
      <c r="AC47" s="235">
        <f>IF(AND(AC46=0,AB47&gt;0,AB46+AC$21&gt;0),MAX(AB47+AC$21,0),IF(AND(AC46=0,AB47&gt;0,AB46+AC$21&lt;0),AB47+AB46+AC$21,AB47))-2*IF(AND(AC46=0,AB47&gt;0,AB46+AC$21&gt;0),MAX(AB47+AC$21,0),IF(AND(AC46=0,AB47&gt;0,AB46+AC$21&lt;0),AB47+AB46+AC$21,AB47))</f>
        <v>0</v>
      </c>
      <c r="AD47" s="235">
        <f t="shared" si="26"/>
        <v>0</v>
      </c>
      <c r="AE47" s="235">
        <f t="shared" si="26"/>
        <v>0</v>
      </c>
      <c r="AF47" s="235">
        <f t="shared" si="26"/>
        <v>0</v>
      </c>
      <c r="AG47" s="235">
        <f t="shared" si="26"/>
        <v>0</v>
      </c>
      <c r="AH47" s="235">
        <f t="shared" si="26"/>
        <v>0</v>
      </c>
      <c r="AI47" s="235">
        <f t="shared" si="26"/>
        <v>0</v>
      </c>
      <c r="AJ47" s="235">
        <f t="shared" si="26"/>
        <v>0</v>
      </c>
      <c r="AK47" s="709">
        <f t="shared" si="26"/>
        <v>0</v>
      </c>
    </row>
    <row r="48" spans="1:37" x14ac:dyDescent="0.75">
      <c r="A48" s="742">
        <v>2023</v>
      </c>
      <c r="B48" s="743"/>
      <c r="C48" s="743"/>
      <c r="D48" s="235"/>
      <c r="E48" s="235"/>
      <c r="F48" s="235"/>
      <c r="G48" s="235"/>
      <c r="H48" s="235"/>
      <c r="I48" s="235"/>
      <c r="J48" s="235">
        <f>J$20</f>
        <v>0</v>
      </c>
      <c r="K48" s="235">
        <f t="shared" ref="K48:AC48" si="32">IF(AND(K47=0,J48&gt;0,J47+K21&gt;0),MAX(J48+K21,0),IF(AND(K47=0,J48&gt;0,J47+K21&lt;0),J48+J47+K21,J48))</f>
        <v>0</v>
      </c>
      <c r="L48" s="235">
        <f t="shared" si="32"/>
        <v>0</v>
      </c>
      <c r="M48" s="235">
        <f t="shared" si="32"/>
        <v>0</v>
      </c>
      <c r="N48" s="235">
        <f t="shared" si="32"/>
        <v>0</v>
      </c>
      <c r="O48" s="235">
        <f t="shared" si="32"/>
        <v>0</v>
      </c>
      <c r="P48" s="235">
        <f t="shared" si="32"/>
        <v>0</v>
      </c>
      <c r="Q48" s="235">
        <f t="shared" si="32"/>
        <v>0</v>
      </c>
      <c r="R48" s="235">
        <f t="shared" si="32"/>
        <v>0</v>
      </c>
      <c r="S48" s="235">
        <f t="shared" si="32"/>
        <v>0</v>
      </c>
      <c r="T48" s="235">
        <f t="shared" si="32"/>
        <v>0</v>
      </c>
      <c r="U48" s="235">
        <f t="shared" si="32"/>
        <v>0</v>
      </c>
      <c r="V48" s="235">
        <f t="shared" si="32"/>
        <v>0</v>
      </c>
      <c r="W48" s="235">
        <f t="shared" si="32"/>
        <v>0</v>
      </c>
      <c r="X48" s="235">
        <f t="shared" si="32"/>
        <v>0</v>
      </c>
      <c r="Y48" s="235">
        <f t="shared" si="32"/>
        <v>0</v>
      </c>
      <c r="Z48" s="235">
        <f t="shared" si="32"/>
        <v>0</v>
      </c>
      <c r="AA48" s="235">
        <f t="shared" si="32"/>
        <v>0</v>
      </c>
      <c r="AB48" s="235">
        <f t="shared" si="32"/>
        <v>0</v>
      </c>
      <c r="AC48" s="235">
        <f t="shared" si="32"/>
        <v>0</v>
      </c>
      <c r="AD48" s="235">
        <f>IF(AND(AD47=0,AC48&gt;0,AC47+AD$21&gt;0),MAX(AC48+AD$21,0),IF(AND(AD47=0,AC48&gt;0,AC47+AD$21&lt;0),AC48+AC47+AD$21,AC48))-2*IF(AND(AD47=0,AC48&gt;0,AC47+AD$21&gt;0),MAX(AC48+AD$21,0),IF(AND(AD47=0,AC48&gt;0,AC47+AD$21&lt;0),AC48+AC47+AD$21,AC48))</f>
        <v>0</v>
      </c>
      <c r="AE48" s="235">
        <f t="shared" si="26"/>
        <v>0</v>
      </c>
      <c r="AF48" s="235">
        <f t="shared" si="26"/>
        <v>0</v>
      </c>
      <c r="AG48" s="235">
        <f t="shared" si="26"/>
        <v>0</v>
      </c>
      <c r="AH48" s="235">
        <f t="shared" si="26"/>
        <v>0</v>
      </c>
      <c r="AI48" s="235">
        <f t="shared" si="26"/>
        <v>0</v>
      </c>
      <c r="AJ48" s="235">
        <f t="shared" si="26"/>
        <v>0</v>
      </c>
      <c r="AK48" s="709">
        <f t="shared" si="26"/>
        <v>0</v>
      </c>
    </row>
    <row r="49" spans="1:37" x14ac:dyDescent="0.75">
      <c r="A49" s="742">
        <v>2024</v>
      </c>
      <c r="B49" s="743"/>
      <c r="C49" s="743"/>
      <c r="D49" s="235"/>
      <c r="E49" s="235"/>
      <c r="F49" s="235"/>
      <c r="G49" s="235"/>
      <c r="H49" s="235"/>
      <c r="I49" s="235"/>
      <c r="J49" s="235"/>
      <c r="K49" s="235">
        <f>K$20</f>
        <v>0</v>
      </c>
      <c r="L49" s="235">
        <f t="shared" ref="L49:AD49" si="33">IF(AND(L48=0,K49&gt;0,K48+L21&gt;0),MAX(K49+L21,0),IF(AND(L48=0,K49&gt;0,K48+L21&lt;0),K49+K48+L21,K49))</f>
        <v>0</v>
      </c>
      <c r="M49" s="235">
        <f t="shared" si="33"/>
        <v>0</v>
      </c>
      <c r="N49" s="235">
        <f t="shared" si="33"/>
        <v>0</v>
      </c>
      <c r="O49" s="235">
        <f t="shared" si="33"/>
        <v>0</v>
      </c>
      <c r="P49" s="235">
        <f t="shared" si="33"/>
        <v>0</v>
      </c>
      <c r="Q49" s="235">
        <f t="shared" si="33"/>
        <v>0</v>
      </c>
      <c r="R49" s="235">
        <f t="shared" si="33"/>
        <v>0</v>
      </c>
      <c r="S49" s="235">
        <f t="shared" si="33"/>
        <v>0</v>
      </c>
      <c r="T49" s="235">
        <f t="shared" si="33"/>
        <v>0</v>
      </c>
      <c r="U49" s="235">
        <f t="shared" si="33"/>
        <v>0</v>
      </c>
      <c r="V49" s="235">
        <f t="shared" si="33"/>
        <v>0</v>
      </c>
      <c r="W49" s="235">
        <f t="shared" si="33"/>
        <v>0</v>
      </c>
      <c r="X49" s="235">
        <f t="shared" si="33"/>
        <v>0</v>
      </c>
      <c r="Y49" s="235">
        <f t="shared" si="33"/>
        <v>0</v>
      </c>
      <c r="Z49" s="235">
        <f t="shared" si="33"/>
        <v>0</v>
      </c>
      <c r="AA49" s="235">
        <f t="shared" si="33"/>
        <v>0</v>
      </c>
      <c r="AB49" s="235">
        <f t="shared" si="33"/>
        <v>0</v>
      </c>
      <c r="AC49" s="235">
        <f t="shared" si="33"/>
        <v>0</v>
      </c>
      <c r="AD49" s="235">
        <f t="shared" si="33"/>
        <v>0</v>
      </c>
      <c r="AE49" s="235">
        <f>IF(AND(AE48=0,AD49&gt;0,AD48+AE$21&gt;0),MAX(AD49+AE$21,0),IF(AND(AE48=0,AD49&gt;0,AD48+AE$21&lt;0),AD49+AD48+AE$21,AD49))-2*IF(AND(AE48=0,AD49&gt;0,AD48+AE$21&gt;0),MAX(AD49+AE$21,0),IF(AND(AE48=0,AD49&gt;0,AD48+AE$21&lt;0),AD49+AD48+AE$21,AD49))</f>
        <v>0</v>
      </c>
      <c r="AF49" s="235">
        <f t="shared" si="26"/>
        <v>0</v>
      </c>
      <c r="AG49" s="235">
        <f t="shared" si="26"/>
        <v>0</v>
      </c>
      <c r="AH49" s="235">
        <f t="shared" si="26"/>
        <v>0</v>
      </c>
      <c r="AI49" s="235">
        <f t="shared" si="26"/>
        <v>0</v>
      </c>
      <c r="AJ49" s="235">
        <f t="shared" si="26"/>
        <v>0</v>
      </c>
      <c r="AK49" s="709">
        <f t="shared" si="26"/>
        <v>0</v>
      </c>
    </row>
    <row r="50" spans="1:37" x14ac:dyDescent="0.75">
      <c r="A50" s="742">
        <v>2025</v>
      </c>
      <c r="B50" s="743"/>
      <c r="C50" s="743"/>
      <c r="D50" s="235"/>
      <c r="E50" s="235"/>
      <c r="F50" s="235"/>
      <c r="G50" s="235"/>
      <c r="H50" s="235"/>
      <c r="I50" s="235"/>
      <c r="J50" s="235"/>
      <c r="K50" s="235"/>
      <c r="L50" s="235">
        <f>L$20</f>
        <v>0</v>
      </c>
      <c r="M50" s="235">
        <f t="shared" ref="M50:AE50" si="34">IF(AND(M49=0,L50&gt;0,L49+M21&gt;0),MAX(L50+M21,0),IF(AND(M49=0,L50&gt;0,L49+M21&lt;0),L50+L49+M21,L50))</f>
        <v>0</v>
      </c>
      <c r="N50" s="235">
        <f t="shared" si="34"/>
        <v>0</v>
      </c>
      <c r="O50" s="235">
        <f t="shared" si="34"/>
        <v>0</v>
      </c>
      <c r="P50" s="235">
        <f t="shared" si="34"/>
        <v>0</v>
      </c>
      <c r="Q50" s="235">
        <f t="shared" si="34"/>
        <v>0</v>
      </c>
      <c r="R50" s="235">
        <f t="shared" si="34"/>
        <v>0</v>
      </c>
      <c r="S50" s="235">
        <f t="shared" si="34"/>
        <v>0</v>
      </c>
      <c r="T50" s="235">
        <f t="shared" si="34"/>
        <v>0</v>
      </c>
      <c r="U50" s="235">
        <f t="shared" si="34"/>
        <v>0</v>
      </c>
      <c r="V50" s="235">
        <f t="shared" si="34"/>
        <v>0</v>
      </c>
      <c r="W50" s="235">
        <f t="shared" si="34"/>
        <v>0</v>
      </c>
      <c r="X50" s="235">
        <f t="shared" si="34"/>
        <v>0</v>
      </c>
      <c r="Y50" s="235">
        <f t="shared" si="34"/>
        <v>0</v>
      </c>
      <c r="Z50" s="235">
        <f t="shared" si="34"/>
        <v>0</v>
      </c>
      <c r="AA50" s="235">
        <f t="shared" si="34"/>
        <v>0</v>
      </c>
      <c r="AB50" s="235">
        <f t="shared" si="34"/>
        <v>0</v>
      </c>
      <c r="AC50" s="235">
        <f t="shared" si="34"/>
        <v>0</v>
      </c>
      <c r="AD50" s="235">
        <f t="shared" si="34"/>
        <v>0</v>
      </c>
      <c r="AE50" s="235">
        <f t="shared" si="34"/>
        <v>0</v>
      </c>
      <c r="AF50" s="235">
        <f>IF(AND(AF49=0,AE50&gt;0,AE49+AF$21&gt;0),MAX(AE50+AF$21,0),IF(AND(AF49=0,AE50&gt;0,AE49+AF$21&lt;0),AE50+AE49+AF$21,AE50))-2*IF(AND(AF49=0,AE50&gt;0,AE49+AF$21&gt;0),MAX(AE50+AF$21,0),IF(AND(AF49=0,AE50&gt;0,AE49+AF$21&lt;0),AE50+AE49+AF$21,AE50))</f>
        <v>0</v>
      </c>
      <c r="AG50" s="235">
        <f>IF(AF50&gt;0,-AF50,0)</f>
        <v>0</v>
      </c>
      <c r="AH50" s="235">
        <f>IF(AG50&gt;0,-AG50,0)</f>
        <v>0</v>
      </c>
      <c r="AI50" s="235">
        <f>IF(AH50&gt;0,-AH50,0)</f>
        <v>0</v>
      </c>
      <c r="AJ50" s="235">
        <f>IF(AI50&gt;0,-AI50,0)</f>
        <v>0</v>
      </c>
      <c r="AK50" s="709">
        <f>IF(AJ50&gt;0,-AJ50,0)</f>
        <v>0</v>
      </c>
    </row>
    <row r="51" spans="1:37" x14ac:dyDescent="0.75">
      <c r="A51" s="742">
        <v>2026</v>
      </c>
      <c r="B51" s="743"/>
      <c r="C51" s="743"/>
      <c r="D51" s="235"/>
      <c r="E51" s="235"/>
      <c r="F51" s="235"/>
      <c r="G51" s="235"/>
      <c r="H51" s="235"/>
      <c r="I51" s="235"/>
      <c r="J51" s="235"/>
      <c r="K51" s="235"/>
      <c r="L51" s="235"/>
      <c r="M51" s="235">
        <f>M$20</f>
        <v>0</v>
      </c>
      <c r="N51" s="235">
        <f t="shared" ref="N51:AF51" si="35">IF(AND(N50=0,M51&gt;0,M50+N21&gt;0),MAX(M51+N21,0),IF(AND(N50=0,M51&gt;0,M50+N21&lt;0),M51+M50+N21,M51))</f>
        <v>0</v>
      </c>
      <c r="O51" s="235">
        <f t="shared" si="35"/>
        <v>0</v>
      </c>
      <c r="P51" s="235">
        <f t="shared" si="35"/>
        <v>0</v>
      </c>
      <c r="Q51" s="235">
        <f t="shared" si="35"/>
        <v>0</v>
      </c>
      <c r="R51" s="235">
        <f t="shared" si="35"/>
        <v>0</v>
      </c>
      <c r="S51" s="235">
        <f t="shared" si="35"/>
        <v>0</v>
      </c>
      <c r="T51" s="235">
        <f t="shared" si="35"/>
        <v>0</v>
      </c>
      <c r="U51" s="235">
        <f t="shared" si="35"/>
        <v>0</v>
      </c>
      <c r="V51" s="235">
        <f t="shared" si="35"/>
        <v>0</v>
      </c>
      <c r="W51" s="235">
        <f t="shared" si="35"/>
        <v>0</v>
      </c>
      <c r="X51" s="235">
        <f t="shared" si="35"/>
        <v>0</v>
      </c>
      <c r="Y51" s="235">
        <f t="shared" si="35"/>
        <v>0</v>
      </c>
      <c r="Z51" s="235">
        <f t="shared" si="35"/>
        <v>0</v>
      </c>
      <c r="AA51" s="235">
        <f t="shared" si="35"/>
        <v>0</v>
      </c>
      <c r="AB51" s="235">
        <f t="shared" si="35"/>
        <v>0</v>
      </c>
      <c r="AC51" s="235">
        <f t="shared" si="35"/>
        <v>0</v>
      </c>
      <c r="AD51" s="235">
        <f t="shared" si="35"/>
        <v>0</v>
      </c>
      <c r="AE51" s="235">
        <f t="shared" si="35"/>
        <v>0</v>
      </c>
      <c r="AF51" s="235">
        <f t="shared" si="35"/>
        <v>0</v>
      </c>
      <c r="AG51" s="235">
        <f>IF(AND(AG50=0,AF51&gt;0,AF50+AG$21&gt;0),MAX(AF51+AG$21,0),IF(AND(AG50=0,AF51&gt;0,AF50+AG$21&lt;0),AF51+AF50+AG$21,AF51))-2*IF(AND(AG50=0,AF51&gt;0,AF50+AG$21&gt;0),MAX(AF51+AG$21,0),IF(AND(AG50=0,AF51&gt;0,AF50+AG$21&lt;0),AF51+AF50+AG$21,AF51))</f>
        <v>0</v>
      </c>
      <c r="AH51" s="235">
        <f>IF(AG51&gt;0,-AG51,0)</f>
        <v>0</v>
      </c>
      <c r="AI51" s="235">
        <f>IF(AH51&gt;0,-AH51,0)</f>
        <v>0</v>
      </c>
      <c r="AJ51" s="235">
        <f>IF(AI51&gt;0,-AI51,0)</f>
        <v>0</v>
      </c>
      <c r="AK51" s="709">
        <f>IF(AJ51&gt;0,-AJ51,0)</f>
        <v>0</v>
      </c>
    </row>
    <row r="52" spans="1:37" x14ac:dyDescent="0.75">
      <c r="A52" s="742">
        <v>2027</v>
      </c>
      <c r="B52" s="743"/>
      <c r="C52" s="743"/>
      <c r="D52" s="235"/>
      <c r="E52" s="235"/>
      <c r="F52" s="235"/>
      <c r="G52" s="235"/>
      <c r="H52" s="235"/>
      <c r="I52" s="235"/>
      <c r="J52" s="235"/>
      <c r="K52" s="235"/>
      <c r="L52" s="235"/>
      <c r="M52" s="235"/>
      <c r="N52" s="235">
        <f>N$20</f>
        <v>0</v>
      </c>
      <c r="O52" s="235">
        <f t="shared" ref="O52:AG52" si="36">IF(AND(O51=0,N52&gt;0,N51+O21&gt;0),MAX(N52+O21,0),IF(AND(O51=0,N52&gt;0,N51+O21&lt;0),N52+N51+O21,N52))</f>
        <v>0</v>
      </c>
      <c r="P52" s="235">
        <f t="shared" si="36"/>
        <v>0</v>
      </c>
      <c r="Q52" s="235">
        <f t="shared" si="36"/>
        <v>0</v>
      </c>
      <c r="R52" s="235">
        <f t="shared" si="36"/>
        <v>0</v>
      </c>
      <c r="S52" s="235">
        <f t="shared" si="36"/>
        <v>0</v>
      </c>
      <c r="T52" s="235">
        <f t="shared" si="36"/>
        <v>0</v>
      </c>
      <c r="U52" s="235">
        <f t="shared" si="36"/>
        <v>0</v>
      </c>
      <c r="V52" s="235">
        <f t="shared" si="36"/>
        <v>0</v>
      </c>
      <c r="W52" s="235">
        <f t="shared" si="36"/>
        <v>0</v>
      </c>
      <c r="X52" s="235">
        <f t="shared" si="36"/>
        <v>0</v>
      </c>
      <c r="Y52" s="235">
        <f t="shared" si="36"/>
        <v>0</v>
      </c>
      <c r="Z52" s="235">
        <f t="shared" si="36"/>
        <v>0</v>
      </c>
      <c r="AA52" s="235">
        <f t="shared" si="36"/>
        <v>0</v>
      </c>
      <c r="AB52" s="235">
        <f t="shared" si="36"/>
        <v>0</v>
      </c>
      <c r="AC52" s="235">
        <f t="shared" si="36"/>
        <v>0</v>
      </c>
      <c r="AD52" s="235">
        <f t="shared" si="36"/>
        <v>0</v>
      </c>
      <c r="AE52" s="235">
        <f t="shared" si="36"/>
        <v>0</v>
      </c>
      <c r="AF52" s="235">
        <f t="shared" si="36"/>
        <v>0</v>
      </c>
      <c r="AG52" s="235">
        <f t="shared" si="36"/>
        <v>0</v>
      </c>
      <c r="AH52" s="235">
        <f>IF(AND(AH51=0,AG52&gt;0,AG51+AH$21&gt;0),MAX(AG52+AH$21,0),IF(AND(AH51=0,AG52&gt;0,AG51+AH$21&lt;0),AG52+AG51+AH$21,AG52))-2*IF(AND(AH51=0,AG52&gt;0,AG51+AH$21&gt;0),MAX(AG52+AH$21,0),IF(AND(AH51=0,AG52&gt;0,AG51+AH$21&lt;0),AG52+AG51+AH$21,AG52))</f>
        <v>0</v>
      </c>
      <c r="AI52" s="235">
        <f>IF(AH52&gt;0,-AH52,0)</f>
        <v>0</v>
      </c>
      <c r="AJ52" s="235">
        <f>IF(AI52&gt;0,-AI52,0)</f>
        <v>0</v>
      </c>
      <c r="AK52" s="709">
        <f>IF(AJ52&gt;0,-AJ52,0)</f>
        <v>0</v>
      </c>
    </row>
    <row r="53" spans="1:37" x14ac:dyDescent="0.75">
      <c r="A53" s="742">
        <v>2028</v>
      </c>
      <c r="B53" s="743"/>
      <c r="C53" s="743"/>
      <c r="D53" s="235"/>
      <c r="E53" s="235"/>
      <c r="F53" s="235"/>
      <c r="G53" s="235"/>
      <c r="H53" s="235"/>
      <c r="I53" s="235"/>
      <c r="J53" s="235"/>
      <c r="K53" s="235"/>
      <c r="L53" s="235"/>
      <c r="M53" s="235"/>
      <c r="N53" s="235"/>
      <c r="O53" s="235">
        <f>O$20</f>
        <v>0</v>
      </c>
      <c r="P53" s="235">
        <f t="shared" ref="P53:AH53" si="37">IF(AND(P52=0,O53&gt;0,O52+P21&gt;0),MAX(O53+P21,0),IF(AND(P52=0,O53&gt;0,O52+P21&lt;0),O53+O52+P21,O53))</f>
        <v>0</v>
      </c>
      <c r="Q53" s="235">
        <f t="shared" si="37"/>
        <v>0</v>
      </c>
      <c r="R53" s="235">
        <f t="shared" si="37"/>
        <v>0</v>
      </c>
      <c r="S53" s="235">
        <f t="shared" si="37"/>
        <v>0</v>
      </c>
      <c r="T53" s="235">
        <f t="shared" si="37"/>
        <v>0</v>
      </c>
      <c r="U53" s="235">
        <f t="shared" si="37"/>
        <v>0</v>
      </c>
      <c r="V53" s="235">
        <f t="shared" si="37"/>
        <v>0</v>
      </c>
      <c r="W53" s="235">
        <f t="shared" si="37"/>
        <v>0</v>
      </c>
      <c r="X53" s="235">
        <f t="shared" si="37"/>
        <v>0</v>
      </c>
      <c r="Y53" s="235">
        <f t="shared" si="37"/>
        <v>0</v>
      </c>
      <c r="Z53" s="235">
        <f t="shared" si="37"/>
        <v>0</v>
      </c>
      <c r="AA53" s="235">
        <f t="shared" si="37"/>
        <v>0</v>
      </c>
      <c r="AB53" s="235">
        <f t="shared" si="37"/>
        <v>0</v>
      </c>
      <c r="AC53" s="235">
        <f t="shared" si="37"/>
        <v>0</v>
      </c>
      <c r="AD53" s="235">
        <f t="shared" si="37"/>
        <v>0</v>
      </c>
      <c r="AE53" s="235">
        <f t="shared" si="37"/>
        <v>0</v>
      </c>
      <c r="AF53" s="235">
        <f t="shared" si="37"/>
        <v>0</v>
      </c>
      <c r="AG53" s="235">
        <f t="shared" si="37"/>
        <v>0</v>
      </c>
      <c r="AH53" s="235">
        <f t="shared" si="37"/>
        <v>0</v>
      </c>
      <c r="AI53" s="235">
        <f>IF(AND(AI52=0,AH53&gt;0,AH52+AI$21&gt;0),MAX(AH53+AI$21,0),IF(AND(AI52=0,AH53&gt;0,AH52+AI$21&lt;0),AH53+AH52+AI$21,AH53))-2*IF(AND(AI52=0,AH53&gt;0,AH52+AI$21&gt;0),MAX(AH53+AI$21,0),IF(AND(AI52=0,AH53&gt;0,AH52+AI$21&lt;0),AH53+AH52+AI$21,AH53))</f>
        <v>0</v>
      </c>
      <c r="AJ53" s="235">
        <f>IF(AI53&gt;0,-AI53,0)</f>
        <v>0</v>
      </c>
      <c r="AK53" s="709">
        <f>IF(AJ53&gt;0,-AJ53,0)</f>
        <v>0</v>
      </c>
    </row>
    <row r="54" spans="1:37" x14ac:dyDescent="0.75">
      <c r="A54" s="742">
        <v>2029</v>
      </c>
      <c r="B54" s="743"/>
      <c r="C54" s="743"/>
      <c r="D54" s="235"/>
      <c r="E54" s="235"/>
      <c r="F54" s="235"/>
      <c r="G54" s="235"/>
      <c r="H54" s="235"/>
      <c r="I54" s="235"/>
      <c r="J54" s="235"/>
      <c r="K54" s="235"/>
      <c r="L54" s="235"/>
      <c r="M54" s="235"/>
      <c r="N54" s="235"/>
      <c r="O54" s="235"/>
      <c r="P54" s="235">
        <f>P$20</f>
        <v>0</v>
      </c>
      <c r="Q54" s="235">
        <f t="shared" ref="Q54:AI54" si="38">IF(AND(Q53=0,P54&gt;0,P53+Q21&gt;0),MAX(P54+Q21,0),IF(AND(Q53=0,P54&gt;0,P53+Q21&lt;0),P54+P53+Q21,P54))</f>
        <v>0</v>
      </c>
      <c r="R54" s="235">
        <f t="shared" si="38"/>
        <v>0</v>
      </c>
      <c r="S54" s="235">
        <f t="shared" si="38"/>
        <v>0</v>
      </c>
      <c r="T54" s="235">
        <f t="shared" si="38"/>
        <v>0</v>
      </c>
      <c r="U54" s="235">
        <f t="shared" si="38"/>
        <v>0</v>
      </c>
      <c r="V54" s="235">
        <f t="shared" si="38"/>
        <v>0</v>
      </c>
      <c r="W54" s="235">
        <f t="shared" si="38"/>
        <v>0</v>
      </c>
      <c r="X54" s="235">
        <f t="shared" si="38"/>
        <v>0</v>
      </c>
      <c r="Y54" s="235">
        <f t="shared" si="38"/>
        <v>0</v>
      </c>
      <c r="Z54" s="235">
        <f t="shared" si="38"/>
        <v>0</v>
      </c>
      <c r="AA54" s="235">
        <f t="shared" si="38"/>
        <v>0</v>
      </c>
      <c r="AB54" s="235">
        <f t="shared" si="38"/>
        <v>0</v>
      </c>
      <c r="AC54" s="235">
        <f t="shared" si="38"/>
        <v>0</v>
      </c>
      <c r="AD54" s="235">
        <f t="shared" si="38"/>
        <v>0</v>
      </c>
      <c r="AE54" s="235">
        <f t="shared" si="38"/>
        <v>0</v>
      </c>
      <c r="AF54" s="235">
        <f t="shared" si="38"/>
        <v>0</v>
      </c>
      <c r="AG54" s="235">
        <f t="shared" si="38"/>
        <v>0</v>
      </c>
      <c r="AH54" s="235">
        <f t="shared" si="38"/>
        <v>0</v>
      </c>
      <c r="AI54" s="235">
        <f t="shared" si="38"/>
        <v>0</v>
      </c>
      <c r="AJ54" s="235">
        <f>IF(AND(AJ53=0,AI54&gt;0,AI53+AJ$21&gt;0),MAX(AI54+AJ$21,0),IF(AND(AJ53=0,AI54&gt;0,AI53+AJ$21&lt;0),AI54+AI53+AJ$21,AI54))-2*IF(AND(AJ53=0,AI54&gt;0,AI53+AJ$21&gt;0),MAX(AI54+AJ$21,0),IF(AND(AJ53=0,AI54&gt;0,AI53+AJ$21&lt;0),AI54+AI53+AJ$21,AI54))</f>
        <v>0</v>
      </c>
      <c r="AK54" s="709">
        <f t="shared" ref="AK54:AK74" si="39">IF(AJ54&gt;0,-AJ54,0)</f>
        <v>0</v>
      </c>
    </row>
    <row r="55" spans="1:37" x14ac:dyDescent="0.75">
      <c r="A55" s="742">
        <v>2030</v>
      </c>
      <c r="B55" s="743"/>
      <c r="C55" s="743"/>
      <c r="D55" s="235"/>
      <c r="E55" s="235"/>
      <c r="F55" s="235"/>
      <c r="G55" s="235"/>
      <c r="H55" s="235"/>
      <c r="I55" s="235"/>
      <c r="J55" s="235"/>
      <c r="K55" s="235"/>
      <c r="L55" s="235"/>
      <c r="M55" s="235"/>
      <c r="N55" s="235"/>
      <c r="O55" s="235"/>
      <c r="P55" s="235"/>
      <c r="Q55" s="235">
        <f>Q$20</f>
        <v>0</v>
      </c>
      <c r="R55" s="235">
        <f t="shared" ref="R55:AJ55" si="40">IF(AND(R54=0,Q55&gt;0,Q54+R21&gt;0),MAX(Q55+R21,0),IF(AND(R54=0,Q55&gt;0,Q54+R21&lt;0),Q55+Q54+R21,Q55))</f>
        <v>0</v>
      </c>
      <c r="S55" s="235">
        <f t="shared" si="40"/>
        <v>0</v>
      </c>
      <c r="T55" s="235">
        <f t="shared" si="40"/>
        <v>0</v>
      </c>
      <c r="U55" s="235">
        <f t="shared" si="40"/>
        <v>0</v>
      </c>
      <c r="V55" s="235">
        <f t="shared" si="40"/>
        <v>0</v>
      </c>
      <c r="W55" s="235">
        <f t="shared" si="40"/>
        <v>0</v>
      </c>
      <c r="X55" s="235">
        <f t="shared" si="40"/>
        <v>0</v>
      </c>
      <c r="Y55" s="235">
        <f t="shared" si="40"/>
        <v>0</v>
      </c>
      <c r="Z55" s="235">
        <f t="shared" si="40"/>
        <v>0</v>
      </c>
      <c r="AA55" s="235">
        <f t="shared" si="40"/>
        <v>0</v>
      </c>
      <c r="AB55" s="235">
        <f t="shared" si="40"/>
        <v>0</v>
      </c>
      <c r="AC55" s="235">
        <f t="shared" si="40"/>
        <v>0</v>
      </c>
      <c r="AD55" s="235">
        <f t="shared" si="40"/>
        <v>0</v>
      </c>
      <c r="AE55" s="235">
        <f t="shared" si="40"/>
        <v>0</v>
      </c>
      <c r="AF55" s="235">
        <f t="shared" si="40"/>
        <v>0</v>
      </c>
      <c r="AG55" s="235">
        <f t="shared" si="40"/>
        <v>0</v>
      </c>
      <c r="AH55" s="235">
        <f t="shared" si="40"/>
        <v>0</v>
      </c>
      <c r="AI55" s="235">
        <f t="shared" si="40"/>
        <v>0</v>
      </c>
      <c r="AJ55" s="235">
        <f t="shared" si="40"/>
        <v>0</v>
      </c>
      <c r="AK55" s="709">
        <f t="shared" si="39"/>
        <v>0</v>
      </c>
    </row>
    <row r="56" spans="1:37" x14ac:dyDescent="0.75">
      <c r="A56" s="742">
        <v>2031</v>
      </c>
      <c r="B56" s="743"/>
      <c r="C56" s="743"/>
      <c r="D56" s="235"/>
      <c r="E56" s="235"/>
      <c r="F56" s="235"/>
      <c r="G56" s="235"/>
      <c r="H56" s="235"/>
      <c r="I56" s="235"/>
      <c r="J56" s="235"/>
      <c r="K56" s="235"/>
      <c r="L56" s="235"/>
      <c r="M56" s="235"/>
      <c r="N56" s="235"/>
      <c r="O56" s="235"/>
      <c r="P56" s="235"/>
      <c r="Q56" s="235"/>
      <c r="R56" s="235">
        <f>R$20</f>
        <v>0</v>
      </c>
      <c r="S56" s="235">
        <f t="shared" ref="S56:AJ56" si="41">IF(AND(S55=0,R56&gt;0,R55+S21&gt;0),MAX(R56+S21,0),IF(AND(S55=0,R56&gt;0,R55+S21&lt;0),R56+R55+S21,R56))</f>
        <v>0</v>
      </c>
      <c r="T56" s="235">
        <f t="shared" si="41"/>
        <v>0</v>
      </c>
      <c r="U56" s="235">
        <f t="shared" si="41"/>
        <v>0</v>
      </c>
      <c r="V56" s="235">
        <f t="shared" si="41"/>
        <v>0</v>
      </c>
      <c r="W56" s="235">
        <f t="shared" si="41"/>
        <v>0</v>
      </c>
      <c r="X56" s="235">
        <f t="shared" si="41"/>
        <v>0</v>
      </c>
      <c r="Y56" s="235">
        <f t="shared" si="41"/>
        <v>0</v>
      </c>
      <c r="Z56" s="235">
        <f t="shared" si="41"/>
        <v>0</v>
      </c>
      <c r="AA56" s="235">
        <f t="shared" si="41"/>
        <v>0</v>
      </c>
      <c r="AB56" s="235">
        <f t="shared" si="41"/>
        <v>0</v>
      </c>
      <c r="AC56" s="235">
        <f t="shared" si="41"/>
        <v>0</v>
      </c>
      <c r="AD56" s="235">
        <f t="shared" si="41"/>
        <v>0</v>
      </c>
      <c r="AE56" s="235">
        <f t="shared" si="41"/>
        <v>0</v>
      </c>
      <c r="AF56" s="235">
        <f t="shared" si="41"/>
        <v>0</v>
      </c>
      <c r="AG56" s="235">
        <f t="shared" si="41"/>
        <v>0</v>
      </c>
      <c r="AH56" s="235">
        <f t="shared" si="41"/>
        <v>0</v>
      </c>
      <c r="AI56" s="235">
        <f t="shared" si="41"/>
        <v>0</v>
      </c>
      <c r="AJ56" s="235">
        <f t="shared" si="41"/>
        <v>0</v>
      </c>
      <c r="AK56" s="709">
        <f t="shared" si="39"/>
        <v>0</v>
      </c>
    </row>
    <row r="57" spans="1:37" x14ac:dyDescent="0.75">
      <c r="A57" s="742">
        <v>2032</v>
      </c>
      <c r="B57" s="743"/>
      <c r="C57" s="743"/>
      <c r="D57" s="235"/>
      <c r="E57" s="235"/>
      <c r="F57" s="235"/>
      <c r="G57" s="235"/>
      <c r="H57" s="235"/>
      <c r="I57" s="235"/>
      <c r="J57" s="235"/>
      <c r="K57" s="235"/>
      <c r="L57" s="235"/>
      <c r="M57" s="235"/>
      <c r="N57" s="235"/>
      <c r="O57" s="235"/>
      <c r="P57" s="235"/>
      <c r="Q57" s="235"/>
      <c r="R57" s="235"/>
      <c r="S57" s="235">
        <f>S$20</f>
        <v>0</v>
      </c>
      <c r="T57" s="235">
        <f t="shared" ref="T57:AJ57" si="42">IF(AND(T56=0,S57&gt;0,S56+T21&gt;0),MAX(S57+T21,0),IF(AND(T56=0,S57&gt;0,S56+T21&lt;0),S57+S56+T21,S57))</f>
        <v>0</v>
      </c>
      <c r="U57" s="235">
        <f t="shared" si="42"/>
        <v>0</v>
      </c>
      <c r="V57" s="235">
        <f t="shared" si="42"/>
        <v>0</v>
      </c>
      <c r="W57" s="235">
        <f t="shared" si="42"/>
        <v>0</v>
      </c>
      <c r="X57" s="235">
        <f t="shared" si="42"/>
        <v>0</v>
      </c>
      <c r="Y57" s="235">
        <f t="shared" si="42"/>
        <v>0</v>
      </c>
      <c r="Z57" s="235">
        <f t="shared" si="42"/>
        <v>0</v>
      </c>
      <c r="AA57" s="235">
        <f t="shared" si="42"/>
        <v>0</v>
      </c>
      <c r="AB57" s="235">
        <f t="shared" si="42"/>
        <v>0</v>
      </c>
      <c r="AC57" s="235">
        <f t="shared" si="42"/>
        <v>0</v>
      </c>
      <c r="AD57" s="235">
        <f t="shared" si="42"/>
        <v>0</v>
      </c>
      <c r="AE57" s="235">
        <f t="shared" si="42"/>
        <v>0</v>
      </c>
      <c r="AF57" s="235">
        <f t="shared" si="42"/>
        <v>0</v>
      </c>
      <c r="AG57" s="235">
        <f t="shared" si="42"/>
        <v>0</v>
      </c>
      <c r="AH57" s="235">
        <f t="shared" si="42"/>
        <v>0</v>
      </c>
      <c r="AI57" s="235">
        <f t="shared" si="42"/>
        <v>0</v>
      </c>
      <c r="AJ57" s="235">
        <f t="shared" si="42"/>
        <v>0</v>
      </c>
      <c r="AK57" s="709">
        <f t="shared" si="39"/>
        <v>0</v>
      </c>
    </row>
    <row r="58" spans="1:37" x14ac:dyDescent="0.75">
      <c r="A58" s="742">
        <v>2033</v>
      </c>
      <c r="B58" s="743"/>
      <c r="C58" s="743"/>
      <c r="D58" s="235"/>
      <c r="E58" s="235"/>
      <c r="F58" s="235"/>
      <c r="G58" s="235"/>
      <c r="H58" s="235"/>
      <c r="I58" s="235"/>
      <c r="J58" s="235"/>
      <c r="K58" s="235"/>
      <c r="L58" s="235"/>
      <c r="M58" s="235"/>
      <c r="N58" s="235"/>
      <c r="O58" s="235"/>
      <c r="P58" s="235"/>
      <c r="Q58" s="235"/>
      <c r="R58" s="235"/>
      <c r="S58" s="235"/>
      <c r="T58" s="235">
        <f>T$20</f>
        <v>0</v>
      </c>
      <c r="U58" s="235">
        <f t="shared" ref="U58:AJ58" si="43">IF(AND(U57=0,T58&gt;0,T57+U21&gt;0),MAX(T58+U21,0),IF(AND(U57=0,T58&gt;0,T57+U21&lt;0),T58+T57+U21,T58))</f>
        <v>0</v>
      </c>
      <c r="V58" s="235">
        <f t="shared" si="43"/>
        <v>0</v>
      </c>
      <c r="W58" s="235">
        <f t="shared" si="43"/>
        <v>0</v>
      </c>
      <c r="X58" s="235">
        <f t="shared" si="43"/>
        <v>0</v>
      </c>
      <c r="Y58" s="235">
        <f t="shared" si="43"/>
        <v>0</v>
      </c>
      <c r="Z58" s="235">
        <f t="shared" si="43"/>
        <v>0</v>
      </c>
      <c r="AA58" s="235">
        <f t="shared" si="43"/>
        <v>0</v>
      </c>
      <c r="AB58" s="235">
        <f t="shared" si="43"/>
        <v>0</v>
      </c>
      <c r="AC58" s="235">
        <f t="shared" si="43"/>
        <v>0</v>
      </c>
      <c r="AD58" s="235">
        <f t="shared" si="43"/>
        <v>0</v>
      </c>
      <c r="AE58" s="235">
        <f t="shared" si="43"/>
        <v>0</v>
      </c>
      <c r="AF58" s="235">
        <f t="shared" si="43"/>
        <v>0</v>
      </c>
      <c r="AG58" s="235">
        <f t="shared" si="43"/>
        <v>0</v>
      </c>
      <c r="AH58" s="235">
        <f t="shared" si="43"/>
        <v>0</v>
      </c>
      <c r="AI58" s="235">
        <f t="shared" si="43"/>
        <v>0</v>
      </c>
      <c r="AJ58" s="235">
        <f t="shared" si="43"/>
        <v>0</v>
      </c>
      <c r="AK58" s="709">
        <f t="shared" si="39"/>
        <v>0</v>
      </c>
    </row>
    <row r="59" spans="1:37" x14ac:dyDescent="0.75">
      <c r="A59" s="742">
        <v>2034</v>
      </c>
      <c r="B59" s="743"/>
      <c r="C59" s="743"/>
      <c r="D59" s="235"/>
      <c r="E59" s="235"/>
      <c r="F59" s="235"/>
      <c r="G59" s="235"/>
      <c r="H59" s="235"/>
      <c r="I59" s="235"/>
      <c r="J59" s="235"/>
      <c r="K59" s="235"/>
      <c r="L59" s="235"/>
      <c r="M59" s="235"/>
      <c r="N59" s="235"/>
      <c r="O59" s="235"/>
      <c r="P59" s="235"/>
      <c r="Q59" s="235"/>
      <c r="R59" s="235"/>
      <c r="S59" s="235"/>
      <c r="T59" s="235"/>
      <c r="U59" s="235">
        <f>U$20</f>
        <v>0</v>
      </c>
      <c r="V59" s="235">
        <f t="shared" ref="V59:AJ59" si="44">IF(AND(V58=0,U59&gt;0,U58+V21&gt;0),MAX(U59+V21,0),IF(AND(V58=0,U59&gt;0,U58+V21&lt;0),U59+U58+V21,U59))</f>
        <v>0</v>
      </c>
      <c r="W59" s="235">
        <f t="shared" si="44"/>
        <v>0</v>
      </c>
      <c r="X59" s="235">
        <f t="shared" si="44"/>
        <v>0</v>
      </c>
      <c r="Y59" s="235">
        <f t="shared" si="44"/>
        <v>0</v>
      </c>
      <c r="Z59" s="235">
        <f t="shared" si="44"/>
        <v>0</v>
      </c>
      <c r="AA59" s="235">
        <f t="shared" si="44"/>
        <v>0</v>
      </c>
      <c r="AB59" s="235">
        <f t="shared" si="44"/>
        <v>0</v>
      </c>
      <c r="AC59" s="235">
        <f t="shared" si="44"/>
        <v>0</v>
      </c>
      <c r="AD59" s="235">
        <f t="shared" si="44"/>
        <v>0</v>
      </c>
      <c r="AE59" s="235">
        <f t="shared" si="44"/>
        <v>0</v>
      </c>
      <c r="AF59" s="235">
        <f t="shared" si="44"/>
        <v>0</v>
      </c>
      <c r="AG59" s="235">
        <f t="shared" si="44"/>
        <v>0</v>
      </c>
      <c r="AH59" s="235">
        <f t="shared" si="44"/>
        <v>0</v>
      </c>
      <c r="AI59" s="235">
        <f t="shared" si="44"/>
        <v>0</v>
      </c>
      <c r="AJ59" s="235">
        <f t="shared" si="44"/>
        <v>0</v>
      </c>
      <c r="AK59" s="709">
        <f t="shared" si="39"/>
        <v>0</v>
      </c>
    </row>
    <row r="60" spans="1:37" x14ac:dyDescent="0.75">
      <c r="A60" s="742">
        <v>2035</v>
      </c>
      <c r="B60" s="743"/>
      <c r="C60" s="743"/>
      <c r="D60" s="235"/>
      <c r="E60" s="235"/>
      <c r="F60" s="235"/>
      <c r="G60" s="235"/>
      <c r="H60" s="235"/>
      <c r="I60" s="235"/>
      <c r="J60" s="235"/>
      <c r="K60" s="235"/>
      <c r="L60" s="235"/>
      <c r="M60" s="235"/>
      <c r="N60" s="235"/>
      <c r="O60" s="235"/>
      <c r="P60" s="235"/>
      <c r="Q60" s="235"/>
      <c r="R60" s="235"/>
      <c r="S60" s="235"/>
      <c r="T60" s="235"/>
      <c r="U60" s="235"/>
      <c r="V60" s="235">
        <f>V$20</f>
        <v>0</v>
      </c>
      <c r="W60" s="235">
        <f t="shared" ref="W60:AJ60" si="45">IF(AND(W59=0,V60&gt;0,V59+W21&gt;0),MAX(V60+W21,0),IF(AND(W59=0,V60&gt;0,V59+W21&lt;0),V60+V59+W21,V60))</f>
        <v>0</v>
      </c>
      <c r="X60" s="235">
        <f t="shared" si="45"/>
        <v>0</v>
      </c>
      <c r="Y60" s="235">
        <f t="shared" si="45"/>
        <v>0</v>
      </c>
      <c r="Z60" s="235">
        <f t="shared" si="45"/>
        <v>0</v>
      </c>
      <c r="AA60" s="235">
        <f t="shared" si="45"/>
        <v>0</v>
      </c>
      <c r="AB60" s="235">
        <f t="shared" si="45"/>
        <v>0</v>
      </c>
      <c r="AC60" s="235">
        <f t="shared" si="45"/>
        <v>0</v>
      </c>
      <c r="AD60" s="235">
        <f t="shared" si="45"/>
        <v>0</v>
      </c>
      <c r="AE60" s="235">
        <f t="shared" si="45"/>
        <v>0</v>
      </c>
      <c r="AF60" s="235">
        <f t="shared" si="45"/>
        <v>0</v>
      </c>
      <c r="AG60" s="235">
        <f t="shared" si="45"/>
        <v>0</v>
      </c>
      <c r="AH60" s="235">
        <f t="shared" si="45"/>
        <v>0</v>
      </c>
      <c r="AI60" s="235">
        <f t="shared" si="45"/>
        <v>0</v>
      </c>
      <c r="AJ60" s="235">
        <f t="shared" si="45"/>
        <v>0</v>
      </c>
      <c r="AK60" s="709">
        <f t="shared" si="39"/>
        <v>0</v>
      </c>
    </row>
    <row r="61" spans="1:37" x14ac:dyDescent="0.75">
      <c r="A61" s="742">
        <v>2036</v>
      </c>
      <c r="B61" s="743"/>
      <c r="C61" s="743"/>
      <c r="D61" s="235"/>
      <c r="E61" s="235"/>
      <c r="F61" s="235"/>
      <c r="G61" s="235"/>
      <c r="H61" s="235"/>
      <c r="I61" s="235"/>
      <c r="J61" s="235"/>
      <c r="K61" s="235"/>
      <c r="L61" s="235"/>
      <c r="M61" s="235"/>
      <c r="N61" s="235"/>
      <c r="O61" s="235"/>
      <c r="P61" s="235"/>
      <c r="Q61" s="235"/>
      <c r="R61" s="235"/>
      <c r="S61" s="235"/>
      <c r="T61" s="235"/>
      <c r="U61" s="235"/>
      <c r="V61" s="235"/>
      <c r="W61" s="235">
        <f>W$20</f>
        <v>0</v>
      </c>
      <c r="X61" s="235">
        <f t="shared" ref="X61:AJ61" si="46">IF(AND(X60=0,W61&gt;0,W60+X21&gt;0),MAX(W61+X21,0),IF(AND(X60=0,W61&gt;0,W60+X21&lt;0),W61+W60+X21,W61))</f>
        <v>0</v>
      </c>
      <c r="Y61" s="235">
        <f t="shared" si="46"/>
        <v>0</v>
      </c>
      <c r="Z61" s="235">
        <f t="shared" si="46"/>
        <v>0</v>
      </c>
      <c r="AA61" s="235">
        <f t="shared" si="46"/>
        <v>0</v>
      </c>
      <c r="AB61" s="235">
        <f t="shared" si="46"/>
        <v>0</v>
      </c>
      <c r="AC61" s="235">
        <f t="shared" si="46"/>
        <v>0</v>
      </c>
      <c r="AD61" s="235">
        <f t="shared" si="46"/>
        <v>0</v>
      </c>
      <c r="AE61" s="235">
        <f t="shared" si="46"/>
        <v>0</v>
      </c>
      <c r="AF61" s="235">
        <f t="shared" si="46"/>
        <v>0</v>
      </c>
      <c r="AG61" s="235">
        <f t="shared" si="46"/>
        <v>0</v>
      </c>
      <c r="AH61" s="235">
        <f t="shared" si="46"/>
        <v>0</v>
      </c>
      <c r="AI61" s="235">
        <f t="shared" si="46"/>
        <v>0</v>
      </c>
      <c r="AJ61" s="235">
        <f t="shared" si="46"/>
        <v>0</v>
      </c>
      <c r="AK61" s="709">
        <f t="shared" si="39"/>
        <v>0</v>
      </c>
    </row>
    <row r="62" spans="1:37" x14ac:dyDescent="0.75">
      <c r="A62" s="742">
        <v>2037</v>
      </c>
      <c r="B62" s="743"/>
      <c r="C62" s="743"/>
      <c r="D62" s="235"/>
      <c r="E62" s="235"/>
      <c r="F62" s="235"/>
      <c r="G62" s="235"/>
      <c r="H62" s="235"/>
      <c r="I62" s="235"/>
      <c r="J62" s="235"/>
      <c r="K62" s="235"/>
      <c r="L62" s="235"/>
      <c r="M62" s="235"/>
      <c r="N62" s="235"/>
      <c r="O62" s="235"/>
      <c r="P62" s="235"/>
      <c r="Q62" s="235"/>
      <c r="R62" s="235"/>
      <c r="S62" s="235"/>
      <c r="T62" s="235"/>
      <c r="U62" s="235"/>
      <c r="V62" s="235"/>
      <c r="W62" s="235"/>
      <c r="X62" s="235">
        <f>X$20</f>
        <v>0</v>
      </c>
      <c r="Y62" s="235">
        <f t="shared" ref="Y62:AJ62" si="47">IF(AND(Y61=0,X62&gt;0,X61+Y21&gt;0),MAX(X62+Y21,0),IF(AND(Y61=0,X62&gt;0,X61+Y21&lt;0),X62+X61+Y21,X62))</f>
        <v>0</v>
      </c>
      <c r="Z62" s="235">
        <f t="shared" si="47"/>
        <v>0</v>
      </c>
      <c r="AA62" s="235">
        <f t="shared" si="47"/>
        <v>0</v>
      </c>
      <c r="AB62" s="235">
        <f t="shared" si="47"/>
        <v>0</v>
      </c>
      <c r="AC62" s="235">
        <f t="shared" si="47"/>
        <v>0</v>
      </c>
      <c r="AD62" s="235">
        <f t="shared" si="47"/>
        <v>0</v>
      </c>
      <c r="AE62" s="235">
        <f t="shared" si="47"/>
        <v>0</v>
      </c>
      <c r="AF62" s="235">
        <f t="shared" si="47"/>
        <v>0</v>
      </c>
      <c r="AG62" s="235">
        <f t="shared" si="47"/>
        <v>0</v>
      </c>
      <c r="AH62" s="235">
        <f t="shared" si="47"/>
        <v>0</v>
      </c>
      <c r="AI62" s="235">
        <f t="shared" si="47"/>
        <v>0</v>
      </c>
      <c r="AJ62" s="235">
        <f t="shared" si="47"/>
        <v>0</v>
      </c>
      <c r="AK62" s="709">
        <f t="shared" si="39"/>
        <v>0</v>
      </c>
    </row>
    <row r="63" spans="1:37" x14ac:dyDescent="0.75">
      <c r="A63" s="742">
        <v>2038</v>
      </c>
      <c r="B63" s="743"/>
      <c r="C63" s="743"/>
      <c r="D63" s="235"/>
      <c r="E63" s="235"/>
      <c r="F63" s="235"/>
      <c r="G63" s="235"/>
      <c r="H63" s="235"/>
      <c r="I63" s="235"/>
      <c r="J63" s="235"/>
      <c r="K63" s="235"/>
      <c r="L63" s="235"/>
      <c r="M63" s="235"/>
      <c r="N63" s="235"/>
      <c r="O63" s="235"/>
      <c r="P63" s="235"/>
      <c r="Q63" s="235"/>
      <c r="R63" s="235"/>
      <c r="S63" s="235"/>
      <c r="T63" s="235"/>
      <c r="U63" s="235"/>
      <c r="V63" s="235"/>
      <c r="W63" s="235"/>
      <c r="X63" s="235"/>
      <c r="Y63" s="235">
        <f>Y$20</f>
        <v>0</v>
      </c>
      <c r="Z63" s="235">
        <f t="shared" ref="Z63:AJ63" si="48">IF(AND(Z62=0,Y63&gt;0,Y62+Z21&gt;0),MAX(Y63+Z21,0),IF(AND(Z62=0,Y63&gt;0,Y62+Z21&lt;0),Y63+Y62+Z21,Y63))</f>
        <v>0</v>
      </c>
      <c r="AA63" s="235">
        <f t="shared" si="48"/>
        <v>0</v>
      </c>
      <c r="AB63" s="235">
        <f t="shared" si="48"/>
        <v>0</v>
      </c>
      <c r="AC63" s="235">
        <f t="shared" si="48"/>
        <v>0</v>
      </c>
      <c r="AD63" s="235">
        <f t="shared" si="48"/>
        <v>0</v>
      </c>
      <c r="AE63" s="235">
        <f t="shared" si="48"/>
        <v>0</v>
      </c>
      <c r="AF63" s="235">
        <f t="shared" si="48"/>
        <v>0</v>
      </c>
      <c r="AG63" s="235">
        <f t="shared" si="48"/>
        <v>0</v>
      </c>
      <c r="AH63" s="235">
        <f t="shared" si="48"/>
        <v>0</v>
      </c>
      <c r="AI63" s="235">
        <f t="shared" si="48"/>
        <v>0</v>
      </c>
      <c r="AJ63" s="235">
        <f t="shared" si="48"/>
        <v>0</v>
      </c>
      <c r="AK63" s="709">
        <f t="shared" si="39"/>
        <v>0</v>
      </c>
    </row>
    <row r="64" spans="1:37" x14ac:dyDescent="0.75">
      <c r="A64" s="742">
        <v>2039</v>
      </c>
      <c r="B64" s="743"/>
      <c r="C64" s="743"/>
      <c r="D64" s="235"/>
      <c r="E64" s="235"/>
      <c r="F64" s="235"/>
      <c r="G64" s="235"/>
      <c r="H64" s="235"/>
      <c r="I64" s="235"/>
      <c r="J64" s="235"/>
      <c r="K64" s="235"/>
      <c r="L64" s="235"/>
      <c r="M64" s="235"/>
      <c r="N64" s="235"/>
      <c r="O64" s="235"/>
      <c r="P64" s="235"/>
      <c r="Q64" s="235"/>
      <c r="R64" s="235"/>
      <c r="S64" s="235"/>
      <c r="T64" s="235"/>
      <c r="U64" s="235"/>
      <c r="V64" s="235"/>
      <c r="W64" s="235"/>
      <c r="X64" s="235"/>
      <c r="Y64" s="235"/>
      <c r="Z64" s="235">
        <f>Z$20</f>
        <v>0</v>
      </c>
      <c r="AA64" s="235">
        <f t="shared" ref="AA64:AJ64" si="49">IF(AND(AA63=0,Z64&gt;0,Z63+AA21&gt;0),MAX(Z64+AA21,0),IF(AND(AA63=0,Z64&gt;0,Z63+AA21&lt;0),Z64+Z63+AA21,Z64))</f>
        <v>0</v>
      </c>
      <c r="AB64" s="235">
        <f t="shared" si="49"/>
        <v>0</v>
      </c>
      <c r="AC64" s="235">
        <f t="shared" si="49"/>
        <v>0</v>
      </c>
      <c r="AD64" s="235">
        <f t="shared" si="49"/>
        <v>0</v>
      </c>
      <c r="AE64" s="235">
        <f t="shared" si="49"/>
        <v>0</v>
      </c>
      <c r="AF64" s="235">
        <f t="shared" si="49"/>
        <v>0</v>
      </c>
      <c r="AG64" s="235">
        <f t="shared" si="49"/>
        <v>0</v>
      </c>
      <c r="AH64" s="235">
        <f t="shared" si="49"/>
        <v>0</v>
      </c>
      <c r="AI64" s="235">
        <f t="shared" si="49"/>
        <v>0</v>
      </c>
      <c r="AJ64" s="235">
        <f t="shared" si="49"/>
        <v>0</v>
      </c>
      <c r="AK64" s="709">
        <f t="shared" si="39"/>
        <v>0</v>
      </c>
    </row>
    <row r="65" spans="1:37" x14ac:dyDescent="0.75">
      <c r="A65" s="742">
        <v>2040</v>
      </c>
      <c r="B65" s="743"/>
      <c r="C65" s="743"/>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f>AA$20</f>
        <v>0</v>
      </c>
      <c r="AB65" s="235">
        <f t="shared" ref="AB65:AJ65" si="50">IF(AND(AB64=0,AA65&gt;0,AA64+AB21&gt;0),MAX(AA65+AB21,0),IF(AND(AB64=0,AA65&gt;0,AA64+AB21&lt;0),AA65+AA64+AB21,AA65))</f>
        <v>0</v>
      </c>
      <c r="AC65" s="235">
        <f t="shared" si="50"/>
        <v>0</v>
      </c>
      <c r="AD65" s="235">
        <f t="shared" si="50"/>
        <v>0</v>
      </c>
      <c r="AE65" s="235">
        <f t="shared" si="50"/>
        <v>0</v>
      </c>
      <c r="AF65" s="235">
        <f t="shared" si="50"/>
        <v>0</v>
      </c>
      <c r="AG65" s="235">
        <f t="shared" si="50"/>
        <v>0</v>
      </c>
      <c r="AH65" s="235">
        <f t="shared" si="50"/>
        <v>0</v>
      </c>
      <c r="AI65" s="235">
        <f t="shared" si="50"/>
        <v>0</v>
      </c>
      <c r="AJ65" s="235">
        <f t="shared" si="50"/>
        <v>0</v>
      </c>
      <c r="AK65" s="709">
        <f t="shared" si="39"/>
        <v>0</v>
      </c>
    </row>
    <row r="66" spans="1:37" x14ac:dyDescent="0.75">
      <c r="A66" s="742">
        <v>2041</v>
      </c>
      <c r="B66" s="743"/>
      <c r="C66" s="743"/>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f>AB$20</f>
        <v>0</v>
      </c>
      <c r="AC66" s="235">
        <f t="shared" ref="AC66:AJ66" si="51">IF(AND(AC65=0,AB66&gt;0,AB65+AC21&gt;0),MAX(AB66+AC21,0),IF(AND(AC65=0,AB66&gt;0,AB65+AC21&lt;0),AB66+AB65+AC21,AB66))</f>
        <v>0</v>
      </c>
      <c r="AD66" s="235">
        <f t="shared" si="51"/>
        <v>0</v>
      </c>
      <c r="AE66" s="235">
        <f t="shared" si="51"/>
        <v>0</v>
      </c>
      <c r="AF66" s="235">
        <f t="shared" si="51"/>
        <v>0</v>
      </c>
      <c r="AG66" s="235">
        <f t="shared" si="51"/>
        <v>0</v>
      </c>
      <c r="AH66" s="235">
        <f t="shared" si="51"/>
        <v>0</v>
      </c>
      <c r="AI66" s="235">
        <f t="shared" si="51"/>
        <v>0</v>
      </c>
      <c r="AJ66" s="235">
        <f t="shared" si="51"/>
        <v>0</v>
      </c>
      <c r="AK66" s="709">
        <f t="shared" si="39"/>
        <v>0</v>
      </c>
    </row>
    <row r="67" spans="1:37" x14ac:dyDescent="0.75">
      <c r="A67" s="742">
        <v>2042</v>
      </c>
      <c r="B67" s="743"/>
      <c r="C67" s="743"/>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f>AC$20</f>
        <v>0</v>
      </c>
      <c r="AD67" s="235">
        <f t="shared" ref="AD67:AJ67" si="52">IF(AND(AD66=0,AC67&gt;0,AC66+AD21&gt;0),MAX(AC67+AD21,0),IF(AND(AD66=0,AC67&gt;0,AC66+AD21&lt;0),AC67+AC66+AD21,AC67))</f>
        <v>0</v>
      </c>
      <c r="AE67" s="235">
        <f t="shared" si="52"/>
        <v>0</v>
      </c>
      <c r="AF67" s="235">
        <f t="shared" si="52"/>
        <v>0</v>
      </c>
      <c r="AG67" s="235">
        <f t="shared" si="52"/>
        <v>0</v>
      </c>
      <c r="AH67" s="235">
        <f t="shared" si="52"/>
        <v>0</v>
      </c>
      <c r="AI67" s="235">
        <f t="shared" si="52"/>
        <v>0</v>
      </c>
      <c r="AJ67" s="235">
        <f t="shared" si="52"/>
        <v>0</v>
      </c>
      <c r="AK67" s="709">
        <f t="shared" si="39"/>
        <v>0</v>
      </c>
    </row>
    <row r="68" spans="1:37" x14ac:dyDescent="0.75">
      <c r="A68" s="742">
        <v>2043</v>
      </c>
      <c r="B68" s="743"/>
      <c r="C68" s="743"/>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f>AD$20</f>
        <v>0</v>
      </c>
      <c r="AE68" s="235">
        <f t="shared" ref="AE68:AJ68" si="53">IF(AND(AE67=0,AD68&gt;0,AD67+AE21&gt;0),MAX(AD68+AE21,0),IF(AND(AE67=0,AD68&gt;0,AD67+AE21&lt;0),AD68+AD67+AE21,AD68))</f>
        <v>0</v>
      </c>
      <c r="AF68" s="235">
        <f t="shared" si="53"/>
        <v>0</v>
      </c>
      <c r="AG68" s="235">
        <f t="shared" si="53"/>
        <v>0</v>
      </c>
      <c r="AH68" s="235">
        <f t="shared" si="53"/>
        <v>0</v>
      </c>
      <c r="AI68" s="235">
        <f t="shared" si="53"/>
        <v>0</v>
      </c>
      <c r="AJ68" s="235">
        <f t="shared" si="53"/>
        <v>0</v>
      </c>
      <c r="AK68" s="709">
        <f t="shared" si="39"/>
        <v>0</v>
      </c>
    </row>
    <row r="69" spans="1:37" x14ac:dyDescent="0.75">
      <c r="A69" s="742">
        <v>2044</v>
      </c>
      <c r="B69" s="743"/>
      <c r="C69" s="743"/>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f>AE$20</f>
        <v>0</v>
      </c>
      <c r="AF69" s="235">
        <f>IF(AND(AF68=0,AE69&gt;0,AE68+AF21&gt;0),MAX(AE69+AF21,0),IF(AND(AF68=0,AE69&gt;0,AE68+AF21&lt;0),AE69+AE68+AF21,AE69))</f>
        <v>0</v>
      </c>
      <c r="AG69" s="235">
        <f>IF(AND(AG68=0,AF69&gt;0,AF68+AG21&gt;0),MAX(AF69+AG21,0),IF(AND(AG68=0,AF69&gt;0,AF68+AG21&lt;0),AF69+AF68+AG21,AF69))</f>
        <v>0</v>
      </c>
      <c r="AH69" s="235">
        <f>IF(AND(AH68=0,AG69&gt;0,AG68+AH21&gt;0),MAX(AG69+AH21,0),IF(AND(AH68=0,AG69&gt;0,AG68+AH21&lt;0),AG69+AG68+AH21,AG69))</f>
        <v>0</v>
      </c>
      <c r="AI69" s="235">
        <f>IF(AND(AI68=0,AH69&gt;0,AH68+AI21&gt;0),MAX(AH69+AI21,0),IF(AND(AI68=0,AH69&gt;0,AH68+AI21&lt;0),AH69+AH68+AI21,AH69))</f>
        <v>0</v>
      </c>
      <c r="AJ69" s="235">
        <f>IF(AND(AJ68=0,AI69&gt;0,AI68+AJ21&gt;0),MAX(AI69+AJ21,0),IF(AND(AJ68=0,AI69&gt;0,AI68+AJ21&lt;0),AI69+AI68+AJ21,AI69))</f>
        <v>0</v>
      </c>
      <c r="AK69" s="709">
        <f t="shared" si="39"/>
        <v>0</v>
      </c>
    </row>
    <row r="70" spans="1:37" x14ac:dyDescent="0.75">
      <c r="A70" s="742">
        <v>2045</v>
      </c>
      <c r="B70" s="743"/>
      <c r="C70" s="743"/>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f>AF$20</f>
        <v>0</v>
      </c>
      <c r="AG70" s="235">
        <f>IF(AND(AG69=0,AF70&gt;0,AF69+AG21&gt;0),MAX(AF70+AG21,0),IF(AND(AG69=0,AF70&gt;0,AF69+AG21&lt;0),AF70+AF69+AG21,AF70))</f>
        <v>0</v>
      </c>
      <c r="AH70" s="235">
        <f>IF(AND(AH69=0,AG70&gt;0,AG69+AH21&gt;0),MAX(AG70+AH21,0),IF(AND(AH69=0,AG70&gt;0,AG69+AH21&lt;0),AG70+AG69+AH21,AG70))</f>
        <v>0</v>
      </c>
      <c r="AI70" s="235">
        <f>IF(AND(AI69=0,AH70&gt;0,AH69+AI21&gt;0),MAX(AH70+AI21,0),IF(AND(AI69=0,AH70&gt;0,AH69+AI21&lt;0),AH70+AH69+AI21,AH70))</f>
        <v>0</v>
      </c>
      <c r="AJ70" s="235">
        <f>IF(AND(AJ69=0,AI70&gt;0,AI69+AJ21&gt;0),MAX(AI70+AJ21,0),IF(AND(AJ69=0,AI70&gt;0,AI69+AJ21&lt;0),AI70+AI69+AJ21,AI70))</f>
        <v>0</v>
      </c>
      <c r="AK70" s="709">
        <f t="shared" si="39"/>
        <v>0</v>
      </c>
    </row>
    <row r="71" spans="1:37" x14ac:dyDescent="0.75">
      <c r="A71" s="742">
        <v>2046</v>
      </c>
      <c r="B71" s="743"/>
      <c r="C71" s="743"/>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f>AG$20</f>
        <v>0</v>
      </c>
      <c r="AH71" s="235">
        <f>IF(AND(AH70=0,AG71&gt;0,AG70+AH21&gt;0),MAX(AG71+AH21,0),IF(AND(AH70=0,AG71&gt;0,AG70+AH21&lt;0),AG71+AG70+AH21,AG71))</f>
        <v>0</v>
      </c>
      <c r="AI71" s="235">
        <f>IF(AND(AI70=0,AH71&gt;0,AH70+AI21&gt;0),MAX(AH71+AI21,0),IF(AND(AI70=0,AH71&gt;0,AH70+AI21&lt;0),AH71+AH70+AI21,AH71))</f>
        <v>0</v>
      </c>
      <c r="AJ71" s="235">
        <f>IF(AND(AJ70=0,AI71&gt;0,AI70+AJ21&gt;0),MAX(AI71+AJ21,0),IF(AND(AJ70=0,AI71&gt;0,AI70+AJ21&lt;0),AI71+AI70+AJ21,AI71))</f>
        <v>0</v>
      </c>
      <c r="AK71" s="709">
        <f t="shared" si="39"/>
        <v>0</v>
      </c>
    </row>
    <row r="72" spans="1:37" x14ac:dyDescent="0.75">
      <c r="A72" s="742">
        <v>2047</v>
      </c>
      <c r="B72" s="743"/>
      <c r="C72" s="743"/>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f>AH$20</f>
        <v>0</v>
      </c>
      <c r="AI72" s="235">
        <f>IF(AND(AI71=0,AH72&gt;0,AH71+AI21&gt;0),MAX(AH72+AI21,0),IF(AND(AI71=0,AH72&gt;0,AH71+AI21&lt;0),AH72+AH71+AI21,AH72))</f>
        <v>0</v>
      </c>
      <c r="AJ72" s="235">
        <f>IF(AND(AJ71=0,AI72&gt;0,AI71+AJ21&gt;0),MAX(AI72+AJ21,0),IF(AND(AJ71=0,AI72&gt;0,AI71+AJ21&lt;0),AI72+AI71+AJ21,AI72))</f>
        <v>0</v>
      </c>
      <c r="AK72" s="709">
        <f t="shared" si="39"/>
        <v>0</v>
      </c>
    </row>
    <row r="73" spans="1:37" x14ac:dyDescent="0.75">
      <c r="A73" s="742">
        <v>2048</v>
      </c>
      <c r="B73" s="743"/>
      <c r="C73" s="743"/>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f>AI$20</f>
        <v>0</v>
      </c>
      <c r="AJ73" s="235">
        <f>IF(AND(AJ72=0,AI73&gt;0,AI72+AJ21&gt;0),MAX(AI73+AJ21,0),IF(AND(AJ72=0,AI73&gt;0,AI72+AJ21&lt;0),AI73+AI72+AJ21,AI73))</f>
        <v>0</v>
      </c>
      <c r="AK73" s="709">
        <f t="shared" si="39"/>
        <v>0</v>
      </c>
    </row>
    <row r="74" spans="1:37" x14ac:dyDescent="0.75">
      <c r="A74" s="742">
        <v>2049</v>
      </c>
      <c r="B74" s="743"/>
      <c r="C74" s="743"/>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f>AJ$20</f>
        <v>0</v>
      </c>
      <c r="AK74" s="709">
        <f t="shared" si="39"/>
        <v>0</v>
      </c>
    </row>
    <row r="75" spans="1:37" x14ac:dyDescent="0.75">
      <c r="A75" s="756">
        <v>2050</v>
      </c>
      <c r="B75" s="750"/>
      <c r="C75" s="750"/>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57">
        <f>-AK20</f>
        <v>0</v>
      </c>
    </row>
    <row r="76" spans="1:37" ht="15.5" thickBot="1" x14ac:dyDescent="0.9">
      <c r="A76" s="751" t="s">
        <v>465</v>
      </c>
      <c r="B76" s="752"/>
      <c r="C76" s="752"/>
      <c r="D76" s="753">
        <f t="shared" ref="D76:AK76" si="54">SUMIF(D42:D75,"&lt;0")</f>
        <v>0</v>
      </c>
      <c r="E76" s="753">
        <f t="shared" si="54"/>
        <v>0</v>
      </c>
      <c r="F76" s="753">
        <f t="shared" si="54"/>
        <v>0</v>
      </c>
      <c r="G76" s="753">
        <f t="shared" si="54"/>
        <v>0</v>
      </c>
      <c r="H76" s="753">
        <f t="shared" si="54"/>
        <v>0</v>
      </c>
      <c r="I76" s="753">
        <f t="shared" si="54"/>
        <v>0</v>
      </c>
      <c r="J76" s="753">
        <f t="shared" si="54"/>
        <v>0</v>
      </c>
      <c r="K76" s="753">
        <f t="shared" si="54"/>
        <v>0</v>
      </c>
      <c r="L76" s="753">
        <f t="shared" si="54"/>
        <v>0</v>
      </c>
      <c r="M76" s="753">
        <f t="shared" si="54"/>
        <v>0</v>
      </c>
      <c r="N76" s="753">
        <f t="shared" si="54"/>
        <v>0</v>
      </c>
      <c r="O76" s="753">
        <f t="shared" si="54"/>
        <v>0</v>
      </c>
      <c r="P76" s="753">
        <f t="shared" si="54"/>
        <v>0</v>
      </c>
      <c r="Q76" s="753">
        <f t="shared" si="54"/>
        <v>0</v>
      </c>
      <c r="R76" s="753">
        <f t="shared" si="54"/>
        <v>0</v>
      </c>
      <c r="S76" s="753">
        <f t="shared" si="54"/>
        <v>0</v>
      </c>
      <c r="T76" s="753">
        <f t="shared" si="54"/>
        <v>0</v>
      </c>
      <c r="U76" s="753">
        <f t="shared" si="54"/>
        <v>0</v>
      </c>
      <c r="V76" s="753">
        <f t="shared" si="54"/>
        <v>0</v>
      </c>
      <c r="W76" s="753">
        <f t="shared" si="54"/>
        <v>0</v>
      </c>
      <c r="X76" s="753">
        <f t="shared" si="54"/>
        <v>0</v>
      </c>
      <c r="Y76" s="753">
        <f t="shared" si="54"/>
        <v>0</v>
      </c>
      <c r="Z76" s="753">
        <f t="shared" si="54"/>
        <v>0</v>
      </c>
      <c r="AA76" s="753">
        <f t="shared" si="54"/>
        <v>0</v>
      </c>
      <c r="AB76" s="753">
        <f t="shared" si="54"/>
        <v>0</v>
      </c>
      <c r="AC76" s="753">
        <f t="shared" si="54"/>
        <v>0</v>
      </c>
      <c r="AD76" s="753">
        <f t="shared" si="54"/>
        <v>0</v>
      </c>
      <c r="AE76" s="753">
        <f t="shared" si="54"/>
        <v>0</v>
      </c>
      <c r="AF76" s="753">
        <f t="shared" si="54"/>
        <v>0</v>
      </c>
      <c r="AG76" s="753">
        <f t="shared" si="54"/>
        <v>0</v>
      </c>
      <c r="AH76" s="753">
        <f t="shared" si="54"/>
        <v>0</v>
      </c>
      <c r="AI76" s="753">
        <f t="shared" si="54"/>
        <v>0</v>
      </c>
      <c r="AJ76" s="753">
        <f t="shared" si="54"/>
        <v>0</v>
      </c>
      <c r="AK76" s="754">
        <f t="shared" si="54"/>
        <v>0</v>
      </c>
    </row>
    <row r="77" spans="1:37" ht="16.25" thickTop="1" thickBot="1" x14ac:dyDescent="0.9">
      <c r="A77" s="744"/>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c r="AA77" s="745"/>
      <c r="AB77" s="745"/>
      <c r="AC77" s="745"/>
      <c r="AD77" s="745"/>
      <c r="AE77" s="745"/>
      <c r="AF77" s="745"/>
      <c r="AG77" s="745"/>
      <c r="AH77" s="745"/>
      <c r="AI77" s="745"/>
      <c r="AJ77" s="745"/>
      <c r="AK77" s="746"/>
    </row>
  </sheetData>
  <mergeCells count="3">
    <mergeCell ref="D1:I2"/>
    <mergeCell ref="J1:AK2"/>
    <mergeCell ref="B1:C1"/>
  </mergeCells>
  <hyperlinks>
    <hyperlink ref="A1" location="'Cover Page '!A1" display="Back to cover page "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AO30"/>
  <sheetViews>
    <sheetView showGridLines="0" zoomScale="85" zoomScaleNormal="85" zoomScalePageLayoutView="85" workbookViewId="0">
      <pane xSplit="1" ySplit="3" topLeftCell="B4" activePane="bottomRight" state="frozen"/>
      <selection pane="topRight" activeCell="B1" sqref="B1"/>
      <selection pane="bottomLeft" activeCell="A2" sqref="A2"/>
      <selection pane="bottomRight"/>
    </sheetView>
  </sheetViews>
  <sheetFormatPr defaultColWidth="8.83203125" defaultRowHeight="16" x14ac:dyDescent="0.8"/>
  <cols>
    <col min="1" max="1" width="44.1640625" bestFit="1" customWidth="1"/>
    <col min="2" max="10" width="10" bestFit="1" customWidth="1"/>
    <col min="11" max="11" width="10.6640625" bestFit="1" customWidth="1"/>
    <col min="12" max="12" width="11.6640625" bestFit="1" customWidth="1"/>
    <col min="13" max="13" width="10" bestFit="1" customWidth="1"/>
    <col min="14" max="41" width="10.6640625" bestFit="1" customWidth="1"/>
  </cols>
  <sheetData>
    <row r="1" spans="1:41"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ht="16.75" thickBot="1" x14ac:dyDescent="0.95"/>
    <row r="5" spans="1:41" x14ac:dyDescent="0.8">
      <c r="A5" s="20" t="s">
        <v>106</v>
      </c>
      <c r="B5" s="664">
        <v>363273</v>
      </c>
      <c r="C5" s="664">
        <v>368004</v>
      </c>
      <c r="D5" s="664">
        <v>280014</v>
      </c>
      <c r="E5" s="664">
        <v>336330</v>
      </c>
      <c r="F5" s="664">
        <v>338767</v>
      </c>
      <c r="G5" s="664">
        <v>317209</v>
      </c>
      <c r="H5" s="665">
        <f>'Income Statement '!H4</f>
        <v>291763.03818999999</v>
      </c>
      <c r="I5" s="664">
        <f>'Income Statement '!I4</f>
        <v>319369.93508804729</v>
      </c>
      <c r="J5" s="664">
        <f>'Income Statement '!J4</f>
        <v>314708.11557549465</v>
      </c>
      <c r="K5" s="664">
        <f>'Income Statement '!K4</f>
        <v>324651.60766909434</v>
      </c>
      <c r="L5" s="664">
        <f>'Income Statement '!L4</f>
        <v>312451.74932822911</v>
      </c>
      <c r="M5" s="664">
        <f>'Income Statement '!M4</f>
        <v>322466.60144494905</v>
      </c>
      <c r="N5" s="665">
        <f>'Income Statement '!N4</f>
        <v>286915.31118180917</v>
      </c>
      <c r="O5" s="664">
        <f>'Income Statement '!O4</f>
        <v>294488.44780073955</v>
      </c>
      <c r="P5" s="664">
        <f>'Income Statement '!P4</f>
        <v>273444.68735097966</v>
      </c>
      <c r="Q5" s="664">
        <f>'Income Statement '!Q4</f>
        <v>278720.87784781202</v>
      </c>
      <c r="R5" s="664">
        <f>'Income Statement '!R4</f>
        <v>257500.73366735392</v>
      </c>
      <c r="S5" s="664">
        <f>'Income Statement '!S4</f>
        <v>261004.29044669532</v>
      </c>
      <c r="T5" s="664">
        <f>'Income Statement '!T4</f>
        <v>246163.29288861965</v>
      </c>
      <c r="U5" s="664">
        <f>'Income Statement '!U4</f>
        <v>248475.8250123013</v>
      </c>
      <c r="V5" s="664">
        <f>'Income Statement '!V4</f>
        <v>237494.91545295209</v>
      </c>
      <c r="W5" s="664">
        <f>'Income Statement '!W4</f>
        <v>237851.95979960077</v>
      </c>
      <c r="X5" s="664">
        <f>'Income Statement '!X4</f>
        <v>229391.84087552084</v>
      </c>
      <c r="Y5" s="664">
        <f>'Income Statement '!Y4</f>
        <v>222694.88456047879</v>
      </c>
      <c r="Z5" s="664">
        <f>'Income Statement '!Z4</f>
        <v>214711.16629245068</v>
      </c>
      <c r="AA5" s="664">
        <f>'Income Statement '!AA4</f>
        <v>208346.53842971148</v>
      </c>
      <c r="AB5" s="664">
        <f>'Income Statement '!AB4</f>
        <v>201232.34259039053</v>
      </c>
      <c r="AC5" s="664">
        <f>'Income Statement '!AC4</f>
        <v>195257.58669014435</v>
      </c>
      <c r="AD5" s="664">
        <f>'Income Statement '!AD4</f>
        <v>188875.77665320638</v>
      </c>
      <c r="AE5" s="664">
        <f>'Income Statement '!AE4</f>
        <v>183313.02962467581</v>
      </c>
      <c r="AF5" s="664">
        <f>'Income Statement '!AF4</f>
        <v>177559.09572133946</v>
      </c>
      <c r="AG5" s="664">
        <f>'Income Statement '!AG4</f>
        <v>172408.5268987974</v>
      </c>
      <c r="AH5" s="664">
        <f>'Income Statement '!AH4</f>
        <v>167475.46132339531</v>
      </c>
      <c r="AI5" s="664">
        <f>'Income Statement '!AI4</f>
        <v>162777.8523998661</v>
      </c>
      <c r="AJ5" s="664">
        <f>'Income Statement '!AJ4</f>
        <v>158279.63126125847</v>
      </c>
      <c r="AK5" s="664">
        <f>'Income Statement '!AK4</f>
        <v>153991.885608543</v>
      </c>
      <c r="AL5" s="664">
        <f>'Income Statement '!AL4</f>
        <v>149887.72430216079</v>
      </c>
      <c r="AM5" s="664">
        <f>'Income Statement '!AM4</f>
        <v>145972.44433238992</v>
      </c>
      <c r="AN5" s="664">
        <f>'Income Statement '!AN4</f>
        <v>142225.62260075682</v>
      </c>
      <c r="AO5" s="666">
        <f>'Income Statement '!AO4</f>
        <v>138648.83194314165</v>
      </c>
    </row>
    <row r="6" spans="1:41" x14ac:dyDescent="0.8">
      <c r="A6" s="22" t="s">
        <v>400</v>
      </c>
      <c r="B6" s="186">
        <v>8900</v>
      </c>
      <c r="C6" s="186">
        <v>11800</v>
      </c>
      <c r="D6" s="186">
        <v>7200</v>
      </c>
      <c r="E6" s="186">
        <v>50000</v>
      </c>
      <c r="F6" s="186">
        <v>8200</v>
      </c>
      <c r="G6" s="186">
        <v>15658</v>
      </c>
      <c r="H6" s="655">
        <f>H9*H5</f>
        <v>29176.303819000001</v>
      </c>
      <c r="I6" s="186">
        <f t="shared" ref="I6:AO6" si="0">I9*I5</f>
        <v>6387.3987017609461</v>
      </c>
      <c r="J6" s="186">
        <f t="shared" si="0"/>
        <v>37764.973869059359</v>
      </c>
      <c r="K6" s="187">
        <f t="shared" si="0"/>
        <v>3246.5160766909435</v>
      </c>
      <c r="L6" s="187">
        <f t="shared" si="0"/>
        <v>15622.587466411456</v>
      </c>
      <c r="M6" s="187">
        <v>0</v>
      </c>
      <c r="N6" s="554">
        <f t="shared" si="0"/>
        <v>5738.3062236361839</v>
      </c>
      <c r="O6" s="187">
        <f t="shared" si="0"/>
        <v>5889.768956014791</v>
      </c>
      <c r="P6" s="187">
        <f t="shared" si="0"/>
        <v>5468.8937470195933</v>
      </c>
      <c r="Q6" s="187">
        <f t="shared" si="0"/>
        <v>5574.4175569562403</v>
      </c>
      <c r="R6" s="187">
        <f t="shared" si="0"/>
        <v>5150.0146733470783</v>
      </c>
      <c r="S6" s="187">
        <f t="shared" si="0"/>
        <v>5220.0858089339063</v>
      </c>
      <c r="T6" s="187">
        <f t="shared" si="0"/>
        <v>4923.2658577723932</v>
      </c>
      <c r="U6" s="187">
        <f t="shared" si="0"/>
        <v>4969.5165002460262</v>
      </c>
      <c r="V6" s="187">
        <f t="shared" si="0"/>
        <v>4749.8983090590418</v>
      </c>
      <c r="W6" s="187">
        <f t="shared" si="0"/>
        <v>4757.0391959920153</v>
      </c>
      <c r="X6" s="187">
        <f t="shared" si="0"/>
        <v>4587.8368175104169</v>
      </c>
      <c r="Y6" s="187">
        <f t="shared" si="0"/>
        <v>4453.8976912095759</v>
      </c>
      <c r="Z6" s="187">
        <f t="shared" si="0"/>
        <v>4294.2233258490141</v>
      </c>
      <c r="AA6" s="187">
        <f t="shared" si="0"/>
        <v>4166.9307685942294</v>
      </c>
      <c r="AB6" s="187">
        <f t="shared" si="0"/>
        <v>4024.6468518078109</v>
      </c>
      <c r="AC6" s="187">
        <f t="shared" si="0"/>
        <v>3905.1517338028871</v>
      </c>
      <c r="AD6" s="187">
        <f t="shared" si="0"/>
        <v>3777.5155330641278</v>
      </c>
      <c r="AE6" s="187">
        <f t="shared" si="0"/>
        <v>3666.260592493516</v>
      </c>
      <c r="AF6" s="187">
        <f t="shared" si="0"/>
        <v>3551.1819144267893</v>
      </c>
      <c r="AG6" s="187">
        <f t="shared" si="0"/>
        <v>3448.1705379759478</v>
      </c>
      <c r="AH6" s="187">
        <f t="shared" si="0"/>
        <v>3349.5092264679065</v>
      </c>
      <c r="AI6" s="187">
        <f t="shared" si="0"/>
        <v>3255.5570479973221</v>
      </c>
      <c r="AJ6" s="187">
        <f t="shared" si="0"/>
        <v>3165.5926252251697</v>
      </c>
      <c r="AK6" s="187">
        <f t="shared" si="0"/>
        <v>3079.83771217086</v>
      </c>
      <c r="AL6" s="187">
        <f t="shared" si="0"/>
        <v>2997.7544860432158</v>
      </c>
      <c r="AM6" s="187">
        <f t="shared" si="0"/>
        <v>2919.4488866477982</v>
      </c>
      <c r="AN6" s="187">
        <f t="shared" si="0"/>
        <v>2844.5124520151362</v>
      </c>
      <c r="AO6" s="667">
        <f t="shared" si="0"/>
        <v>2772.9766388628332</v>
      </c>
    </row>
    <row r="7" spans="1:41" x14ac:dyDescent="0.8">
      <c r="A7" s="22" t="s">
        <v>401</v>
      </c>
      <c r="B7" s="188">
        <f>B16</f>
        <v>0</v>
      </c>
      <c r="C7" s="188">
        <f t="shared" ref="C7:G7" si="1">C16</f>
        <v>0</v>
      </c>
      <c r="D7" s="186">
        <f t="shared" si="1"/>
        <v>0</v>
      </c>
      <c r="E7" s="186">
        <f t="shared" si="1"/>
        <v>24000</v>
      </c>
      <c r="F7" s="186">
        <f t="shared" si="1"/>
        <v>0</v>
      </c>
      <c r="G7" s="186">
        <f t="shared" si="1"/>
        <v>2858</v>
      </c>
      <c r="H7" s="655">
        <f>H6*H10</f>
        <v>3209.3934200900003</v>
      </c>
      <c r="I7" s="186">
        <f t="shared" ref="I7:AO7" si="2">I6*I10</f>
        <v>702.61385719370412</v>
      </c>
      <c r="J7" s="186">
        <f t="shared" si="2"/>
        <v>4154.1471255965298</v>
      </c>
      <c r="K7" s="186">
        <f t="shared" si="2"/>
        <v>357.11676843600378</v>
      </c>
      <c r="L7" s="186">
        <f t="shared" si="2"/>
        <v>1718.4846213052601</v>
      </c>
      <c r="M7" s="186">
        <f t="shared" si="2"/>
        <v>0</v>
      </c>
      <c r="N7" s="655">
        <f t="shared" si="2"/>
        <v>631.21368459998018</v>
      </c>
      <c r="O7" s="186">
        <f t="shared" si="2"/>
        <v>647.87458516162701</v>
      </c>
      <c r="P7" s="186">
        <f t="shared" si="2"/>
        <v>601.57831217215528</v>
      </c>
      <c r="Q7" s="186">
        <f t="shared" si="2"/>
        <v>613.18593126518647</v>
      </c>
      <c r="R7" s="186">
        <f t="shared" si="2"/>
        <v>566.50161406817858</v>
      </c>
      <c r="S7" s="186">
        <f t="shared" si="2"/>
        <v>574.20943898272969</v>
      </c>
      <c r="T7" s="186">
        <f t="shared" si="2"/>
        <v>541.55924435496331</v>
      </c>
      <c r="U7" s="186">
        <f t="shared" si="2"/>
        <v>546.64681502706287</v>
      </c>
      <c r="V7" s="186">
        <f t="shared" si="2"/>
        <v>522.48881399649463</v>
      </c>
      <c r="W7" s="186">
        <f t="shared" si="2"/>
        <v>523.27431155912166</v>
      </c>
      <c r="X7" s="186">
        <f t="shared" si="2"/>
        <v>504.66204992614587</v>
      </c>
      <c r="Y7" s="186">
        <f t="shared" si="2"/>
        <v>489.92874603305336</v>
      </c>
      <c r="Z7" s="186">
        <f t="shared" si="2"/>
        <v>472.36456584339157</v>
      </c>
      <c r="AA7" s="186">
        <f t="shared" si="2"/>
        <v>458.36238454536522</v>
      </c>
      <c r="AB7" s="186">
        <f t="shared" si="2"/>
        <v>442.71115369885922</v>
      </c>
      <c r="AC7" s="186">
        <f t="shared" si="2"/>
        <v>429.5666907183176</v>
      </c>
      <c r="AD7" s="186">
        <f t="shared" si="2"/>
        <v>415.52670863705407</v>
      </c>
      <c r="AE7" s="186">
        <f t="shared" si="2"/>
        <v>403.28866517428679</v>
      </c>
      <c r="AF7" s="186">
        <f t="shared" si="2"/>
        <v>390.63001058694681</v>
      </c>
      <c r="AG7" s="186">
        <f t="shared" si="2"/>
        <v>379.29875917735427</v>
      </c>
      <c r="AH7" s="186">
        <f t="shared" si="2"/>
        <v>368.44601491146972</v>
      </c>
      <c r="AI7" s="186">
        <f t="shared" si="2"/>
        <v>358.11127527970541</v>
      </c>
      <c r="AJ7" s="186">
        <f t="shared" si="2"/>
        <v>348.21518877476865</v>
      </c>
      <c r="AK7" s="186">
        <f t="shared" si="2"/>
        <v>338.78214833879457</v>
      </c>
      <c r="AL7" s="186">
        <f t="shared" si="2"/>
        <v>329.75299346475373</v>
      </c>
      <c r="AM7" s="186">
        <f t="shared" si="2"/>
        <v>321.13937753125782</v>
      </c>
      <c r="AN7" s="186">
        <f t="shared" si="2"/>
        <v>312.896369721665</v>
      </c>
      <c r="AO7" s="668">
        <f t="shared" si="2"/>
        <v>305.02743027491164</v>
      </c>
    </row>
    <row r="8" spans="1:41" x14ac:dyDescent="0.8">
      <c r="A8" s="22" t="s">
        <v>402</v>
      </c>
      <c r="B8" s="188">
        <f>B23</f>
        <v>0</v>
      </c>
      <c r="C8" s="188">
        <f t="shared" ref="C8:G8" si="3">C23</f>
        <v>0</v>
      </c>
      <c r="D8" s="186">
        <f t="shared" si="3"/>
        <v>0</v>
      </c>
      <c r="E8" s="186">
        <f t="shared" si="3"/>
        <v>25164</v>
      </c>
      <c r="F8" s="186">
        <f t="shared" si="3"/>
        <v>2781</v>
      </c>
      <c r="G8" s="186">
        <f t="shared" si="3"/>
        <v>14887</v>
      </c>
      <c r="H8" s="655">
        <f>H11*H6</f>
        <v>8752.8911456999995</v>
      </c>
      <c r="I8" s="186">
        <f t="shared" ref="I8:AO8" si="4">I11*I6</f>
        <v>1916.2196105282837</v>
      </c>
      <c r="J8" s="186">
        <f t="shared" si="4"/>
        <v>11329.492160717808</v>
      </c>
      <c r="K8" s="186">
        <f t="shared" si="4"/>
        <v>973.95482300728304</v>
      </c>
      <c r="L8" s="186">
        <f t="shared" si="4"/>
        <v>4686.7762399234371</v>
      </c>
      <c r="M8" s="186">
        <f t="shared" si="4"/>
        <v>0</v>
      </c>
      <c r="N8" s="655">
        <f t="shared" si="4"/>
        <v>1721.4918670908551</v>
      </c>
      <c r="O8" s="186">
        <f t="shared" si="4"/>
        <v>1766.9306868044373</v>
      </c>
      <c r="P8" s="186">
        <f t="shared" si="4"/>
        <v>1640.668124105878</v>
      </c>
      <c r="Q8" s="186">
        <f t="shared" si="4"/>
        <v>1672.3252670868721</v>
      </c>
      <c r="R8" s="186">
        <f t="shared" si="4"/>
        <v>1545.0044020041234</v>
      </c>
      <c r="S8" s="186">
        <f t="shared" si="4"/>
        <v>1566.0257426801718</v>
      </c>
      <c r="T8" s="186">
        <f t="shared" si="4"/>
        <v>1476.979757331718</v>
      </c>
      <c r="U8" s="186">
        <f t="shared" si="4"/>
        <v>1490.8549500738079</v>
      </c>
      <c r="V8" s="186">
        <f t="shared" si="4"/>
        <v>1424.9694927177125</v>
      </c>
      <c r="W8" s="186">
        <f t="shared" si="4"/>
        <v>1427.1117587976046</v>
      </c>
      <c r="X8" s="186">
        <f t="shared" si="4"/>
        <v>1376.351045253125</v>
      </c>
      <c r="Y8" s="186">
        <f t="shared" si="4"/>
        <v>1336.1693073628728</v>
      </c>
      <c r="Z8" s="186">
        <f t="shared" si="4"/>
        <v>1288.2669977547041</v>
      </c>
      <c r="AA8" s="186">
        <f t="shared" si="4"/>
        <v>1250.0792305782688</v>
      </c>
      <c r="AB8" s="186">
        <f t="shared" si="4"/>
        <v>1207.3940555423433</v>
      </c>
      <c r="AC8" s="186">
        <f t="shared" si="4"/>
        <v>1171.5455201408661</v>
      </c>
      <c r="AD8" s="186">
        <f t="shared" si="4"/>
        <v>1133.2546599192383</v>
      </c>
      <c r="AE8" s="186">
        <f t="shared" si="4"/>
        <v>1099.8781777480547</v>
      </c>
      <c r="AF8" s="186">
        <f t="shared" si="4"/>
        <v>1065.3545743280367</v>
      </c>
      <c r="AG8" s="186">
        <f t="shared" si="4"/>
        <v>1034.4511613927843</v>
      </c>
      <c r="AH8" s="186">
        <f t="shared" si="4"/>
        <v>1004.8527679403719</v>
      </c>
      <c r="AI8" s="186">
        <f t="shared" si="4"/>
        <v>976.66711439919663</v>
      </c>
      <c r="AJ8" s="186">
        <f t="shared" si="4"/>
        <v>949.67778756755092</v>
      </c>
      <c r="AK8" s="186">
        <f t="shared" si="4"/>
        <v>923.95131365125792</v>
      </c>
      <c r="AL8" s="186">
        <f t="shared" si="4"/>
        <v>899.32634581296475</v>
      </c>
      <c r="AM8" s="186">
        <f t="shared" si="4"/>
        <v>875.83466599433939</v>
      </c>
      <c r="AN8" s="186">
        <f t="shared" si="4"/>
        <v>853.35373560454082</v>
      </c>
      <c r="AO8" s="668">
        <f t="shared" si="4"/>
        <v>831.89299165884995</v>
      </c>
    </row>
    <row r="9" spans="1:41" x14ac:dyDescent="0.8">
      <c r="A9" s="22" t="s">
        <v>385</v>
      </c>
      <c r="B9" s="189">
        <f t="shared" ref="B9:G9" si="5">B6/B5</f>
        <v>2.4499481106495666E-2</v>
      </c>
      <c r="C9" s="189">
        <f t="shared" si="5"/>
        <v>3.2064868860121089E-2</v>
      </c>
      <c r="D9" s="189">
        <f t="shared" si="5"/>
        <v>2.5713000064282499E-2</v>
      </c>
      <c r="E9" s="189">
        <f t="shared" si="5"/>
        <v>0.14866351500014865</v>
      </c>
      <c r="F9" s="189">
        <f t="shared" si="5"/>
        <v>2.4205427329108208E-2</v>
      </c>
      <c r="G9" s="189">
        <f t="shared" si="5"/>
        <v>4.936177725096072E-2</v>
      </c>
      <c r="H9" s="210">
        <v>0.1</v>
      </c>
      <c r="I9" s="190">
        <v>0.02</v>
      </c>
      <c r="J9" s="190">
        <v>0.12</v>
      </c>
      <c r="K9" s="190">
        <v>0.01</v>
      </c>
      <c r="L9" s="190">
        <v>0.05</v>
      </c>
      <c r="M9" s="190">
        <f>M12/M5</f>
        <v>0</v>
      </c>
      <c r="N9" s="210">
        <v>0.02</v>
      </c>
      <c r="O9" s="190">
        <v>0.02</v>
      </c>
      <c r="P9" s="190">
        <v>0.02</v>
      </c>
      <c r="Q9" s="190">
        <v>0.02</v>
      </c>
      <c r="R9" s="190">
        <v>0.02</v>
      </c>
      <c r="S9" s="190">
        <v>0.02</v>
      </c>
      <c r="T9" s="190">
        <v>0.02</v>
      </c>
      <c r="U9" s="190">
        <v>0.02</v>
      </c>
      <c r="V9" s="190">
        <v>0.02</v>
      </c>
      <c r="W9" s="190">
        <v>0.02</v>
      </c>
      <c r="X9" s="190">
        <v>0.02</v>
      </c>
      <c r="Y9" s="190">
        <v>0.02</v>
      </c>
      <c r="Z9" s="190">
        <v>0.02</v>
      </c>
      <c r="AA9" s="190">
        <v>0.02</v>
      </c>
      <c r="AB9" s="190">
        <v>0.02</v>
      </c>
      <c r="AC9" s="190">
        <v>0.02</v>
      </c>
      <c r="AD9" s="190">
        <v>0.02</v>
      </c>
      <c r="AE9" s="190">
        <v>0.02</v>
      </c>
      <c r="AF9" s="190">
        <v>0.02</v>
      </c>
      <c r="AG9" s="190">
        <v>0.02</v>
      </c>
      <c r="AH9" s="190">
        <v>0.02</v>
      </c>
      <c r="AI9" s="190">
        <v>0.02</v>
      </c>
      <c r="AJ9" s="190">
        <v>0.02</v>
      </c>
      <c r="AK9" s="190">
        <v>0.02</v>
      </c>
      <c r="AL9" s="190">
        <v>0.02</v>
      </c>
      <c r="AM9" s="190">
        <v>0.02</v>
      </c>
      <c r="AN9" s="190">
        <v>0.02</v>
      </c>
      <c r="AO9" s="669">
        <v>0.02</v>
      </c>
    </row>
    <row r="10" spans="1:41" x14ac:dyDescent="0.8">
      <c r="A10" s="22" t="s">
        <v>403</v>
      </c>
      <c r="B10" s="189">
        <f>B7/B6</f>
        <v>0</v>
      </c>
      <c r="C10" s="189">
        <f t="shared" ref="C10:G10" si="6">C7/C6</f>
        <v>0</v>
      </c>
      <c r="D10" s="189">
        <f t="shared" si="6"/>
        <v>0</v>
      </c>
      <c r="E10" s="189">
        <f t="shared" si="6"/>
        <v>0.48</v>
      </c>
      <c r="F10" s="189">
        <f t="shared" si="6"/>
        <v>0</v>
      </c>
      <c r="G10" s="189">
        <f t="shared" si="6"/>
        <v>0.18252650402350237</v>
      </c>
      <c r="H10" s="210">
        <v>0.11</v>
      </c>
      <c r="I10" s="190">
        <v>0.11</v>
      </c>
      <c r="J10" s="190">
        <v>0.11</v>
      </c>
      <c r="K10" s="190">
        <v>0.11</v>
      </c>
      <c r="L10" s="190">
        <v>0.11</v>
      </c>
      <c r="M10" s="190">
        <v>0.11</v>
      </c>
      <c r="N10" s="210">
        <v>0.11</v>
      </c>
      <c r="O10" s="190">
        <v>0.11</v>
      </c>
      <c r="P10" s="190">
        <v>0.11</v>
      </c>
      <c r="Q10" s="190">
        <v>0.11</v>
      </c>
      <c r="R10" s="190">
        <v>0.11</v>
      </c>
      <c r="S10" s="190">
        <v>0.11</v>
      </c>
      <c r="T10" s="190">
        <v>0.11</v>
      </c>
      <c r="U10" s="190">
        <v>0.11</v>
      </c>
      <c r="V10" s="190">
        <v>0.11</v>
      </c>
      <c r="W10" s="190">
        <v>0.11</v>
      </c>
      <c r="X10" s="190">
        <v>0.11</v>
      </c>
      <c r="Y10" s="190">
        <v>0.11</v>
      </c>
      <c r="Z10" s="190">
        <v>0.11</v>
      </c>
      <c r="AA10" s="190">
        <v>0.11</v>
      </c>
      <c r="AB10" s="190">
        <v>0.11</v>
      </c>
      <c r="AC10" s="190">
        <v>0.11</v>
      </c>
      <c r="AD10" s="190">
        <v>0.11</v>
      </c>
      <c r="AE10" s="190">
        <v>0.11</v>
      </c>
      <c r="AF10" s="190">
        <v>0.11</v>
      </c>
      <c r="AG10" s="190">
        <v>0.11</v>
      </c>
      <c r="AH10" s="190">
        <v>0.11</v>
      </c>
      <c r="AI10" s="190">
        <v>0.11</v>
      </c>
      <c r="AJ10" s="190">
        <v>0.11</v>
      </c>
      <c r="AK10" s="190">
        <v>0.11</v>
      </c>
      <c r="AL10" s="190">
        <v>0.11</v>
      </c>
      <c r="AM10" s="190">
        <v>0.11</v>
      </c>
      <c r="AN10" s="190">
        <v>0.11</v>
      </c>
      <c r="AO10" s="669">
        <v>0.11</v>
      </c>
    </row>
    <row r="11" spans="1:41" x14ac:dyDescent="0.8">
      <c r="A11" s="22" t="s">
        <v>404</v>
      </c>
      <c r="B11" s="189">
        <f>B8/B6</f>
        <v>0</v>
      </c>
      <c r="C11" s="189">
        <f t="shared" ref="C11:G11" si="7">C8/C6</f>
        <v>0</v>
      </c>
      <c r="D11" s="189">
        <f t="shared" si="7"/>
        <v>0</v>
      </c>
      <c r="E11" s="189">
        <f t="shared" si="7"/>
        <v>0.50327999999999995</v>
      </c>
      <c r="F11" s="189">
        <f t="shared" si="7"/>
        <v>0.33914634146341466</v>
      </c>
      <c r="G11" s="189">
        <f t="shared" si="7"/>
        <v>0.95075999489079066</v>
      </c>
      <c r="H11" s="210">
        <v>0.3</v>
      </c>
      <c r="I11" s="190">
        <v>0.3</v>
      </c>
      <c r="J11" s="190">
        <v>0.3</v>
      </c>
      <c r="K11" s="190">
        <v>0.3</v>
      </c>
      <c r="L11" s="190">
        <v>0.3</v>
      </c>
      <c r="M11" s="190">
        <v>0.3</v>
      </c>
      <c r="N11" s="210">
        <v>0.3</v>
      </c>
      <c r="O11" s="190">
        <v>0.3</v>
      </c>
      <c r="P11" s="190">
        <v>0.3</v>
      </c>
      <c r="Q11" s="190">
        <v>0.3</v>
      </c>
      <c r="R11" s="190">
        <v>0.3</v>
      </c>
      <c r="S11" s="190">
        <v>0.3</v>
      </c>
      <c r="T11" s="190">
        <v>0.3</v>
      </c>
      <c r="U11" s="190">
        <v>0.3</v>
      </c>
      <c r="V11" s="190">
        <v>0.3</v>
      </c>
      <c r="W11" s="190">
        <v>0.3</v>
      </c>
      <c r="X11" s="190">
        <v>0.3</v>
      </c>
      <c r="Y11" s="190">
        <v>0.3</v>
      </c>
      <c r="Z11" s="190">
        <v>0.3</v>
      </c>
      <c r="AA11" s="190">
        <v>0.3</v>
      </c>
      <c r="AB11" s="190">
        <v>0.3</v>
      </c>
      <c r="AC11" s="190">
        <v>0.3</v>
      </c>
      <c r="AD11" s="190">
        <v>0.3</v>
      </c>
      <c r="AE11" s="190">
        <v>0.3</v>
      </c>
      <c r="AF11" s="190">
        <v>0.3</v>
      </c>
      <c r="AG11" s="190">
        <v>0.3</v>
      </c>
      <c r="AH11" s="190">
        <v>0.3</v>
      </c>
      <c r="AI11" s="190">
        <v>0.3</v>
      </c>
      <c r="AJ11" s="190">
        <v>0.3</v>
      </c>
      <c r="AK11" s="190">
        <v>0.3</v>
      </c>
      <c r="AL11" s="190">
        <v>0.3</v>
      </c>
      <c r="AM11" s="190">
        <v>0.3</v>
      </c>
      <c r="AN11" s="190">
        <v>0.3</v>
      </c>
      <c r="AO11" s="669">
        <v>0.3</v>
      </c>
    </row>
    <row r="12" spans="1:41" x14ac:dyDescent="0.8">
      <c r="A12" s="22" t="s">
        <v>386</v>
      </c>
      <c r="B12" s="186">
        <f>-'Statement of Cash Flows '!B31</f>
        <v>0</v>
      </c>
      <c r="C12" s="186">
        <f>-'Statement of Cash Flows '!C31</f>
        <v>0</v>
      </c>
      <c r="D12" s="186">
        <f>-'Statement of Cash Flows '!D31</f>
        <v>0</v>
      </c>
      <c r="E12" s="186">
        <f>-'Statement of Cash Flows '!E31</f>
        <v>20000</v>
      </c>
      <c r="F12" s="186">
        <f>-'Statement of Cash Flows '!F31</f>
        <v>2297</v>
      </c>
      <c r="G12" s="186">
        <f>-'Statement of Cash Flows '!G31</f>
        <v>14571</v>
      </c>
      <c r="H12" s="655">
        <f>-'Statement of Cash Flows '!H31</f>
        <v>11962.28456579</v>
      </c>
      <c r="I12" s="186">
        <f>-'Statement of Cash Flows '!I31</f>
        <v>2618.8334677219877</v>
      </c>
      <c r="J12" s="186">
        <f>-'Statement of Cash Flows '!J31</f>
        <v>15483.639286314337</v>
      </c>
      <c r="K12" s="186">
        <f>-'Statement of Cash Flows '!K31</f>
        <v>1331.0715914432867</v>
      </c>
      <c r="L12" s="186">
        <f>-'Statement of Cash Flows '!L31</f>
        <v>6405.2608612286967</v>
      </c>
      <c r="M12" s="186">
        <f>-'Statement of Cash Flows '!M31</f>
        <v>0</v>
      </c>
      <c r="N12" s="655">
        <f>-'Statement of Cash Flows '!N31</f>
        <v>2352.7055516908354</v>
      </c>
      <c r="O12" s="186">
        <f>-'Statement of Cash Flows '!O31</f>
        <v>2414.8052719660645</v>
      </c>
      <c r="P12" s="186">
        <f>-'Statement of Cash Flows '!P31</f>
        <v>2242.2464362780333</v>
      </c>
      <c r="Q12" s="186">
        <f>-'Statement of Cash Flows '!Q31</f>
        <v>2285.5111983520587</v>
      </c>
      <c r="R12" s="186">
        <f>-'Statement of Cash Flows '!R31</f>
        <v>2111.5060160723019</v>
      </c>
      <c r="S12" s="186">
        <f>-'Statement of Cash Flows '!S31</f>
        <v>2140.2351816629016</v>
      </c>
      <c r="T12" s="186">
        <f>-'Statement of Cash Flows '!T31</f>
        <v>2018.5390016866813</v>
      </c>
      <c r="U12" s="186">
        <f>-'Statement of Cash Flows '!U31</f>
        <v>2037.5017651008707</v>
      </c>
      <c r="V12" s="186">
        <f>-'Statement of Cash Flows '!V31</f>
        <v>1947.4583067142071</v>
      </c>
      <c r="W12" s="186">
        <f>-'Statement of Cash Flows '!W31</f>
        <v>1950.3860703567261</v>
      </c>
      <c r="X12" s="186">
        <f>-'Statement of Cash Flows '!X31</f>
        <v>1881.0130951792707</v>
      </c>
      <c r="Y12" s="186">
        <f>-'Statement of Cash Flows '!Y31</f>
        <v>1826.0980533959262</v>
      </c>
      <c r="Z12" s="186">
        <f>-'Statement of Cash Flows '!Z31</f>
        <v>1760.6315635980957</v>
      </c>
      <c r="AA12" s="186">
        <f>-'Statement of Cash Flows '!AA31</f>
        <v>1708.4416151236342</v>
      </c>
      <c r="AB12" s="186">
        <f>-'Statement of Cash Flows '!AB31</f>
        <v>1650.1052092412024</v>
      </c>
      <c r="AC12" s="186">
        <f>-'Statement of Cash Flows '!AC31</f>
        <v>1601.1122108591837</v>
      </c>
      <c r="AD12" s="186">
        <f>-'Statement of Cash Flows '!AD31</f>
        <v>1548.7813685562924</v>
      </c>
      <c r="AE12" s="186">
        <f>-'Statement of Cash Flows '!AE31</f>
        <v>1503.1668429223414</v>
      </c>
      <c r="AF12" s="186">
        <f>-'Statement of Cash Flows '!AF31</f>
        <v>1455.9845849149835</v>
      </c>
      <c r="AG12" s="186">
        <f>-'Statement of Cash Flows '!AG31</f>
        <v>1413.7499205701386</v>
      </c>
      <c r="AH12" s="186">
        <f>-'Statement of Cash Flows '!AH31</f>
        <v>1373.2987828518417</v>
      </c>
      <c r="AI12" s="186">
        <f>-'Statement of Cash Flows '!AI31</f>
        <v>1334.7783896789019</v>
      </c>
      <c r="AJ12" s="186">
        <f>-'Statement of Cash Flows '!AJ31</f>
        <v>1297.8929763423196</v>
      </c>
      <c r="AK12" s="186">
        <f>-'Statement of Cash Flows '!AK31</f>
        <v>1262.7334619900525</v>
      </c>
      <c r="AL12" s="186">
        <f>-'Statement of Cash Flows '!AL31</f>
        <v>1229.0793392777184</v>
      </c>
      <c r="AM12" s="186">
        <f>-'Statement of Cash Flows '!AM31</f>
        <v>1196.9740435255972</v>
      </c>
      <c r="AN12" s="186">
        <f>-'Statement of Cash Flows '!AN31</f>
        <v>1166.2501053262058</v>
      </c>
      <c r="AO12" s="668">
        <f>-'Statement of Cash Flows '!AO31</f>
        <v>1136.9204219337616</v>
      </c>
    </row>
    <row r="13" spans="1:41" ht="16.75" thickBot="1" x14ac:dyDescent="0.95">
      <c r="A13" s="670" t="s">
        <v>102</v>
      </c>
      <c r="B13" s="671">
        <f>-'Statement of Cash Flows '!B41</f>
        <v>0</v>
      </c>
      <c r="C13" s="671">
        <f>-'Statement of Cash Flows '!C41</f>
        <v>0</v>
      </c>
      <c r="D13" s="671">
        <f>-'Statement of Cash Flows '!D41</f>
        <v>0</v>
      </c>
      <c r="E13" s="671">
        <f>-'Statement of Cash Flows '!E41</f>
        <v>0</v>
      </c>
      <c r="F13" s="671">
        <f>-'Statement of Cash Flows '!F41</f>
        <v>30000</v>
      </c>
      <c r="G13" s="671">
        <f>-'Statement of Cash Flows '!G41</f>
        <v>0</v>
      </c>
      <c r="H13" s="672">
        <f>-'Statement of Cash Flows '!H41</f>
        <v>0</v>
      </c>
      <c r="I13" s="671">
        <f>-'Statement of Cash Flows '!I41</f>
        <v>0</v>
      </c>
      <c r="J13" s="671">
        <f>-'Statement of Cash Flows '!J41</f>
        <v>0</v>
      </c>
      <c r="K13" s="671">
        <f>-'Statement of Cash Flows '!K41</f>
        <v>0</v>
      </c>
      <c r="L13" s="671">
        <f>-'Statement of Cash Flows '!L41</f>
        <v>0</v>
      </c>
      <c r="M13" s="671">
        <f>-'Statement of Cash Flows '!M41</f>
        <v>0</v>
      </c>
      <c r="N13" s="672">
        <f>-'Statement of Cash Flows '!N41</f>
        <v>0</v>
      </c>
      <c r="O13" s="671">
        <f>-'Statement of Cash Flows '!O41</f>
        <v>0</v>
      </c>
      <c r="P13" s="671">
        <f>-'Statement of Cash Flows '!P41</f>
        <v>0</v>
      </c>
      <c r="Q13" s="671">
        <f>-'Statement of Cash Flows '!Q41</f>
        <v>0</v>
      </c>
      <c r="R13" s="671">
        <f>-'Statement of Cash Flows '!R41</f>
        <v>0</v>
      </c>
      <c r="S13" s="671">
        <f>-'Statement of Cash Flows '!S41</f>
        <v>0</v>
      </c>
      <c r="T13" s="671">
        <f>-'Statement of Cash Flows '!T41</f>
        <v>0</v>
      </c>
      <c r="U13" s="671">
        <f>-'Statement of Cash Flows '!U41</f>
        <v>0</v>
      </c>
      <c r="V13" s="671">
        <f>-'Statement of Cash Flows '!V41</f>
        <v>0</v>
      </c>
      <c r="W13" s="671">
        <f>-'Statement of Cash Flows '!W41</f>
        <v>0</v>
      </c>
      <c r="X13" s="671">
        <f>-'Statement of Cash Flows '!X41</f>
        <v>0</v>
      </c>
      <c r="Y13" s="671">
        <f>-'Statement of Cash Flows '!Y41</f>
        <v>0</v>
      </c>
      <c r="Z13" s="671">
        <f>-'Statement of Cash Flows '!Z41</f>
        <v>0</v>
      </c>
      <c r="AA13" s="671">
        <f>-'Statement of Cash Flows '!AA41</f>
        <v>0</v>
      </c>
      <c r="AB13" s="671">
        <f>-'Statement of Cash Flows '!AB41</f>
        <v>0</v>
      </c>
      <c r="AC13" s="671">
        <f>-'Statement of Cash Flows '!AC41</f>
        <v>0</v>
      </c>
      <c r="AD13" s="671">
        <f>-'Statement of Cash Flows '!AD41</f>
        <v>0</v>
      </c>
      <c r="AE13" s="671">
        <f>-'Statement of Cash Flows '!AE41</f>
        <v>0</v>
      </c>
      <c r="AF13" s="671">
        <f>-'Statement of Cash Flows '!AF41</f>
        <v>0</v>
      </c>
      <c r="AG13" s="671">
        <f>-'Statement of Cash Flows '!AG41</f>
        <v>0</v>
      </c>
      <c r="AH13" s="671">
        <f>-'Statement of Cash Flows '!AH41</f>
        <v>0</v>
      </c>
      <c r="AI13" s="671">
        <f>-'Statement of Cash Flows '!AI41</f>
        <v>0</v>
      </c>
      <c r="AJ13" s="671">
        <f>-'Statement of Cash Flows '!AJ41</f>
        <v>0</v>
      </c>
      <c r="AK13" s="671">
        <f>-'Statement of Cash Flows '!AK41</f>
        <v>0</v>
      </c>
      <c r="AL13" s="671">
        <f>-'Statement of Cash Flows '!AL41</f>
        <v>0</v>
      </c>
      <c r="AM13" s="671">
        <f>-'Statement of Cash Flows '!AM41</f>
        <v>0</v>
      </c>
      <c r="AN13" s="671">
        <f>-'Statement of Cash Flows '!AN41</f>
        <v>0</v>
      </c>
      <c r="AO13" s="673">
        <f>-'Statement of Cash Flows '!AO41</f>
        <v>0</v>
      </c>
    </row>
    <row r="14" spans="1:41" x14ac:dyDescent="0.8">
      <c r="A14" s="3"/>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ht="16.75" thickBot="1" x14ac:dyDescent="0.95">
      <c r="A15" s="3"/>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ht="16.75" thickBot="1" x14ac:dyDescent="0.95">
      <c r="A16" s="674" t="s">
        <v>387</v>
      </c>
      <c r="B16" s="675">
        <f>'Intangibles Schedule'!C6</f>
        <v>0</v>
      </c>
      <c r="C16" s="675">
        <f>'Intangibles Schedule'!D6</f>
        <v>0</v>
      </c>
      <c r="D16" s="675">
        <f>'Intangibles Schedule'!E6</f>
        <v>0</v>
      </c>
      <c r="E16" s="675">
        <f>'Intangibles Schedule'!F6</f>
        <v>24000</v>
      </c>
      <c r="F16" s="675">
        <f>'Intangibles Schedule'!G6</f>
        <v>0</v>
      </c>
      <c r="G16" s="675">
        <f>'Intangibles Schedule'!H6</f>
        <v>2858</v>
      </c>
      <c r="H16" s="676">
        <f>H7</f>
        <v>3209.3934200900003</v>
      </c>
      <c r="I16" s="675">
        <f t="shared" ref="I16:AO16" si="8">I7</f>
        <v>702.61385719370412</v>
      </c>
      <c r="J16" s="675">
        <f t="shared" si="8"/>
        <v>4154.1471255965298</v>
      </c>
      <c r="K16" s="675">
        <f t="shared" si="8"/>
        <v>357.11676843600378</v>
      </c>
      <c r="L16" s="675">
        <f t="shared" si="8"/>
        <v>1718.4846213052601</v>
      </c>
      <c r="M16" s="675">
        <f t="shared" si="8"/>
        <v>0</v>
      </c>
      <c r="N16" s="676">
        <f t="shared" si="8"/>
        <v>631.21368459998018</v>
      </c>
      <c r="O16" s="675">
        <f t="shared" si="8"/>
        <v>647.87458516162701</v>
      </c>
      <c r="P16" s="675">
        <f t="shared" si="8"/>
        <v>601.57831217215528</v>
      </c>
      <c r="Q16" s="675">
        <f t="shared" si="8"/>
        <v>613.18593126518647</v>
      </c>
      <c r="R16" s="675">
        <f t="shared" si="8"/>
        <v>566.50161406817858</v>
      </c>
      <c r="S16" s="675">
        <f t="shared" si="8"/>
        <v>574.20943898272969</v>
      </c>
      <c r="T16" s="675">
        <f t="shared" si="8"/>
        <v>541.55924435496331</v>
      </c>
      <c r="U16" s="675">
        <f t="shared" si="8"/>
        <v>546.64681502706287</v>
      </c>
      <c r="V16" s="675">
        <f t="shared" si="8"/>
        <v>522.48881399649463</v>
      </c>
      <c r="W16" s="675">
        <f t="shared" si="8"/>
        <v>523.27431155912166</v>
      </c>
      <c r="X16" s="675">
        <f t="shared" si="8"/>
        <v>504.66204992614587</v>
      </c>
      <c r="Y16" s="675">
        <f t="shared" si="8"/>
        <v>489.92874603305336</v>
      </c>
      <c r="Z16" s="675">
        <f t="shared" si="8"/>
        <v>472.36456584339157</v>
      </c>
      <c r="AA16" s="675">
        <f t="shared" si="8"/>
        <v>458.36238454536522</v>
      </c>
      <c r="AB16" s="675">
        <f t="shared" si="8"/>
        <v>442.71115369885922</v>
      </c>
      <c r="AC16" s="675">
        <f t="shared" si="8"/>
        <v>429.5666907183176</v>
      </c>
      <c r="AD16" s="675">
        <f t="shared" si="8"/>
        <v>415.52670863705407</v>
      </c>
      <c r="AE16" s="675">
        <f t="shared" si="8"/>
        <v>403.28866517428679</v>
      </c>
      <c r="AF16" s="675">
        <f t="shared" si="8"/>
        <v>390.63001058694681</v>
      </c>
      <c r="AG16" s="675">
        <f t="shared" si="8"/>
        <v>379.29875917735427</v>
      </c>
      <c r="AH16" s="675">
        <f t="shared" si="8"/>
        <v>368.44601491146972</v>
      </c>
      <c r="AI16" s="675">
        <f t="shared" si="8"/>
        <v>358.11127527970541</v>
      </c>
      <c r="AJ16" s="675">
        <f t="shared" si="8"/>
        <v>348.21518877476865</v>
      </c>
      <c r="AK16" s="675">
        <f t="shared" si="8"/>
        <v>338.78214833879457</v>
      </c>
      <c r="AL16" s="675">
        <f t="shared" si="8"/>
        <v>329.75299346475373</v>
      </c>
      <c r="AM16" s="675">
        <f t="shared" si="8"/>
        <v>321.13937753125782</v>
      </c>
      <c r="AN16" s="675">
        <f t="shared" si="8"/>
        <v>312.896369721665</v>
      </c>
      <c r="AO16" s="677">
        <f t="shared" si="8"/>
        <v>305.02743027491164</v>
      </c>
    </row>
    <row r="18" spans="1:41" ht="16.75" thickBot="1" x14ac:dyDescent="0.95"/>
    <row r="19" spans="1:41" x14ac:dyDescent="0.8">
      <c r="A19" s="678" t="s">
        <v>8</v>
      </c>
      <c r="B19" s="679">
        <v>13192</v>
      </c>
      <c r="C19" s="679">
        <v>13192</v>
      </c>
      <c r="D19" s="679">
        <v>13192</v>
      </c>
      <c r="E19" s="679">
        <v>13192</v>
      </c>
      <c r="F19" s="679">
        <v>38356</v>
      </c>
      <c r="G19" s="679">
        <v>41137</v>
      </c>
      <c r="H19" s="680">
        <f>G23+G19</f>
        <v>56024</v>
      </c>
      <c r="I19" s="679">
        <f t="shared" ref="I19:AO19" si="9">H23+H19</f>
        <v>64776.891145699999</v>
      </c>
      <c r="J19" s="679">
        <f t="shared" si="9"/>
        <v>66693.110756228285</v>
      </c>
      <c r="K19" s="679">
        <f t="shared" si="9"/>
        <v>78022.602916946096</v>
      </c>
      <c r="L19" s="679">
        <f t="shared" si="9"/>
        <v>78996.557739953379</v>
      </c>
      <c r="M19" s="679">
        <f t="shared" si="9"/>
        <v>83683.333979876814</v>
      </c>
      <c r="N19" s="680">
        <f t="shared" si="9"/>
        <v>83683.333979876814</v>
      </c>
      <c r="O19" s="679">
        <f t="shared" si="9"/>
        <v>85404.825846967666</v>
      </c>
      <c r="P19" s="679">
        <f t="shared" si="9"/>
        <v>87171.756533772103</v>
      </c>
      <c r="Q19" s="679">
        <f t="shared" si="9"/>
        <v>88812.424657877986</v>
      </c>
      <c r="R19" s="679">
        <f t="shared" si="9"/>
        <v>90484.749924964854</v>
      </c>
      <c r="S19" s="679">
        <f t="shared" si="9"/>
        <v>92029.754326968978</v>
      </c>
      <c r="T19" s="679">
        <f t="shared" si="9"/>
        <v>93595.780069649147</v>
      </c>
      <c r="U19" s="679">
        <f t="shared" si="9"/>
        <v>95072.759826980866</v>
      </c>
      <c r="V19" s="679">
        <f t="shared" si="9"/>
        <v>96563.614777054667</v>
      </c>
      <c r="W19" s="679">
        <f t="shared" si="9"/>
        <v>97988.584269772386</v>
      </c>
      <c r="X19" s="679">
        <f t="shared" si="9"/>
        <v>99415.69602856999</v>
      </c>
      <c r="Y19" s="679">
        <f t="shared" si="9"/>
        <v>100792.04707382311</v>
      </c>
      <c r="Z19" s="679">
        <f t="shared" si="9"/>
        <v>102128.21638118598</v>
      </c>
      <c r="AA19" s="679">
        <f t="shared" si="9"/>
        <v>103416.48337894068</v>
      </c>
      <c r="AB19" s="679">
        <f t="shared" si="9"/>
        <v>104666.56260951895</v>
      </c>
      <c r="AC19" s="679">
        <f t="shared" si="9"/>
        <v>105873.9566650613</v>
      </c>
      <c r="AD19" s="679">
        <f t="shared" si="9"/>
        <v>107045.50218520216</v>
      </c>
      <c r="AE19" s="679">
        <f t="shared" si="9"/>
        <v>108178.7568451214</v>
      </c>
      <c r="AF19" s="679">
        <f t="shared" si="9"/>
        <v>109278.63502286946</v>
      </c>
      <c r="AG19" s="679">
        <f t="shared" si="9"/>
        <v>110343.98959719751</v>
      </c>
      <c r="AH19" s="679">
        <f t="shared" si="9"/>
        <v>111378.4407585903</v>
      </c>
      <c r="AI19" s="679">
        <f t="shared" si="9"/>
        <v>112383.29352653067</v>
      </c>
      <c r="AJ19" s="679">
        <f t="shared" si="9"/>
        <v>113359.96064092987</v>
      </c>
      <c r="AK19" s="679">
        <f t="shared" si="9"/>
        <v>114309.63842849742</v>
      </c>
      <c r="AL19" s="679">
        <f t="shared" si="9"/>
        <v>115233.58974214867</v>
      </c>
      <c r="AM19" s="679">
        <f t="shared" si="9"/>
        <v>116132.91608796164</v>
      </c>
      <c r="AN19" s="679">
        <f t="shared" si="9"/>
        <v>117008.75075395597</v>
      </c>
      <c r="AO19" s="681">
        <f t="shared" si="9"/>
        <v>117862.10448956052</v>
      </c>
    </row>
    <row r="20" spans="1:41" x14ac:dyDescent="0.8">
      <c r="A20" s="682" t="s">
        <v>389</v>
      </c>
      <c r="B20" s="656">
        <v>-6440</v>
      </c>
      <c r="C20" s="656">
        <v>-6744</v>
      </c>
      <c r="D20" s="656">
        <v>-13192</v>
      </c>
      <c r="E20" s="656">
        <v>-13192</v>
      </c>
      <c r="F20" s="656">
        <v>-13192</v>
      </c>
      <c r="G20" s="656">
        <v>-13192</v>
      </c>
      <c r="H20" s="657">
        <f>G20+G24</f>
        <v>-13192</v>
      </c>
      <c r="I20" s="656">
        <f t="shared" ref="I20:AO20" si="10">H20+H24</f>
        <v>-38356</v>
      </c>
      <c r="J20" s="656">
        <f t="shared" si="10"/>
        <v>-41137</v>
      </c>
      <c r="K20" s="656">
        <f t="shared" si="10"/>
        <v>-56024</v>
      </c>
      <c r="L20" s="656">
        <f t="shared" si="10"/>
        <v>-64776.891145699999</v>
      </c>
      <c r="M20" s="656">
        <f t="shared" si="10"/>
        <v>-66693.110756228285</v>
      </c>
      <c r="N20" s="657">
        <f t="shared" si="10"/>
        <v>-78022.602916946096</v>
      </c>
      <c r="O20" s="656">
        <f t="shared" si="10"/>
        <v>-78996.557739953379</v>
      </c>
      <c r="P20" s="656">
        <f t="shared" si="10"/>
        <v>-83683.333979876814</v>
      </c>
      <c r="Q20" s="656">
        <f t="shared" si="10"/>
        <v>-83683.333979876814</v>
      </c>
      <c r="R20" s="656">
        <f t="shared" si="10"/>
        <v>-85404.825846967666</v>
      </c>
      <c r="S20" s="656">
        <f t="shared" si="10"/>
        <v>-87171.756533772103</v>
      </c>
      <c r="T20" s="656">
        <f t="shared" si="10"/>
        <v>-88812.424657877986</v>
      </c>
      <c r="U20" s="656">
        <f t="shared" si="10"/>
        <v>-90484.749924964854</v>
      </c>
      <c r="V20" s="656">
        <f t="shared" si="10"/>
        <v>-92029.754326968978</v>
      </c>
      <c r="W20" s="656">
        <f t="shared" si="10"/>
        <v>-93595.780069649147</v>
      </c>
      <c r="X20" s="656">
        <f t="shared" si="10"/>
        <v>-95072.759826980866</v>
      </c>
      <c r="Y20" s="656">
        <f t="shared" si="10"/>
        <v>-96563.614777054667</v>
      </c>
      <c r="Z20" s="656">
        <f t="shared" si="10"/>
        <v>-97988.584269772386</v>
      </c>
      <c r="AA20" s="656">
        <f t="shared" si="10"/>
        <v>-99415.69602856999</v>
      </c>
      <c r="AB20" s="656">
        <f t="shared" si="10"/>
        <v>-100792.04707382311</v>
      </c>
      <c r="AC20" s="656">
        <f t="shared" si="10"/>
        <v>-102128.21638118598</v>
      </c>
      <c r="AD20" s="656">
        <f t="shared" si="10"/>
        <v>-103416.48337894068</v>
      </c>
      <c r="AE20" s="656">
        <f t="shared" si="10"/>
        <v>-104666.56260951895</v>
      </c>
      <c r="AF20" s="656">
        <f t="shared" si="10"/>
        <v>-105873.9566650613</v>
      </c>
      <c r="AG20" s="656">
        <f t="shared" si="10"/>
        <v>-107045.50218520216</v>
      </c>
      <c r="AH20" s="656">
        <f t="shared" si="10"/>
        <v>-108178.7568451214</v>
      </c>
      <c r="AI20" s="656">
        <f t="shared" si="10"/>
        <v>-109278.63502286946</v>
      </c>
      <c r="AJ20" s="656">
        <f t="shared" si="10"/>
        <v>-110343.98959719751</v>
      </c>
      <c r="AK20" s="656">
        <f t="shared" si="10"/>
        <v>-111378.4407585903</v>
      </c>
      <c r="AL20" s="656">
        <f t="shared" si="10"/>
        <v>-112383.29352653067</v>
      </c>
      <c r="AM20" s="656">
        <f t="shared" si="10"/>
        <v>-113359.96064092987</v>
      </c>
      <c r="AN20" s="656">
        <f t="shared" si="10"/>
        <v>-114309.63842849742</v>
      </c>
      <c r="AO20" s="683">
        <f t="shared" si="10"/>
        <v>-115233.58974214867</v>
      </c>
    </row>
    <row r="21" spans="1:41" x14ac:dyDescent="0.8">
      <c r="A21" s="682" t="s">
        <v>390</v>
      </c>
      <c r="B21" s="656"/>
      <c r="C21" s="656"/>
      <c r="D21" s="656"/>
      <c r="E21" s="656"/>
      <c r="F21" s="656">
        <v>0</v>
      </c>
      <c r="G21" s="656">
        <v>-570</v>
      </c>
      <c r="H21" s="657">
        <f>G21+G25</f>
        <v>-477</v>
      </c>
      <c r="I21" s="656">
        <f t="shared" ref="I21:AO21" si="11">H21+H25</f>
        <v>-477</v>
      </c>
      <c r="J21" s="656">
        <f t="shared" si="11"/>
        <v>-477</v>
      </c>
      <c r="K21" s="656">
        <f t="shared" si="11"/>
        <v>-477</v>
      </c>
      <c r="L21" s="656">
        <f t="shared" si="11"/>
        <v>-477</v>
      </c>
      <c r="M21" s="656">
        <f t="shared" si="11"/>
        <v>-477</v>
      </c>
      <c r="N21" s="657">
        <f t="shared" si="11"/>
        <v>-477</v>
      </c>
      <c r="O21" s="656">
        <f t="shared" si="11"/>
        <v>-477</v>
      </c>
      <c r="P21" s="656">
        <f t="shared" si="11"/>
        <v>-477</v>
      </c>
      <c r="Q21" s="656">
        <f t="shared" si="11"/>
        <v>-477</v>
      </c>
      <c r="R21" s="656">
        <f t="shared" si="11"/>
        <v>-477</v>
      </c>
      <c r="S21" s="656">
        <f t="shared" si="11"/>
        <v>-477</v>
      </c>
      <c r="T21" s="656">
        <f t="shared" si="11"/>
        <v>-477</v>
      </c>
      <c r="U21" s="656">
        <f t="shared" si="11"/>
        <v>-477</v>
      </c>
      <c r="V21" s="656">
        <f t="shared" si="11"/>
        <v>-477</v>
      </c>
      <c r="W21" s="656">
        <f t="shared" si="11"/>
        <v>-477</v>
      </c>
      <c r="X21" s="656">
        <f t="shared" si="11"/>
        <v>-477</v>
      </c>
      <c r="Y21" s="656">
        <f t="shared" si="11"/>
        <v>-477</v>
      </c>
      <c r="Z21" s="656">
        <f t="shared" si="11"/>
        <v>-477</v>
      </c>
      <c r="AA21" s="656">
        <f t="shared" si="11"/>
        <v>-477</v>
      </c>
      <c r="AB21" s="656">
        <f t="shared" si="11"/>
        <v>-477</v>
      </c>
      <c r="AC21" s="656">
        <f t="shared" si="11"/>
        <v>-477</v>
      </c>
      <c r="AD21" s="656">
        <f t="shared" si="11"/>
        <v>-477</v>
      </c>
      <c r="AE21" s="656">
        <f t="shared" si="11"/>
        <v>-477</v>
      </c>
      <c r="AF21" s="656">
        <f t="shared" si="11"/>
        <v>-477</v>
      </c>
      <c r="AG21" s="656">
        <f t="shared" si="11"/>
        <v>-477</v>
      </c>
      <c r="AH21" s="656">
        <f t="shared" si="11"/>
        <v>-477</v>
      </c>
      <c r="AI21" s="656">
        <f t="shared" si="11"/>
        <v>-477</v>
      </c>
      <c r="AJ21" s="656">
        <f t="shared" si="11"/>
        <v>-477</v>
      </c>
      <c r="AK21" s="656">
        <f t="shared" si="11"/>
        <v>-477</v>
      </c>
      <c r="AL21" s="656">
        <f t="shared" si="11"/>
        <v>-477</v>
      </c>
      <c r="AM21" s="656">
        <f t="shared" si="11"/>
        <v>-477</v>
      </c>
      <c r="AN21" s="656">
        <f t="shared" si="11"/>
        <v>-477</v>
      </c>
      <c r="AO21" s="683">
        <f t="shared" si="11"/>
        <v>-477</v>
      </c>
    </row>
    <row r="22" spans="1:41" x14ac:dyDescent="0.8">
      <c r="A22" s="682" t="s">
        <v>391</v>
      </c>
      <c r="B22" s="656">
        <v>6752</v>
      </c>
      <c r="C22" s="656">
        <v>6448</v>
      </c>
      <c r="D22" s="656">
        <v>0</v>
      </c>
      <c r="E22" s="656">
        <v>0</v>
      </c>
      <c r="F22" s="656">
        <v>25164</v>
      </c>
      <c r="G22" s="656">
        <v>27375</v>
      </c>
      <c r="H22" s="657">
        <f>H19+H20+H21</f>
        <v>42355</v>
      </c>
      <c r="I22" s="656">
        <f t="shared" ref="I22:AO22" si="12">I19+I20+I21</f>
        <v>25943.891145699999</v>
      </c>
      <c r="J22" s="656">
        <f t="shared" si="12"/>
        <v>25079.110756228285</v>
      </c>
      <c r="K22" s="656">
        <f t="shared" si="12"/>
        <v>21521.602916946096</v>
      </c>
      <c r="L22" s="656">
        <f t="shared" si="12"/>
        <v>13742.66659425338</v>
      </c>
      <c r="M22" s="656">
        <f t="shared" si="12"/>
        <v>16513.223223648529</v>
      </c>
      <c r="N22" s="657">
        <f t="shared" si="12"/>
        <v>5183.7310629307176</v>
      </c>
      <c r="O22" s="656">
        <f t="shared" si="12"/>
        <v>5931.2681070142862</v>
      </c>
      <c r="P22" s="656">
        <f t="shared" si="12"/>
        <v>3011.4225538952887</v>
      </c>
      <c r="Q22" s="656">
        <f t="shared" si="12"/>
        <v>4652.0906780011719</v>
      </c>
      <c r="R22" s="656">
        <f t="shared" si="12"/>
        <v>4602.9240779971879</v>
      </c>
      <c r="S22" s="656">
        <f t="shared" si="12"/>
        <v>4380.9977931968751</v>
      </c>
      <c r="T22" s="656">
        <f t="shared" si="12"/>
        <v>4306.355411771161</v>
      </c>
      <c r="U22" s="656">
        <f t="shared" si="12"/>
        <v>4111.0099020160123</v>
      </c>
      <c r="V22" s="656">
        <f t="shared" si="12"/>
        <v>4056.8604500856891</v>
      </c>
      <c r="W22" s="656">
        <f t="shared" si="12"/>
        <v>3915.8042001232388</v>
      </c>
      <c r="X22" s="656">
        <f t="shared" si="12"/>
        <v>3865.9362015891238</v>
      </c>
      <c r="Y22" s="656">
        <f t="shared" si="12"/>
        <v>3751.432296768442</v>
      </c>
      <c r="Z22" s="656">
        <f t="shared" si="12"/>
        <v>3662.6321114135935</v>
      </c>
      <c r="AA22" s="656">
        <f t="shared" si="12"/>
        <v>3523.7873503706942</v>
      </c>
      <c r="AB22" s="656">
        <f t="shared" si="12"/>
        <v>3397.5155356958421</v>
      </c>
      <c r="AC22" s="656">
        <f t="shared" si="12"/>
        <v>3268.7402838753187</v>
      </c>
      <c r="AD22" s="656">
        <f t="shared" si="12"/>
        <v>3152.0188062614761</v>
      </c>
      <c r="AE22" s="656">
        <f t="shared" si="12"/>
        <v>3035.194235602452</v>
      </c>
      <c r="AF22" s="656">
        <f t="shared" si="12"/>
        <v>2927.6783578081668</v>
      </c>
      <c r="AG22" s="656">
        <f t="shared" si="12"/>
        <v>2821.4874119953456</v>
      </c>
      <c r="AH22" s="656">
        <f t="shared" si="12"/>
        <v>2722.6839134688926</v>
      </c>
      <c r="AI22" s="656">
        <f t="shared" si="12"/>
        <v>2627.6585036612087</v>
      </c>
      <c r="AJ22" s="656">
        <f t="shared" si="12"/>
        <v>2538.9710437323665</v>
      </c>
      <c r="AK22" s="656">
        <f t="shared" si="12"/>
        <v>2454.1976699071238</v>
      </c>
      <c r="AL22" s="656">
        <f t="shared" si="12"/>
        <v>2373.2962156180001</v>
      </c>
      <c r="AM22" s="656">
        <f t="shared" si="12"/>
        <v>2295.9554470317671</v>
      </c>
      <c r="AN22" s="656">
        <f t="shared" si="12"/>
        <v>2222.1123254585546</v>
      </c>
      <c r="AO22" s="683">
        <f t="shared" si="12"/>
        <v>2151.5147474118421</v>
      </c>
    </row>
    <row r="23" spans="1:41" x14ac:dyDescent="0.8">
      <c r="A23" s="684" t="s">
        <v>392</v>
      </c>
      <c r="B23" s="658">
        <v>0</v>
      </c>
      <c r="C23" s="658">
        <v>0</v>
      </c>
      <c r="D23" s="658">
        <v>0</v>
      </c>
      <c r="E23" s="658">
        <v>25164</v>
      </c>
      <c r="F23" s="658">
        <v>2781</v>
      </c>
      <c r="G23" s="658">
        <v>14887</v>
      </c>
      <c r="H23" s="659">
        <f>H8</f>
        <v>8752.8911456999995</v>
      </c>
      <c r="I23" s="658">
        <f t="shared" ref="I23:AO23" si="13">I8</f>
        <v>1916.2196105282837</v>
      </c>
      <c r="J23" s="658">
        <f t="shared" si="13"/>
        <v>11329.492160717808</v>
      </c>
      <c r="K23" s="658">
        <f t="shared" si="13"/>
        <v>973.95482300728304</v>
      </c>
      <c r="L23" s="658">
        <f t="shared" si="13"/>
        <v>4686.7762399234371</v>
      </c>
      <c r="M23" s="658">
        <f t="shared" si="13"/>
        <v>0</v>
      </c>
      <c r="N23" s="659">
        <f t="shared" si="13"/>
        <v>1721.4918670908551</v>
      </c>
      <c r="O23" s="658">
        <f t="shared" si="13"/>
        <v>1766.9306868044373</v>
      </c>
      <c r="P23" s="658">
        <f t="shared" si="13"/>
        <v>1640.668124105878</v>
      </c>
      <c r="Q23" s="658">
        <f t="shared" si="13"/>
        <v>1672.3252670868721</v>
      </c>
      <c r="R23" s="658">
        <f t="shared" si="13"/>
        <v>1545.0044020041234</v>
      </c>
      <c r="S23" s="658">
        <f t="shared" si="13"/>
        <v>1566.0257426801718</v>
      </c>
      <c r="T23" s="658">
        <f t="shared" si="13"/>
        <v>1476.979757331718</v>
      </c>
      <c r="U23" s="658">
        <f t="shared" si="13"/>
        <v>1490.8549500738079</v>
      </c>
      <c r="V23" s="658">
        <f t="shared" si="13"/>
        <v>1424.9694927177125</v>
      </c>
      <c r="W23" s="658">
        <f t="shared" si="13"/>
        <v>1427.1117587976046</v>
      </c>
      <c r="X23" s="658">
        <f t="shared" si="13"/>
        <v>1376.351045253125</v>
      </c>
      <c r="Y23" s="658">
        <f t="shared" si="13"/>
        <v>1336.1693073628728</v>
      </c>
      <c r="Z23" s="658">
        <f t="shared" si="13"/>
        <v>1288.2669977547041</v>
      </c>
      <c r="AA23" s="658">
        <f t="shared" si="13"/>
        <v>1250.0792305782688</v>
      </c>
      <c r="AB23" s="658">
        <f t="shared" si="13"/>
        <v>1207.3940555423433</v>
      </c>
      <c r="AC23" s="658">
        <f t="shared" si="13"/>
        <v>1171.5455201408661</v>
      </c>
      <c r="AD23" s="658">
        <f t="shared" si="13"/>
        <v>1133.2546599192383</v>
      </c>
      <c r="AE23" s="658">
        <f t="shared" si="13"/>
        <v>1099.8781777480547</v>
      </c>
      <c r="AF23" s="658">
        <f t="shared" si="13"/>
        <v>1065.3545743280367</v>
      </c>
      <c r="AG23" s="658">
        <f t="shared" si="13"/>
        <v>1034.4511613927843</v>
      </c>
      <c r="AH23" s="658">
        <f t="shared" si="13"/>
        <v>1004.8527679403719</v>
      </c>
      <c r="AI23" s="658">
        <f t="shared" si="13"/>
        <v>976.66711439919663</v>
      </c>
      <c r="AJ23" s="658">
        <f t="shared" si="13"/>
        <v>949.67778756755092</v>
      </c>
      <c r="AK23" s="658">
        <f t="shared" si="13"/>
        <v>923.95131365125792</v>
      </c>
      <c r="AL23" s="658">
        <f t="shared" si="13"/>
        <v>899.32634581296475</v>
      </c>
      <c r="AM23" s="658">
        <f t="shared" si="13"/>
        <v>875.83466599433939</v>
      </c>
      <c r="AN23" s="658">
        <f t="shared" si="13"/>
        <v>853.35373560454082</v>
      </c>
      <c r="AO23" s="685">
        <f t="shared" si="13"/>
        <v>831.89299165884995</v>
      </c>
    </row>
    <row r="24" spans="1:41" x14ac:dyDescent="0.8">
      <c r="A24" s="682" t="s">
        <v>399</v>
      </c>
      <c r="B24" s="656">
        <v>-304</v>
      </c>
      <c r="C24" s="656">
        <v>-6448</v>
      </c>
      <c r="D24" s="656">
        <v>0</v>
      </c>
      <c r="E24" s="656">
        <v>0</v>
      </c>
      <c r="F24" s="656">
        <v>0</v>
      </c>
      <c r="G24" s="656">
        <v>0</v>
      </c>
      <c r="H24" s="660">
        <f>-E23</f>
        <v>-25164</v>
      </c>
      <c r="I24" s="661">
        <f t="shared" ref="I24:AO24" si="14">-F23</f>
        <v>-2781</v>
      </c>
      <c r="J24" s="661">
        <f t="shared" si="14"/>
        <v>-14887</v>
      </c>
      <c r="K24" s="661">
        <f t="shared" si="14"/>
        <v>-8752.8911456999995</v>
      </c>
      <c r="L24" s="661">
        <f t="shared" si="14"/>
        <v>-1916.2196105282837</v>
      </c>
      <c r="M24" s="661">
        <f t="shared" si="14"/>
        <v>-11329.492160717808</v>
      </c>
      <c r="N24" s="660">
        <f t="shared" si="14"/>
        <v>-973.95482300728304</v>
      </c>
      <c r="O24" s="661">
        <f t="shared" si="14"/>
        <v>-4686.7762399234371</v>
      </c>
      <c r="P24" s="661">
        <f t="shared" si="14"/>
        <v>0</v>
      </c>
      <c r="Q24" s="661">
        <f t="shared" si="14"/>
        <v>-1721.4918670908551</v>
      </c>
      <c r="R24" s="661">
        <f t="shared" si="14"/>
        <v>-1766.9306868044373</v>
      </c>
      <c r="S24" s="661">
        <f t="shared" si="14"/>
        <v>-1640.668124105878</v>
      </c>
      <c r="T24" s="661">
        <f t="shared" si="14"/>
        <v>-1672.3252670868721</v>
      </c>
      <c r="U24" s="661">
        <f t="shared" si="14"/>
        <v>-1545.0044020041234</v>
      </c>
      <c r="V24" s="661">
        <f t="shared" si="14"/>
        <v>-1566.0257426801718</v>
      </c>
      <c r="W24" s="661">
        <f t="shared" si="14"/>
        <v>-1476.979757331718</v>
      </c>
      <c r="X24" s="661">
        <f t="shared" si="14"/>
        <v>-1490.8549500738079</v>
      </c>
      <c r="Y24" s="661">
        <f t="shared" si="14"/>
        <v>-1424.9694927177125</v>
      </c>
      <c r="Z24" s="661">
        <f t="shared" si="14"/>
        <v>-1427.1117587976046</v>
      </c>
      <c r="AA24" s="661">
        <f t="shared" si="14"/>
        <v>-1376.351045253125</v>
      </c>
      <c r="AB24" s="661">
        <f t="shared" si="14"/>
        <v>-1336.1693073628728</v>
      </c>
      <c r="AC24" s="661">
        <f t="shared" si="14"/>
        <v>-1288.2669977547041</v>
      </c>
      <c r="AD24" s="661">
        <f t="shared" si="14"/>
        <v>-1250.0792305782688</v>
      </c>
      <c r="AE24" s="661">
        <f t="shared" si="14"/>
        <v>-1207.3940555423433</v>
      </c>
      <c r="AF24" s="661">
        <f t="shared" si="14"/>
        <v>-1171.5455201408661</v>
      </c>
      <c r="AG24" s="661">
        <f t="shared" si="14"/>
        <v>-1133.2546599192383</v>
      </c>
      <c r="AH24" s="661">
        <f t="shared" si="14"/>
        <v>-1099.8781777480547</v>
      </c>
      <c r="AI24" s="661">
        <f t="shared" si="14"/>
        <v>-1065.3545743280367</v>
      </c>
      <c r="AJ24" s="661">
        <f t="shared" si="14"/>
        <v>-1034.4511613927843</v>
      </c>
      <c r="AK24" s="661">
        <f t="shared" si="14"/>
        <v>-1004.8527679403719</v>
      </c>
      <c r="AL24" s="661">
        <f t="shared" si="14"/>
        <v>-976.66711439919663</v>
      </c>
      <c r="AM24" s="661">
        <f t="shared" si="14"/>
        <v>-949.67778756755092</v>
      </c>
      <c r="AN24" s="661">
        <f t="shared" si="14"/>
        <v>-923.95131365125792</v>
      </c>
      <c r="AO24" s="686">
        <f t="shared" si="14"/>
        <v>-899.32634581296475</v>
      </c>
    </row>
    <row r="25" spans="1:41" x14ac:dyDescent="0.8">
      <c r="A25" s="682" t="s">
        <v>393</v>
      </c>
      <c r="B25" s="656">
        <v>0</v>
      </c>
      <c r="C25" s="656">
        <v>0</v>
      </c>
      <c r="D25" s="656">
        <v>0</v>
      </c>
      <c r="E25" s="656">
        <v>0</v>
      </c>
      <c r="F25" s="656">
        <v>-570</v>
      </c>
      <c r="G25" s="656">
        <v>93</v>
      </c>
      <c r="H25" s="657">
        <v>0</v>
      </c>
      <c r="I25" s="656">
        <v>0</v>
      </c>
      <c r="J25" s="656">
        <v>0</v>
      </c>
      <c r="K25" s="656">
        <v>0</v>
      </c>
      <c r="L25" s="656">
        <v>0</v>
      </c>
      <c r="M25" s="656">
        <v>0</v>
      </c>
      <c r="N25" s="657">
        <v>0</v>
      </c>
      <c r="O25" s="656">
        <v>0</v>
      </c>
      <c r="P25" s="656">
        <v>0</v>
      </c>
      <c r="Q25" s="656">
        <v>0</v>
      </c>
      <c r="R25" s="656">
        <v>0</v>
      </c>
      <c r="S25" s="656">
        <v>0</v>
      </c>
      <c r="T25" s="656">
        <v>0</v>
      </c>
      <c r="U25" s="656">
        <v>0</v>
      </c>
      <c r="V25" s="656">
        <v>0</v>
      </c>
      <c r="W25" s="656">
        <v>0</v>
      </c>
      <c r="X25" s="656">
        <v>0</v>
      </c>
      <c r="Y25" s="656">
        <v>0</v>
      </c>
      <c r="Z25" s="656">
        <v>0</v>
      </c>
      <c r="AA25" s="656">
        <v>0</v>
      </c>
      <c r="AB25" s="656">
        <v>0</v>
      </c>
      <c r="AC25" s="656">
        <v>0</v>
      </c>
      <c r="AD25" s="656">
        <v>0</v>
      </c>
      <c r="AE25" s="656">
        <v>0</v>
      </c>
      <c r="AF25" s="656">
        <v>0</v>
      </c>
      <c r="AG25" s="656">
        <v>0</v>
      </c>
      <c r="AH25" s="656">
        <v>0</v>
      </c>
      <c r="AI25" s="656">
        <v>0</v>
      </c>
      <c r="AJ25" s="656">
        <v>0</v>
      </c>
      <c r="AK25" s="656">
        <v>0</v>
      </c>
      <c r="AL25" s="656">
        <v>0</v>
      </c>
      <c r="AM25" s="656">
        <v>0</v>
      </c>
      <c r="AN25" s="656">
        <v>0</v>
      </c>
      <c r="AO25" s="683">
        <v>0</v>
      </c>
    </row>
    <row r="26" spans="1:41" ht="16.75" thickBot="1" x14ac:dyDescent="0.95">
      <c r="A26" s="687" t="s">
        <v>394</v>
      </c>
      <c r="B26" s="662">
        <f>SUM(B22:B25)</f>
        <v>6448</v>
      </c>
      <c r="C26" s="662">
        <f t="shared" ref="C26:D26" si="15">SUM(C22:C25)</f>
        <v>0</v>
      </c>
      <c r="D26" s="662">
        <f t="shared" si="15"/>
        <v>0</v>
      </c>
      <c r="E26" s="662">
        <f>SUM(E22:E25)</f>
        <v>25164</v>
      </c>
      <c r="F26" s="662">
        <f>SUM(F22:F25)</f>
        <v>27375</v>
      </c>
      <c r="G26" s="662">
        <f>SUM(G22:G25)</f>
        <v>42355</v>
      </c>
      <c r="H26" s="663">
        <f>SUM(H22:H25)</f>
        <v>25943.891145699999</v>
      </c>
      <c r="I26" s="662">
        <f t="shared" ref="I26:AO26" si="16">SUM(I22:I25)</f>
        <v>25079.110756228285</v>
      </c>
      <c r="J26" s="662">
        <f t="shared" si="16"/>
        <v>21521.602916946096</v>
      </c>
      <c r="K26" s="662">
        <f t="shared" si="16"/>
        <v>13742.66659425338</v>
      </c>
      <c r="L26" s="662">
        <f t="shared" si="16"/>
        <v>16513.223223648536</v>
      </c>
      <c r="M26" s="662">
        <f t="shared" si="16"/>
        <v>5183.7310629307212</v>
      </c>
      <c r="N26" s="663">
        <f t="shared" si="16"/>
        <v>5931.2681070142899</v>
      </c>
      <c r="O26" s="662">
        <f t="shared" si="16"/>
        <v>3011.422553895286</v>
      </c>
      <c r="P26" s="662">
        <f t="shared" si="16"/>
        <v>4652.0906780011665</v>
      </c>
      <c r="Q26" s="662">
        <f t="shared" si="16"/>
        <v>4602.9240779971897</v>
      </c>
      <c r="R26" s="662">
        <f t="shared" si="16"/>
        <v>4380.9977931968733</v>
      </c>
      <c r="S26" s="662">
        <f t="shared" si="16"/>
        <v>4306.3554117711692</v>
      </c>
      <c r="T26" s="662">
        <f t="shared" si="16"/>
        <v>4111.0099020160069</v>
      </c>
      <c r="U26" s="662">
        <f t="shared" si="16"/>
        <v>4056.8604500856973</v>
      </c>
      <c r="V26" s="662">
        <f t="shared" si="16"/>
        <v>3915.8042001232297</v>
      </c>
      <c r="W26" s="662">
        <f t="shared" si="16"/>
        <v>3865.9362015891247</v>
      </c>
      <c r="X26" s="662">
        <f t="shared" si="16"/>
        <v>3751.4322967684402</v>
      </c>
      <c r="Y26" s="662">
        <f t="shared" si="16"/>
        <v>3662.6321114136026</v>
      </c>
      <c r="Z26" s="662">
        <f t="shared" si="16"/>
        <v>3523.7873503706928</v>
      </c>
      <c r="AA26" s="662">
        <f t="shared" si="16"/>
        <v>3397.515535695838</v>
      </c>
      <c r="AB26" s="662">
        <f t="shared" si="16"/>
        <v>3268.7402838753123</v>
      </c>
      <c r="AC26" s="662">
        <f t="shared" si="16"/>
        <v>3152.0188062614807</v>
      </c>
      <c r="AD26" s="662">
        <f t="shared" si="16"/>
        <v>3035.1942356024456</v>
      </c>
      <c r="AE26" s="662">
        <f t="shared" si="16"/>
        <v>2927.6783578081631</v>
      </c>
      <c r="AF26" s="662">
        <f t="shared" si="16"/>
        <v>2821.4874119953374</v>
      </c>
      <c r="AG26" s="662">
        <f t="shared" si="16"/>
        <v>2722.6839134688917</v>
      </c>
      <c r="AH26" s="662">
        <f t="shared" si="16"/>
        <v>2627.6585036612096</v>
      </c>
      <c r="AI26" s="662">
        <f t="shared" si="16"/>
        <v>2538.9710437323683</v>
      </c>
      <c r="AJ26" s="662">
        <f t="shared" si="16"/>
        <v>2454.1976699071329</v>
      </c>
      <c r="AK26" s="662">
        <f t="shared" si="16"/>
        <v>2373.2962156180097</v>
      </c>
      <c r="AL26" s="662">
        <f t="shared" si="16"/>
        <v>2295.9554470317685</v>
      </c>
      <c r="AM26" s="662">
        <f t="shared" si="16"/>
        <v>2222.1123254585555</v>
      </c>
      <c r="AN26" s="662">
        <f t="shared" si="16"/>
        <v>2151.5147474118376</v>
      </c>
      <c r="AO26" s="688">
        <f t="shared" si="16"/>
        <v>2084.0813932577275</v>
      </c>
    </row>
    <row r="27" spans="1:41" ht="16.75" thickTop="1" x14ac:dyDescent="0.8"/>
    <row r="28" spans="1:41" x14ac:dyDescent="0.8">
      <c r="H28" s="133"/>
    </row>
    <row r="29" spans="1:41" x14ac:dyDescent="0.8">
      <c r="B29" s="32"/>
      <c r="C29" s="32"/>
      <c r="D29" s="32"/>
      <c r="E29" s="32"/>
      <c r="F29" s="32"/>
      <c r="G29" s="32"/>
    </row>
    <row r="30" spans="1:41" x14ac:dyDescent="0.8">
      <c r="D30" s="32"/>
    </row>
  </sheetData>
  <mergeCells count="3">
    <mergeCell ref="B1:G2"/>
    <mergeCell ref="H1:M2"/>
    <mergeCell ref="N1:AO2"/>
  </mergeCells>
  <hyperlinks>
    <hyperlink ref="A1" location="'Cover Page '!A1" display="Back to cover page " xr:uid="{00000000-0004-0000-11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AU61"/>
  <sheetViews>
    <sheetView showGridLines="0" zoomScale="85" zoomScaleNormal="85" zoomScalePageLayoutView="85" workbookViewId="0">
      <pane xSplit="2" ySplit="3" topLeftCell="C4" activePane="bottomRight" state="frozen"/>
      <selection pane="topRight" activeCell="C1" sqref="C1"/>
      <selection pane="bottomLeft" activeCell="A4" sqref="A4"/>
      <selection pane="bottomRight"/>
    </sheetView>
  </sheetViews>
  <sheetFormatPr defaultColWidth="8.83203125" defaultRowHeight="16" x14ac:dyDescent="0.8"/>
  <cols>
    <col min="1" max="1" width="42.1640625" style="590" bestFit="1" customWidth="1"/>
    <col min="2" max="2" width="3.33203125" style="590" bestFit="1" customWidth="1"/>
    <col min="3" max="8" width="9.1640625" style="590" bestFit="1" customWidth="1"/>
    <col min="9" max="16" width="10.83203125" style="590" bestFit="1" customWidth="1"/>
    <col min="17" max="17" width="9.1640625" style="590" bestFit="1" customWidth="1"/>
    <col min="18" max="18" width="10.83203125" style="590" bestFit="1" customWidth="1"/>
    <col min="19" max="47" width="9.1640625" style="590" bestFit="1" customWidth="1"/>
    <col min="48" max="16384" width="8.83203125" style="590"/>
  </cols>
  <sheetData>
    <row r="1" spans="1:43" ht="18.5" x14ac:dyDescent="0.9">
      <c r="A1" s="1311" t="s">
        <v>534</v>
      </c>
      <c r="C1" s="1652" t="s">
        <v>445</v>
      </c>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s="13" customFormat="1" x14ac:dyDescent="0.8">
      <c r="A3" s="245"/>
      <c r="B3" s="245"/>
      <c r="C3" s="313">
        <v>2011</v>
      </c>
      <c r="D3" s="286">
        <v>2012</v>
      </c>
      <c r="E3" s="286">
        <v>2013</v>
      </c>
      <c r="F3" s="286">
        <v>2014</v>
      </c>
      <c r="G3" s="286">
        <v>2015</v>
      </c>
      <c r="H3" s="286">
        <v>2016</v>
      </c>
      <c r="I3" s="252">
        <v>2017</v>
      </c>
      <c r="J3" s="256">
        <v>2018</v>
      </c>
      <c r="K3" s="256">
        <v>2019</v>
      </c>
      <c r="L3" s="256">
        <v>2020</v>
      </c>
      <c r="M3" s="256">
        <v>2021</v>
      </c>
      <c r="N3" s="256">
        <v>2022</v>
      </c>
      <c r="O3" s="251">
        <v>2023</v>
      </c>
      <c r="P3" s="254">
        <v>2024</v>
      </c>
      <c r="Q3" s="254">
        <v>2025</v>
      </c>
      <c r="R3" s="254">
        <v>2026</v>
      </c>
      <c r="S3" s="254">
        <v>2027</v>
      </c>
      <c r="T3" s="254">
        <v>2028</v>
      </c>
      <c r="U3" s="254">
        <v>2029</v>
      </c>
      <c r="V3" s="254">
        <v>2030</v>
      </c>
      <c r="W3" s="254">
        <v>2031</v>
      </c>
      <c r="X3" s="254">
        <v>2032</v>
      </c>
      <c r="Y3" s="254">
        <v>2033</v>
      </c>
      <c r="Z3" s="254">
        <v>2034</v>
      </c>
      <c r="AA3" s="254">
        <v>2035</v>
      </c>
      <c r="AB3" s="254">
        <v>2036</v>
      </c>
      <c r="AC3" s="254">
        <v>2037</v>
      </c>
      <c r="AD3" s="254">
        <v>2038</v>
      </c>
      <c r="AE3" s="254">
        <v>2039</v>
      </c>
      <c r="AF3" s="254">
        <v>2040</v>
      </c>
      <c r="AG3" s="254">
        <v>2041</v>
      </c>
      <c r="AH3" s="254">
        <v>2042</v>
      </c>
      <c r="AI3" s="254">
        <v>2043</v>
      </c>
      <c r="AJ3" s="254">
        <v>2044</v>
      </c>
      <c r="AK3" s="254">
        <v>2045</v>
      </c>
      <c r="AL3" s="254">
        <v>2046</v>
      </c>
      <c r="AM3" s="254">
        <v>2047</v>
      </c>
      <c r="AN3" s="254">
        <v>2048</v>
      </c>
      <c r="AO3" s="254">
        <v>2049</v>
      </c>
      <c r="AP3" s="254">
        <v>2050</v>
      </c>
    </row>
    <row r="4" spans="1:43" s="13" customFormat="1" ht="16.75" thickBot="1" x14ac:dyDescent="0.95"/>
    <row r="5" spans="1:43" x14ac:dyDescent="0.8">
      <c r="A5" s="599" t="s">
        <v>528</v>
      </c>
      <c r="B5" s="614"/>
      <c r="C5" s="600">
        <v>16894</v>
      </c>
      <c r="D5" s="600">
        <f t="shared" ref="D5:AP5" si="0">C8</f>
        <v>14087</v>
      </c>
      <c r="E5" s="600">
        <f t="shared" si="0"/>
        <v>14087</v>
      </c>
      <c r="F5" s="600">
        <f t="shared" si="0"/>
        <v>14087</v>
      </c>
      <c r="G5" s="600">
        <f t="shared" si="0"/>
        <v>38087</v>
      </c>
      <c r="H5" s="600">
        <f t="shared" si="0"/>
        <v>38087</v>
      </c>
      <c r="I5" s="601">
        <f t="shared" si="0"/>
        <v>40945</v>
      </c>
      <c r="J5" s="600">
        <f t="shared" si="0"/>
        <v>44154.393420089997</v>
      </c>
      <c r="K5" s="600">
        <f t="shared" si="0"/>
        <v>3912.0072772837011</v>
      </c>
      <c r="L5" s="600">
        <f t="shared" si="0"/>
        <v>8066.1544028802309</v>
      </c>
      <c r="M5" s="600">
        <f t="shared" si="0"/>
        <v>8423.2711713162353</v>
      </c>
      <c r="N5" s="600">
        <f t="shared" si="0"/>
        <v>10141.755792621496</v>
      </c>
      <c r="O5" s="601">
        <f t="shared" si="0"/>
        <v>10141.755792621496</v>
      </c>
      <c r="P5" s="600">
        <f t="shared" si="0"/>
        <v>7563.576057131475</v>
      </c>
      <c r="Q5" s="600">
        <f t="shared" si="0"/>
        <v>7508.8367850993982</v>
      </c>
      <c r="R5" s="600">
        <f t="shared" si="0"/>
        <v>3956.2679716750235</v>
      </c>
      <c r="S5" s="600">
        <f t="shared" si="0"/>
        <v>4212.3371345042069</v>
      </c>
      <c r="T5" s="600">
        <f t="shared" si="0"/>
        <v>3060.354127267125</v>
      </c>
      <c r="U5" s="600">
        <f t="shared" si="0"/>
        <v>3634.5635662498548</v>
      </c>
      <c r="V5" s="600">
        <f t="shared" si="0"/>
        <v>3544.9091260048381</v>
      </c>
      <c r="W5" s="600">
        <f t="shared" si="0"/>
        <v>3443.6813558702743</v>
      </c>
      <c r="X5" s="600">
        <f t="shared" si="0"/>
        <v>3364.5918576946137</v>
      </c>
      <c r="Y5" s="600">
        <f t="shared" si="0"/>
        <v>3274.6802379885489</v>
      </c>
      <c r="Z5" s="600">
        <f t="shared" si="0"/>
        <v>3212.840673846516</v>
      </c>
      <c r="AA5" s="600">
        <f t="shared" si="0"/>
        <v>3128.5599808968395</v>
      </c>
      <c r="AB5" s="600">
        <f t="shared" si="0"/>
        <v>3059.3653023852676</v>
      </c>
      <c r="AC5" s="600">
        <f t="shared" si="0"/>
        <v>2971.0808719035699</v>
      </c>
      <c r="AD5" s="600">
        <f t="shared" si="0"/>
        <v>2891.3032116059344</v>
      </c>
      <c r="AE5" s="600">
        <f t="shared" si="0"/>
        <v>2797.5955907651305</v>
      </c>
      <c r="AF5" s="600">
        <f t="shared" si="0"/>
        <v>2708.4602494760388</v>
      </c>
      <c r="AG5" s="600">
        <f t="shared" si="0"/>
        <v>2621.8201686172724</v>
      </c>
      <c r="AH5" s="600">
        <f t="shared" si="0"/>
        <v>2540.0856133608277</v>
      </c>
      <c r="AI5" s="600">
        <f t="shared" si="0"/>
        <v>2461.0219879928168</v>
      </c>
      <c r="AJ5" s="600">
        <f t="shared" si="0"/>
        <v>2386.7568492054274</v>
      </c>
      <c r="AK5" s="600">
        <f t="shared" si="0"/>
        <v>2315.3014337668151</v>
      </c>
      <c r="AL5" s="600">
        <f t="shared" si="0"/>
        <v>2247.9899139045297</v>
      </c>
      <c r="AM5" s="600">
        <f t="shared" si="0"/>
        <v>2183.4833970690374</v>
      </c>
      <c r="AN5" s="600">
        <f t="shared" si="0"/>
        <v>2122.6063799468443</v>
      </c>
      <c r="AO5" s="600">
        <f t="shared" si="0"/>
        <v>2064.4469983007475</v>
      </c>
      <c r="AP5" s="602">
        <f t="shared" si="0"/>
        <v>2008.8973531109427</v>
      </c>
    </row>
    <row r="6" spans="1:43" x14ac:dyDescent="0.8">
      <c r="A6" s="267" t="s">
        <v>320</v>
      </c>
      <c r="B6" s="263"/>
      <c r="C6" s="603">
        <v>0</v>
      </c>
      <c r="D6" s="603">
        <f>D8-D5</f>
        <v>0</v>
      </c>
      <c r="E6" s="603">
        <f>E8-E5</f>
        <v>0</v>
      </c>
      <c r="F6" s="603">
        <f>F8-F5</f>
        <v>24000</v>
      </c>
      <c r="G6" s="603">
        <f>G8-G5</f>
        <v>0</v>
      </c>
      <c r="H6" s="603">
        <f>H8-H5</f>
        <v>2858</v>
      </c>
      <c r="I6" s="604">
        <f>'Acquisition Schedule'!H16</f>
        <v>3209.3934200900003</v>
      </c>
      <c r="J6" s="603">
        <f>'Acquisition Schedule'!I16</f>
        <v>702.61385719370412</v>
      </c>
      <c r="K6" s="603">
        <f>'Acquisition Schedule'!J16</f>
        <v>4154.1471255965298</v>
      </c>
      <c r="L6" s="603">
        <f>'Acquisition Schedule'!K16</f>
        <v>357.11676843600378</v>
      </c>
      <c r="M6" s="603">
        <f>'Acquisition Schedule'!L16</f>
        <v>1718.4846213052601</v>
      </c>
      <c r="N6" s="603">
        <f>'Acquisition Schedule'!M16</f>
        <v>0</v>
      </c>
      <c r="O6" s="604">
        <f>'Acquisition Schedule'!N16</f>
        <v>631.21368459998018</v>
      </c>
      <c r="P6" s="603">
        <f>'Acquisition Schedule'!O16</f>
        <v>647.87458516162701</v>
      </c>
      <c r="Q6" s="603">
        <f>'Acquisition Schedule'!P16</f>
        <v>601.57831217215528</v>
      </c>
      <c r="R6" s="603">
        <f>'Acquisition Schedule'!Q16</f>
        <v>613.18593126518647</v>
      </c>
      <c r="S6" s="603">
        <f>'Acquisition Schedule'!R16</f>
        <v>566.50161406817858</v>
      </c>
      <c r="T6" s="603">
        <f>'Acquisition Schedule'!S16</f>
        <v>574.20943898272969</v>
      </c>
      <c r="U6" s="603">
        <f>'Acquisition Schedule'!T16</f>
        <v>541.55924435496331</v>
      </c>
      <c r="V6" s="603">
        <f>'Acquisition Schedule'!U16</f>
        <v>546.64681502706287</v>
      </c>
      <c r="W6" s="603">
        <f>'Acquisition Schedule'!V16</f>
        <v>522.48881399649463</v>
      </c>
      <c r="X6" s="603">
        <f>'Acquisition Schedule'!W16</f>
        <v>523.27431155912166</v>
      </c>
      <c r="Y6" s="603">
        <f>'Acquisition Schedule'!X16</f>
        <v>504.66204992614587</v>
      </c>
      <c r="Z6" s="603">
        <f>'Acquisition Schedule'!Y16</f>
        <v>489.92874603305336</v>
      </c>
      <c r="AA6" s="603">
        <f>'Acquisition Schedule'!Z16</f>
        <v>472.36456584339157</v>
      </c>
      <c r="AB6" s="603">
        <f>'Acquisition Schedule'!AA16</f>
        <v>458.36238454536522</v>
      </c>
      <c r="AC6" s="603">
        <f>'Acquisition Schedule'!AB16</f>
        <v>442.71115369885922</v>
      </c>
      <c r="AD6" s="603">
        <f>'Acquisition Schedule'!AC16</f>
        <v>429.5666907183176</v>
      </c>
      <c r="AE6" s="603">
        <f>'Acquisition Schedule'!AD16</f>
        <v>415.52670863705407</v>
      </c>
      <c r="AF6" s="603">
        <f>'Acquisition Schedule'!AE16</f>
        <v>403.28866517428679</v>
      </c>
      <c r="AG6" s="603">
        <f>'Acquisition Schedule'!AF16</f>
        <v>390.63001058694681</v>
      </c>
      <c r="AH6" s="603">
        <f>'Acquisition Schedule'!AG16</f>
        <v>379.29875917735427</v>
      </c>
      <c r="AI6" s="603">
        <f>'Acquisition Schedule'!AH16</f>
        <v>368.44601491146972</v>
      </c>
      <c r="AJ6" s="603">
        <f>'Acquisition Schedule'!AI16</f>
        <v>358.11127527970541</v>
      </c>
      <c r="AK6" s="603">
        <f>'Acquisition Schedule'!AJ16</f>
        <v>348.21518877476865</v>
      </c>
      <c r="AL6" s="603">
        <f>'Acquisition Schedule'!AK16</f>
        <v>338.78214833879457</v>
      </c>
      <c r="AM6" s="603">
        <f>'Acquisition Schedule'!AL16</f>
        <v>329.75299346475373</v>
      </c>
      <c r="AN6" s="603">
        <f>'Acquisition Schedule'!AM16</f>
        <v>321.13937753125782</v>
      </c>
      <c r="AO6" s="603">
        <f>'Acquisition Schedule'!AN16</f>
        <v>312.896369721665</v>
      </c>
      <c r="AP6" s="605">
        <f>'Acquisition Schedule'!AO16</f>
        <v>305.02743027491164</v>
      </c>
    </row>
    <row r="7" spans="1:43" x14ac:dyDescent="0.8">
      <c r="A7" s="267" t="s">
        <v>323</v>
      </c>
      <c r="B7" s="263"/>
      <c r="C7" s="603">
        <f>C8-C5</f>
        <v>-2807</v>
      </c>
      <c r="D7" s="635">
        <v>0</v>
      </c>
      <c r="E7" s="603">
        <v>0</v>
      </c>
      <c r="F7" s="603">
        <v>0</v>
      </c>
      <c r="G7" s="603">
        <v>0</v>
      </c>
      <c r="H7" s="603">
        <v>0</v>
      </c>
      <c r="I7" s="604">
        <v>0</v>
      </c>
      <c r="J7" s="603">
        <f>-H8</f>
        <v>-40945</v>
      </c>
      <c r="K7" s="603">
        <v>0</v>
      </c>
      <c r="L7" s="603">
        <v>0</v>
      </c>
      <c r="M7" s="603">
        <v>0</v>
      </c>
      <c r="N7" s="603">
        <v>0</v>
      </c>
      <c r="O7" s="604">
        <f>-I6</f>
        <v>-3209.3934200900003</v>
      </c>
      <c r="P7" s="603">
        <f t="shared" ref="P7:AP7" si="1">-J6</f>
        <v>-702.61385719370412</v>
      </c>
      <c r="Q7" s="603">
        <f t="shared" si="1"/>
        <v>-4154.1471255965298</v>
      </c>
      <c r="R7" s="603">
        <f t="shared" si="1"/>
        <v>-357.11676843600378</v>
      </c>
      <c r="S7" s="603">
        <f t="shared" si="1"/>
        <v>-1718.4846213052601</v>
      </c>
      <c r="T7" s="603">
        <f t="shared" si="1"/>
        <v>0</v>
      </c>
      <c r="U7" s="603">
        <f t="shared" si="1"/>
        <v>-631.21368459998018</v>
      </c>
      <c r="V7" s="603">
        <f t="shared" si="1"/>
        <v>-647.87458516162701</v>
      </c>
      <c r="W7" s="603">
        <f t="shared" si="1"/>
        <v>-601.57831217215528</v>
      </c>
      <c r="X7" s="603">
        <f t="shared" si="1"/>
        <v>-613.18593126518647</v>
      </c>
      <c r="Y7" s="603">
        <f t="shared" si="1"/>
        <v>-566.50161406817858</v>
      </c>
      <c r="Z7" s="603">
        <f t="shared" si="1"/>
        <v>-574.20943898272969</v>
      </c>
      <c r="AA7" s="603">
        <f t="shared" si="1"/>
        <v>-541.55924435496331</v>
      </c>
      <c r="AB7" s="603">
        <f t="shared" si="1"/>
        <v>-546.64681502706287</v>
      </c>
      <c r="AC7" s="603">
        <f t="shared" si="1"/>
        <v>-522.48881399649463</v>
      </c>
      <c r="AD7" s="603">
        <f t="shared" si="1"/>
        <v>-523.27431155912166</v>
      </c>
      <c r="AE7" s="603">
        <f t="shared" si="1"/>
        <v>-504.66204992614587</v>
      </c>
      <c r="AF7" s="603">
        <f t="shared" si="1"/>
        <v>-489.92874603305336</v>
      </c>
      <c r="AG7" s="603">
        <f t="shared" si="1"/>
        <v>-472.36456584339157</v>
      </c>
      <c r="AH7" s="603">
        <f t="shared" si="1"/>
        <v>-458.36238454536522</v>
      </c>
      <c r="AI7" s="603">
        <f t="shared" si="1"/>
        <v>-442.71115369885922</v>
      </c>
      <c r="AJ7" s="603">
        <f t="shared" si="1"/>
        <v>-429.5666907183176</v>
      </c>
      <c r="AK7" s="603">
        <f t="shared" si="1"/>
        <v>-415.52670863705407</v>
      </c>
      <c r="AL7" s="603">
        <f t="shared" si="1"/>
        <v>-403.28866517428679</v>
      </c>
      <c r="AM7" s="603">
        <f t="shared" si="1"/>
        <v>-390.63001058694681</v>
      </c>
      <c r="AN7" s="603">
        <f t="shared" si="1"/>
        <v>-379.29875917735427</v>
      </c>
      <c r="AO7" s="603">
        <f t="shared" si="1"/>
        <v>-368.44601491146972</v>
      </c>
      <c r="AP7" s="605">
        <f t="shared" si="1"/>
        <v>-358.11127527970541</v>
      </c>
      <c r="AQ7" s="591"/>
    </row>
    <row r="8" spans="1:43" ht="16.75" thickBot="1" x14ac:dyDescent="0.95">
      <c r="A8" s="647" t="s">
        <v>529</v>
      </c>
      <c r="B8" s="648"/>
      <c r="C8" s="649">
        <v>14087</v>
      </c>
      <c r="D8" s="649">
        <v>14087</v>
      </c>
      <c r="E8" s="649">
        <v>14087</v>
      </c>
      <c r="F8" s="649">
        <v>38087</v>
      </c>
      <c r="G8" s="649">
        <v>38087</v>
      </c>
      <c r="H8" s="649">
        <v>40945</v>
      </c>
      <c r="I8" s="650">
        <f t="shared" ref="I8:AP8" si="2">I5+I6+I7</f>
        <v>44154.393420089997</v>
      </c>
      <c r="J8" s="649">
        <f t="shared" si="2"/>
        <v>3912.0072772837011</v>
      </c>
      <c r="K8" s="649">
        <f t="shared" si="2"/>
        <v>8066.1544028802309</v>
      </c>
      <c r="L8" s="649">
        <f t="shared" si="2"/>
        <v>8423.2711713162353</v>
      </c>
      <c r="M8" s="649">
        <f t="shared" si="2"/>
        <v>10141.755792621496</v>
      </c>
      <c r="N8" s="649">
        <f t="shared" si="2"/>
        <v>10141.755792621496</v>
      </c>
      <c r="O8" s="650">
        <f t="shared" si="2"/>
        <v>7563.576057131475</v>
      </c>
      <c r="P8" s="649">
        <f t="shared" si="2"/>
        <v>7508.8367850993982</v>
      </c>
      <c r="Q8" s="649">
        <f t="shared" si="2"/>
        <v>3956.2679716750235</v>
      </c>
      <c r="R8" s="649">
        <f t="shared" si="2"/>
        <v>4212.3371345042069</v>
      </c>
      <c r="S8" s="649">
        <f t="shared" si="2"/>
        <v>3060.354127267125</v>
      </c>
      <c r="T8" s="649">
        <f t="shared" si="2"/>
        <v>3634.5635662498548</v>
      </c>
      <c r="U8" s="649">
        <f t="shared" si="2"/>
        <v>3544.9091260048381</v>
      </c>
      <c r="V8" s="649">
        <f t="shared" si="2"/>
        <v>3443.6813558702743</v>
      </c>
      <c r="W8" s="649">
        <f t="shared" si="2"/>
        <v>3364.5918576946137</v>
      </c>
      <c r="X8" s="649">
        <f t="shared" si="2"/>
        <v>3274.6802379885489</v>
      </c>
      <c r="Y8" s="649">
        <f t="shared" si="2"/>
        <v>3212.840673846516</v>
      </c>
      <c r="Z8" s="649">
        <f t="shared" si="2"/>
        <v>3128.5599808968395</v>
      </c>
      <c r="AA8" s="649">
        <f t="shared" si="2"/>
        <v>3059.3653023852676</v>
      </c>
      <c r="AB8" s="649">
        <f t="shared" si="2"/>
        <v>2971.0808719035699</v>
      </c>
      <c r="AC8" s="649">
        <f t="shared" si="2"/>
        <v>2891.3032116059344</v>
      </c>
      <c r="AD8" s="649">
        <f t="shared" si="2"/>
        <v>2797.5955907651305</v>
      </c>
      <c r="AE8" s="649">
        <f t="shared" si="2"/>
        <v>2708.4602494760388</v>
      </c>
      <c r="AF8" s="649">
        <f t="shared" si="2"/>
        <v>2621.8201686172724</v>
      </c>
      <c r="AG8" s="649">
        <f t="shared" si="2"/>
        <v>2540.0856133608277</v>
      </c>
      <c r="AH8" s="649">
        <f t="shared" si="2"/>
        <v>2461.0219879928168</v>
      </c>
      <c r="AI8" s="649">
        <f t="shared" si="2"/>
        <v>2386.7568492054274</v>
      </c>
      <c r="AJ8" s="649">
        <f t="shared" si="2"/>
        <v>2315.3014337668151</v>
      </c>
      <c r="AK8" s="649">
        <f t="shared" si="2"/>
        <v>2247.9899139045297</v>
      </c>
      <c r="AL8" s="649">
        <f t="shared" si="2"/>
        <v>2183.4833970690374</v>
      </c>
      <c r="AM8" s="649">
        <f t="shared" si="2"/>
        <v>2122.6063799468443</v>
      </c>
      <c r="AN8" s="649">
        <f t="shared" si="2"/>
        <v>2064.4469983007475</v>
      </c>
      <c r="AO8" s="649">
        <f t="shared" si="2"/>
        <v>2008.8973531109427</v>
      </c>
      <c r="AP8" s="651">
        <f t="shared" si="2"/>
        <v>1955.8135081061491</v>
      </c>
    </row>
    <row r="9" spans="1:43" ht="16.75" thickTop="1" x14ac:dyDescent="0.8">
      <c r="A9" s="267"/>
      <c r="B9" s="263"/>
      <c r="C9" s="603"/>
      <c r="D9" s="603"/>
      <c r="E9" s="603"/>
      <c r="F9" s="603"/>
      <c r="G9" s="603"/>
      <c r="H9" s="636"/>
      <c r="I9" s="603"/>
      <c r="J9" s="603"/>
      <c r="K9" s="603"/>
      <c r="L9" s="603"/>
      <c r="M9" s="603"/>
      <c r="N9" s="636"/>
      <c r="O9" s="603"/>
      <c r="P9" s="603"/>
      <c r="Q9" s="603"/>
      <c r="R9" s="603"/>
      <c r="S9" s="603"/>
      <c r="T9" s="603"/>
      <c r="U9" s="603"/>
      <c r="V9" s="603"/>
      <c r="W9" s="603"/>
      <c r="X9" s="603"/>
      <c r="Y9" s="603"/>
      <c r="Z9" s="603"/>
      <c r="AA9" s="603"/>
      <c r="AB9" s="603"/>
      <c r="AC9" s="603"/>
      <c r="AD9" s="603"/>
      <c r="AE9" s="603"/>
      <c r="AF9" s="603"/>
      <c r="AG9" s="603"/>
      <c r="AH9" s="603"/>
      <c r="AI9" s="603"/>
      <c r="AJ9" s="603"/>
      <c r="AK9" s="603"/>
      <c r="AL9" s="603"/>
      <c r="AM9" s="603"/>
      <c r="AN9" s="603"/>
      <c r="AO9" s="603"/>
      <c r="AP9" s="605"/>
    </row>
    <row r="10" spans="1:43" x14ac:dyDescent="0.8">
      <c r="A10" s="267"/>
      <c r="B10" s="263"/>
      <c r="C10" s="603"/>
      <c r="D10" s="603"/>
      <c r="E10" s="603"/>
      <c r="F10" s="603"/>
      <c r="G10" s="603"/>
      <c r="H10" s="637"/>
      <c r="I10" s="603"/>
      <c r="J10" s="603"/>
      <c r="K10" s="603"/>
      <c r="L10" s="603"/>
      <c r="M10" s="603"/>
      <c r="N10" s="637"/>
      <c r="O10" s="603"/>
      <c r="P10" s="603"/>
      <c r="Q10" s="603"/>
      <c r="R10" s="603"/>
      <c r="S10" s="603"/>
      <c r="T10" s="603"/>
      <c r="U10" s="603"/>
      <c r="V10" s="603"/>
      <c r="W10" s="603"/>
      <c r="X10" s="603"/>
      <c r="Y10" s="603"/>
      <c r="Z10" s="603"/>
      <c r="AA10" s="603"/>
      <c r="AB10" s="603"/>
      <c r="AC10" s="603"/>
      <c r="AD10" s="603"/>
      <c r="AE10" s="603"/>
      <c r="AF10" s="603"/>
      <c r="AG10" s="603"/>
      <c r="AH10" s="603"/>
      <c r="AI10" s="603"/>
      <c r="AJ10" s="603"/>
      <c r="AK10" s="603"/>
      <c r="AL10" s="603"/>
      <c r="AM10" s="603"/>
      <c r="AN10" s="603"/>
      <c r="AO10" s="603"/>
      <c r="AP10" s="605"/>
      <c r="AQ10" s="591"/>
    </row>
    <row r="11" spans="1:43" x14ac:dyDescent="0.8">
      <c r="A11" s="573" t="s">
        <v>530</v>
      </c>
      <c r="B11" s="616"/>
      <c r="C11" s="607">
        <v>1881</v>
      </c>
      <c r="D11" s="607">
        <f t="shared" ref="D11:AP11" si="3">C14</f>
        <v>6413</v>
      </c>
      <c r="E11" s="607">
        <f t="shared" si="3"/>
        <v>8943</v>
      </c>
      <c r="F11" s="607">
        <f t="shared" si="3"/>
        <v>11194</v>
      </c>
      <c r="G11" s="607">
        <f t="shared" si="3"/>
        <v>21740</v>
      </c>
      <c r="H11" s="607">
        <f t="shared" si="3"/>
        <v>27703</v>
      </c>
      <c r="I11" s="608">
        <f t="shared" si="3"/>
        <v>33338</v>
      </c>
      <c r="J11" s="607">
        <f t="shared" si="3"/>
        <v>39427.89890334833</v>
      </c>
      <c r="K11" s="607">
        <f t="shared" si="3"/>
        <v>1186.9001162289496</v>
      </c>
      <c r="L11" s="607">
        <f t="shared" si="3"/>
        <v>2531.2591833756555</v>
      </c>
      <c r="M11" s="607">
        <f t="shared" si="3"/>
        <v>3935.137711928362</v>
      </c>
      <c r="N11" s="607">
        <f t="shared" si="3"/>
        <v>5625.4303440319454</v>
      </c>
      <c r="O11" s="608">
        <f t="shared" si="3"/>
        <v>7315.7229761355284</v>
      </c>
      <c r="P11" s="607">
        <f t="shared" si="3"/>
        <v>5366.9255655674406</v>
      </c>
      <c r="Q11" s="607">
        <f t="shared" si="3"/>
        <v>6023.763603417241</v>
      </c>
      <c r="R11" s="607">
        <f t="shared" si="3"/>
        <v>2624.3182963906038</v>
      </c>
      <c r="S11" s="607">
        <f t="shared" si="3"/>
        <v>3068.4507466937002</v>
      </c>
      <c r="T11" s="607">
        <f t="shared" si="3"/>
        <v>1943.6567371890242</v>
      </c>
      <c r="U11" s="607">
        <f t="shared" si="3"/>
        <v>2539.916623961125</v>
      </c>
      <c r="V11" s="607">
        <f t="shared" si="3"/>
        <v>2499.5211270286181</v>
      </c>
      <c r="W11" s="607">
        <f t="shared" si="3"/>
        <v>2425.5934345120368</v>
      </c>
      <c r="X11" s="607">
        <f t="shared" si="3"/>
        <v>2384.7804319556508</v>
      </c>
      <c r="Y11" s="607">
        <f t="shared" si="3"/>
        <v>2317.374540355223</v>
      </c>
      <c r="Z11" s="607">
        <f t="shared" si="3"/>
        <v>2286.3463719281303</v>
      </c>
      <c r="AA11" s="607">
        <f t="shared" si="3"/>
        <v>2233.5635964282073</v>
      </c>
      <c r="AB11" s="607">
        <f t="shared" si="3"/>
        <v>2201.8985691374555</v>
      </c>
      <c r="AC11" s="607">
        <f t="shared" si="3"/>
        <v>2150.4318994276546</v>
      </c>
      <c r="AD11" s="607">
        <f t="shared" si="3"/>
        <v>2109.8269540321494</v>
      </c>
      <c r="AE11" s="607">
        <f t="shared" si="3"/>
        <v>2052.8185742672167</v>
      </c>
      <c r="AF11" s="607">
        <f t="shared" si="3"/>
        <v>1999.566565920411</v>
      </c>
      <c r="AG11" s="607">
        <f t="shared" si="3"/>
        <v>1946.6078479902367</v>
      </c>
      <c r="AH11" s="607">
        <f t="shared" si="3"/>
        <v>1897.5908843736502</v>
      </c>
      <c r="AI11" s="607">
        <f t="shared" si="3"/>
        <v>1849.3988311604212</v>
      </c>
      <c r="AJ11" s="607">
        <f t="shared" si="3"/>
        <v>1804.4804856624669</v>
      </c>
      <c r="AK11" s="607">
        <f t="shared" si="3"/>
        <v>1760.7973672386188</v>
      </c>
      <c r="AL11" s="607">
        <f t="shared" si="3"/>
        <v>1719.9356442523199</v>
      </c>
      <c r="AM11" s="607">
        <f t="shared" si="3"/>
        <v>1680.5608785895399</v>
      </c>
      <c r="AN11" s="607">
        <f t="shared" si="3"/>
        <v>1643.6985979937342</v>
      </c>
      <c r="AO11" s="607">
        <f t="shared" si="3"/>
        <v>1608.4743385331717</v>
      </c>
      <c r="AP11" s="609">
        <f t="shared" si="3"/>
        <v>1574.8445491401928</v>
      </c>
    </row>
    <row r="12" spans="1:43" x14ac:dyDescent="0.8">
      <c r="A12" s="267" t="s">
        <v>322</v>
      </c>
      <c r="B12" s="263"/>
      <c r="C12" s="603">
        <v>6937</v>
      </c>
      <c r="D12" s="603">
        <v>2524</v>
      </c>
      <c r="E12" s="603">
        <v>2244</v>
      </c>
      <c r="F12" s="603">
        <v>10521</v>
      </c>
      <c r="G12" s="603">
        <v>5978</v>
      </c>
      <c r="H12" s="603">
        <v>5555</v>
      </c>
      <c r="I12" s="604">
        <f>I20</f>
        <v>6089.8989033483331</v>
      </c>
      <c r="J12" s="603">
        <f t="shared" ref="J12:AP12" si="4">J20</f>
        <v>2704.0012128806175</v>
      </c>
      <c r="K12" s="603">
        <f t="shared" si="4"/>
        <v>1344.3590671467059</v>
      </c>
      <c r="L12" s="603">
        <f t="shared" si="4"/>
        <v>1403.8785285527065</v>
      </c>
      <c r="M12" s="603">
        <f t="shared" si="4"/>
        <v>1690.2926321035832</v>
      </c>
      <c r="N12" s="603">
        <f t="shared" si="4"/>
        <v>1690.2926321035832</v>
      </c>
      <c r="O12" s="604">
        <f t="shared" si="4"/>
        <v>1260.5960095219129</v>
      </c>
      <c r="P12" s="603">
        <f t="shared" si="4"/>
        <v>1359.4518950435045</v>
      </c>
      <c r="Q12" s="603">
        <f t="shared" si="4"/>
        <v>754.70181856989279</v>
      </c>
      <c r="R12" s="603">
        <f t="shared" si="4"/>
        <v>801.24921873910034</v>
      </c>
      <c r="S12" s="603">
        <f t="shared" si="4"/>
        <v>593.69061180058407</v>
      </c>
      <c r="T12" s="603">
        <f t="shared" si="4"/>
        <v>596.25988677210103</v>
      </c>
      <c r="U12" s="603">
        <f t="shared" si="4"/>
        <v>590.81818766747335</v>
      </c>
      <c r="V12" s="603">
        <f t="shared" si="4"/>
        <v>573.94689264504598</v>
      </c>
      <c r="W12" s="603">
        <f t="shared" si="4"/>
        <v>560.76530961576918</v>
      </c>
      <c r="X12" s="603">
        <f t="shared" si="4"/>
        <v>545.78003966475842</v>
      </c>
      <c r="Y12" s="603">
        <f t="shared" si="4"/>
        <v>535.4734456410863</v>
      </c>
      <c r="Z12" s="603">
        <f t="shared" si="4"/>
        <v>521.42666348280693</v>
      </c>
      <c r="AA12" s="603">
        <f t="shared" si="4"/>
        <v>509.89421706421166</v>
      </c>
      <c r="AB12" s="603">
        <f t="shared" si="4"/>
        <v>495.18014531726209</v>
      </c>
      <c r="AC12" s="603">
        <f t="shared" si="4"/>
        <v>481.8838686009895</v>
      </c>
      <c r="AD12" s="603">
        <f t="shared" si="4"/>
        <v>466.26593179418887</v>
      </c>
      <c r="AE12" s="603">
        <f t="shared" si="4"/>
        <v>451.41004157934015</v>
      </c>
      <c r="AF12" s="603">
        <f t="shared" si="4"/>
        <v>436.9700281028791</v>
      </c>
      <c r="AG12" s="603">
        <f t="shared" si="4"/>
        <v>423.34760222680501</v>
      </c>
      <c r="AH12" s="603">
        <f t="shared" si="4"/>
        <v>410.17033133213647</v>
      </c>
      <c r="AI12" s="603">
        <f t="shared" si="4"/>
        <v>397.7928082009048</v>
      </c>
      <c r="AJ12" s="603">
        <f t="shared" si="4"/>
        <v>385.88357229446945</v>
      </c>
      <c r="AK12" s="603">
        <f t="shared" si="4"/>
        <v>374.66498565075528</v>
      </c>
      <c r="AL12" s="603">
        <f t="shared" si="4"/>
        <v>363.91389951150654</v>
      </c>
      <c r="AM12" s="603">
        <f t="shared" si="4"/>
        <v>353.76772999114104</v>
      </c>
      <c r="AN12" s="603">
        <f t="shared" si="4"/>
        <v>344.07449971679165</v>
      </c>
      <c r="AO12" s="603">
        <f t="shared" si="4"/>
        <v>334.81622551849091</v>
      </c>
      <c r="AP12" s="605">
        <f t="shared" si="4"/>
        <v>325.96891801769192</v>
      </c>
    </row>
    <row r="13" spans="1:43" x14ac:dyDescent="0.8">
      <c r="A13" s="267" t="s">
        <v>321</v>
      </c>
      <c r="B13" s="263"/>
      <c r="C13" s="603"/>
      <c r="D13" s="603"/>
      <c r="E13" s="603"/>
      <c r="F13" s="603"/>
      <c r="G13" s="603"/>
      <c r="H13" s="603"/>
      <c r="I13" s="604">
        <v>0</v>
      </c>
      <c r="J13" s="603">
        <f>-H8</f>
        <v>-40945</v>
      </c>
      <c r="K13" s="603">
        <f t="shared" ref="K13:N13" si="5">K7</f>
        <v>0</v>
      </c>
      <c r="L13" s="603">
        <f t="shared" si="5"/>
        <v>0</v>
      </c>
      <c r="M13" s="603">
        <f t="shared" si="5"/>
        <v>0</v>
      </c>
      <c r="N13" s="603">
        <f t="shared" si="5"/>
        <v>0</v>
      </c>
      <c r="O13" s="604">
        <f>-I6</f>
        <v>-3209.3934200900003</v>
      </c>
      <c r="P13" s="603">
        <f t="shared" ref="P13:AP13" si="6">-J6</f>
        <v>-702.61385719370412</v>
      </c>
      <c r="Q13" s="603">
        <f t="shared" si="6"/>
        <v>-4154.1471255965298</v>
      </c>
      <c r="R13" s="603">
        <f t="shared" si="6"/>
        <v>-357.11676843600378</v>
      </c>
      <c r="S13" s="603">
        <f t="shared" si="6"/>
        <v>-1718.4846213052601</v>
      </c>
      <c r="T13" s="603">
        <f t="shared" si="6"/>
        <v>0</v>
      </c>
      <c r="U13" s="603">
        <f t="shared" si="6"/>
        <v>-631.21368459998018</v>
      </c>
      <c r="V13" s="603">
        <f t="shared" si="6"/>
        <v>-647.87458516162701</v>
      </c>
      <c r="W13" s="603">
        <f t="shared" si="6"/>
        <v>-601.57831217215528</v>
      </c>
      <c r="X13" s="603">
        <f t="shared" si="6"/>
        <v>-613.18593126518647</v>
      </c>
      <c r="Y13" s="603">
        <f t="shared" si="6"/>
        <v>-566.50161406817858</v>
      </c>
      <c r="Z13" s="603">
        <f t="shared" si="6"/>
        <v>-574.20943898272969</v>
      </c>
      <c r="AA13" s="603">
        <f t="shared" si="6"/>
        <v>-541.55924435496331</v>
      </c>
      <c r="AB13" s="603">
        <f t="shared" si="6"/>
        <v>-546.64681502706287</v>
      </c>
      <c r="AC13" s="603">
        <f t="shared" si="6"/>
        <v>-522.48881399649463</v>
      </c>
      <c r="AD13" s="603">
        <f t="shared" si="6"/>
        <v>-523.27431155912166</v>
      </c>
      <c r="AE13" s="603">
        <f t="shared" si="6"/>
        <v>-504.66204992614587</v>
      </c>
      <c r="AF13" s="603">
        <f t="shared" si="6"/>
        <v>-489.92874603305336</v>
      </c>
      <c r="AG13" s="603">
        <f t="shared" si="6"/>
        <v>-472.36456584339157</v>
      </c>
      <c r="AH13" s="603">
        <f t="shared" si="6"/>
        <v>-458.36238454536522</v>
      </c>
      <c r="AI13" s="603">
        <f t="shared" si="6"/>
        <v>-442.71115369885922</v>
      </c>
      <c r="AJ13" s="603">
        <f t="shared" si="6"/>
        <v>-429.5666907183176</v>
      </c>
      <c r="AK13" s="603">
        <f t="shared" si="6"/>
        <v>-415.52670863705407</v>
      </c>
      <c r="AL13" s="603">
        <f t="shared" si="6"/>
        <v>-403.28866517428679</v>
      </c>
      <c r="AM13" s="603">
        <f t="shared" si="6"/>
        <v>-390.63001058694681</v>
      </c>
      <c r="AN13" s="603">
        <f t="shared" si="6"/>
        <v>-379.29875917735427</v>
      </c>
      <c r="AO13" s="603">
        <f t="shared" si="6"/>
        <v>-368.44601491146972</v>
      </c>
      <c r="AP13" s="605">
        <f t="shared" si="6"/>
        <v>-358.11127527970541</v>
      </c>
    </row>
    <row r="14" spans="1:43" ht="16.75" thickBot="1" x14ac:dyDescent="0.95">
      <c r="A14" s="647" t="s">
        <v>531</v>
      </c>
      <c r="B14" s="648"/>
      <c r="C14" s="649">
        <v>6413</v>
      </c>
      <c r="D14" s="649">
        <v>8943</v>
      </c>
      <c r="E14" s="649">
        <v>11194</v>
      </c>
      <c r="F14" s="649">
        <v>21740</v>
      </c>
      <c r="G14" s="649">
        <v>27703</v>
      </c>
      <c r="H14" s="649">
        <v>33338</v>
      </c>
      <c r="I14" s="650">
        <f t="shared" ref="I14:AP14" si="7">I11+I12+I13</f>
        <v>39427.89890334833</v>
      </c>
      <c r="J14" s="649">
        <f t="shared" si="7"/>
        <v>1186.9001162289496</v>
      </c>
      <c r="K14" s="649">
        <f t="shared" si="7"/>
        <v>2531.2591833756555</v>
      </c>
      <c r="L14" s="649">
        <f t="shared" si="7"/>
        <v>3935.137711928362</v>
      </c>
      <c r="M14" s="649">
        <f t="shared" si="7"/>
        <v>5625.4303440319454</v>
      </c>
      <c r="N14" s="649">
        <f t="shared" si="7"/>
        <v>7315.7229761355284</v>
      </c>
      <c r="O14" s="650">
        <f t="shared" si="7"/>
        <v>5366.9255655674406</v>
      </c>
      <c r="P14" s="649">
        <f t="shared" si="7"/>
        <v>6023.763603417241</v>
      </c>
      <c r="Q14" s="649">
        <f t="shared" si="7"/>
        <v>2624.3182963906038</v>
      </c>
      <c r="R14" s="649">
        <f t="shared" si="7"/>
        <v>3068.4507466937002</v>
      </c>
      <c r="S14" s="649">
        <f t="shared" si="7"/>
        <v>1943.6567371890242</v>
      </c>
      <c r="T14" s="649">
        <f t="shared" si="7"/>
        <v>2539.916623961125</v>
      </c>
      <c r="U14" s="649">
        <f t="shared" si="7"/>
        <v>2499.5211270286181</v>
      </c>
      <c r="V14" s="649">
        <f t="shared" si="7"/>
        <v>2425.5934345120368</v>
      </c>
      <c r="W14" s="649">
        <f t="shared" si="7"/>
        <v>2384.7804319556508</v>
      </c>
      <c r="X14" s="649">
        <f t="shared" si="7"/>
        <v>2317.374540355223</v>
      </c>
      <c r="Y14" s="649">
        <f t="shared" si="7"/>
        <v>2286.3463719281303</v>
      </c>
      <c r="Z14" s="649">
        <f t="shared" si="7"/>
        <v>2233.5635964282073</v>
      </c>
      <c r="AA14" s="649">
        <f t="shared" si="7"/>
        <v>2201.8985691374555</v>
      </c>
      <c r="AB14" s="649">
        <f t="shared" si="7"/>
        <v>2150.4318994276546</v>
      </c>
      <c r="AC14" s="649">
        <f t="shared" si="7"/>
        <v>2109.8269540321494</v>
      </c>
      <c r="AD14" s="649">
        <f t="shared" si="7"/>
        <v>2052.8185742672167</v>
      </c>
      <c r="AE14" s="649">
        <f t="shared" si="7"/>
        <v>1999.566565920411</v>
      </c>
      <c r="AF14" s="649">
        <f t="shared" si="7"/>
        <v>1946.6078479902367</v>
      </c>
      <c r="AG14" s="649">
        <f t="shared" si="7"/>
        <v>1897.5908843736502</v>
      </c>
      <c r="AH14" s="649">
        <f t="shared" si="7"/>
        <v>1849.3988311604212</v>
      </c>
      <c r="AI14" s="649">
        <f t="shared" si="7"/>
        <v>1804.4804856624669</v>
      </c>
      <c r="AJ14" s="649">
        <f t="shared" si="7"/>
        <v>1760.7973672386188</v>
      </c>
      <c r="AK14" s="649">
        <f t="shared" si="7"/>
        <v>1719.9356442523199</v>
      </c>
      <c r="AL14" s="649">
        <f t="shared" si="7"/>
        <v>1680.5608785895399</v>
      </c>
      <c r="AM14" s="649">
        <f t="shared" si="7"/>
        <v>1643.6985979937342</v>
      </c>
      <c r="AN14" s="649">
        <f t="shared" si="7"/>
        <v>1608.4743385331717</v>
      </c>
      <c r="AO14" s="649">
        <f t="shared" si="7"/>
        <v>1574.8445491401928</v>
      </c>
      <c r="AP14" s="651">
        <f t="shared" si="7"/>
        <v>1542.7021918781793</v>
      </c>
    </row>
    <row r="15" spans="1:43" ht="16.75" thickTop="1" x14ac:dyDescent="0.8">
      <c r="A15" s="267"/>
      <c r="B15" s="263"/>
      <c r="C15" s="603"/>
      <c r="D15" s="603"/>
      <c r="E15" s="603"/>
      <c r="F15" s="603"/>
      <c r="G15" s="603"/>
      <c r="H15" s="603"/>
      <c r="I15" s="604"/>
      <c r="J15" s="603"/>
      <c r="K15" s="603"/>
      <c r="L15" s="603"/>
      <c r="M15" s="603"/>
      <c r="N15" s="603"/>
      <c r="O15" s="604"/>
      <c r="P15" s="603"/>
      <c r="Q15" s="603"/>
      <c r="R15" s="603"/>
      <c r="S15" s="603"/>
      <c r="T15" s="603"/>
      <c r="U15" s="603"/>
      <c r="V15" s="603"/>
      <c r="W15" s="603"/>
      <c r="X15" s="603"/>
      <c r="Y15" s="603"/>
      <c r="Z15" s="603"/>
      <c r="AA15" s="603"/>
      <c r="AB15" s="603"/>
      <c r="AC15" s="603"/>
      <c r="AD15" s="603"/>
      <c r="AE15" s="603"/>
      <c r="AF15" s="603"/>
      <c r="AG15" s="603"/>
      <c r="AH15" s="603"/>
      <c r="AI15" s="603"/>
      <c r="AJ15" s="603"/>
      <c r="AK15" s="603"/>
      <c r="AL15" s="603"/>
      <c r="AM15" s="603"/>
      <c r="AN15" s="603"/>
      <c r="AO15" s="603"/>
      <c r="AP15" s="605"/>
    </row>
    <row r="16" spans="1:43" ht="16.75" thickBot="1" x14ac:dyDescent="0.95">
      <c r="A16" s="647" t="s">
        <v>319</v>
      </c>
      <c r="B16" s="648"/>
      <c r="C16" s="649">
        <v>7674</v>
      </c>
      <c r="D16" s="649">
        <v>5144</v>
      </c>
      <c r="E16" s="649">
        <v>2893</v>
      </c>
      <c r="F16" s="649">
        <v>16347</v>
      </c>
      <c r="G16" s="649">
        <v>10384</v>
      </c>
      <c r="H16" s="649">
        <v>7607</v>
      </c>
      <c r="I16" s="650">
        <f t="shared" ref="I16:AP16" si="8">I8-I14</f>
        <v>4726.4945167416663</v>
      </c>
      <c r="J16" s="649">
        <f t="shared" si="8"/>
        <v>2725.1071610547515</v>
      </c>
      <c r="K16" s="649">
        <f t="shared" si="8"/>
        <v>5534.8952195045749</v>
      </c>
      <c r="L16" s="649">
        <f t="shared" si="8"/>
        <v>4488.1334593878728</v>
      </c>
      <c r="M16" s="649">
        <f t="shared" si="8"/>
        <v>4516.3254485895504</v>
      </c>
      <c r="N16" s="649">
        <f t="shared" si="8"/>
        <v>2826.0328164859675</v>
      </c>
      <c r="O16" s="650">
        <f t="shared" si="8"/>
        <v>2196.6504915640344</v>
      </c>
      <c r="P16" s="649">
        <f t="shared" si="8"/>
        <v>1485.0731816821572</v>
      </c>
      <c r="Q16" s="649">
        <f t="shared" si="8"/>
        <v>1331.9496752844198</v>
      </c>
      <c r="R16" s="649">
        <f t="shared" si="8"/>
        <v>1143.8863878105067</v>
      </c>
      <c r="S16" s="649">
        <f t="shared" si="8"/>
        <v>1116.6973900781009</v>
      </c>
      <c r="T16" s="649">
        <f t="shared" si="8"/>
        <v>1094.6469422887299</v>
      </c>
      <c r="U16" s="649">
        <f t="shared" si="8"/>
        <v>1045.3879989762199</v>
      </c>
      <c r="V16" s="649">
        <f t="shared" si="8"/>
        <v>1018.0879213582375</v>
      </c>
      <c r="W16" s="649">
        <f t="shared" si="8"/>
        <v>979.81142573896295</v>
      </c>
      <c r="X16" s="649">
        <f t="shared" si="8"/>
        <v>957.30569763332596</v>
      </c>
      <c r="Y16" s="649">
        <f t="shared" si="8"/>
        <v>926.49430191838564</v>
      </c>
      <c r="Z16" s="649">
        <f t="shared" si="8"/>
        <v>894.99638446863219</v>
      </c>
      <c r="AA16" s="649">
        <f t="shared" si="8"/>
        <v>857.46673324781204</v>
      </c>
      <c r="AB16" s="649">
        <f t="shared" si="8"/>
        <v>820.64897247591534</v>
      </c>
      <c r="AC16" s="649">
        <f t="shared" si="8"/>
        <v>781.47625757378501</v>
      </c>
      <c r="AD16" s="649">
        <f t="shared" si="8"/>
        <v>744.77701649791379</v>
      </c>
      <c r="AE16" s="649">
        <f t="shared" si="8"/>
        <v>708.89368355562783</v>
      </c>
      <c r="AF16" s="649">
        <f t="shared" si="8"/>
        <v>675.21232062703575</v>
      </c>
      <c r="AG16" s="649">
        <f t="shared" si="8"/>
        <v>642.4947289871775</v>
      </c>
      <c r="AH16" s="649">
        <f t="shared" si="8"/>
        <v>611.62315683239558</v>
      </c>
      <c r="AI16" s="649">
        <f t="shared" si="8"/>
        <v>582.27636354296055</v>
      </c>
      <c r="AJ16" s="649">
        <f t="shared" si="8"/>
        <v>554.50406652819629</v>
      </c>
      <c r="AK16" s="649">
        <f t="shared" si="8"/>
        <v>528.05426965220977</v>
      </c>
      <c r="AL16" s="649">
        <f t="shared" si="8"/>
        <v>502.92251847949751</v>
      </c>
      <c r="AM16" s="649">
        <f t="shared" si="8"/>
        <v>478.90778195311009</v>
      </c>
      <c r="AN16" s="649">
        <f t="shared" si="8"/>
        <v>455.97265976757581</v>
      </c>
      <c r="AO16" s="649">
        <f t="shared" si="8"/>
        <v>434.05280397074989</v>
      </c>
      <c r="AP16" s="651">
        <f t="shared" si="8"/>
        <v>413.11131622796984</v>
      </c>
    </row>
    <row r="17" spans="1:47" ht="16.75" thickTop="1" x14ac:dyDescent="0.8">
      <c r="A17" s="267"/>
      <c r="B17" s="263"/>
      <c r="C17" s="263"/>
      <c r="D17" s="263"/>
      <c r="E17" s="263"/>
      <c r="F17" s="263"/>
      <c r="G17" s="263"/>
      <c r="H17" s="263"/>
      <c r="I17" s="434"/>
      <c r="J17" s="263"/>
      <c r="K17" s="263"/>
      <c r="L17" s="263"/>
      <c r="M17" s="263"/>
      <c r="N17" s="263"/>
      <c r="O17" s="434"/>
      <c r="P17" s="263"/>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610"/>
    </row>
    <row r="18" spans="1:47" x14ac:dyDescent="0.8">
      <c r="A18" s="267" t="s">
        <v>350</v>
      </c>
      <c r="B18" s="263"/>
      <c r="C18" s="263"/>
      <c r="D18" s="263"/>
      <c r="E18" s="263"/>
      <c r="F18" s="263"/>
      <c r="G18" s="263"/>
      <c r="H18" s="263"/>
      <c r="I18" s="611">
        <f>H12</f>
        <v>5555</v>
      </c>
      <c r="J18" s="612">
        <f>H16-I18</f>
        <v>2052</v>
      </c>
      <c r="K18" s="263"/>
      <c r="L18" s="263"/>
      <c r="M18" s="263"/>
      <c r="N18" s="263"/>
      <c r="O18" s="434"/>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610"/>
    </row>
    <row r="19" spans="1:47" x14ac:dyDescent="0.8">
      <c r="A19" s="613" t="s">
        <v>351</v>
      </c>
      <c r="B19" s="617"/>
      <c r="C19" s="263"/>
      <c r="D19" s="263"/>
      <c r="E19" s="263"/>
      <c r="F19" s="263"/>
      <c r="G19" s="263"/>
      <c r="H19" s="263"/>
      <c r="I19" s="641">
        <f>I60</f>
        <v>534.89890334833342</v>
      </c>
      <c r="J19" s="642">
        <f t="shared" ref="J19:AP19" si="9">J60</f>
        <v>652.00121288061746</v>
      </c>
      <c r="K19" s="642">
        <f t="shared" si="9"/>
        <v>1344.3590671467059</v>
      </c>
      <c r="L19" s="642">
        <f t="shared" si="9"/>
        <v>1403.8785285527065</v>
      </c>
      <c r="M19" s="642">
        <f t="shared" si="9"/>
        <v>1690.2926321035832</v>
      </c>
      <c r="N19" s="642">
        <f t="shared" si="9"/>
        <v>1690.2926321035832</v>
      </c>
      <c r="O19" s="641">
        <f t="shared" si="9"/>
        <v>1260.5960095219129</v>
      </c>
      <c r="P19" s="642">
        <f t="shared" si="9"/>
        <v>1359.4518950435045</v>
      </c>
      <c r="Q19" s="642">
        <f t="shared" si="9"/>
        <v>754.70181856989279</v>
      </c>
      <c r="R19" s="642">
        <f t="shared" si="9"/>
        <v>801.24921873910034</v>
      </c>
      <c r="S19" s="642">
        <f t="shared" si="9"/>
        <v>593.69061180058407</v>
      </c>
      <c r="T19" s="642">
        <f t="shared" si="9"/>
        <v>596.25988677210103</v>
      </c>
      <c r="U19" s="642">
        <f t="shared" si="9"/>
        <v>590.81818766747335</v>
      </c>
      <c r="V19" s="642">
        <f t="shared" si="9"/>
        <v>573.94689264504598</v>
      </c>
      <c r="W19" s="642">
        <f t="shared" si="9"/>
        <v>560.76530961576918</v>
      </c>
      <c r="X19" s="642">
        <f t="shared" si="9"/>
        <v>545.78003966475842</v>
      </c>
      <c r="Y19" s="642">
        <f t="shared" si="9"/>
        <v>535.4734456410863</v>
      </c>
      <c r="Z19" s="642">
        <f t="shared" si="9"/>
        <v>521.42666348280693</v>
      </c>
      <c r="AA19" s="642">
        <f t="shared" si="9"/>
        <v>509.89421706421166</v>
      </c>
      <c r="AB19" s="642">
        <f t="shared" si="9"/>
        <v>495.18014531726209</v>
      </c>
      <c r="AC19" s="642">
        <f t="shared" si="9"/>
        <v>481.8838686009895</v>
      </c>
      <c r="AD19" s="642">
        <f t="shared" si="9"/>
        <v>466.26593179418887</v>
      </c>
      <c r="AE19" s="642">
        <f t="shared" si="9"/>
        <v>451.41004157934015</v>
      </c>
      <c r="AF19" s="642">
        <f t="shared" si="9"/>
        <v>436.9700281028791</v>
      </c>
      <c r="AG19" s="642">
        <f t="shared" si="9"/>
        <v>423.34760222680501</v>
      </c>
      <c r="AH19" s="642">
        <f t="shared" si="9"/>
        <v>410.17033133213647</v>
      </c>
      <c r="AI19" s="642">
        <f t="shared" si="9"/>
        <v>397.7928082009048</v>
      </c>
      <c r="AJ19" s="642">
        <f t="shared" si="9"/>
        <v>385.88357229446945</v>
      </c>
      <c r="AK19" s="642">
        <f t="shared" si="9"/>
        <v>374.66498565075528</v>
      </c>
      <c r="AL19" s="642">
        <f t="shared" si="9"/>
        <v>363.91389951150654</v>
      </c>
      <c r="AM19" s="642">
        <f t="shared" si="9"/>
        <v>353.76772999114104</v>
      </c>
      <c r="AN19" s="642">
        <f t="shared" si="9"/>
        <v>344.07449971679165</v>
      </c>
      <c r="AO19" s="642">
        <f t="shared" si="9"/>
        <v>334.81622551849091</v>
      </c>
      <c r="AP19" s="643">
        <f t="shared" si="9"/>
        <v>325.96891801769192</v>
      </c>
    </row>
    <row r="20" spans="1:47" ht="16.75" thickBot="1" x14ac:dyDescent="0.95">
      <c r="A20" s="581" t="s">
        <v>352</v>
      </c>
      <c r="B20" s="640"/>
      <c r="C20" s="640"/>
      <c r="D20" s="640"/>
      <c r="E20" s="640"/>
      <c r="F20" s="640"/>
      <c r="G20" s="640"/>
      <c r="H20" s="640"/>
      <c r="I20" s="644">
        <f>SUM(I18:I19)</f>
        <v>6089.8989033483331</v>
      </c>
      <c r="J20" s="645">
        <f t="shared" ref="J20:AP20" si="10">SUM(J18:J19)</f>
        <v>2704.0012128806175</v>
      </c>
      <c r="K20" s="645">
        <f t="shared" si="10"/>
        <v>1344.3590671467059</v>
      </c>
      <c r="L20" s="645">
        <f t="shared" si="10"/>
        <v>1403.8785285527065</v>
      </c>
      <c r="M20" s="645">
        <f t="shared" si="10"/>
        <v>1690.2926321035832</v>
      </c>
      <c r="N20" s="645">
        <f t="shared" si="10"/>
        <v>1690.2926321035832</v>
      </c>
      <c r="O20" s="644">
        <f t="shared" si="10"/>
        <v>1260.5960095219129</v>
      </c>
      <c r="P20" s="645">
        <f t="shared" si="10"/>
        <v>1359.4518950435045</v>
      </c>
      <c r="Q20" s="645">
        <f t="shared" si="10"/>
        <v>754.70181856989279</v>
      </c>
      <c r="R20" s="645">
        <f t="shared" si="10"/>
        <v>801.24921873910034</v>
      </c>
      <c r="S20" s="645">
        <f t="shared" si="10"/>
        <v>593.69061180058407</v>
      </c>
      <c r="T20" s="645">
        <f t="shared" si="10"/>
        <v>596.25988677210103</v>
      </c>
      <c r="U20" s="645">
        <f t="shared" si="10"/>
        <v>590.81818766747335</v>
      </c>
      <c r="V20" s="645">
        <f t="shared" si="10"/>
        <v>573.94689264504598</v>
      </c>
      <c r="W20" s="645">
        <f t="shared" si="10"/>
        <v>560.76530961576918</v>
      </c>
      <c r="X20" s="645">
        <f t="shared" si="10"/>
        <v>545.78003966475842</v>
      </c>
      <c r="Y20" s="645">
        <f t="shared" si="10"/>
        <v>535.4734456410863</v>
      </c>
      <c r="Z20" s="645">
        <f t="shared" si="10"/>
        <v>521.42666348280693</v>
      </c>
      <c r="AA20" s="645">
        <f t="shared" si="10"/>
        <v>509.89421706421166</v>
      </c>
      <c r="AB20" s="645">
        <f t="shared" si="10"/>
        <v>495.18014531726209</v>
      </c>
      <c r="AC20" s="645">
        <f t="shared" si="10"/>
        <v>481.8838686009895</v>
      </c>
      <c r="AD20" s="645">
        <f t="shared" si="10"/>
        <v>466.26593179418887</v>
      </c>
      <c r="AE20" s="645">
        <f t="shared" si="10"/>
        <v>451.41004157934015</v>
      </c>
      <c r="AF20" s="645">
        <f t="shared" si="10"/>
        <v>436.9700281028791</v>
      </c>
      <c r="AG20" s="645">
        <f t="shared" si="10"/>
        <v>423.34760222680501</v>
      </c>
      <c r="AH20" s="645">
        <f t="shared" si="10"/>
        <v>410.17033133213647</v>
      </c>
      <c r="AI20" s="645">
        <f t="shared" si="10"/>
        <v>397.7928082009048</v>
      </c>
      <c r="AJ20" s="645">
        <f t="shared" si="10"/>
        <v>385.88357229446945</v>
      </c>
      <c r="AK20" s="645">
        <f t="shared" si="10"/>
        <v>374.66498565075528</v>
      </c>
      <c r="AL20" s="645">
        <f t="shared" si="10"/>
        <v>363.91389951150654</v>
      </c>
      <c r="AM20" s="645">
        <f t="shared" si="10"/>
        <v>353.76772999114104</v>
      </c>
      <c r="AN20" s="645">
        <f t="shared" si="10"/>
        <v>344.07449971679165</v>
      </c>
      <c r="AO20" s="645">
        <f t="shared" si="10"/>
        <v>334.81622551849091</v>
      </c>
      <c r="AP20" s="646">
        <f t="shared" si="10"/>
        <v>325.96891801769192</v>
      </c>
    </row>
    <row r="21" spans="1:47" x14ac:dyDescent="0.8">
      <c r="A21" s="263"/>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row>
    <row r="22" spans="1:47" ht="16.75" thickBot="1" x14ac:dyDescent="0.95"/>
    <row r="23" spans="1:47" ht="16.75" thickBot="1" x14ac:dyDescent="0.95">
      <c r="A23" s="1742" t="s">
        <v>527</v>
      </c>
      <c r="B23" s="1743"/>
      <c r="C23" s="628"/>
      <c r="D23" s="628"/>
      <c r="E23" s="628"/>
      <c r="F23" s="628"/>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9"/>
    </row>
    <row r="24" spans="1:47" x14ac:dyDescent="0.8">
      <c r="A24" s="597"/>
      <c r="AU24" s="598"/>
    </row>
    <row r="25" spans="1:47" x14ac:dyDescent="0.8">
      <c r="A25" s="55" t="s">
        <v>526</v>
      </c>
      <c r="B25" s="40"/>
      <c r="AU25" s="598"/>
    </row>
    <row r="26" spans="1:47" x14ac:dyDescent="0.8">
      <c r="A26" s="630" t="s">
        <v>526</v>
      </c>
      <c r="B26" s="65">
        <v>1</v>
      </c>
      <c r="C26" s="620"/>
      <c r="D26" s="621"/>
      <c r="E26" s="622"/>
      <c r="F26" s="592"/>
      <c r="G26" s="620"/>
      <c r="H26" s="620"/>
      <c r="I26" s="652">
        <f>$I6/6</f>
        <v>534.89890334833342</v>
      </c>
      <c r="J26" s="623">
        <f>I26</f>
        <v>534.89890334833342</v>
      </c>
      <c r="K26" s="623">
        <f>J26</f>
        <v>534.89890334833342</v>
      </c>
      <c r="L26" s="623">
        <f>K26</f>
        <v>534.89890334833342</v>
      </c>
      <c r="M26" s="623">
        <f>L26</f>
        <v>534.89890334833342</v>
      </c>
      <c r="N26" s="623">
        <f>M26</f>
        <v>534.89890334833342</v>
      </c>
      <c r="O26" s="652"/>
      <c r="P26" s="623"/>
      <c r="Q26" s="623"/>
      <c r="R26" s="623"/>
      <c r="S26" s="623"/>
      <c r="T26" s="623"/>
      <c r="U26" s="623"/>
      <c r="V26" s="623"/>
      <c r="W26" s="623"/>
      <c r="X26" s="623"/>
      <c r="Y26" s="623"/>
      <c r="Z26" s="623"/>
      <c r="AA26" s="623"/>
      <c r="AB26" s="623"/>
      <c r="AC26" s="623"/>
      <c r="AD26" s="623"/>
      <c r="AE26" s="623"/>
      <c r="AF26" s="623"/>
      <c r="AG26" s="623"/>
      <c r="AH26" s="623"/>
      <c r="AI26" s="623"/>
      <c r="AJ26" s="623"/>
      <c r="AK26" s="623"/>
      <c r="AL26" s="623"/>
      <c r="AM26" s="623"/>
      <c r="AN26" s="623"/>
      <c r="AO26" s="623"/>
      <c r="AP26" s="624"/>
      <c r="AU26" s="598"/>
    </row>
    <row r="27" spans="1:47" x14ac:dyDescent="0.8">
      <c r="A27" s="53" t="s">
        <v>526</v>
      </c>
      <c r="B27" s="40">
        <v>2</v>
      </c>
      <c r="C27" s="593"/>
      <c r="D27" s="594"/>
      <c r="E27" s="593"/>
      <c r="F27" s="593"/>
      <c r="G27" s="593"/>
      <c r="H27" s="593"/>
      <c r="I27" s="653"/>
      <c r="J27" s="618">
        <f>$J6/6</f>
        <v>117.10230953228402</v>
      </c>
      <c r="K27" s="618">
        <f>J27</f>
        <v>117.10230953228402</v>
      </c>
      <c r="L27" s="618">
        <f>K27</f>
        <v>117.10230953228402</v>
      </c>
      <c r="M27" s="618">
        <f>L27</f>
        <v>117.10230953228402</v>
      </c>
      <c r="N27" s="618">
        <f>M27</f>
        <v>117.10230953228402</v>
      </c>
      <c r="O27" s="653">
        <f>N27</f>
        <v>117.10230953228402</v>
      </c>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25"/>
      <c r="AU27" s="598"/>
    </row>
    <row r="28" spans="1:47" x14ac:dyDescent="0.8">
      <c r="A28" s="53" t="s">
        <v>526</v>
      </c>
      <c r="B28" s="40">
        <v>3</v>
      </c>
      <c r="C28" s="593"/>
      <c r="D28" s="593"/>
      <c r="E28" s="593"/>
      <c r="F28" s="593"/>
      <c r="G28" s="593"/>
      <c r="H28" s="593"/>
      <c r="I28" s="653"/>
      <c r="J28" s="618"/>
      <c r="K28" s="618">
        <f>$K6/6</f>
        <v>692.35785426608834</v>
      </c>
      <c r="L28" s="618">
        <f>K28</f>
        <v>692.35785426608834</v>
      </c>
      <c r="M28" s="618">
        <f>L28</f>
        <v>692.35785426608834</v>
      </c>
      <c r="N28" s="618">
        <f>M28</f>
        <v>692.35785426608834</v>
      </c>
      <c r="O28" s="653">
        <f>N28</f>
        <v>692.35785426608834</v>
      </c>
      <c r="P28" s="618">
        <f>O28</f>
        <v>692.35785426608834</v>
      </c>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25"/>
      <c r="AU28" s="598"/>
    </row>
    <row r="29" spans="1:47" x14ac:dyDescent="0.8">
      <c r="A29" s="53" t="s">
        <v>526</v>
      </c>
      <c r="B29" s="40">
        <v>4</v>
      </c>
      <c r="C29" s="595"/>
      <c r="D29" s="596"/>
      <c r="E29" s="593"/>
      <c r="F29" s="593"/>
      <c r="G29" s="593"/>
      <c r="H29" s="593"/>
      <c r="I29" s="653"/>
      <c r="J29" s="618"/>
      <c r="K29" s="618"/>
      <c r="L29" s="618">
        <f>L$6/6</f>
        <v>59.51946140600063</v>
      </c>
      <c r="M29" s="618">
        <f>L29</f>
        <v>59.51946140600063</v>
      </c>
      <c r="N29" s="618">
        <f>M29</f>
        <v>59.51946140600063</v>
      </c>
      <c r="O29" s="653">
        <f>N29</f>
        <v>59.51946140600063</v>
      </c>
      <c r="P29" s="618">
        <f>O29</f>
        <v>59.51946140600063</v>
      </c>
      <c r="Q29" s="618">
        <f>P29</f>
        <v>59.51946140600063</v>
      </c>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25"/>
      <c r="AU29" s="598"/>
    </row>
    <row r="30" spans="1:47" x14ac:dyDescent="0.8">
      <c r="A30" s="53" t="s">
        <v>526</v>
      </c>
      <c r="B30" s="40">
        <v>5</v>
      </c>
      <c r="C30" s="593"/>
      <c r="D30" s="593"/>
      <c r="E30" s="593"/>
      <c r="F30" s="593"/>
      <c r="G30" s="593"/>
      <c r="H30" s="593"/>
      <c r="I30" s="653"/>
      <c r="J30" s="618"/>
      <c r="K30" s="618"/>
      <c r="L30" s="618"/>
      <c r="M30" s="618">
        <f>M$6/6</f>
        <v>286.41410355087669</v>
      </c>
      <c r="N30" s="618">
        <f>M30</f>
        <v>286.41410355087669</v>
      </c>
      <c r="O30" s="653">
        <f>N30</f>
        <v>286.41410355087669</v>
      </c>
      <c r="P30" s="618">
        <f>O30</f>
        <v>286.41410355087669</v>
      </c>
      <c r="Q30" s="618">
        <f>P30</f>
        <v>286.41410355087669</v>
      </c>
      <c r="R30" s="618">
        <f>Q30</f>
        <v>286.41410355087669</v>
      </c>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25"/>
      <c r="AU30" s="598"/>
    </row>
    <row r="31" spans="1:47" x14ac:dyDescent="0.8">
      <c r="A31" s="53" t="s">
        <v>526</v>
      </c>
      <c r="B31" s="40">
        <v>6</v>
      </c>
      <c r="C31" s="593"/>
      <c r="D31" s="593"/>
      <c r="E31" s="593"/>
      <c r="F31" s="593"/>
      <c r="G31" s="593"/>
      <c r="H31" s="593"/>
      <c r="I31" s="653"/>
      <c r="J31" s="618"/>
      <c r="K31" s="618"/>
      <c r="L31" s="618"/>
      <c r="M31" s="618"/>
      <c r="N31" s="618">
        <f>N$6/6</f>
        <v>0</v>
      </c>
      <c r="O31" s="653">
        <f>N31</f>
        <v>0</v>
      </c>
      <c r="P31" s="618">
        <f>P$6/6</f>
        <v>107.97909752693784</v>
      </c>
      <c r="Q31" s="618">
        <f>Q$6/6</f>
        <v>100.26305202869254</v>
      </c>
      <c r="R31" s="618">
        <f>R$6/6</f>
        <v>102.19765521086441</v>
      </c>
      <c r="S31" s="618">
        <f>S$6/6</f>
        <v>94.416935678029759</v>
      </c>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25"/>
      <c r="AU31" s="598"/>
    </row>
    <row r="32" spans="1:47" x14ac:dyDescent="0.8">
      <c r="A32" s="53" t="s">
        <v>526</v>
      </c>
      <c r="B32" s="40">
        <v>7</v>
      </c>
      <c r="C32" s="593"/>
      <c r="D32" s="593"/>
      <c r="E32" s="593"/>
      <c r="F32" s="593"/>
      <c r="G32" s="593"/>
      <c r="H32" s="593"/>
      <c r="I32" s="653"/>
      <c r="J32" s="618"/>
      <c r="K32" s="618"/>
      <c r="L32" s="618"/>
      <c r="M32" s="618"/>
      <c r="N32" s="618"/>
      <c r="O32" s="653">
        <f>O$6/6</f>
        <v>105.20228076666336</v>
      </c>
      <c r="P32" s="618">
        <f>O32</f>
        <v>105.20228076666336</v>
      </c>
      <c r="Q32" s="618">
        <f>Q$6/6</f>
        <v>100.26305202869254</v>
      </c>
      <c r="R32" s="618">
        <f>R$6/6</f>
        <v>102.19765521086441</v>
      </c>
      <c r="S32" s="618">
        <f>S$6/6</f>
        <v>94.416935678029759</v>
      </c>
      <c r="T32" s="618">
        <f>T$6/6</f>
        <v>95.701573163788282</v>
      </c>
      <c r="U32" s="618"/>
      <c r="V32" s="618"/>
      <c r="W32" s="618"/>
      <c r="X32" s="618"/>
      <c r="Y32" s="618"/>
      <c r="Z32" s="618"/>
      <c r="AA32" s="618"/>
      <c r="AB32" s="618"/>
      <c r="AC32" s="618"/>
      <c r="AD32" s="618"/>
      <c r="AE32" s="618"/>
      <c r="AF32" s="618"/>
      <c r="AG32" s="618"/>
      <c r="AH32" s="618"/>
      <c r="AI32" s="618"/>
      <c r="AJ32" s="618"/>
      <c r="AK32" s="618"/>
      <c r="AL32" s="618"/>
      <c r="AM32" s="618"/>
      <c r="AN32" s="618"/>
      <c r="AO32" s="618"/>
      <c r="AP32" s="625"/>
      <c r="AU32" s="598"/>
    </row>
    <row r="33" spans="1:47" x14ac:dyDescent="0.8">
      <c r="A33" s="53" t="s">
        <v>526</v>
      </c>
      <c r="B33" s="40">
        <v>8</v>
      </c>
      <c r="C33" s="593"/>
      <c r="D33" s="593"/>
      <c r="E33" s="593"/>
      <c r="F33" s="593"/>
      <c r="G33" s="593"/>
      <c r="H33" s="593"/>
      <c r="I33" s="653"/>
      <c r="J33" s="618"/>
      <c r="K33" s="618"/>
      <c r="L33" s="618"/>
      <c r="M33" s="618"/>
      <c r="N33" s="618"/>
      <c r="O33" s="653"/>
      <c r="P33" s="618">
        <f>P$6/6</f>
        <v>107.97909752693784</v>
      </c>
      <c r="Q33" s="618">
        <f>P33</f>
        <v>107.97909752693784</v>
      </c>
      <c r="R33" s="618">
        <f>Q33</f>
        <v>107.97909752693784</v>
      </c>
      <c r="S33" s="618">
        <f>R33</f>
        <v>107.97909752693784</v>
      </c>
      <c r="T33" s="618">
        <f>S33</f>
        <v>107.97909752693784</v>
      </c>
      <c r="U33" s="618">
        <f>T33</f>
        <v>107.97909752693784</v>
      </c>
      <c r="V33" s="618"/>
      <c r="W33" s="618"/>
      <c r="X33" s="618"/>
      <c r="Y33" s="618"/>
      <c r="Z33" s="618"/>
      <c r="AA33" s="618"/>
      <c r="AB33" s="618"/>
      <c r="AC33" s="618"/>
      <c r="AD33" s="618"/>
      <c r="AE33" s="618"/>
      <c r="AF33" s="618"/>
      <c r="AG33" s="618"/>
      <c r="AH33" s="618"/>
      <c r="AI33" s="618"/>
      <c r="AJ33" s="618"/>
      <c r="AK33" s="618"/>
      <c r="AL33" s="618"/>
      <c r="AM33" s="618"/>
      <c r="AN33" s="618"/>
      <c r="AO33" s="618"/>
      <c r="AP33" s="625"/>
      <c r="AU33" s="598"/>
    </row>
    <row r="34" spans="1:47" x14ac:dyDescent="0.8">
      <c r="A34" s="53" t="s">
        <v>526</v>
      </c>
      <c r="B34" s="40">
        <v>9</v>
      </c>
      <c r="C34" s="593"/>
      <c r="D34" s="593"/>
      <c r="E34" s="593"/>
      <c r="F34" s="593"/>
      <c r="G34" s="593"/>
      <c r="H34" s="593"/>
      <c r="I34" s="653"/>
      <c r="J34" s="618"/>
      <c r="K34" s="618"/>
      <c r="L34" s="618"/>
      <c r="M34" s="618"/>
      <c r="N34" s="618"/>
      <c r="O34" s="653"/>
      <c r="P34" s="618"/>
      <c r="Q34" s="618">
        <f>Q$6/6</f>
        <v>100.26305202869254</v>
      </c>
      <c r="R34" s="618">
        <f>Q34</f>
        <v>100.26305202869254</v>
      </c>
      <c r="S34" s="618">
        <f>R34</f>
        <v>100.26305202869254</v>
      </c>
      <c r="T34" s="618">
        <f>S34</f>
        <v>100.26305202869254</v>
      </c>
      <c r="U34" s="618">
        <f>T34</f>
        <v>100.26305202869254</v>
      </c>
      <c r="V34" s="618">
        <f>U34</f>
        <v>100.26305202869254</v>
      </c>
      <c r="W34" s="618"/>
      <c r="X34" s="618"/>
      <c r="Y34" s="618"/>
      <c r="Z34" s="618"/>
      <c r="AA34" s="618"/>
      <c r="AB34" s="618"/>
      <c r="AC34" s="618"/>
      <c r="AD34" s="618"/>
      <c r="AE34" s="618"/>
      <c r="AF34" s="618"/>
      <c r="AG34" s="618"/>
      <c r="AH34" s="618"/>
      <c r="AI34" s="618"/>
      <c r="AJ34" s="618"/>
      <c r="AK34" s="618"/>
      <c r="AL34" s="618"/>
      <c r="AM34" s="618"/>
      <c r="AN34" s="618"/>
      <c r="AO34" s="618"/>
      <c r="AP34" s="625"/>
      <c r="AU34" s="598"/>
    </row>
    <row r="35" spans="1:47" x14ac:dyDescent="0.8">
      <c r="A35" s="53" t="s">
        <v>526</v>
      </c>
      <c r="B35" s="40">
        <v>10</v>
      </c>
      <c r="C35" s="593"/>
      <c r="D35" s="593"/>
      <c r="E35" s="593"/>
      <c r="F35" s="593"/>
      <c r="G35" s="593"/>
      <c r="H35" s="593"/>
      <c r="I35" s="653"/>
      <c r="J35" s="618"/>
      <c r="K35" s="618"/>
      <c r="L35" s="618"/>
      <c r="M35" s="618"/>
      <c r="N35" s="618"/>
      <c r="O35" s="653"/>
      <c r="P35" s="618"/>
      <c r="Q35" s="618"/>
      <c r="R35" s="618">
        <f>R$6/6</f>
        <v>102.19765521086441</v>
      </c>
      <c r="S35" s="618">
        <f>R35</f>
        <v>102.19765521086441</v>
      </c>
      <c r="T35" s="618">
        <f>S35</f>
        <v>102.19765521086441</v>
      </c>
      <c r="U35" s="618">
        <f>T35</f>
        <v>102.19765521086441</v>
      </c>
      <c r="V35" s="618">
        <f>U35</f>
        <v>102.19765521086441</v>
      </c>
      <c r="W35" s="618">
        <f>V35</f>
        <v>102.19765521086441</v>
      </c>
      <c r="X35" s="618"/>
      <c r="Y35" s="618"/>
      <c r="Z35" s="618"/>
      <c r="AA35" s="618"/>
      <c r="AB35" s="618"/>
      <c r="AC35" s="618"/>
      <c r="AD35" s="618"/>
      <c r="AE35" s="618"/>
      <c r="AF35" s="618"/>
      <c r="AG35" s="618"/>
      <c r="AH35" s="618"/>
      <c r="AI35" s="618"/>
      <c r="AJ35" s="618"/>
      <c r="AK35" s="618"/>
      <c r="AL35" s="618"/>
      <c r="AM35" s="618"/>
      <c r="AN35" s="618"/>
      <c r="AO35" s="618"/>
      <c r="AP35" s="625"/>
      <c r="AU35" s="598"/>
    </row>
    <row r="36" spans="1:47" x14ac:dyDescent="0.8">
      <c r="A36" s="53" t="s">
        <v>526</v>
      </c>
      <c r="B36" s="40">
        <v>11</v>
      </c>
      <c r="C36" s="593"/>
      <c r="D36" s="593"/>
      <c r="E36" s="593"/>
      <c r="F36" s="593"/>
      <c r="G36" s="593"/>
      <c r="H36" s="593"/>
      <c r="I36" s="653"/>
      <c r="J36" s="618"/>
      <c r="K36" s="618"/>
      <c r="L36" s="618"/>
      <c r="M36" s="618"/>
      <c r="N36" s="618"/>
      <c r="O36" s="653"/>
      <c r="P36" s="618"/>
      <c r="Q36" s="618"/>
      <c r="R36" s="618"/>
      <c r="S36" s="618">
        <f>S$6/6</f>
        <v>94.416935678029759</v>
      </c>
      <c r="T36" s="618">
        <f>S36</f>
        <v>94.416935678029759</v>
      </c>
      <c r="U36" s="618">
        <f>T36</f>
        <v>94.416935678029759</v>
      </c>
      <c r="V36" s="618">
        <f>U36</f>
        <v>94.416935678029759</v>
      </c>
      <c r="W36" s="618">
        <f>V36</f>
        <v>94.416935678029759</v>
      </c>
      <c r="X36" s="618">
        <f>W36</f>
        <v>94.416935678029759</v>
      </c>
      <c r="Y36" s="618"/>
      <c r="Z36" s="618"/>
      <c r="AA36" s="618"/>
      <c r="AB36" s="618"/>
      <c r="AC36" s="618"/>
      <c r="AD36" s="618"/>
      <c r="AE36" s="618"/>
      <c r="AF36" s="618"/>
      <c r="AG36" s="618"/>
      <c r="AH36" s="618"/>
      <c r="AI36" s="618"/>
      <c r="AJ36" s="618"/>
      <c r="AK36" s="618"/>
      <c r="AL36" s="618"/>
      <c r="AM36" s="618"/>
      <c r="AN36" s="618"/>
      <c r="AO36" s="618"/>
      <c r="AP36" s="625"/>
      <c r="AU36" s="598"/>
    </row>
    <row r="37" spans="1:47" x14ac:dyDescent="0.8">
      <c r="A37" s="53" t="s">
        <v>526</v>
      </c>
      <c r="B37" s="40">
        <v>12</v>
      </c>
      <c r="C37" s="593"/>
      <c r="D37" s="593"/>
      <c r="E37" s="593"/>
      <c r="F37" s="593"/>
      <c r="G37" s="593"/>
      <c r="H37" s="593"/>
      <c r="I37" s="653"/>
      <c r="J37" s="618"/>
      <c r="K37" s="618"/>
      <c r="L37" s="618"/>
      <c r="M37" s="618"/>
      <c r="N37" s="618"/>
      <c r="O37" s="653"/>
      <c r="P37" s="618"/>
      <c r="Q37" s="618"/>
      <c r="R37" s="618"/>
      <c r="S37" s="618"/>
      <c r="T37" s="618">
        <f>T$6/6</f>
        <v>95.701573163788282</v>
      </c>
      <c r="U37" s="618">
        <f>T37</f>
        <v>95.701573163788282</v>
      </c>
      <c r="V37" s="618">
        <f>U37</f>
        <v>95.701573163788282</v>
      </c>
      <c r="W37" s="618">
        <f>V37</f>
        <v>95.701573163788282</v>
      </c>
      <c r="X37" s="618">
        <f>W37</f>
        <v>95.701573163788282</v>
      </c>
      <c r="Y37" s="618">
        <f>X37</f>
        <v>95.701573163788282</v>
      </c>
      <c r="Z37" s="618"/>
      <c r="AA37" s="618"/>
      <c r="AB37" s="618"/>
      <c r="AC37" s="618"/>
      <c r="AD37" s="618"/>
      <c r="AE37" s="618"/>
      <c r="AF37" s="618"/>
      <c r="AG37" s="618"/>
      <c r="AH37" s="618"/>
      <c r="AI37" s="618"/>
      <c r="AJ37" s="618"/>
      <c r="AK37" s="618"/>
      <c r="AL37" s="618"/>
      <c r="AM37" s="618"/>
      <c r="AN37" s="618"/>
      <c r="AO37" s="618"/>
      <c r="AP37" s="625"/>
      <c r="AU37" s="598"/>
    </row>
    <row r="38" spans="1:47" x14ac:dyDescent="0.8">
      <c r="A38" s="53" t="s">
        <v>526</v>
      </c>
      <c r="B38" s="40">
        <v>13</v>
      </c>
      <c r="C38" s="593"/>
      <c r="D38" s="593"/>
      <c r="E38" s="593"/>
      <c r="F38" s="593"/>
      <c r="G38" s="593"/>
      <c r="H38" s="593"/>
      <c r="I38" s="653"/>
      <c r="J38" s="618"/>
      <c r="K38" s="618"/>
      <c r="L38" s="618"/>
      <c r="M38" s="618"/>
      <c r="N38" s="618"/>
      <c r="O38" s="653"/>
      <c r="P38" s="618"/>
      <c r="Q38" s="618"/>
      <c r="R38" s="618"/>
      <c r="S38" s="618"/>
      <c r="T38" s="618"/>
      <c r="U38" s="618">
        <f>U$6/6</f>
        <v>90.259874059160552</v>
      </c>
      <c r="V38" s="618">
        <f>U38</f>
        <v>90.259874059160552</v>
      </c>
      <c r="W38" s="618">
        <f>V38</f>
        <v>90.259874059160552</v>
      </c>
      <c r="X38" s="618">
        <f>W38</f>
        <v>90.259874059160552</v>
      </c>
      <c r="Y38" s="618">
        <f>X38</f>
        <v>90.259874059160552</v>
      </c>
      <c r="Z38" s="618">
        <f>Y38</f>
        <v>90.259874059160552</v>
      </c>
      <c r="AA38" s="618"/>
      <c r="AB38" s="618"/>
      <c r="AC38" s="618"/>
      <c r="AD38" s="618"/>
      <c r="AE38" s="618"/>
      <c r="AF38" s="618"/>
      <c r="AG38" s="618"/>
      <c r="AH38" s="618"/>
      <c r="AI38" s="618"/>
      <c r="AJ38" s="618"/>
      <c r="AK38" s="618"/>
      <c r="AL38" s="618"/>
      <c r="AM38" s="618"/>
      <c r="AN38" s="618"/>
      <c r="AO38" s="618"/>
      <c r="AP38" s="625"/>
      <c r="AU38" s="598"/>
    </row>
    <row r="39" spans="1:47" x14ac:dyDescent="0.8">
      <c r="A39" s="53" t="s">
        <v>526</v>
      </c>
      <c r="B39" s="40">
        <v>14</v>
      </c>
      <c r="C39" s="593"/>
      <c r="D39" s="593"/>
      <c r="E39" s="593"/>
      <c r="F39" s="593"/>
      <c r="G39" s="593"/>
      <c r="H39" s="593"/>
      <c r="I39" s="653"/>
      <c r="J39" s="618"/>
      <c r="K39" s="618"/>
      <c r="L39" s="618"/>
      <c r="M39" s="618"/>
      <c r="N39" s="618"/>
      <c r="O39" s="653"/>
      <c r="P39" s="618"/>
      <c r="Q39" s="618"/>
      <c r="R39" s="618"/>
      <c r="S39" s="618"/>
      <c r="T39" s="618"/>
      <c r="U39" s="618"/>
      <c r="V39" s="618">
        <f>V$6/6</f>
        <v>91.107802504510474</v>
      </c>
      <c r="W39" s="618">
        <f>V39</f>
        <v>91.107802504510474</v>
      </c>
      <c r="X39" s="618">
        <f>W39</f>
        <v>91.107802504510474</v>
      </c>
      <c r="Y39" s="618">
        <f>X39</f>
        <v>91.107802504510474</v>
      </c>
      <c r="Z39" s="618">
        <f>Y39</f>
        <v>91.107802504510474</v>
      </c>
      <c r="AA39" s="618">
        <f>Z39</f>
        <v>91.107802504510474</v>
      </c>
      <c r="AB39" s="618"/>
      <c r="AC39" s="618"/>
      <c r="AD39" s="618"/>
      <c r="AE39" s="618"/>
      <c r="AF39" s="618"/>
      <c r="AG39" s="618"/>
      <c r="AH39" s="618"/>
      <c r="AI39" s="618"/>
      <c r="AJ39" s="618"/>
      <c r="AK39" s="618"/>
      <c r="AL39" s="618"/>
      <c r="AM39" s="618"/>
      <c r="AN39" s="618"/>
      <c r="AO39" s="618"/>
      <c r="AP39" s="625"/>
      <c r="AU39" s="598"/>
    </row>
    <row r="40" spans="1:47" x14ac:dyDescent="0.8">
      <c r="A40" s="53" t="s">
        <v>526</v>
      </c>
      <c r="B40" s="40">
        <v>15</v>
      </c>
      <c r="C40" s="593"/>
      <c r="D40" s="593"/>
      <c r="E40" s="593"/>
      <c r="F40" s="593"/>
      <c r="G40" s="593"/>
      <c r="H40" s="593"/>
      <c r="I40" s="653"/>
      <c r="J40" s="618"/>
      <c r="K40" s="618"/>
      <c r="L40" s="618"/>
      <c r="M40" s="618"/>
      <c r="N40" s="618"/>
      <c r="O40" s="653"/>
      <c r="P40" s="618"/>
      <c r="Q40" s="618"/>
      <c r="R40" s="618"/>
      <c r="S40" s="618"/>
      <c r="T40" s="618"/>
      <c r="U40" s="618"/>
      <c r="V40" s="618"/>
      <c r="W40" s="618">
        <f>W$6/6</f>
        <v>87.081468999415776</v>
      </c>
      <c r="X40" s="618">
        <f>W40</f>
        <v>87.081468999415776</v>
      </c>
      <c r="Y40" s="618">
        <f>X40</f>
        <v>87.081468999415776</v>
      </c>
      <c r="Z40" s="618">
        <f>Y40</f>
        <v>87.081468999415776</v>
      </c>
      <c r="AA40" s="618">
        <f>Z40</f>
        <v>87.081468999415776</v>
      </c>
      <c r="AB40" s="618">
        <f>AA40</f>
        <v>87.081468999415776</v>
      </c>
      <c r="AC40" s="618"/>
      <c r="AD40" s="618"/>
      <c r="AE40" s="618"/>
      <c r="AF40" s="618"/>
      <c r="AG40" s="618"/>
      <c r="AH40" s="618"/>
      <c r="AI40" s="618"/>
      <c r="AJ40" s="618"/>
      <c r="AK40" s="618"/>
      <c r="AL40" s="618"/>
      <c r="AM40" s="618"/>
      <c r="AN40" s="618"/>
      <c r="AO40" s="618"/>
      <c r="AP40" s="625"/>
      <c r="AU40" s="598"/>
    </row>
    <row r="41" spans="1:47" x14ac:dyDescent="0.8">
      <c r="A41" s="53" t="s">
        <v>526</v>
      </c>
      <c r="B41" s="40">
        <v>16</v>
      </c>
      <c r="C41" s="593"/>
      <c r="D41" s="593"/>
      <c r="E41" s="593"/>
      <c r="F41" s="593"/>
      <c r="G41" s="593"/>
      <c r="H41" s="593"/>
      <c r="I41" s="653"/>
      <c r="J41" s="618"/>
      <c r="K41" s="618"/>
      <c r="L41" s="618"/>
      <c r="M41" s="618"/>
      <c r="N41" s="618"/>
      <c r="O41" s="653"/>
      <c r="P41" s="618"/>
      <c r="Q41" s="618"/>
      <c r="R41" s="618"/>
      <c r="S41" s="618"/>
      <c r="T41" s="618"/>
      <c r="U41" s="618"/>
      <c r="V41" s="618"/>
      <c r="W41" s="618"/>
      <c r="X41" s="618">
        <f>X$6/6</f>
        <v>87.212385259853605</v>
      </c>
      <c r="Y41" s="618">
        <f>X41</f>
        <v>87.212385259853605</v>
      </c>
      <c r="Z41" s="618">
        <f>Y41</f>
        <v>87.212385259853605</v>
      </c>
      <c r="AA41" s="618">
        <f>Z41</f>
        <v>87.212385259853605</v>
      </c>
      <c r="AB41" s="618">
        <f>AA41</f>
        <v>87.212385259853605</v>
      </c>
      <c r="AC41" s="618">
        <f>AB41</f>
        <v>87.212385259853605</v>
      </c>
      <c r="AD41" s="618"/>
      <c r="AE41" s="618"/>
      <c r="AF41" s="618"/>
      <c r="AG41" s="618"/>
      <c r="AH41" s="618"/>
      <c r="AI41" s="618"/>
      <c r="AJ41" s="618"/>
      <c r="AK41" s="618"/>
      <c r="AL41" s="618"/>
      <c r="AM41" s="618"/>
      <c r="AN41" s="618"/>
      <c r="AO41" s="618"/>
      <c r="AP41" s="625"/>
      <c r="AU41" s="598"/>
    </row>
    <row r="42" spans="1:47" x14ac:dyDescent="0.8">
      <c r="A42" s="53" t="s">
        <v>526</v>
      </c>
      <c r="B42" s="40">
        <v>17</v>
      </c>
      <c r="C42" s="593"/>
      <c r="D42" s="593"/>
      <c r="E42" s="593"/>
      <c r="F42" s="593"/>
      <c r="G42" s="593"/>
      <c r="H42" s="593"/>
      <c r="I42" s="653"/>
      <c r="J42" s="618"/>
      <c r="K42" s="618"/>
      <c r="L42" s="618"/>
      <c r="M42" s="618"/>
      <c r="N42" s="618"/>
      <c r="O42" s="653"/>
      <c r="P42" s="618"/>
      <c r="Q42" s="618"/>
      <c r="R42" s="618"/>
      <c r="S42" s="618"/>
      <c r="T42" s="618"/>
      <c r="U42" s="618"/>
      <c r="V42" s="618"/>
      <c r="W42" s="618"/>
      <c r="X42" s="618"/>
      <c r="Y42" s="618">
        <f>Y$6/6</f>
        <v>84.11034165435764</v>
      </c>
      <c r="Z42" s="618">
        <f>Y42</f>
        <v>84.11034165435764</v>
      </c>
      <c r="AA42" s="618">
        <f>Z42</f>
        <v>84.11034165435764</v>
      </c>
      <c r="AB42" s="618">
        <f>AA42</f>
        <v>84.11034165435764</v>
      </c>
      <c r="AC42" s="618">
        <f>AB42</f>
        <v>84.11034165435764</v>
      </c>
      <c r="AD42" s="618">
        <f>AC42</f>
        <v>84.11034165435764</v>
      </c>
      <c r="AE42" s="618"/>
      <c r="AF42" s="618"/>
      <c r="AG42" s="618"/>
      <c r="AH42" s="618"/>
      <c r="AI42" s="618"/>
      <c r="AJ42" s="618"/>
      <c r="AK42" s="618"/>
      <c r="AL42" s="618"/>
      <c r="AM42" s="618"/>
      <c r="AN42" s="618"/>
      <c r="AO42" s="618"/>
      <c r="AP42" s="625"/>
      <c r="AU42" s="598"/>
    </row>
    <row r="43" spans="1:47" x14ac:dyDescent="0.8">
      <c r="A43" s="53" t="s">
        <v>526</v>
      </c>
      <c r="B43" s="40">
        <v>18</v>
      </c>
      <c r="C43" s="593"/>
      <c r="D43" s="593"/>
      <c r="E43" s="593"/>
      <c r="F43" s="593"/>
      <c r="G43" s="593"/>
      <c r="H43" s="593"/>
      <c r="I43" s="653"/>
      <c r="J43" s="618"/>
      <c r="K43" s="618"/>
      <c r="L43" s="618"/>
      <c r="M43" s="618"/>
      <c r="N43" s="618"/>
      <c r="O43" s="653"/>
      <c r="P43" s="618"/>
      <c r="Q43" s="618"/>
      <c r="R43" s="618"/>
      <c r="S43" s="618"/>
      <c r="T43" s="618"/>
      <c r="U43" s="618"/>
      <c r="V43" s="618"/>
      <c r="W43" s="618"/>
      <c r="X43" s="618"/>
      <c r="Y43" s="618"/>
      <c r="Z43" s="618">
        <f>Z$6/6</f>
        <v>81.654791005508898</v>
      </c>
      <c r="AA43" s="618">
        <f>Z43</f>
        <v>81.654791005508898</v>
      </c>
      <c r="AB43" s="618">
        <f>AA43</f>
        <v>81.654791005508898</v>
      </c>
      <c r="AC43" s="618">
        <f>AB43</f>
        <v>81.654791005508898</v>
      </c>
      <c r="AD43" s="618">
        <f>AC43</f>
        <v>81.654791005508898</v>
      </c>
      <c r="AE43" s="618">
        <f>AD43</f>
        <v>81.654791005508898</v>
      </c>
      <c r="AF43" s="618"/>
      <c r="AG43" s="618"/>
      <c r="AH43" s="618"/>
      <c r="AI43" s="618"/>
      <c r="AJ43" s="618"/>
      <c r="AK43" s="618"/>
      <c r="AL43" s="618"/>
      <c r="AM43" s="618"/>
      <c r="AN43" s="618"/>
      <c r="AO43" s="618"/>
      <c r="AP43" s="625"/>
      <c r="AU43" s="598"/>
    </row>
    <row r="44" spans="1:47" x14ac:dyDescent="0.8">
      <c r="A44" s="53" t="s">
        <v>526</v>
      </c>
      <c r="B44" s="40">
        <v>19</v>
      </c>
      <c r="I44" s="653"/>
      <c r="J44" s="618"/>
      <c r="K44" s="618"/>
      <c r="L44" s="618"/>
      <c r="M44" s="618"/>
      <c r="N44" s="618"/>
      <c r="O44" s="653"/>
      <c r="P44" s="618"/>
      <c r="Q44" s="618"/>
      <c r="R44" s="618"/>
      <c r="S44" s="618"/>
      <c r="T44" s="618"/>
      <c r="U44" s="618"/>
      <c r="V44" s="618"/>
      <c r="W44" s="618"/>
      <c r="X44" s="618"/>
      <c r="Y44" s="618"/>
      <c r="Z44" s="618"/>
      <c r="AA44" s="618">
        <f>AA$6/6</f>
        <v>78.727427640565267</v>
      </c>
      <c r="AB44" s="618">
        <f>AA44</f>
        <v>78.727427640565267</v>
      </c>
      <c r="AC44" s="618">
        <f>AB44</f>
        <v>78.727427640565267</v>
      </c>
      <c r="AD44" s="618">
        <f>AC44</f>
        <v>78.727427640565267</v>
      </c>
      <c r="AE44" s="618">
        <f>AD44</f>
        <v>78.727427640565267</v>
      </c>
      <c r="AF44" s="618">
        <f>AE44</f>
        <v>78.727427640565267</v>
      </c>
      <c r="AG44" s="618"/>
      <c r="AH44" s="618"/>
      <c r="AI44" s="618"/>
      <c r="AJ44" s="618"/>
      <c r="AK44" s="618"/>
      <c r="AL44" s="618"/>
      <c r="AM44" s="618"/>
      <c r="AN44" s="618"/>
      <c r="AO44" s="618"/>
      <c r="AP44" s="625"/>
      <c r="AU44" s="598"/>
    </row>
    <row r="45" spans="1:47" x14ac:dyDescent="0.8">
      <c r="A45" s="53" t="s">
        <v>526</v>
      </c>
      <c r="B45" s="40">
        <v>20</v>
      </c>
      <c r="I45" s="653"/>
      <c r="J45" s="618"/>
      <c r="K45" s="618"/>
      <c r="L45" s="618"/>
      <c r="M45" s="618"/>
      <c r="N45" s="618"/>
      <c r="O45" s="653"/>
      <c r="P45" s="618"/>
      <c r="Q45" s="618"/>
      <c r="R45" s="618"/>
      <c r="S45" s="618"/>
      <c r="T45" s="618"/>
      <c r="U45" s="618"/>
      <c r="V45" s="618"/>
      <c r="W45" s="618"/>
      <c r="X45" s="618"/>
      <c r="Y45" s="618"/>
      <c r="Z45" s="618"/>
      <c r="AA45" s="618"/>
      <c r="AB45" s="618">
        <f>AB$6/6</f>
        <v>76.393730757560874</v>
      </c>
      <c r="AC45" s="618">
        <f>AB45</f>
        <v>76.393730757560874</v>
      </c>
      <c r="AD45" s="618">
        <f>AC45</f>
        <v>76.393730757560874</v>
      </c>
      <c r="AE45" s="618">
        <f>AD45</f>
        <v>76.393730757560874</v>
      </c>
      <c r="AF45" s="618">
        <f>AE45</f>
        <v>76.393730757560874</v>
      </c>
      <c r="AG45" s="618">
        <f>AF45</f>
        <v>76.393730757560874</v>
      </c>
      <c r="AH45" s="618"/>
      <c r="AI45" s="618"/>
      <c r="AJ45" s="618"/>
      <c r="AK45" s="618"/>
      <c r="AL45" s="618"/>
      <c r="AM45" s="618"/>
      <c r="AN45" s="618"/>
      <c r="AO45" s="618"/>
      <c r="AP45" s="625"/>
      <c r="AU45" s="598"/>
    </row>
    <row r="46" spans="1:47" x14ac:dyDescent="0.8">
      <c r="A46" s="53" t="s">
        <v>526</v>
      </c>
      <c r="B46" s="40">
        <v>21</v>
      </c>
      <c r="I46" s="653"/>
      <c r="J46" s="618"/>
      <c r="K46" s="618"/>
      <c r="L46" s="618"/>
      <c r="M46" s="618"/>
      <c r="N46" s="618"/>
      <c r="O46" s="653"/>
      <c r="P46" s="618"/>
      <c r="Q46" s="618"/>
      <c r="R46" s="618"/>
      <c r="S46" s="618"/>
      <c r="T46" s="618"/>
      <c r="U46" s="618"/>
      <c r="V46" s="618"/>
      <c r="W46" s="618"/>
      <c r="X46" s="618"/>
      <c r="Y46" s="618"/>
      <c r="Z46" s="618"/>
      <c r="AA46" s="618"/>
      <c r="AB46" s="618"/>
      <c r="AC46" s="618">
        <f>AC$6/6</f>
        <v>73.785192283143203</v>
      </c>
      <c r="AD46" s="618">
        <f>AC46</f>
        <v>73.785192283143203</v>
      </c>
      <c r="AE46" s="618">
        <f>AD46</f>
        <v>73.785192283143203</v>
      </c>
      <c r="AF46" s="618">
        <f>AE46</f>
        <v>73.785192283143203</v>
      </c>
      <c r="AG46" s="618">
        <f>AF46</f>
        <v>73.785192283143203</v>
      </c>
      <c r="AH46" s="618">
        <f>AG46</f>
        <v>73.785192283143203</v>
      </c>
      <c r="AI46" s="618"/>
      <c r="AJ46" s="618"/>
      <c r="AK46" s="618"/>
      <c r="AL46" s="618"/>
      <c r="AM46" s="618"/>
      <c r="AN46" s="618"/>
      <c r="AO46" s="618"/>
      <c r="AP46" s="625"/>
      <c r="AU46" s="598"/>
    </row>
    <row r="47" spans="1:47" x14ac:dyDescent="0.8">
      <c r="A47" s="53" t="s">
        <v>526</v>
      </c>
      <c r="B47" s="40">
        <v>22</v>
      </c>
      <c r="I47" s="653"/>
      <c r="J47" s="618"/>
      <c r="K47" s="618"/>
      <c r="L47" s="618"/>
      <c r="M47" s="618"/>
      <c r="N47" s="618"/>
      <c r="O47" s="653"/>
      <c r="P47" s="618"/>
      <c r="Q47" s="618"/>
      <c r="R47" s="618"/>
      <c r="S47" s="618"/>
      <c r="T47" s="618"/>
      <c r="U47" s="618"/>
      <c r="V47" s="618"/>
      <c r="W47" s="618"/>
      <c r="X47" s="618"/>
      <c r="Y47" s="618"/>
      <c r="Z47" s="618"/>
      <c r="AA47" s="618"/>
      <c r="AB47" s="618"/>
      <c r="AC47" s="618"/>
      <c r="AD47" s="618">
        <f>AD$6/6</f>
        <v>71.594448453052934</v>
      </c>
      <c r="AE47" s="618">
        <f>AD47</f>
        <v>71.594448453052934</v>
      </c>
      <c r="AF47" s="618">
        <f>AE47</f>
        <v>71.594448453052934</v>
      </c>
      <c r="AG47" s="618">
        <f>AF47</f>
        <v>71.594448453052934</v>
      </c>
      <c r="AH47" s="618">
        <f>AG47</f>
        <v>71.594448453052934</v>
      </c>
      <c r="AI47" s="618">
        <f>AH47</f>
        <v>71.594448453052934</v>
      </c>
      <c r="AJ47" s="618"/>
      <c r="AK47" s="618"/>
      <c r="AL47" s="618"/>
      <c r="AM47" s="618"/>
      <c r="AN47" s="618"/>
      <c r="AO47" s="618"/>
      <c r="AP47" s="625"/>
      <c r="AU47" s="598"/>
    </row>
    <row r="48" spans="1:47" x14ac:dyDescent="0.8">
      <c r="A48" s="53" t="s">
        <v>526</v>
      </c>
      <c r="B48" s="40">
        <v>23</v>
      </c>
      <c r="I48" s="653"/>
      <c r="J48" s="618"/>
      <c r="K48" s="618"/>
      <c r="L48" s="618"/>
      <c r="M48" s="618"/>
      <c r="N48" s="618"/>
      <c r="O48" s="653"/>
      <c r="P48" s="618"/>
      <c r="Q48" s="618"/>
      <c r="R48" s="618"/>
      <c r="S48" s="618"/>
      <c r="T48" s="618"/>
      <c r="U48" s="618"/>
      <c r="V48" s="618"/>
      <c r="W48" s="618"/>
      <c r="X48" s="618"/>
      <c r="Y48" s="618"/>
      <c r="Z48" s="618"/>
      <c r="AA48" s="618"/>
      <c r="AB48" s="618"/>
      <c r="AC48" s="618"/>
      <c r="AD48" s="618"/>
      <c r="AE48" s="618">
        <f>AE$6/6</f>
        <v>69.254451439509012</v>
      </c>
      <c r="AF48" s="618">
        <f>AE48</f>
        <v>69.254451439509012</v>
      </c>
      <c r="AG48" s="618">
        <f>AF48</f>
        <v>69.254451439509012</v>
      </c>
      <c r="AH48" s="618">
        <f>AG48</f>
        <v>69.254451439509012</v>
      </c>
      <c r="AI48" s="618">
        <f>AH48</f>
        <v>69.254451439509012</v>
      </c>
      <c r="AJ48" s="618">
        <f>AI48</f>
        <v>69.254451439509012</v>
      </c>
      <c r="AK48" s="618"/>
      <c r="AL48" s="618"/>
      <c r="AM48" s="618"/>
      <c r="AN48" s="618"/>
      <c r="AO48" s="618"/>
      <c r="AP48" s="625"/>
      <c r="AU48" s="598"/>
    </row>
    <row r="49" spans="1:47" x14ac:dyDescent="0.8">
      <c r="A49" s="53" t="s">
        <v>526</v>
      </c>
      <c r="B49" s="40">
        <v>24</v>
      </c>
      <c r="I49" s="653"/>
      <c r="J49" s="618"/>
      <c r="K49" s="618"/>
      <c r="L49" s="618"/>
      <c r="M49" s="618"/>
      <c r="N49" s="618"/>
      <c r="O49" s="653"/>
      <c r="P49" s="618"/>
      <c r="Q49" s="618"/>
      <c r="R49" s="618"/>
      <c r="S49" s="618"/>
      <c r="T49" s="618"/>
      <c r="U49" s="618"/>
      <c r="V49" s="618"/>
      <c r="W49" s="618"/>
      <c r="X49" s="618"/>
      <c r="Y49" s="618"/>
      <c r="Z49" s="618"/>
      <c r="AA49" s="618"/>
      <c r="AB49" s="618"/>
      <c r="AC49" s="618"/>
      <c r="AD49" s="618"/>
      <c r="AE49" s="618"/>
      <c r="AF49" s="618">
        <f>AF$6/6</f>
        <v>67.214777529047794</v>
      </c>
      <c r="AG49" s="618">
        <f>AF49</f>
        <v>67.214777529047794</v>
      </c>
      <c r="AH49" s="618">
        <f>AG49</f>
        <v>67.214777529047794</v>
      </c>
      <c r="AI49" s="618">
        <f>AH49</f>
        <v>67.214777529047794</v>
      </c>
      <c r="AJ49" s="618">
        <f>AI49</f>
        <v>67.214777529047794</v>
      </c>
      <c r="AK49" s="618">
        <f>AJ49</f>
        <v>67.214777529047794</v>
      </c>
      <c r="AL49" s="618"/>
      <c r="AM49" s="618"/>
      <c r="AN49" s="618"/>
      <c r="AO49" s="618"/>
      <c r="AP49" s="625"/>
      <c r="AU49" s="598"/>
    </row>
    <row r="50" spans="1:47" x14ac:dyDescent="0.8">
      <c r="A50" s="53" t="s">
        <v>526</v>
      </c>
      <c r="B50" s="40">
        <v>25</v>
      </c>
      <c r="I50" s="653"/>
      <c r="J50" s="618"/>
      <c r="K50" s="618"/>
      <c r="L50" s="618"/>
      <c r="M50" s="618"/>
      <c r="N50" s="618"/>
      <c r="O50" s="653"/>
      <c r="P50" s="618"/>
      <c r="Q50" s="618"/>
      <c r="R50" s="618"/>
      <c r="S50" s="618"/>
      <c r="T50" s="618"/>
      <c r="U50" s="618"/>
      <c r="V50" s="618"/>
      <c r="W50" s="618"/>
      <c r="X50" s="618"/>
      <c r="Y50" s="618"/>
      <c r="Z50" s="618"/>
      <c r="AA50" s="618"/>
      <c r="AB50" s="618"/>
      <c r="AC50" s="618"/>
      <c r="AD50" s="618"/>
      <c r="AE50" s="618"/>
      <c r="AF50" s="618"/>
      <c r="AG50" s="618">
        <f>AG$6/6</f>
        <v>65.105001764491135</v>
      </c>
      <c r="AH50" s="618">
        <f>AG50</f>
        <v>65.105001764491135</v>
      </c>
      <c r="AI50" s="618">
        <f>AH50</f>
        <v>65.105001764491135</v>
      </c>
      <c r="AJ50" s="618">
        <f>AI50</f>
        <v>65.105001764491135</v>
      </c>
      <c r="AK50" s="618">
        <f>AJ50</f>
        <v>65.105001764491135</v>
      </c>
      <c r="AL50" s="618">
        <f>AK50</f>
        <v>65.105001764491135</v>
      </c>
      <c r="AM50" s="618"/>
      <c r="AN50" s="618"/>
      <c r="AO50" s="618"/>
      <c r="AP50" s="625"/>
      <c r="AU50" s="598"/>
    </row>
    <row r="51" spans="1:47" x14ac:dyDescent="0.8">
      <c r="A51" s="53" t="s">
        <v>526</v>
      </c>
      <c r="B51" s="40">
        <v>26</v>
      </c>
      <c r="I51" s="653"/>
      <c r="J51" s="618"/>
      <c r="K51" s="618"/>
      <c r="L51" s="618"/>
      <c r="M51" s="618"/>
      <c r="N51" s="618"/>
      <c r="O51" s="653"/>
      <c r="P51" s="618"/>
      <c r="Q51" s="618"/>
      <c r="R51" s="618"/>
      <c r="S51" s="618"/>
      <c r="T51" s="618"/>
      <c r="U51" s="618"/>
      <c r="V51" s="618"/>
      <c r="W51" s="618"/>
      <c r="X51" s="618"/>
      <c r="Y51" s="618"/>
      <c r="Z51" s="618"/>
      <c r="AA51" s="618"/>
      <c r="AB51" s="618"/>
      <c r="AC51" s="618"/>
      <c r="AD51" s="618"/>
      <c r="AE51" s="618"/>
      <c r="AF51" s="618"/>
      <c r="AG51" s="618"/>
      <c r="AH51" s="618">
        <f>AH$6/6</f>
        <v>63.216459862892378</v>
      </c>
      <c r="AI51" s="618">
        <f>AH51</f>
        <v>63.216459862892378</v>
      </c>
      <c r="AJ51" s="618">
        <f>AI51</f>
        <v>63.216459862892378</v>
      </c>
      <c r="AK51" s="618">
        <f>AJ51</f>
        <v>63.216459862892378</v>
      </c>
      <c r="AL51" s="618">
        <f>AK51</f>
        <v>63.216459862892378</v>
      </c>
      <c r="AM51" s="618">
        <f>AL51</f>
        <v>63.216459862892378</v>
      </c>
      <c r="AN51" s="618"/>
      <c r="AO51" s="618"/>
      <c r="AP51" s="625"/>
      <c r="AU51" s="598"/>
    </row>
    <row r="52" spans="1:47" x14ac:dyDescent="0.8">
      <c r="A52" s="53" t="s">
        <v>526</v>
      </c>
      <c r="B52" s="40">
        <v>27</v>
      </c>
      <c r="I52" s="653"/>
      <c r="J52" s="618"/>
      <c r="K52" s="618"/>
      <c r="L52" s="618"/>
      <c r="M52" s="618"/>
      <c r="N52" s="618"/>
      <c r="O52" s="653"/>
      <c r="P52" s="618"/>
      <c r="Q52" s="618"/>
      <c r="R52" s="618"/>
      <c r="S52" s="618"/>
      <c r="T52" s="618"/>
      <c r="U52" s="618"/>
      <c r="V52" s="618"/>
      <c r="W52" s="618"/>
      <c r="X52" s="618"/>
      <c r="Y52" s="618"/>
      <c r="Z52" s="618"/>
      <c r="AA52" s="618"/>
      <c r="AB52" s="618"/>
      <c r="AC52" s="618"/>
      <c r="AD52" s="618"/>
      <c r="AE52" s="618"/>
      <c r="AF52" s="618"/>
      <c r="AG52" s="618"/>
      <c r="AH52" s="618"/>
      <c r="AI52" s="618">
        <f>AI$6/6</f>
        <v>61.40766915191162</v>
      </c>
      <c r="AJ52" s="618">
        <f>AI52</f>
        <v>61.40766915191162</v>
      </c>
      <c r="AK52" s="618">
        <f>AJ52</f>
        <v>61.40766915191162</v>
      </c>
      <c r="AL52" s="618">
        <f>AK52</f>
        <v>61.40766915191162</v>
      </c>
      <c r="AM52" s="618">
        <f>AL52</f>
        <v>61.40766915191162</v>
      </c>
      <c r="AN52" s="618">
        <f>AM52</f>
        <v>61.40766915191162</v>
      </c>
      <c r="AO52" s="618"/>
      <c r="AP52" s="625"/>
      <c r="AU52" s="598"/>
    </row>
    <row r="53" spans="1:47" x14ac:dyDescent="0.8">
      <c r="A53" s="53" t="s">
        <v>526</v>
      </c>
      <c r="B53" s="40">
        <v>28</v>
      </c>
      <c r="I53" s="653"/>
      <c r="J53" s="618"/>
      <c r="K53" s="618"/>
      <c r="L53" s="618"/>
      <c r="M53" s="618"/>
      <c r="N53" s="618"/>
      <c r="O53" s="653"/>
      <c r="P53" s="618"/>
      <c r="Q53" s="618"/>
      <c r="R53" s="618"/>
      <c r="S53" s="618"/>
      <c r="T53" s="618"/>
      <c r="U53" s="618"/>
      <c r="V53" s="618"/>
      <c r="W53" s="618"/>
      <c r="X53" s="618"/>
      <c r="Y53" s="618"/>
      <c r="Z53" s="618"/>
      <c r="AA53" s="618"/>
      <c r="AB53" s="618"/>
      <c r="AC53" s="618"/>
      <c r="AD53" s="618"/>
      <c r="AE53" s="618"/>
      <c r="AF53" s="618"/>
      <c r="AG53" s="618"/>
      <c r="AH53" s="618"/>
      <c r="AI53" s="618"/>
      <c r="AJ53" s="618">
        <f>AJ$6/6</f>
        <v>59.685212546617571</v>
      </c>
      <c r="AK53" s="618">
        <f>AJ53</f>
        <v>59.685212546617571</v>
      </c>
      <c r="AL53" s="618">
        <f>AK53</f>
        <v>59.685212546617571</v>
      </c>
      <c r="AM53" s="618">
        <f>AL53</f>
        <v>59.685212546617571</v>
      </c>
      <c r="AN53" s="618">
        <f>AM53</f>
        <v>59.685212546617571</v>
      </c>
      <c r="AO53" s="618">
        <f>AN53</f>
        <v>59.685212546617571</v>
      </c>
      <c r="AP53" s="625"/>
      <c r="AU53" s="598"/>
    </row>
    <row r="54" spans="1:47" x14ac:dyDescent="0.8">
      <c r="A54" s="53" t="s">
        <v>526</v>
      </c>
      <c r="B54" s="40">
        <v>29</v>
      </c>
      <c r="I54" s="653"/>
      <c r="J54" s="618"/>
      <c r="K54" s="618"/>
      <c r="L54" s="618"/>
      <c r="M54" s="618"/>
      <c r="N54" s="618"/>
      <c r="O54" s="653"/>
      <c r="P54" s="618"/>
      <c r="Q54" s="618"/>
      <c r="R54" s="618"/>
      <c r="S54" s="618"/>
      <c r="T54" s="618"/>
      <c r="U54" s="618"/>
      <c r="V54" s="618"/>
      <c r="W54" s="618"/>
      <c r="X54" s="618"/>
      <c r="Y54" s="618"/>
      <c r="Z54" s="618"/>
      <c r="AA54" s="618"/>
      <c r="AB54" s="618"/>
      <c r="AC54" s="618"/>
      <c r="AD54" s="618"/>
      <c r="AE54" s="618"/>
      <c r="AF54" s="618"/>
      <c r="AG54" s="618"/>
      <c r="AH54" s="618"/>
      <c r="AI54" s="618"/>
      <c r="AJ54" s="618"/>
      <c r="AK54" s="618">
        <f>AK$6/6</f>
        <v>58.035864795794772</v>
      </c>
      <c r="AL54" s="618">
        <f>AK54</f>
        <v>58.035864795794772</v>
      </c>
      <c r="AM54" s="618">
        <f>AL54</f>
        <v>58.035864795794772</v>
      </c>
      <c r="AN54" s="618">
        <f>AM54</f>
        <v>58.035864795794772</v>
      </c>
      <c r="AO54" s="618">
        <f>AN54</f>
        <v>58.035864795794772</v>
      </c>
      <c r="AP54" s="625">
        <f>AO54</f>
        <v>58.035864795794772</v>
      </c>
      <c r="AU54" s="598"/>
    </row>
    <row r="55" spans="1:47" x14ac:dyDescent="0.8">
      <c r="A55" s="53" t="s">
        <v>526</v>
      </c>
      <c r="B55" s="40">
        <v>30</v>
      </c>
      <c r="I55" s="653"/>
      <c r="J55" s="618"/>
      <c r="K55" s="618"/>
      <c r="L55" s="618"/>
      <c r="M55" s="618"/>
      <c r="N55" s="618"/>
      <c r="O55" s="653"/>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f>AL$6/6</f>
        <v>56.463691389799095</v>
      </c>
      <c r="AM55" s="618">
        <f>AL55</f>
        <v>56.463691389799095</v>
      </c>
      <c r="AN55" s="618">
        <f>AM55</f>
        <v>56.463691389799095</v>
      </c>
      <c r="AO55" s="618">
        <f>AN55</f>
        <v>56.463691389799095</v>
      </c>
      <c r="AP55" s="625">
        <f>AO55</f>
        <v>56.463691389799095</v>
      </c>
      <c r="AQ55" s="619">
        <f>AP55</f>
        <v>56.463691389799095</v>
      </c>
      <c r="AR55" s="619"/>
      <c r="AS55" s="619"/>
      <c r="AT55" s="619"/>
      <c r="AU55" s="631"/>
    </row>
    <row r="56" spans="1:47" x14ac:dyDescent="0.8">
      <c r="A56" s="53" t="s">
        <v>526</v>
      </c>
      <c r="B56" s="40">
        <v>31</v>
      </c>
      <c r="I56" s="653"/>
      <c r="J56" s="618"/>
      <c r="K56" s="618"/>
      <c r="L56" s="618"/>
      <c r="M56" s="618"/>
      <c r="N56" s="618"/>
      <c r="O56" s="653"/>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f>AM$6/6</f>
        <v>54.958832244125624</v>
      </c>
      <c r="AN56" s="618">
        <f>AM56</f>
        <v>54.958832244125624</v>
      </c>
      <c r="AO56" s="618">
        <f>AN56</f>
        <v>54.958832244125624</v>
      </c>
      <c r="AP56" s="625">
        <f>AO56</f>
        <v>54.958832244125624</v>
      </c>
      <c r="AQ56" s="619">
        <f>AP56</f>
        <v>54.958832244125624</v>
      </c>
      <c r="AR56" s="619">
        <f>AQ56</f>
        <v>54.958832244125624</v>
      </c>
      <c r="AS56" s="619"/>
      <c r="AT56" s="619"/>
      <c r="AU56" s="631"/>
    </row>
    <row r="57" spans="1:47" x14ac:dyDescent="0.8">
      <c r="A57" s="53" t="s">
        <v>526</v>
      </c>
      <c r="B57" s="40">
        <v>32</v>
      </c>
      <c r="I57" s="653"/>
      <c r="J57" s="618"/>
      <c r="K57" s="618"/>
      <c r="L57" s="618"/>
      <c r="M57" s="618"/>
      <c r="N57" s="618"/>
      <c r="O57" s="653"/>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f>AN$6/6</f>
        <v>53.523229588542968</v>
      </c>
      <c r="AO57" s="618">
        <f>AN57</f>
        <v>53.523229588542968</v>
      </c>
      <c r="AP57" s="625">
        <f>AO57</f>
        <v>53.523229588542968</v>
      </c>
      <c r="AQ57" s="619">
        <f>AP57</f>
        <v>53.523229588542968</v>
      </c>
      <c r="AR57" s="619">
        <f>AQ57</f>
        <v>53.523229588542968</v>
      </c>
      <c r="AS57" s="619">
        <f>AR57</f>
        <v>53.523229588542968</v>
      </c>
      <c r="AT57" s="619"/>
      <c r="AU57" s="631"/>
    </row>
    <row r="58" spans="1:47" x14ac:dyDescent="0.8">
      <c r="A58" s="53" t="s">
        <v>526</v>
      </c>
      <c r="B58" s="40">
        <v>33</v>
      </c>
      <c r="I58" s="653"/>
      <c r="J58" s="618"/>
      <c r="K58" s="618"/>
      <c r="L58" s="618"/>
      <c r="M58" s="618"/>
      <c r="N58" s="618"/>
      <c r="O58" s="653"/>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f>AO$6/6</f>
        <v>52.14939495361083</v>
      </c>
      <c r="AP58" s="625">
        <f>AO58</f>
        <v>52.14939495361083</v>
      </c>
      <c r="AQ58" s="619">
        <f>AP58</f>
        <v>52.14939495361083</v>
      </c>
      <c r="AR58" s="619">
        <f>AQ58</f>
        <v>52.14939495361083</v>
      </c>
      <c r="AS58" s="619">
        <f>AR58</f>
        <v>52.14939495361083</v>
      </c>
      <c r="AT58" s="619">
        <f>AS58</f>
        <v>52.14939495361083</v>
      </c>
      <c r="AU58" s="631"/>
    </row>
    <row r="59" spans="1:47" x14ac:dyDescent="0.8">
      <c r="A59" s="415" t="s">
        <v>526</v>
      </c>
      <c r="B59" s="80">
        <v>34</v>
      </c>
      <c r="C59" s="626"/>
      <c r="D59" s="626"/>
      <c r="E59" s="626"/>
      <c r="F59" s="626"/>
      <c r="G59" s="626"/>
      <c r="H59" s="626"/>
      <c r="I59" s="654"/>
      <c r="J59" s="626"/>
      <c r="K59" s="626"/>
      <c r="L59" s="626"/>
      <c r="M59" s="626"/>
      <c r="N59" s="626"/>
      <c r="O59" s="654"/>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7">
        <f>AP$6/6</f>
        <v>50.837905045818609</v>
      </c>
      <c r="AQ59" s="619">
        <f>AP59</f>
        <v>50.837905045818609</v>
      </c>
      <c r="AR59" s="619">
        <f>AQ59</f>
        <v>50.837905045818609</v>
      </c>
      <c r="AS59" s="619">
        <f>AR59</f>
        <v>50.837905045818609</v>
      </c>
      <c r="AT59" s="619">
        <f>AS59</f>
        <v>50.837905045818609</v>
      </c>
      <c r="AU59" s="631">
        <f>AT59</f>
        <v>50.837905045818609</v>
      </c>
    </row>
    <row r="60" spans="1:47" ht="16.75" thickBot="1" x14ac:dyDescent="0.95">
      <c r="A60" s="606" t="s">
        <v>437</v>
      </c>
      <c r="B60" s="615"/>
      <c r="C60" s="615"/>
      <c r="D60" s="615"/>
      <c r="E60" s="615"/>
      <c r="F60" s="615"/>
      <c r="G60" s="615"/>
      <c r="H60" s="615"/>
      <c r="I60" s="638">
        <f t="shared" ref="I60:AP60" si="11">SUM(I26:I59)</f>
        <v>534.89890334833342</v>
      </c>
      <c r="J60" s="638">
        <f t="shared" si="11"/>
        <v>652.00121288061746</v>
      </c>
      <c r="K60" s="638">
        <f t="shared" si="11"/>
        <v>1344.3590671467059</v>
      </c>
      <c r="L60" s="638">
        <f t="shared" si="11"/>
        <v>1403.8785285527065</v>
      </c>
      <c r="M60" s="638">
        <f t="shared" si="11"/>
        <v>1690.2926321035832</v>
      </c>
      <c r="N60" s="638">
        <f t="shared" si="11"/>
        <v>1690.2926321035832</v>
      </c>
      <c r="O60" s="638">
        <f t="shared" si="11"/>
        <v>1260.5960095219129</v>
      </c>
      <c r="P60" s="638">
        <f t="shared" si="11"/>
        <v>1359.4518950435045</v>
      </c>
      <c r="Q60" s="638">
        <f t="shared" si="11"/>
        <v>754.70181856989279</v>
      </c>
      <c r="R60" s="638">
        <f t="shared" si="11"/>
        <v>801.24921873910034</v>
      </c>
      <c r="S60" s="638">
        <f t="shared" si="11"/>
        <v>593.69061180058407</v>
      </c>
      <c r="T60" s="638">
        <f t="shared" si="11"/>
        <v>596.25988677210103</v>
      </c>
      <c r="U60" s="638">
        <f t="shared" si="11"/>
        <v>590.81818766747335</v>
      </c>
      <c r="V60" s="638">
        <f t="shared" si="11"/>
        <v>573.94689264504598</v>
      </c>
      <c r="W60" s="638">
        <f t="shared" si="11"/>
        <v>560.76530961576918</v>
      </c>
      <c r="X60" s="638">
        <f t="shared" si="11"/>
        <v>545.78003966475842</v>
      </c>
      <c r="Y60" s="638">
        <f t="shared" si="11"/>
        <v>535.4734456410863</v>
      </c>
      <c r="Z60" s="638">
        <f t="shared" si="11"/>
        <v>521.42666348280693</v>
      </c>
      <c r="AA60" s="638">
        <f t="shared" si="11"/>
        <v>509.89421706421166</v>
      </c>
      <c r="AB60" s="638">
        <f t="shared" si="11"/>
        <v>495.18014531726209</v>
      </c>
      <c r="AC60" s="638">
        <f t="shared" si="11"/>
        <v>481.8838686009895</v>
      </c>
      <c r="AD60" s="638">
        <f t="shared" si="11"/>
        <v>466.26593179418887</v>
      </c>
      <c r="AE60" s="638">
        <f t="shared" si="11"/>
        <v>451.41004157934015</v>
      </c>
      <c r="AF60" s="638">
        <f t="shared" si="11"/>
        <v>436.9700281028791</v>
      </c>
      <c r="AG60" s="638">
        <f t="shared" si="11"/>
        <v>423.34760222680501</v>
      </c>
      <c r="AH60" s="638">
        <f t="shared" si="11"/>
        <v>410.17033133213647</v>
      </c>
      <c r="AI60" s="638">
        <f t="shared" si="11"/>
        <v>397.7928082009048</v>
      </c>
      <c r="AJ60" s="638">
        <f t="shared" si="11"/>
        <v>385.88357229446945</v>
      </c>
      <c r="AK60" s="638">
        <f t="shared" si="11"/>
        <v>374.66498565075528</v>
      </c>
      <c r="AL60" s="638">
        <f t="shared" si="11"/>
        <v>363.91389951150654</v>
      </c>
      <c r="AM60" s="638">
        <f t="shared" si="11"/>
        <v>353.76772999114104</v>
      </c>
      <c r="AN60" s="638">
        <f t="shared" si="11"/>
        <v>344.07449971679165</v>
      </c>
      <c r="AO60" s="638">
        <f t="shared" si="11"/>
        <v>334.81622551849091</v>
      </c>
      <c r="AP60" s="639">
        <f t="shared" si="11"/>
        <v>325.96891801769192</v>
      </c>
      <c r="AU60" s="598"/>
    </row>
    <row r="61" spans="1:47" ht="17.5" thickTop="1" thickBot="1" x14ac:dyDescent="0.95">
      <c r="A61" s="632"/>
      <c r="B61" s="633"/>
      <c r="C61" s="633"/>
      <c r="D61" s="633"/>
      <c r="E61" s="633"/>
      <c r="F61" s="633"/>
      <c r="G61" s="633"/>
      <c r="H61" s="633"/>
      <c r="I61" s="633"/>
      <c r="J61" s="633"/>
      <c r="K61" s="633"/>
      <c r="L61" s="633"/>
      <c r="M61" s="633"/>
      <c r="N61" s="633"/>
      <c r="O61" s="633"/>
      <c r="P61" s="633"/>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4"/>
    </row>
  </sheetData>
  <mergeCells count="4">
    <mergeCell ref="C1:H2"/>
    <mergeCell ref="I1:N2"/>
    <mergeCell ref="O1:AP2"/>
    <mergeCell ref="A23:B23"/>
  </mergeCells>
  <hyperlinks>
    <hyperlink ref="A1" location="'Cover Page '!A1" display="Back to cover page "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autoPageBreaks="0"/>
  </sheetPr>
  <dimension ref="A1:BI150"/>
  <sheetViews>
    <sheetView showGridLines="0" zoomScale="55" zoomScaleNormal="55" zoomScalePageLayoutView="85" workbookViewId="0">
      <pane xSplit="1" ySplit="3" topLeftCell="B4" activePane="bottomRight" state="frozen"/>
      <selection pane="topRight" activeCell="C1" sqref="C1"/>
      <selection pane="bottomLeft" activeCell="A3" sqref="A3"/>
      <selection pane="bottomRight" activeCell="B7" sqref="B7"/>
    </sheetView>
  </sheetViews>
  <sheetFormatPr defaultColWidth="11" defaultRowHeight="16" x14ac:dyDescent="0.8"/>
  <cols>
    <col min="1" max="1" width="63.33203125" bestFit="1" customWidth="1"/>
    <col min="2" max="3" width="11.5" bestFit="1" customWidth="1"/>
    <col min="4" max="4" width="11" bestFit="1" customWidth="1"/>
    <col min="5" max="6" width="11.5" bestFit="1" customWidth="1"/>
    <col min="7" max="7" width="11" bestFit="1" customWidth="1"/>
    <col min="8" max="8" width="12.33203125" customWidth="1"/>
    <col min="9" max="9" width="11.5" bestFit="1" customWidth="1"/>
    <col min="10" max="10" width="11" bestFit="1" customWidth="1"/>
    <col min="11" max="14" width="11.5" bestFit="1" customWidth="1"/>
    <col min="15" max="15" width="11.1640625" bestFit="1" customWidth="1"/>
    <col min="16" max="16" width="11.5" bestFit="1" customWidth="1"/>
    <col min="17" max="17" width="12.6640625" customWidth="1"/>
    <col min="18" max="20" width="11.5" bestFit="1" customWidth="1"/>
    <col min="21" max="21" width="11.1640625" bestFit="1" customWidth="1"/>
    <col min="22" max="23" width="11.5" bestFit="1" customWidth="1"/>
    <col min="24" max="24" width="10.6640625" bestFit="1" customWidth="1"/>
    <col min="25" max="27" width="11.5" bestFit="1" customWidth="1"/>
    <col min="28" max="28" width="11.1640625" bestFit="1" customWidth="1"/>
    <col min="29" max="29" width="11.5" bestFit="1" customWidth="1"/>
    <col min="30" max="31" width="11.1640625" bestFit="1" customWidth="1"/>
    <col min="32" max="35" width="11.5" bestFit="1" customWidth="1"/>
    <col min="36" max="38" width="11.1640625" bestFit="1" customWidth="1"/>
    <col min="39" max="40" width="11.5" bestFit="1" customWidth="1"/>
    <col min="41" max="41" width="10.1640625" bestFit="1" customWidth="1"/>
    <col min="46" max="46" width="16.6640625" bestFit="1" customWidth="1"/>
    <col min="47" max="47" width="41.33203125" customWidth="1"/>
    <col min="48" max="48" width="37.83203125" bestFit="1" customWidth="1"/>
    <col min="50" max="50" width="4.6640625" customWidth="1"/>
    <col min="51" max="51" width="5.33203125" customWidth="1"/>
  </cols>
  <sheetData>
    <row r="1" spans="1:41" ht="18.5" x14ac:dyDescent="0.9">
      <c r="A1" s="1194"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41" ht="21.75" thickBot="1" x14ac:dyDescent="1.1499999999999999">
      <c r="A4" s="444" t="s">
        <v>516</v>
      </c>
      <c r="B4" s="273"/>
      <c r="G4" s="7"/>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row>
    <row r="5" spans="1:41" x14ac:dyDescent="0.8">
      <c r="A5" s="408" t="s">
        <v>515</v>
      </c>
      <c r="B5" s="409"/>
      <c r="C5" s="381"/>
      <c r="D5" s="381"/>
      <c r="E5" s="381"/>
      <c r="F5" s="381"/>
      <c r="G5" s="381"/>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410"/>
    </row>
    <row r="6" spans="1:41" x14ac:dyDescent="0.8">
      <c r="A6" s="366" t="s">
        <v>512</v>
      </c>
      <c r="B6" s="399">
        <f>'Balance Sheet '!B9/'Income Statement '!B4</f>
        <v>0.20757391823779911</v>
      </c>
      <c r="C6" s="400">
        <f>'Balance Sheet '!C9/'Income Statement '!C4</f>
        <v>0.26794273975282878</v>
      </c>
      <c r="D6" s="400">
        <f>'Balance Sheet '!D9/'Income Statement '!D4</f>
        <v>0.38253801595634501</v>
      </c>
      <c r="E6" s="400">
        <f>'Balance Sheet '!E9/'Income Statement '!E4</f>
        <v>0.29268278179169266</v>
      </c>
      <c r="F6" s="400">
        <f>'Balance Sheet '!F9/'Income Statement '!F4</f>
        <v>0.35766175572000813</v>
      </c>
      <c r="G6" s="400">
        <f>'Balance Sheet '!G9/'Income Statement '!G4</f>
        <v>0.49117774085855065</v>
      </c>
      <c r="H6" s="202">
        <v>0.18</v>
      </c>
      <c r="I6" s="199">
        <v>0.18</v>
      </c>
      <c r="J6" s="199">
        <v>0.18</v>
      </c>
      <c r="K6" s="199">
        <v>0.18</v>
      </c>
      <c r="L6" s="199">
        <v>0.18</v>
      </c>
      <c r="M6" s="199">
        <v>0.18</v>
      </c>
      <c r="N6" s="202">
        <v>0.18</v>
      </c>
      <c r="O6" s="199">
        <v>0.18</v>
      </c>
      <c r="P6" s="199">
        <v>0.18</v>
      </c>
      <c r="Q6" s="199">
        <v>0.18</v>
      </c>
      <c r="R6" s="199">
        <v>0.18</v>
      </c>
      <c r="S6" s="199">
        <v>0.18</v>
      </c>
      <c r="T6" s="199">
        <v>0.18</v>
      </c>
      <c r="U6" s="199">
        <v>0.18</v>
      </c>
      <c r="V6" s="199">
        <v>0.18</v>
      </c>
      <c r="W6" s="199">
        <v>0.18</v>
      </c>
      <c r="X6" s="199">
        <v>0.18</v>
      </c>
      <c r="Y6" s="199">
        <v>0.18</v>
      </c>
      <c r="Z6" s="199">
        <v>0.18</v>
      </c>
      <c r="AA6" s="199">
        <v>0.18</v>
      </c>
      <c r="AB6" s="199">
        <v>0.18</v>
      </c>
      <c r="AC6" s="199">
        <v>0.18</v>
      </c>
      <c r="AD6" s="199">
        <v>0.18</v>
      </c>
      <c r="AE6" s="199">
        <v>0.18</v>
      </c>
      <c r="AF6" s="199">
        <v>0.18</v>
      </c>
      <c r="AG6" s="199">
        <v>0.18</v>
      </c>
      <c r="AH6" s="199">
        <v>0.18</v>
      </c>
      <c r="AI6" s="199">
        <v>0.18</v>
      </c>
      <c r="AJ6" s="199">
        <v>0.18</v>
      </c>
      <c r="AK6" s="199">
        <v>0.18</v>
      </c>
      <c r="AL6" s="199">
        <v>0.18</v>
      </c>
      <c r="AM6" s="199">
        <v>0.18</v>
      </c>
      <c r="AN6" s="199">
        <v>0.18</v>
      </c>
      <c r="AO6" s="411">
        <v>0.18</v>
      </c>
    </row>
    <row r="7" spans="1:41" x14ac:dyDescent="0.8">
      <c r="A7" s="22" t="s">
        <v>513</v>
      </c>
      <c r="B7" s="279">
        <v>0.15</v>
      </c>
      <c r="C7" s="189">
        <v>0.15</v>
      </c>
      <c r="D7" s="189">
        <v>0.15</v>
      </c>
      <c r="E7" s="189">
        <v>0.15</v>
      </c>
      <c r="F7" s="189">
        <v>0.15</v>
      </c>
      <c r="G7" s="189">
        <v>0.15</v>
      </c>
      <c r="H7" s="56">
        <v>0.18</v>
      </c>
      <c r="I7" s="25">
        <v>0.18</v>
      </c>
      <c r="J7" s="25">
        <v>0.18</v>
      </c>
      <c r="K7" s="25">
        <v>0.18</v>
      </c>
      <c r="L7" s="25">
        <v>0.18</v>
      </c>
      <c r="M7" s="25">
        <v>0.18</v>
      </c>
      <c r="N7" s="56">
        <v>0.18</v>
      </c>
      <c r="O7" s="25">
        <v>0.18</v>
      </c>
      <c r="P7" s="25">
        <v>0.18</v>
      </c>
      <c r="Q7" s="25">
        <v>0.18</v>
      </c>
      <c r="R7" s="25">
        <v>0.18</v>
      </c>
      <c r="S7" s="25">
        <v>0.18</v>
      </c>
      <c r="T7" s="25">
        <v>0.18</v>
      </c>
      <c r="U7" s="25">
        <v>0.18</v>
      </c>
      <c r="V7" s="25">
        <v>0.18</v>
      </c>
      <c r="W7" s="25">
        <v>0.18</v>
      </c>
      <c r="X7" s="25">
        <v>0.18</v>
      </c>
      <c r="Y7" s="25">
        <v>0.18</v>
      </c>
      <c r="Z7" s="25">
        <v>0.18</v>
      </c>
      <c r="AA7" s="25">
        <v>0.18</v>
      </c>
      <c r="AB7" s="25">
        <v>0.18</v>
      </c>
      <c r="AC7" s="25">
        <v>0.18</v>
      </c>
      <c r="AD7" s="25">
        <v>0.18</v>
      </c>
      <c r="AE7" s="25">
        <v>0.18</v>
      </c>
      <c r="AF7" s="25">
        <v>0.18</v>
      </c>
      <c r="AG7" s="25">
        <v>0.18</v>
      </c>
      <c r="AH7" s="25">
        <v>0.18</v>
      </c>
      <c r="AI7" s="25">
        <v>0.18</v>
      </c>
      <c r="AJ7" s="25">
        <v>0.18</v>
      </c>
      <c r="AK7" s="25">
        <v>0.18</v>
      </c>
      <c r="AL7" s="25">
        <v>0.18</v>
      </c>
      <c r="AM7" s="25">
        <v>0.18</v>
      </c>
      <c r="AN7" s="25">
        <v>0.18</v>
      </c>
      <c r="AO7" s="57">
        <v>0.18</v>
      </c>
    </row>
    <row r="8" spans="1:41" x14ac:dyDescent="0.8">
      <c r="A8" s="367" t="s">
        <v>514</v>
      </c>
      <c r="B8" s="401">
        <f>B6-B7</f>
        <v>5.7573918237799115E-2</v>
      </c>
      <c r="C8" s="402">
        <f t="shared" ref="C8:I8" si="0">C6-C7</f>
        <v>0.11794273975282879</v>
      </c>
      <c r="D8" s="402">
        <f t="shared" si="0"/>
        <v>0.23253801595634502</v>
      </c>
      <c r="E8" s="402">
        <f t="shared" si="0"/>
        <v>0.14268278179169266</v>
      </c>
      <c r="F8" s="402">
        <f t="shared" si="0"/>
        <v>0.20766175572000814</v>
      </c>
      <c r="G8" s="402">
        <f t="shared" si="0"/>
        <v>0.34117774085855068</v>
      </c>
      <c r="H8" s="403">
        <f t="shared" si="0"/>
        <v>0</v>
      </c>
      <c r="I8" s="196">
        <f t="shared" si="0"/>
        <v>0</v>
      </c>
      <c r="J8" s="196">
        <f t="shared" ref="J8" si="1">J6-J7</f>
        <v>0</v>
      </c>
      <c r="K8" s="196">
        <f t="shared" ref="K8" si="2">K6-K7</f>
        <v>0</v>
      </c>
      <c r="L8" s="196">
        <f t="shared" ref="L8" si="3">L6-L7</f>
        <v>0</v>
      </c>
      <c r="M8" s="196">
        <f t="shared" ref="M8" si="4">M6-M7</f>
        <v>0</v>
      </c>
      <c r="N8" s="403">
        <f t="shared" ref="N8" si="5">N6-N7</f>
        <v>0</v>
      </c>
      <c r="O8" s="196">
        <f t="shared" ref="O8" si="6">O6-O7</f>
        <v>0</v>
      </c>
      <c r="P8" s="196">
        <f t="shared" ref="P8" si="7">P6-P7</f>
        <v>0</v>
      </c>
      <c r="Q8" s="196">
        <f t="shared" ref="Q8" si="8">Q6-Q7</f>
        <v>0</v>
      </c>
      <c r="R8" s="196">
        <f t="shared" ref="R8" si="9">R6-R7</f>
        <v>0</v>
      </c>
      <c r="S8" s="196">
        <f t="shared" ref="S8" si="10">S6-S7</f>
        <v>0</v>
      </c>
      <c r="T8" s="196">
        <f t="shared" ref="T8" si="11">T6-T7</f>
        <v>0</v>
      </c>
      <c r="U8" s="196">
        <f t="shared" ref="U8" si="12">U6-U7</f>
        <v>0</v>
      </c>
      <c r="V8" s="196">
        <f t="shared" ref="V8" si="13">V6-V7</f>
        <v>0</v>
      </c>
      <c r="W8" s="196">
        <f t="shared" ref="W8" si="14">W6-W7</f>
        <v>0</v>
      </c>
      <c r="X8" s="196">
        <f t="shared" ref="X8" si="15">X6-X7</f>
        <v>0</v>
      </c>
      <c r="Y8" s="196">
        <f t="shared" ref="Y8" si="16">Y6-Y7</f>
        <v>0</v>
      </c>
      <c r="Z8" s="196">
        <f t="shared" ref="Z8" si="17">Z6-Z7</f>
        <v>0</v>
      </c>
      <c r="AA8" s="196">
        <f t="shared" ref="AA8" si="18">AA6-AA7</f>
        <v>0</v>
      </c>
      <c r="AB8" s="196">
        <f t="shared" ref="AB8" si="19">AB6-AB7</f>
        <v>0</v>
      </c>
      <c r="AC8" s="196">
        <f t="shared" ref="AC8" si="20">AC6-AC7</f>
        <v>0</v>
      </c>
      <c r="AD8" s="196">
        <f t="shared" ref="AD8" si="21">AD6-AD7</f>
        <v>0</v>
      </c>
      <c r="AE8" s="196">
        <f t="shared" ref="AE8" si="22">AE6-AE7</f>
        <v>0</v>
      </c>
      <c r="AF8" s="196">
        <f t="shared" ref="AF8" si="23">AF6-AF7</f>
        <v>0</v>
      </c>
      <c r="AG8" s="196">
        <f t="shared" ref="AG8" si="24">AG6-AG7</f>
        <v>0</v>
      </c>
      <c r="AH8" s="196">
        <f t="shared" ref="AH8" si="25">AH6-AH7</f>
        <v>0</v>
      </c>
      <c r="AI8" s="196">
        <f t="shared" ref="AI8" si="26">AI6-AI7</f>
        <v>0</v>
      </c>
      <c r="AJ8" s="196">
        <f t="shared" ref="AJ8" si="27">AJ6-AJ7</f>
        <v>0</v>
      </c>
      <c r="AK8" s="196">
        <f t="shared" ref="AK8" si="28">AK6-AK7</f>
        <v>0</v>
      </c>
      <c r="AL8" s="196">
        <f t="shared" ref="AL8" si="29">AL6-AL7</f>
        <v>0</v>
      </c>
      <c r="AM8" s="196">
        <f t="shared" ref="AM8" si="30">AM6-AM7</f>
        <v>0</v>
      </c>
      <c r="AN8" s="196">
        <f t="shared" ref="AN8" si="31">AN6-AN7</f>
        <v>0</v>
      </c>
      <c r="AO8" s="412">
        <f t="shared" ref="AO8" si="32">AO6-AO7</f>
        <v>0</v>
      </c>
    </row>
    <row r="9" spans="1:41" ht="17.25" x14ac:dyDescent="0.85">
      <c r="A9" s="413"/>
      <c r="B9" s="7"/>
      <c r="C9" s="7"/>
      <c r="D9" s="7"/>
      <c r="E9" s="7"/>
      <c r="F9" s="7"/>
      <c r="G9" s="7"/>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301"/>
    </row>
    <row r="10" spans="1:41" x14ac:dyDescent="0.8">
      <c r="A10" s="55" t="s">
        <v>446</v>
      </c>
      <c r="B10" s="276"/>
      <c r="C10" s="25"/>
      <c r="D10" s="25"/>
      <c r="E10" s="25"/>
      <c r="F10" s="25"/>
      <c r="G10" s="2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20"/>
    </row>
    <row r="11" spans="1:41" x14ac:dyDescent="0.8">
      <c r="A11" s="414" t="s">
        <v>503</v>
      </c>
      <c r="B11" s="384">
        <f>'Fixed Asset Schedule'!E15</f>
        <v>0.22311020932110395</v>
      </c>
      <c r="C11" s="198">
        <f>'Fixed Asset Schedule'!F15</f>
        <v>0.2038897134446381</v>
      </c>
      <c r="D11" s="198">
        <f>'Fixed Asset Schedule'!G15</f>
        <v>0.20084001527300496</v>
      </c>
      <c r="E11" s="198">
        <f>'Fixed Asset Schedule'!H15</f>
        <v>0.19762014102437409</v>
      </c>
      <c r="F11" s="198">
        <f>'Fixed Asset Schedule'!I15</f>
        <v>0.18541602419481371</v>
      </c>
      <c r="G11" s="198">
        <f>'Fixed Asset Schedule'!J15</f>
        <v>0.20045470402136387</v>
      </c>
      <c r="H11" s="202">
        <v>0.184</v>
      </c>
      <c r="I11" s="199">
        <v>0.186</v>
      </c>
      <c r="J11" s="199">
        <v>0.16</v>
      </c>
      <c r="K11" s="199">
        <v>0.16</v>
      </c>
      <c r="L11" s="199">
        <v>0.15</v>
      </c>
      <c r="M11" s="199">
        <v>0.14099999999999999</v>
      </c>
      <c r="N11" s="202">
        <v>0.13</v>
      </c>
      <c r="O11" s="199">
        <f>N11</f>
        <v>0.13</v>
      </c>
      <c r="P11" s="199">
        <f t="shared" ref="P11:AO11" si="33">O11</f>
        <v>0.13</v>
      </c>
      <c r="Q11" s="199">
        <f t="shared" si="33"/>
        <v>0.13</v>
      </c>
      <c r="R11" s="199">
        <f t="shared" si="33"/>
        <v>0.13</v>
      </c>
      <c r="S11" s="199">
        <f t="shared" si="33"/>
        <v>0.13</v>
      </c>
      <c r="T11" s="199">
        <f t="shared" si="33"/>
        <v>0.13</v>
      </c>
      <c r="U11" s="199">
        <f t="shared" si="33"/>
        <v>0.13</v>
      </c>
      <c r="V11" s="199">
        <f t="shared" si="33"/>
        <v>0.13</v>
      </c>
      <c r="W11" s="199">
        <f t="shared" si="33"/>
        <v>0.13</v>
      </c>
      <c r="X11" s="199">
        <f t="shared" si="33"/>
        <v>0.13</v>
      </c>
      <c r="Y11" s="199">
        <f t="shared" si="33"/>
        <v>0.13</v>
      </c>
      <c r="Z11" s="199">
        <f t="shared" si="33"/>
        <v>0.13</v>
      </c>
      <c r="AA11" s="199">
        <f t="shared" si="33"/>
        <v>0.13</v>
      </c>
      <c r="AB11" s="199">
        <f t="shared" si="33"/>
        <v>0.13</v>
      </c>
      <c r="AC11" s="199">
        <f t="shared" si="33"/>
        <v>0.13</v>
      </c>
      <c r="AD11" s="199">
        <f t="shared" si="33"/>
        <v>0.13</v>
      </c>
      <c r="AE11" s="199">
        <f t="shared" si="33"/>
        <v>0.13</v>
      </c>
      <c r="AF11" s="199">
        <f t="shared" si="33"/>
        <v>0.13</v>
      </c>
      <c r="AG11" s="199">
        <f t="shared" si="33"/>
        <v>0.13</v>
      </c>
      <c r="AH11" s="199">
        <f t="shared" si="33"/>
        <v>0.13</v>
      </c>
      <c r="AI11" s="199">
        <f t="shared" si="33"/>
        <v>0.13</v>
      </c>
      <c r="AJ11" s="199">
        <f t="shared" si="33"/>
        <v>0.13</v>
      </c>
      <c r="AK11" s="199">
        <f t="shared" si="33"/>
        <v>0.13</v>
      </c>
      <c r="AL11" s="199">
        <f t="shared" si="33"/>
        <v>0.13</v>
      </c>
      <c r="AM11" s="199">
        <f t="shared" si="33"/>
        <v>0.13</v>
      </c>
      <c r="AN11" s="199">
        <f t="shared" si="33"/>
        <v>0.13</v>
      </c>
      <c r="AO11" s="411">
        <f t="shared" si="33"/>
        <v>0.13</v>
      </c>
    </row>
    <row r="12" spans="1:41" x14ac:dyDescent="0.8">
      <c r="A12" s="316" t="s">
        <v>504</v>
      </c>
      <c r="B12" s="276">
        <f>'Fixed Asset Schedule'!E16</f>
        <v>0.54508374914594504</v>
      </c>
      <c r="C12" s="25">
        <f>'Fixed Asset Schedule'!F16</f>
        <v>0.55325569507996819</v>
      </c>
      <c r="D12" s="25">
        <f>'Fixed Asset Schedule'!G16</f>
        <v>0.54929949775310605</v>
      </c>
      <c r="E12" s="25">
        <f>'Fixed Asset Schedule'!H16</f>
        <v>0.56446953094572361</v>
      </c>
      <c r="F12" s="25">
        <f>'Fixed Asset Schedule'!I16</f>
        <v>0.58094604318492915</v>
      </c>
      <c r="G12" s="25">
        <f>'Fixed Asset Schedule'!J16</f>
        <v>0.59188509701555381</v>
      </c>
      <c r="H12" s="204">
        <v>0.61</v>
      </c>
      <c r="I12" s="205">
        <v>0.63400000000000001</v>
      </c>
      <c r="J12" s="205">
        <v>0.64</v>
      </c>
      <c r="K12" s="205">
        <v>0.64</v>
      </c>
      <c r="L12" s="205">
        <v>0.65349999999999997</v>
      </c>
      <c r="M12" s="205">
        <v>0.67300000000000004</v>
      </c>
      <c r="N12" s="204">
        <v>0.74</v>
      </c>
      <c r="O12" s="205">
        <f t="shared" ref="O12:O14" si="34">N12</f>
        <v>0.74</v>
      </c>
      <c r="P12" s="205">
        <f t="shared" ref="P12:AO12" si="35">O12</f>
        <v>0.74</v>
      </c>
      <c r="Q12" s="205">
        <f t="shared" si="35"/>
        <v>0.74</v>
      </c>
      <c r="R12" s="205">
        <f t="shared" si="35"/>
        <v>0.74</v>
      </c>
      <c r="S12" s="205">
        <f t="shared" si="35"/>
        <v>0.74</v>
      </c>
      <c r="T12" s="205">
        <f t="shared" si="35"/>
        <v>0.74</v>
      </c>
      <c r="U12" s="205">
        <f t="shared" si="35"/>
        <v>0.74</v>
      </c>
      <c r="V12" s="205">
        <f t="shared" si="35"/>
        <v>0.74</v>
      </c>
      <c r="W12" s="205">
        <f t="shared" si="35"/>
        <v>0.74</v>
      </c>
      <c r="X12" s="205">
        <f t="shared" si="35"/>
        <v>0.74</v>
      </c>
      <c r="Y12" s="205">
        <f t="shared" si="35"/>
        <v>0.74</v>
      </c>
      <c r="Z12" s="205">
        <f t="shared" si="35"/>
        <v>0.74</v>
      </c>
      <c r="AA12" s="205">
        <f t="shared" si="35"/>
        <v>0.74</v>
      </c>
      <c r="AB12" s="205">
        <f t="shared" si="35"/>
        <v>0.74</v>
      </c>
      <c r="AC12" s="205">
        <f t="shared" si="35"/>
        <v>0.74</v>
      </c>
      <c r="AD12" s="205">
        <f t="shared" si="35"/>
        <v>0.74</v>
      </c>
      <c r="AE12" s="205">
        <f t="shared" si="35"/>
        <v>0.74</v>
      </c>
      <c r="AF12" s="205">
        <f t="shared" si="35"/>
        <v>0.74</v>
      </c>
      <c r="AG12" s="205">
        <f t="shared" si="35"/>
        <v>0.74</v>
      </c>
      <c r="AH12" s="205">
        <f t="shared" si="35"/>
        <v>0.74</v>
      </c>
      <c r="AI12" s="205">
        <f t="shared" si="35"/>
        <v>0.74</v>
      </c>
      <c r="AJ12" s="205">
        <f t="shared" si="35"/>
        <v>0.74</v>
      </c>
      <c r="AK12" s="205">
        <f t="shared" si="35"/>
        <v>0.74</v>
      </c>
      <c r="AL12" s="205">
        <f t="shared" si="35"/>
        <v>0.74</v>
      </c>
      <c r="AM12" s="205">
        <f t="shared" si="35"/>
        <v>0.74</v>
      </c>
      <c r="AN12" s="205">
        <f t="shared" si="35"/>
        <v>0.74</v>
      </c>
      <c r="AO12" s="220">
        <f t="shared" si="35"/>
        <v>0.74</v>
      </c>
    </row>
    <row r="13" spans="1:41" x14ac:dyDescent="0.8">
      <c r="A13" s="316" t="s">
        <v>505</v>
      </c>
      <c r="B13" s="276">
        <f>'Fixed Asset Schedule'!E17</f>
        <v>0.22288936278873958</v>
      </c>
      <c r="C13" s="25">
        <f>'Fixed Asset Schedule'!F17</f>
        <v>0.23709022829587934</v>
      </c>
      <c r="D13" s="25">
        <f>'Fixed Asset Schedule'!G17</f>
        <v>0.24436220518694746</v>
      </c>
      <c r="E13" s="25">
        <f>'Fixed Asset Schedule'!H17</f>
        <v>0.23257976945479489</v>
      </c>
      <c r="F13" s="25">
        <f>'Fixed Asset Schedule'!I17</f>
        <v>0.22685884014218241</v>
      </c>
      <c r="G13" s="25">
        <f>'Fixed Asset Schedule'!J17</f>
        <v>0.1998171560549013</v>
      </c>
      <c r="H13" s="204">
        <v>0.19800000000000001</v>
      </c>
      <c r="I13" s="205">
        <v>0.17180000000000001</v>
      </c>
      <c r="J13" s="205">
        <v>0.19159999999999999</v>
      </c>
      <c r="K13" s="205">
        <v>0.1915</v>
      </c>
      <c r="L13" s="205">
        <v>0.188</v>
      </c>
      <c r="M13" s="205">
        <v>0.17749999999999999</v>
      </c>
      <c r="N13" s="204">
        <v>0.12</v>
      </c>
      <c r="O13" s="205">
        <f t="shared" si="34"/>
        <v>0.12</v>
      </c>
      <c r="P13" s="205">
        <f t="shared" ref="P13:AO13" si="36">O13</f>
        <v>0.12</v>
      </c>
      <c r="Q13" s="205">
        <f t="shared" si="36"/>
        <v>0.12</v>
      </c>
      <c r="R13" s="205">
        <f t="shared" si="36"/>
        <v>0.12</v>
      </c>
      <c r="S13" s="205">
        <f t="shared" si="36"/>
        <v>0.12</v>
      </c>
      <c r="T13" s="205">
        <f t="shared" si="36"/>
        <v>0.12</v>
      </c>
      <c r="U13" s="205">
        <f t="shared" si="36"/>
        <v>0.12</v>
      </c>
      <c r="V13" s="205">
        <f t="shared" si="36"/>
        <v>0.12</v>
      </c>
      <c r="W13" s="205">
        <f t="shared" si="36"/>
        <v>0.12</v>
      </c>
      <c r="X13" s="205">
        <f t="shared" si="36"/>
        <v>0.12</v>
      </c>
      <c r="Y13" s="205">
        <f t="shared" si="36"/>
        <v>0.12</v>
      </c>
      <c r="Z13" s="205">
        <f t="shared" si="36"/>
        <v>0.12</v>
      </c>
      <c r="AA13" s="205">
        <f t="shared" si="36"/>
        <v>0.12</v>
      </c>
      <c r="AB13" s="205">
        <f t="shared" si="36"/>
        <v>0.12</v>
      </c>
      <c r="AC13" s="205">
        <f t="shared" si="36"/>
        <v>0.12</v>
      </c>
      <c r="AD13" s="205">
        <f t="shared" si="36"/>
        <v>0.12</v>
      </c>
      <c r="AE13" s="205">
        <f t="shared" si="36"/>
        <v>0.12</v>
      </c>
      <c r="AF13" s="205">
        <f t="shared" si="36"/>
        <v>0.12</v>
      </c>
      <c r="AG13" s="205">
        <f t="shared" si="36"/>
        <v>0.12</v>
      </c>
      <c r="AH13" s="205">
        <f t="shared" si="36"/>
        <v>0.12</v>
      </c>
      <c r="AI13" s="205">
        <f t="shared" si="36"/>
        <v>0.12</v>
      </c>
      <c r="AJ13" s="205">
        <f t="shared" si="36"/>
        <v>0.12</v>
      </c>
      <c r="AK13" s="205">
        <f t="shared" si="36"/>
        <v>0.12</v>
      </c>
      <c r="AL13" s="205">
        <f t="shared" si="36"/>
        <v>0.12</v>
      </c>
      <c r="AM13" s="205">
        <f t="shared" si="36"/>
        <v>0.12</v>
      </c>
      <c r="AN13" s="205">
        <f t="shared" si="36"/>
        <v>0.12</v>
      </c>
      <c r="AO13" s="220">
        <f t="shared" si="36"/>
        <v>0.12</v>
      </c>
    </row>
    <row r="14" spans="1:41" x14ac:dyDescent="0.8">
      <c r="A14" s="316" t="s">
        <v>506</v>
      </c>
      <c r="B14" s="276">
        <f>'Fixed Asset Schedule'!E18</f>
        <v>8.9166787442114051E-3</v>
      </c>
      <c r="C14" s="25">
        <f>'Fixed Asset Schedule'!F18</f>
        <v>5.7643631795143398E-3</v>
      </c>
      <c r="D14" s="25">
        <f>'Fixed Asset Schedule'!G18</f>
        <v>5.4982817869415812E-3</v>
      </c>
      <c r="E14" s="25">
        <f>'Fixed Asset Schedule'!H18</f>
        <v>5.3305585751073957E-3</v>
      </c>
      <c r="F14" s="25">
        <f>'Fixed Asset Schedule'!I18</f>
        <v>6.7790924780748024E-3</v>
      </c>
      <c r="G14" s="25">
        <f>'Fixed Asset Schedule'!J18</f>
        <v>7.8430429081810631E-3</v>
      </c>
      <c r="H14" s="204">
        <v>8.0000000000000002E-3</v>
      </c>
      <c r="I14" s="205">
        <v>8.2000000000000007E-3</v>
      </c>
      <c r="J14" s="205">
        <v>8.3999999999999995E-3</v>
      </c>
      <c r="K14" s="205">
        <v>8.5000000000000006E-3</v>
      </c>
      <c r="L14" s="205">
        <v>8.5000000000000006E-3</v>
      </c>
      <c r="M14" s="205">
        <v>8.5000000000000006E-3</v>
      </c>
      <c r="N14" s="204">
        <v>0.01</v>
      </c>
      <c r="O14" s="205">
        <f t="shared" si="34"/>
        <v>0.01</v>
      </c>
      <c r="P14" s="205">
        <f t="shared" ref="P14:AO14" si="37">O14</f>
        <v>0.01</v>
      </c>
      <c r="Q14" s="205">
        <f t="shared" si="37"/>
        <v>0.01</v>
      </c>
      <c r="R14" s="205">
        <f t="shared" si="37"/>
        <v>0.01</v>
      </c>
      <c r="S14" s="205">
        <f t="shared" si="37"/>
        <v>0.01</v>
      </c>
      <c r="T14" s="205">
        <f t="shared" si="37"/>
        <v>0.01</v>
      </c>
      <c r="U14" s="205">
        <f t="shared" si="37"/>
        <v>0.01</v>
      </c>
      <c r="V14" s="205">
        <f t="shared" si="37"/>
        <v>0.01</v>
      </c>
      <c r="W14" s="205">
        <f t="shared" si="37"/>
        <v>0.01</v>
      </c>
      <c r="X14" s="205">
        <f t="shared" si="37"/>
        <v>0.01</v>
      </c>
      <c r="Y14" s="205">
        <f t="shared" si="37"/>
        <v>0.01</v>
      </c>
      <c r="Z14" s="205">
        <f t="shared" si="37"/>
        <v>0.01</v>
      </c>
      <c r="AA14" s="205">
        <f t="shared" si="37"/>
        <v>0.01</v>
      </c>
      <c r="AB14" s="205">
        <f t="shared" si="37"/>
        <v>0.01</v>
      </c>
      <c r="AC14" s="205">
        <f t="shared" si="37"/>
        <v>0.01</v>
      </c>
      <c r="AD14" s="205">
        <f t="shared" si="37"/>
        <v>0.01</v>
      </c>
      <c r="AE14" s="205">
        <f t="shared" si="37"/>
        <v>0.01</v>
      </c>
      <c r="AF14" s="205">
        <f t="shared" si="37"/>
        <v>0.01</v>
      </c>
      <c r="AG14" s="205">
        <f t="shared" si="37"/>
        <v>0.01</v>
      </c>
      <c r="AH14" s="205">
        <f t="shared" si="37"/>
        <v>0.01</v>
      </c>
      <c r="AI14" s="205">
        <f t="shared" si="37"/>
        <v>0.01</v>
      </c>
      <c r="AJ14" s="205">
        <f t="shared" si="37"/>
        <v>0.01</v>
      </c>
      <c r="AK14" s="205">
        <f t="shared" si="37"/>
        <v>0.01</v>
      </c>
      <c r="AL14" s="205">
        <f t="shared" si="37"/>
        <v>0.01</v>
      </c>
      <c r="AM14" s="205">
        <f t="shared" si="37"/>
        <v>0.01</v>
      </c>
      <c r="AN14" s="205">
        <f t="shared" si="37"/>
        <v>0.01</v>
      </c>
      <c r="AO14" s="220">
        <f t="shared" si="37"/>
        <v>0.01</v>
      </c>
    </row>
    <row r="15" spans="1:41" x14ac:dyDescent="0.8">
      <c r="A15" s="22"/>
      <c r="B15" s="276"/>
      <c r="C15" s="25"/>
      <c r="D15" s="25"/>
      <c r="E15" s="25"/>
      <c r="F15" s="25"/>
      <c r="G15" s="25"/>
      <c r="H15" s="204"/>
      <c r="I15" s="205"/>
      <c r="J15" s="205"/>
      <c r="K15" s="205"/>
      <c r="L15" s="205"/>
      <c r="M15" s="205"/>
      <c r="N15" s="204"/>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20"/>
    </row>
    <row r="16" spans="1:41" x14ac:dyDescent="0.8">
      <c r="A16" s="22"/>
      <c r="B16" s="276"/>
      <c r="C16" s="25"/>
      <c r="D16" s="25"/>
      <c r="E16" s="25"/>
      <c r="F16" s="25"/>
      <c r="G16" s="25"/>
      <c r="H16" s="204"/>
      <c r="I16" s="205"/>
      <c r="J16" s="205"/>
      <c r="K16" s="205"/>
      <c r="L16" s="205"/>
      <c r="M16" s="205"/>
      <c r="N16" s="1660" t="s">
        <v>728</v>
      </c>
      <c r="O16" s="1661"/>
      <c r="P16" s="1661"/>
      <c r="Q16" s="1661"/>
      <c r="R16" s="1661"/>
      <c r="S16" s="1661"/>
      <c r="T16" s="1661"/>
      <c r="U16" s="1660" t="s">
        <v>729</v>
      </c>
      <c r="V16" s="1661"/>
      <c r="W16" s="1661"/>
      <c r="X16" s="1661"/>
      <c r="Y16" s="1661"/>
      <c r="Z16" s="1662"/>
      <c r="AA16" s="1654" t="s">
        <v>725</v>
      </c>
      <c r="AB16" s="1655"/>
      <c r="AC16" s="1655"/>
      <c r="AD16" s="1655"/>
      <c r="AE16" s="1655"/>
      <c r="AF16" s="1655"/>
      <c r="AG16" s="1655"/>
      <c r="AH16" s="1655"/>
      <c r="AI16" s="1655"/>
      <c r="AJ16" s="1655"/>
      <c r="AK16" s="1655"/>
      <c r="AL16" s="1655"/>
      <c r="AM16" s="1655"/>
      <c r="AN16" s="1655"/>
      <c r="AO16" s="1656"/>
    </row>
    <row r="17" spans="1:42" x14ac:dyDescent="0.8">
      <c r="A17" s="415" t="s">
        <v>507</v>
      </c>
      <c r="B17" s="385">
        <f>'Fixed Asset Schedule'!F11</f>
        <v>0.12063741830403667</v>
      </c>
      <c r="C17" s="386">
        <f>'Fixed Asset Schedule'!G11</f>
        <v>4.8393553274170602E-2</v>
      </c>
      <c r="D17" s="386">
        <f>'Fixed Asset Schedule'!H11</f>
        <v>1.052662495961465E-2</v>
      </c>
      <c r="E17" s="386">
        <f>'Fixed Asset Schedule'!I11</f>
        <v>7.4441802740267515E-2</v>
      </c>
      <c r="F17" s="386">
        <f>'Fixed Asset Schedule'!J11</f>
        <v>-0.10047448237057235</v>
      </c>
      <c r="G17" s="386">
        <f>'Fixed Asset Schedule'!K11</f>
        <v>5.804092336192275E-2</v>
      </c>
      <c r="H17" s="1348">
        <v>0.2</v>
      </c>
      <c r="I17" s="1349">
        <v>0.05</v>
      </c>
      <c r="J17" s="1349">
        <v>0.2</v>
      </c>
      <c r="K17" s="1349">
        <v>0.04</v>
      </c>
      <c r="L17" s="1349">
        <v>0.2</v>
      </c>
      <c r="M17" s="1349">
        <v>0.09</v>
      </c>
      <c r="N17" s="1543">
        <f>M17*(1+N19)</f>
        <v>8.1000000000000003E-2</v>
      </c>
      <c r="O17" s="1544">
        <f t="shared" ref="O17:Z17" si="38">N17*(1+O19)</f>
        <v>7.2900000000000006E-2</v>
      </c>
      <c r="P17" s="1544">
        <f t="shared" si="38"/>
        <v>6.5610000000000002E-2</v>
      </c>
      <c r="Q17" s="1544">
        <f t="shared" si="38"/>
        <v>5.9049000000000004E-2</v>
      </c>
      <c r="R17" s="1544">
        <f t="shared" si="38"/>
        <v>5.3144100000000007E-2</v>
      </c>
      <c r="S17" s="1544">
        <f t="shared" si="38"/>
        <v>4.7829690000000008E-2</v>
      </c>
      <c r="T17" s="1544">
        <f t="shared" si="38"/>
        <v>4.304672100000001E-2</v>
      </c>
      <c r="U17" s="1543">
        <f t="shared" si="38"/>
        <v>3.4437376800000009E-2</v>
      </c>
      <c r="V17" s="1551">
        <f t="shared" si="38"/>
        <v>2.754990144000001E-2</v>
      </c>
      <c r="W17" s="1551">
        <f t="shared" si="38"/>
        <v>2.203992115200001E-2</v>
      </c>
      <c r="X17" s="1551">
        <f t="shared" si="38"/>
        <v>1.7631936921600009E-2</v>
      </c>
      <c r="Y17" s="1551">
        <f t="shared" si="38"/>
        <v>1.4105549537280007E-2</v>
      </c>
      <c r="Z17" s="1544">
        <f t="shared" si="38"/>
        <v>1.1284439629824006E-2</v>
      </c>
      <c r="AA17" s="1351">
        <v>5.5000000000000002E-5</v>
      </c>
      <c r="AB17" s="1350">
        <f>AA17</f>
        <v>5.5000000000000002E-5</v>
      </c>
      <c r="AC17" s="1350">
        <f t="shared" ref="AC17:AO17" si="39">AB17</f>
        <v>5.5000000000000002E-5</v>
      </c>
      <c r="AD17" s="1350">
        <f t="shared" si="39"/>
        <v>5.5000000000000002E-5</v>
      </c>
      <c r="AE17" s="1350">
        <f t="shared" si="39"/>
        <v>5.5000000000000002E-5</v>
      </c>
      <c r="AF17" s="1350">
        <f t="shared" si="39"/>
        <v>5.5000000000000002E-5</v>
      </c>
      <c r="AG17" s="1350">
        <f t="shared" si="39"/>
        <v>5.5000000000000002E-5</v>
      </c>
      <c r="AH17" s="1350">
        <f t="shared" si="39"/>
        <v>5.5000000000000002E-5</v>
      </c>
      <c r="AI17" s="1350">
        <f t="shared" si="39"/>
        <v>5.5000000000000002E-5</v>
      </c>
      <c r="AJ17" s="1350">
        <f t="shared" si="39"/>
        <v>5.5000000000000002E-5</v>
      </c>
      <c r="AK17" s="1350">
        <f t="shared" si="39"/>
        <v>5.5000000000000002E-5</v>
      </c>
      <c r="AL17" s="1350">
        <f t="shared" si="39"/>
        <v>5.5000000000000002E-5</v>
      </c>
      <c r="AM17" s="1350">
        <f t="shared" si="39"/>
        <v>5.5000000000000002E-5</v>
      </c>
      <c r="AN17" s="1350">
        <f t="shared" si="39"/>
        <v>5.5000000000000002E-5</v>
      </c>
      <c r="AO17" s="1537">
        <f t="shared" si="39"/>
        <v>5.5000000000000002E-5</v>
      </c>
    </row>
    <row r="18" spans="1:42" x14ac:dyDescent="0.8">
      <c r="A18" s="53" t="s">
        <v>680</v>
      </c>
      <c r="B18" s="1346">
        <f>'Fixed Asset Schedule'!F10/'Revenue Schedule'!B46</f>
        <v>0.73476747921861074</v>
      </c>
      <c r="C18" s="1346">
        <f>'Fixed Asset Schedule'!G10/'Revenue Schedule'!C46</f>
        <v>0.8645759268664297</v>
      </c>
      <c r="D18" s="1346">
        <f>'Fixed Asset Schedule'!H10/'Revenue Schedule'!D46</f>
        <v>1.1010291726936419</v>
      </c>
      <c r="E18" s="1346">
        <f>'Fixed Asset Schedule'!I10/'Revenue Schedule'!E46</f>
        <v>0.62796173107108155</v>
      </c>
      <c r="F18" s="1346">
        <f>'Fixed Asset Schedule'!J10/'Revenue Schedule'!F46</f>
        <v>0.51730714781315434</v>
      </c>
      <c r="G18" s="1346">
        <f>'Fixed Asset Schedule'!K10/'Revenue Schedule'!G46</f>
        <v>0.59038797153980405</v>
      </c>
      <c r="H18" s="1538">
        <v>0</v>
      </c>
      <c r="I18" s="1538">
        <v>0</v>
      </c>
      <c r="J18" s="1538">
        <v>0</v>
      </c>
      <c r="K18" s="1538">
        <v>0</v>
      </c>
      <c r="L18" s="1538">
        <v>0</v>
      </c>
      <c r="M18" s="1538">
        <v>0</v>
      </c>
      <c r="N18" s="1542">
        <v>0.9</v>
      </c>
      <c r="O18" s="1553">
        <f>N18</f>
        <v>0.9</v>
      </c>
      <c r="P18" s="1553">
        <f t="shared" ref="P18:T18" si="40">O18</f>
        <v>0.9</v>
      </c>
      <c r="Q18" s="1553">
        <f t="shared" si="40"/>
        <v>0.9</v>
      </c>
      <c r="R18" s="1553">
        <f t="shared" si="40"/>
        <v>0.9</v>
      </c>
      <c r="S18" s="1553">
        <f t="shared" si="40"/>
        <v>0.9</v>
      </c>
      <c r="T18" s="1347">
        <f t="shared" si="40"/>
        <v>0.9</v>
      </c>
      <c r="U18" s="1554">
        <v>0.8</v>
      </c>
      <c r="V18" s="1553">
        <f>U18</f>
        <v>0.8</v>
      </c>
      <c r="W18" s="1553">
        <f t="shared" ref="W18:Z18" si="41">V18</f>
        <v>0.8</v>
      </c>
      <c r="X18" s="1553">
        <f t="shared" si="41"/>
        <v>0.8</v>
      </c>
      <c r="Y18" s="1553">
        <f t="shared" si="41"/>
        <v>0.8</v>
      </c>
      <c r="Z18" s="1347">
        <f t="shared" si="41"/>
        <v>0.8</v>
      </c>
      <c r="AA18" s="1539" t="s">
        <v>37</v>
      </c>
      <c r="AB18" s="1540" t="s">
        <v>37</v>
      </c>
      <c r="AC18" s="1540" t="s">
        <v>37</v>
      </c>
      <c r="AD18" s="1540" t="s">
        <v>37</v>
      </c>
      <c r="AE18" s="1540" t="s">
        <v>37</v>
      </c>
      <c r="AF18" s="1540" t="s">
        <v>37</v>
      </c>
      <c r="AG18" s="1540" t="s">
        <v>37</v>
      </c>
      <c r="AH18" s="1540" t="s">
        <v>37</v>
      </c>
      <c r="AI18" s="1540" t="s">
        <v>37</v>
      </c>
      <c r="AJ18" s="1540" t="s">
        <v>37</v>
      </c>
      <c r="AK18" s="1540" t="s">
        <v>37</v>
      </c>
      <c r="AL18" s="1540" t="s">
        <v>37</v>
      </c>
      <c r="AM18" s="1540" t="s">
        <v>37</v>
      </c>
      <c r="AN18" s="1540" t="s">
        <v>37</v>
      </c>
      <c r="AO18" s="1541" t="s">
        <v>37</v>
      </c>
    </row>
    <row r="19" spans="1:42" ht="17.25" x14ac:dyDescent="0.85">
      <c r="A19" s="413" t="s">
        <v>731</v>
      </c>
      <c r="B19" s="7"/>
      <c r="C19" s="7"/>
      <c r="D19" s="7"/>
      <c r="E19" s="7"/>
      <c r="F19" s="7"/>
      <c r="G19" s="7"/>
      <c r="H19" s="192"/>
      <c r="I19" s="192"/>
      <c r="J19" s="192"/>
      <c r="K19" s="192"/>
      <c r="L19" s="192"/>
      <c r="M19" s="192"/>
      <c r="N19" s="1552">
        <f>N18-100%</f>
        <v>-9.9999999999999978E-2</v>
      </c>
      <c r="O19" s="1555">
        <f t="shared" ref="O19:Z19" si="42">O18-100%</f>
        <v>-9.9999999999999978E-2</v>
      </c>
      <c r="P19" s="1555">
        <f t="shared" si="42"/>
        <v>-9.9999999999999978E-2</v>
      </c>
      <c r="Q19" s="1555">
        <f t="shared" si="42"/>
        <v>-9.9999999999999978E-2</v>
      </c>
      <c r="R19" s="1555">
        <f t="shared" si="42"/>
        <v>-9.9999999999999978E-2</v>
      </c>
      <c r="S19" s="1555">
        <f t="shared" si="42"/>
        <v>-9.9999999999999978E-2</v>
      </c>
      <c r="T19" s="1555">
        <f t="shared" si="42"/>
        <v>-9.9999999999999978E-2</v>
      </c>
      <c r="U19" s="1552">
        <f t="shared" si="42"/>
        <v>-0.19999999999999996</v>
      </c>
      <c r="V19" s="1555">
        <f t="shared" si="42"/>
        <v>-0.19999999999999996</v>
      </c>
      <c r="W19" s="1555">
        <f t="shared" si="42"/>
        <v>-0.19999999999999996</v>
      </c>
      <c r="X19" s="1555">
        <f t="shared" si="42"/>
        <v>-0.19999999999999996</v>
      </c>
      <c r="Y19" s="1555">
        <f t="shared" si="42"/>
        <v>-0.19999999999999996</v>
      </c>
      <c r="Z19" s="1557">
        <f t="shared" si="42"/>
        <v>-0.19999999999999996</v>
      </c>
      <c r="AA19" s="192"/>
      <c r="AB19" s="192"/>
      <c r="AC19" s="192"/>
      <c r="AD19" s="192"/>
      <c r="AE19" s="192"/>
      <c r="AF19" s="192"/>
      <c r="AG19" s="192"/>
      <c r="AH19" s="192"/>
      <c r="AI19" s="192"/>
      <c r="AJ19" s="192"/>
      <c r="AK19" s="192"/>
      <c r="AL19" s="192"/>
      <c r="AM19" s="192"/>
      <c r="AN19" s="192"/>
      <c r="AO19" s="301"/>
    </row>
    <row r="20" spans="1:42" ht="17.25" x14ac:dyDescent="0.85">
      <c r="A20" s="413"/>
      <c r="B20" s="7"/>
      <c r="C20" s="7"/>
      <c r="D20" s="7"/>
      <c r="E20" s="7"/>
      <c r="F20" s="7"/>
      <c r="G20" s="7"/>
      <c r="H20" s="192"/>
      <c r="I20" s="192"/>
      <c r="J20" s="192"/>
      <c r="K20" s="192"/>
      <c r="L20" s="192"/>
      <c r="M20" s="192"/>
      <c r="N20" s="192"/>
      <c r="O20" s="1556"/>
      <c r="P20" s="1556"/>
      <c r="Q20" s="1556"/>
      <c r="R20" s="1556"/>
      <c r="S20" s="1556"/>
      <c r="T20" s="1556"/>
      <c r="U20" s="1556"/>
      <c r="V20" s="1556"/>
      <c r="W20" s="1556"/>
      <c r="X20" s="1556"/>
      <c r="Y20" s="1556"/>
      <c r="Z20" s="1556"/>
      <c r="AA20" s="192"/>
      <c r="AB20" s="192"/>
      <c r="AC20" s="192"/>
      <c r="AD20" s="192"/>
      <c r="AE20" s="192"/>
      <c r="AF20" s="192"/>
      <c r="AG20" s="192"/>
      <c r="AH20" s="192"/>
      <c r="AI20" s="192"/>
      <c r="AJ20" s="192"/>
      <c r="AK20" s="192"/>
      <c r="AL20" s="192"/>
      <c r="AM20" s="192"/>
      <c r="AN20" s="192"/>
      <c r="AO20" s="301"/>
    </row>
    <row r="21" spans="1:42" x14ac:dyDescent="0.8">
      <c r="A21" s="55" t="s">
        <v>518</v>
      </c>
      <c r="B21" s="7"/>
      <c r="C21" s="7"/>
      <c r="D21" s="7"/>
      <c r="E21" s="7"/>
      <c r="F21" s="7"/>
      <c r="G21" s="7"/>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301"/>
    </row>
    <row r="22" spans="1:42" x14ac:dyDescent="0.8">
      <c r="A22" s="366" t="s">
        <v>108</v>
      </c>
      <c r="B22" s="387">
        <f>'Income Statement '!B4</f>
        <v>363273</v>
      </c>
      <c r="C22" s="387">
        <f>'Income Statement '!C4</f>
        <v>368004</v>
      </c>
      <c r="D22" s="387">
        <f>'Income Statement '!D4</f>
        <v>280014</v>
      </c>
      <c r="E22" s="387">
        <f>'Income Statement '!E4</f>
        <v>336330</v>
      </c>
      <c r="F22" s="387">
        <f>'Income Statement '!F4</f>
        <v>338767</v>
      </c>
      <c r="G22" s="388">
        <f>'Income Statement '!G4</f>
        <v>317209</v>
      </c>
      <c r="H22" s="387">
        <f>'Income Statement '!H4</f>
        <v>291763.03818999999</v>
      </c>
      <c r="I22" s="387">
        <f>'Income Statement '!I4</f>
        <v>319369.93508804729</v>
      </c>
      <c r="J22" s="387">
        <f>'Income Statement '!J4</f>
        <v>314708.11557549465</v>
      </c>
      <c r="K22" s="387">
        <f>'Income Statement '!K4</f>
        <v>324651.60766909434</v>
      </c>
      <c r="L22" s="387">
        <f>'Income Statement '!L4</f>
        <v>312451.74932822911</v>
      </c>
      <c r="M22" s="388">
        <f>'Income Statement '!M4</f>
        <v>322466.60144494905</v>
      </c>
      <c r="N22" s="387">
        <f>'Income Statement '!N4</f>
        <v>286915.31118180917</v>
      </c>
      <c r="O22" s="387">
        <f>'Income Statement '!O4</f>
        <v>294488.44780073955</v>
      </c>
      <c r="P22" s="387">
        <f>'Income Statement '!P4</f>
        <v>273444.68735097966</v>
      </c>
      <c r="Q22" s="387">
        <f>'Income Statement '!Q4</f>
        <v>278720.87784781202</v>
      </c>
      <c r="R22" s="387">
        <f>'Income Statement '!R4</f>
        <v>257500.73366735392</v>
      </c>
      <c r="S22" s="387">
        <f>'Income Statement '!S4</f>
        <v>261004.29044669532</v>
      </c>
      <c r="T22" s="387">
        <f>'Income Statement '!T4</f>
        <v>246163.29288861965</v>
      </c>
      <c r="U22" s="387">
        <f>'Income Statement '!U4</f>
        <v>248475.8250123013</v>
      </c>
      <c r="V22" s="387">
        <f>'Income Statement '!V4</f>
        <v>237494.91545295209</v>
      </c>
      <c r="W22" s="387">
        <f>'Income Statement '!W4</f>
        <v>237851.95979960077</v>
      </c>
      <c r="X22" s="387">
        <f>'Income Statement '!X4</f>
        <v>229391.84087552084</v>
      </c>
      <c r="Y22" s="387">
        <f>'Income Statement '!Y4</f>
        <v>222694.88456047879</v>
      </c>
      <c r="Z22" s="387">
        <f>'Income Statement '!Z4</f>
        <v>214711.16629245068</v>
      </c>
      <c r="AA22" s="387">
        <f>'Income Statement '!AA4</f>
        <v>208346.53842971148</v>
      </c>
      <c r="AB22" s="387">
        <f>'Income Statement '!AB4</f>
        <v>201232.34259039053</v>
      </c>
      <c r="AC22" s="387">
        <f>'Income Statement '!AC4</f>
        <v>195257.58669014435</v>
      </c>
      <c r="AD22" s="387">
        <f>'Income Statement '!AD4</f>
        <v>188875.77665320638</v>
      </c>
      <c r="AE22" s="387">
        <f>'Income Statement '!AE4</f>
        <v>183313.02962467581</v>
      </c>
      <c r="AF22" s="387">
        <f>'Income Statement '!AF4</f>
        <v>177559.09572133946</v>
      </c>
      <c r="AG22" s="387">
        <f>'Income Statement '!AG4</f>
        <v>172408.5268987974</v>
      </c>
      <c r="AH22" s="387">
        <f>'Income Statement '!AH4</f>
        <v>167475.46132339531</v>
      </c>
      <c r="AI22" s="387">
        <f>'Income Statement '!AI4</f>
        <v>162777.8523998661</v>
      </c>
      <c r="AJ22" s="387">
        <f>'Income Statement '!AJ4</f>
        <v>158279.63126125847</v>
      </c>
      <c r="AK22" s="387">
        <f>'Income Statement '!AK4</f>
        <v>153991.885608543</v>
      </c>
      <c r="AL22" s="387">
        <f>'Income Statement '!AL4</f>
        <v>149887.72430216079</v>
      </c>
      <c r="AM22" s="387">
        <f>'Income Statement '!AM4</f>
        <v>145972.44433238992</v>
      </c>
      <c r="AN22" s="387">
        <f>'Income Statement '!AN4</f>
        <v>142225.62260075682</v>
      </c>
      <c r="AO22" s="416">
        <f>'Income Statement '!AO4</f>
        <v>138648.83194314165</v>
      </c>
    </row>
    <row r="23" spans="1:42" x14ac:dyDescent="0.8">
      <c r="A23" s="22" t="s">
        <v>442</v>
      </c>
      <c r="B23" s="340">
        <f>'Income Statement '!B9</f>
        <v>30758</v>
      </c>
      <c r="C23" s="341">
        <f>'Income Statement '!C9</f>
        <v>31120</v>
      </c>
      <c r="D23" s="341">
        <f>'Income Statement '!D9</f>
        <v>29039</v>
      </c>
      <c r="E23" s="341">
        <f>'Income Statement '!E9</f>
        <v>31230</v>
      </c>
      <c r="F23" s="341">
        <f>'Income Statement '!F9</f>
        <v>30477</v>
      </c>
      <c r="G23" s="389">
        <f>'Income Statement '!G9</f>
        <v>29958</v>
      </c>
      <c r="H23" s="341">
        <f t="shared" ref="H23:AO23" si="43">H22*H24</f>
        <v>29117.752251656409</v>
      </c>
      <c r="I23" s="341">
        <f t="shared" si="43"/>
        <v>33680.758393194737</v>
      </c>
      <c r="J23" s="341">
        <f t="shared" si="43"/>
        <v>35071.63661145416</v>
      </c>
      <c r="K23" s="341">
        <f t="shared" si="43"/>
        <v>38231.902164495899</v>
      </c>
      <c r="L23" s="341">
        <f t="shared" si="43"/>
        <v>38882.265997985043</v>
      </c>
      <c r="M23" s="389">
        <f t="shared" si="43"/>
        <v>40128.538885782909</v>
      </c>
      <c r="N23" s="341">
        <f t="shared" si="43"/>
        <v>35704.448678078981</v>
      </c>
      <c r="O23" s="341">
        <f t="shared" si="43"/>
        <v>36646.868469580942</v>
      </c>
      <c r="P23" s="341">
        <f t="shared" si="43"/>
        <v>34028.131038394742</v>
      </c>
      <c r="Q23" s="341">
        <f t="shared" si="43"/>
        <v>34684.713191623036</v>
      </c>
      <c r="R23" s="341">
        <f t="shared" si="43"/>
        <v>32044.026134136235</v>
      </c>
      <c r="S23" s="341">
        <f t="shared" si="43"/>
        <v>32480.017377348289</v>
      </c>
      <c r="T23" s="341">
        <f t="shared" si="43"/>
        <v>30633.167052556684</v>
      </c>
      <c r="U23" s="341">
        <f t="shared" si="43"/>
        <v>30920.944251292796</v>
      </c>
      <c r="V23" s="341">
        <f t="shared" si="43"/>
        <v>29554.452793637647</v>
      </c>
      <c r="W23" s="341">
        <f t="shared" si="43"/>
        <v>29598.884272383784</v>
      </c>
      <c r="X23" s="341">
        <f t="shared" si="43"/>
        <v>28546.086216082607</v>
      </c>
      <c r="Y23" s="341">
        <f t="shared" si="43"/>
        <v>27712.700461711909</v>
      </c>
      <c r="Z23" s="341">
        <f t="shared" si="43"/>
        <v>26719.186877557378</v>
      </c>
      <c r="AA23" s="341">
        <f t="shared" si="43"/>
        <v>25927.156895106407</v>
      </c>
      <c r="AB23" s="341">
        <f t="shared" si="43"/>
        <v>25041.848825681416</v>
      </c>
      <c r="AC23" s="341">
        <f t="shared" si="43"/>
        <v>24298.335471424725</v>
      </c>
      <c r="AD23" s="341">
        <f t="shared" si="43"/>
        <v>23504.167296855911</v>
      </c>
      <c r="AE23" s="341">
        <f t="shared" si="43"/>
        <v>22811.925342352999</v>
      </c>
      <c r="AF23" s="341">
        <f t="shared" si="43"/>
        <v>22095.891621801398</v>
      </c>
      <c r="AG23" s="341">
        <f t="shared" si="43"/>
        <v>21454.942139426665</v>
      </c>
      <c r="AH23" s="341">
        <f t="shared" si="43"/>
        <v>20841.059297353684</v>
      </c>
      <c r="AI23" s="341">
        <f t="shared" si="43"/>
        <v>20256.477261529348</v>
      </c>
      <c r="AJ23" s="341">
        <f t="shared" si="43"/>
        <v>19696.707533226858</v>
      </c>
      <c r="AK23" s="341">
        <f t="shared" si="43"/>
        <v>19163.129893290359</v>
      </c>
      <c r="AL23" s="341">
        <f t="shared" si="43"/>
        <v>18652.397942016327</v>
      </c>
      <c r="AM23" s="341">
        <f t="shared" si="43"/>
        <v>18165.170849934049</v>
      </c>
      <c r="AN23" s="341">
        <f t="shared" si="43"/>
        <v>17698.907116318824</v>
      </c>
      <c r="AO23" s="343">
        <f t="shared" si="43"/>
        <v>17253.802468745209</v>
      </c>
    </row>
    <row r="24" spans="1:42" x14ac:dyDescent="0.8">
      <c r="A24" s="300" t="s">
        <v>161</v>
      </c>
      <c r="B24" s="382">
        <f t="shared" ref="B24:G24" si="44">B23/B22</f>
        <v>8.4669105603774567E-2</v>
      </c>
      <c r="C24" s="382">
        <f t="shared" si="44"/>
        <v>8.4564298214149847E-2</v>
      </c>
      <c r="D24" s="382">
        <f t="shared" si="44"/>
        <v>0.10370552900926382</v>
      </c>
      <c r="E24" s="382">
        <f t="shared" si="44"/>
        <v>9.2855231469092858E-2</v>
      </c>
      <c r="F24" s="382">
        <f t="shared" si="44"/>
        <v>8.9964488866979372E-2</v>
      </c>
      <c r="G24" s="1597">
        <f t="shared" si="44"/>
        <v>9.4442465377716264E-2</v>
      </c>
      <c r="H24" s="314">
        <f>G24*(1+$B$25)</f>
        <v>9.9799318077756438E-2</v>
      </c>
      <c r="I24" s="314">
        <f>H24*(1+$B$25)</f>
        <v>0.1054600157773438</v>
      </c>
      <c r="J24" s="314">
        <f>I24*(1+$B$25)</f>
        <v>0.11144179280956898</v>
      </c>
      <c r="K24" s="314">
        <f>J24*(1+$B$25)</f>
        <v>0.11776286105277597</v>
      </c>
      <c r="L24" s="314">
        <f>K24*(1+$B$25)</f>
        <v>0.12444246537771629</v>
      </c>
      <c r="M24" s="314">
        <f>L24</f>
        <v>0.12444246537771629</v>
      </c>
      <c r="N24" s="1599">
        <f t="shared" ref="N24:AN24" si="45">M24</f>
        <v>0.12444246537771629</v>
      </c>
      <c r="O24" s="314">
        <f t="shared" si="45"/>
        <v>0.12444246537771629</v>
      </c>
      <c r="P24" s="314">
        <f t="shared" si="45"/>
        <v>0.12444246537771629</v>
      </c>
      <c r="Q24" s="314">
        <f t="shared" si="45"/>
        <v>0.12444246537771629</v>
      </c>
      <c r="R24" s="314">
        <f t="shared" si="45"/>
        <v>0.12444246537771629</v>
      </c>
      <c r="S24" s="314">
        <f t="shared" si="45"/>
        <v>0.12444246537771629</v>
      </c>
      <c r="T24" s="314">
        <f t="shared" si="45"/>
        <v>0.12444246537771629</v>
      </c>
      <c r="U24" s="314">
        <f t="shared" si="45"/>
        <v>0.12444246537771629</v>
      </c>
      <c r="V24" s="314">
        <f t="shared" si="45"/>
        <v>0.12444246537771629</v>
      </c>
      <c r="W24" s="314">
        <f t="shared" si="45"/>
        <v>0.12444246537771629</v>
      </c>
      <c r="X24" s="314">
        <f t="shared" si="45"/>
        <v>0.12444246537771629</v>
      </c>
      <c r="Y24" s="314">
        <f t="shared" si="45"/>
        <v>0.12444246537771629</v>
      </c>
      <c r="Z24" s="314">
        <f t="shared" si="45"/>
        <v>0.12444246537771629</v>
      </c>
      <c r="AA24" s="314">
        <f t="shared" si="45"/>
        <v>0.12444246537771629</v>
      </c>
      <c r="AB24" s="314">
        <f t="shared" si="45"/>
        <v>0.12444246537771629</v>
      </c>
      <c r="AC24" s="314">
        <f t="shared" si="45"/>
        <v>0.12444246537771629</v>
      </c>
      <c r="AD24" s="314">
        <f t="shared" si="45"/>
        <v>0.12444246537771629</v>
      </c>
      <c r="AE24" s="314">
        <f t="shared" si="45"/>
        <v>0.12444246537771629</v>
      </c>
      <c r="AF24" s="314">
        <f t="shared" si="45"/>
        <v>0.12444246537771629</v>
      </c>
      <c r="AG24" s="314">
        <f t="shared" si="45"/>
        <v>0.12444246537771629</v>
      </c>
      <c r="AH24" s="314">
        <f t="shared" si="45"/>
        <v>0.12444246537771629</v>
      </c>
      <c r="AI24" s="314">
        <f t="shared" si="45"/>
        <v>0.12444246537771629</v>
      </c>
      <c r="AJ24" s="314">
        <f t="shared" si="45"/>
        <v>0.12444246537771629</v>
      </c>
      <c r="AK24" s="314">
        <f t="shared" si="45"/>
        <v>0.12444246537771629</v>
      </c>
      <c r="AL24" s="314">
        <f t="shared" si="45"/>
        <v>0.12444246537771629</v>
      </c>
      <c r="AM24" s="314">
        <f t="shared" si="45"/>
        <v>0.12444246537771629</v>
      </c>
      <c r="AN24" s="314">
        <f t="shared" si="45"/>
        <v>0.12444246537771629</v>
      </c>
      <c r="AO24" s="418">
        <f t="shared" ref="AO24" si="46">AN24</f>
        <v>0.12444246537771629</v>
      </c>
      <c r="AP24" s="314"/>
    </row>
    <row r="25" spans="1:42" x14ac:dyDescent="0.8">
      <c r="A25" s="1600" t="s">
        <v>740</v>
      </c>
      <c r="B25" s="386">
        <v>5.6720805398459362E-2</v>
      </c>
      <c r="C25" s="390"/>
      <c r="D25" s="390"/>
      <c r="E25" s="390"/>
      <c r="F25" s="390"/>
      <c r="G25" s="390"/>
      <c r="H25" s="1598"/>
      <c r="I25" s="391"/>
      <c r="J25" s="391"/>
      <c r="K25" s="391"/>
      <c r="L25" s="391"/>
      <c r="M25" s="391"/>
      <c r="N25" s="1598"/>
      <c r="O25" s="391"/>
      <c r="P25" s="391"/>
      <c r="Q25" s="391"/>
      <c r="R25" s="391"/>
      <c r="S25" s="391"/>
      <c r="T25" s="391"/>
      <c r="U25" s="391"/>
      <c r="V25" s="391"/>
      <c r="W25" s="391"/>
      <c r="X25" s="391"/>
      <c r="Y25" s="391"/>
      <c r="Z25" s="391"/>
      <c r="AA25" s="391"/>
      <c r="AB25" s="391"/>
      <c r="AC25" s="391"/>
      <c r="AD25" s="391"/>
      <c r="AE25" s="391"/>
      <c r="AF25" s="391"/>
      <c r="AG25" s="391"/>
      <c r="AH25" s="391"/>
      <c r="AI25" s="391"/>
      <c r="AJ25" s="391"/>
      <c r="AK25" s="391"/>
      <c r="AL25" s="391"/>
      <c r="AM25" s="391"/>
      <c r="AN25" s="391"/>
      <c r="AO25" s="417"/>
      <c r="AP25" s="314"/>
    </row>
    <row r="26" spans="1:42" x14ac:dyDescent="0.8">
      <c r="A26" s="300"/>
      <c r="B26" s="382"/>
      <c r="C26" s="382"/>
      <c r="D26" s="382"/>
      <c r="E26" s="382"/>
      <c r="F26" s="382"/>
      <c r="G26" s="382"/>
      <c r="H26" s="314"/>
      <c r="I26" s="314"/>
      <c r="J26" s="314"/>
      <c r="K26" s="314"/>
      <c r="L26" s="314"/>
      <c r="M26" s="314"/>
      <c r="N26" s="314"/>
      <c r="O26" s="314"/>
      <c r="P26" s="314"/>
      <c r="Q26" s="314"/>
      <c r="R26" s="314"/>
      <c r="S26" s="314"/>
      <c r="T26" s="314"/>
      <c r="U26" s="383"/>
      <c r="V26" s="314"/>
      <c r="W26" s="314"/>
      <c r="X26" s="314"/>
      <c r="Y26" s="314"/>
      <c r="Z26" s="314"/>
      <c r="AA26" s="314"/>
      <c r="AB26" s="314"/>
      <c r="AC26" s="314"/>
      <c r="AD26" s="314"/>
      <c r="AE26" s="314"/>
      <c r="AF26" s="314"/>
      <c r="AG26" s="314"/>
      <c r="AH26" s="314"/>
      <c r="AI26" s="314"/>
      <c r="AJ26" s="314"/>
      <c r="AK26" s="314"/>
      <c r="AL26" s="314"/>
      <c r="AM26" s="314"/>
      <c r="AN26" s="314"/>
      <c r="AO26" s="418"/>
    </row>
    <row r="27" spans="1:42" x14ac:dyDescent="0.8">
      <c r="A27" s="55" t="s">
        <v>517</v>
      </c>
      <c r="B27" s="382"/>
      <c r="C27" s="382"/>
      <c r="D27" s="382"/>
      <c r="E27" s="382"/>
      <c r="F27" s="382"/>
      <c r="G27" s="382"/>
      <c r="H27" s="314"/>
      <c r="I27" s="314"/>
      <c r="J27" s="314"/>
      <c r="K27" s="314"/>
      <c r="L27" s="314"/>
      <c r="M27" s="314"/>
      <c r="N27" s="314"/>
      <c r="O27" s="314"/>
      <c r="P27" s="314"/>
      <c r="Q27" s="314"/>
      <c r="R27" s="314"/>
      <c r="S27" s="314"/>
      <c r="T27" s="314"/>
      <c r="U27" s="383"/>
      <c r="V27" s="314"/>
      <c r="W27" s="314"/>
      <c r="X27" s="314"/>
      <c r="Y27" s="314"/>
      <c r="Z27" s="314"/>
      <c r="AA27" s="314"/>
      <c r="AB27" s="314"/>
      <c r="AC27" s="314"/>
      <c r="AD27" s="314"/>
      <c r="AE27" s="314"/>
      <c r="AF27" s="314"/>
      <c r="AG27" s="314"/>
      <c r="AH27" s="314"/>
      <c r="AI27" s="314"/>
      <c r="AJ27" s="314"/>
      <c r="AK27" s="314"/>
      <c r="AL27" s="314"/>
      <c r="AM27" s="314"/>
      <c r="AN27" s="314"/>
      <c r="AO27" s="418"/>
    </row>
    <row r="28" spans="1:42" x14ac:dyDescent="0.8">
      <c r="A28" s="414" t="s">
        <v>177</v>
      </c>
      <c r="B28" s="392"/>
      <c r="C28" s="393">
        <f>('Balance Sheet '!B12+'Balance Sheet '!C12)/2/'Income Statement '!C5*365</f>
        <v>118.90745095674545</v>
      </c>
      <c r="D28" s="393">
        <f>('Balance Sheet '!C12+'Balance Sheet '!D12)/2/'Income Statement '!D5*365</f>
        <v>159.05783974089601</v>
      </c>
      <c r="E28" s="393">
        <f>('Balance Sheet '!D12+'Balance Sheet '!E12)/2/'Income Statement '!E5*365</f>
        <v>136.69491148568525</v>
      </c>
      <c r="F28" s="393">
        <f>('Balance Sheet '!E12+'Balance Sheet '!F12)/2/'Income Statement '!F5*365</f>
        <v>134.89549285901302</v>
      </c>
      <c r="G28" s="393">
        <f>('Balance Sheet '!F12+'Balance Sheet '!G12)/2/'Income Statement '!G5*365</f>
        <v>144.02620590385879</v>
      </c>
      <c r="H28" s="394">
        <v>150</v>
      </c>
      <c r="I28" s="395">
        <v>150</v>
      </c>
      <c r="J28" s="395">
        <v>150</v>
      </c>
      <c r="K28" s="395">
        <v>150</v>
      </c>
      <c r="L28" s="395">
        <v>150</v>
      </c>
      <c r="M28" s="395">
        <v>150</v>
      </c>
      <c r="N28" s="394">
        <v>150</v>
      </c>
      <c r="O28" s="395">
        <v>150</v>
      </c>
      <c r="P28" s="395">
        <v>150</v>
      </c>
      <c r="Q28" s="395">
        <v>150</v>
      </c>
      <c r="R28" s="395">
        <v>150</v>
      </c>
      <c r="S28" s="395">
        <v>150</v>
      </c>
      <c r="T28" s="395">
        <v>150</v>
      </c>
      <c r="U28" s="395">
        <v>150</v>
      </c>
      <c r="V28" s="395">
        <v>150</v>
      </c>
      <c r="W28" s="395">
        <v>150</v>
      </c>
      <c r="X28" s="395">
        <v>150</v>
      </c>
      <c r="Y28" s="395">
        <v>150</v>
      </c>
      <c r="Z28" s="395">
        <v>150</v>
      </c>
      <c r="AA28" s="395">
        <v>150</v>
      </c>
      <c r="AB28" s="395">
        <v>150</v>
      </c>
      <c r="AC28" s="395">
        <v>150</v>
      </c>
      <c r="AD28" s="395">
        <v>150</v>
      </c>
      <c r="AE28" s="395">
        <v>150</v>
      </c>
      <c r="AF28" s="395">
        <v>150</v>
      </c>
      <c r="AG28" s="395">
        <v>150</v>
      </c>
      <c r="AH28" s="395">
        <v>150</v>
      </c>
      <c r="AI28" s="395">
        <v>150</v>
      </c>
      <c r="AJ28" s="395">
        <v>150</v>
      </c>
      <c r="AK28" s="395">
        <v>150</v>
      </c>
      <c r="AL28" s="395">
        <v>150</v>
      </c>
      <c r="AM28" s="395">
        <v>150</v>
      </c>
      <c r="AN28" s="395">
        <v>150</v>
      </c>
      <c r="AO28" s="419">
        <v>150</v>
      </c>
    </row>
    <row r="29" spans="1:42" x14ac:dyDescent="0.8">
      <c r="A29" s="316" t="s">
        <v>172</v>
      </c>
      <c r="B29" s="404">
        <f>'Income Statement '!B8/'Income Statement '!B4</f>
        <v>7.7564256082890831E-2</v>
      </c>
      <c r="C29" s="404">
        <f>'Income Statement '!C8/'Income Statement '!C4</f>
        <v>7.8387734915924823E-2</v>
      </c>
      <c r="D29" s="404">
        <f>'R&amp;D Schedule '!F7</f>
        <v>0.10007356775018392</v>
      </c>
      <c r="E29" s="404">
        <f>'R&amp;D Schedule '!G7</f>
        <v>9.182647994529182E-2</v>
      </c>
      <c r="F29" s="404">
        <f>'R&amp;D Schedule '!H7</f>
        <v>7.8717820803088853E-2</v>
      </c>
      <c r="G29" s="405">
        <f>'R&amp;D Schedule '!I7</f>
        <v>9.4530735256565857E-2</v>
      </c>
      <c r="H29" s="406">
        <f>'R&amp;D Schedule '!J7</f>
        <v>9.7697555950988307E-2</v>
      </c>
      <c r="I29" s="406">
        <f>'R&amp;D Schedule '!K7</f>
        <v>0.10097046651431323</v>
      </c>
      <c r="J29" s="406">
        <f>'R&amp;D Schedule '!L7</f>
        <v>0.10435302100323335</v>
      </c>
      <c r="K29" s="406">
        <f>'R&amp;D Schedule '!M7</f>
        <v>0.10784889253688448</v>
      </c>
      <c r="L29" s="406">
        <f>'R&amp;D Schedule '!N7</f>
        <v>0.11146187728548906</v>
      </c>
      <c r="M29" s="407">
        <f>'R&amp;D Schedule '!O7</f>
        <v>0.11519589859262098</v>
      </c>
      <c r="N29" s="406">
        <f>'R&amp;D Schedule '!P7</f>
        <v>0.11519589859262098</v>
      </c>
      <c r="O29" s="406">
        <f>'R&amp;D Schedule '!Q7</f>
        <v>0.11519589859262098</v>
      </c>
      <c r="P29" s="406">
        <f>'R&amp;D Schedule '!R7</f>
        <v>0.11519589859262098</v>
      </c>
      <c r="Q29" s="406">
        <f>'R&amp;D Schedule '!S7</f>
        <v>0.11519589859262098</v>
      </c>
      <c r="R29" s="406">
        <f>'R&amp;D Schedule '!T7</f>
        <v>0.11519589859262098</v>
      </c>
      <c r="S29" s="406">
        <f>'R&amp;D Schedule '!U7</f>
        <v>0.11519589859262098</v>
      </c>
      <c r="T29" s="406">
        <f>'R&amp;D Schedule '!V7</f>
        <v>0.11519589859262098</v>
      </c>
      <c r="U29" s="406">
        <f>'R&amp;D Schedule '!W7</f>
        <v>0.11519589859262098</v>
      </c>
      <c r="V29" s="406">
        <f>'R&amp;D Schedule '!X7</f>
        <v>0.11519589859262098</v>
      </c>
      <c r="W29" s="406">
        <f>'R&amp;D Schedule '!Y7</f>
        <v>0.11519589859262098</v>
      </c>
      <c r="X29" s="406">
        <f>'R&amp;D Schedule '!Z7</f>
        <v>0.11519589859262098</v>
      </c>
      <c r="Y29" s="406">
        <f>'R&amp;D Schedule '!AA7</f>
        <v>0.11519589859262098</v>
      </c>
      <c r="Z29" s="406">
        <f>'R&amp;D Schedule '!AB7</f>
        <v>0.11519589859262098</v>
      </c>
      <c r="AA29" s="406">
        <f>'R&amp;D Schedule '!AC7</f>
        <v>0.11519589859262098</v>
      </c>
      <c r="AB29" s="406">
        <f>'R&amp;D Schedule '!AD7</f>
        <v>0.11519589859262098</v>
      </c>
      <c r="AC29" s="406">
        <f>'R&amp;D Schedule '!AE7</f>
        <v>0.11519589859262098</v>
      </c>
      <c r="AD29" s="406">
        <f>'R&amp;D Schedule '!AF7</f>
        <v>0.11519589859262098</v>
      </c>
      <c r="AE29" s="406">
        <f>'R&amp;D Schedule '!AG7</f>
        <v>0.11519589859262098</v>
      </c>
      <c r="AF29" s="406">
        <f>'R&amp;D Schedule '!AH7</f>
        <v>0.11519589859262098</v>
      </c>
      <c r="AG29" s="406">
        <f>'R&amp;D Schedule '!AI7</f>
        <v>0.11519589859262098</v>
      </c>
      <c r="AH29" s="406">
        <f>'R&amp;D Schedule '!AJ7</f>
        <v>0.11519589859262098</v>
      </c>
      <c r="AI29" s="406">
        <f>'R&amp;D Schedule '!AK7</f>
        <v>0.11519589859262098</v>
      </c>
      <c r="AJ29" s="406">
        <f>AI29</f>
        <v>0.11519589859262098</v>
      </c>
      <c r="AK29" s="406">
        <f t="shared" ref="AK29:AO29" si="47">AJ29</f>
        <v>0.11519589859262098</v>
      </c>
      <c r="AL29" s="406">
        <f t="shared" si="47"/>
        <v>0.11519589859262098</v>
      </c>
      <c r="AM29" s="406">
        <f t="shared" si="47"/>
        <v>0.11519589859262098</v>
      </c>
      <c r="AN29" s="406">
        <f t="shared" si="47"/>
        <v>0.11519589859262098</v>
      </c>
      <c r="AO29" s="1390">
        <f t="shared" si="47"/>
        <v>0.11519589859262098</v>
      </c>
    </row>
    <row r="30" spans="1:42" x14ac:dyDescent="0.8">
      <c r="A30" s="316" t="s">
        <v>173</v>
      </c>
      <c r="B30" s="276">
        <f>'Balance Sheet '!B11/'Income Statement '!B4</f>
        <v>0.15201239838909031</v>
      </c>
      <c r="C30" s="25">
        <f>'Balance Sheet '!C11/'Income Statement '!C4</f>
        <v>0.13157465679720873</v>
      </c>
      <c r="D30" s="25">
        <f>'Balance Sheet '!D11/'Income Statement '!D4</f>
        <v>0.13482183033705458</v>
      </c>
      <c r="E30" s="25">
        <f>'Balance Sheet '!E11/'Income Statement '!E4</f>
        <v>0.13589926560223589</v>
      </c>
      <c r="F30" s="25">
        <f>'Balance Sheet '!F11/'Income Statement '!F4</f>
        <v>0.12115111566356818</v>
      </c>
      <c r="G30" s="25">
        <f>'Balance Sheet '!G11/'Income Statement '!G4</f>
        <v>0.12118193367779603</v>
      </c>
      <c r="H30" s="204">
        <v>0.1328</v>
      </c>
      <c r="I30" s="205">
        <v>0.1328</v>
      </c>
      <c r="J30" s="205">
        <v>0.1328</v>
      </c>
      <c r="K30" s="205">
        <v>0.1328</v>
      </c>
      <c r="L30" s="205">
        <v>0.1328</v>
      </c>
      <c r="M30" s="205">
        <v>0.1328</v>
      </c>
      <c r="N30" s="204">
        <v>0.1328</v>
      </c>
      <c r="O30" s="205">
        <v>0.1328</v>
      </c>
      <c r="P30" s="205">
        <v>0.1328</v>
      </c>
      <c r="Q30" s="205">
        <v>0.1328</v>
      </c>
      <c r="R30" s="205">
        <v>0.1328</v>
      </c>
      <c r="S30" s="205">
        <v>0.1328</v>
      </c>
      <c r="T30" s="205">
        <v>0.1328</v>
      </c>
      <c r="U30" s="205">
        <v>0.1328</v>
      </c>
      <c r="V30" s="205">
        <v>0.1328</v>
      </c>
      <c r="W30" s="205">
        <v>0.1328</v>
      </c>
      <c r="X30" s="205">
        <v>0.1328</v>
      </c>
      <c r="Y30" s="205">
        <v>0.1328</v>
      </c>
      <c r="Z30" s="205">
        <v>0.1328</v>
      </c>
      <c r="AA30" s="205">
        <v>0.1328</v>
      </c>
      <c r="AB30" s="205">
        <v>0.1328</v>
      </c>
      <c r="AC30" s="205">
        <v>0.1328</v>
      </c>
      <c r="AD30" s="205">
        <v>0.1328</v>
      </c>
      <c r="AE30" s="205">
        <v>0.1328</v>
      </c>
      <c r="AF30" s="205">
        <v>0.1328</v>
      </c>
      <c r="AG30" s="205">
        <v>0.1328</v>
      </c>
      <c r="AH30" s="205">
        <v>0.1328</v>
      </c>
      <c r="AI30" s="205">
        <v>0.1328</v>
      </c>
      <c r="AJ30" s="205">
        <v>0.1328</v>
      </c>
      <c r="AK30" s="205">
        <v>0.1328</v>
      </c>
      <c r="AL30" s="205">
        <v>0.1328</v>
      </c>
      <c r="AM30" s="205">
        <v>0.1328</v>
      </c>
      <c r="AN30" s="205">
        <v>0.1328</v>
      </c>
      <c r="AO30" s="220">
        <v>0.1328</v>
      </c>
    </row>
    <row r="31" spans="1:42" x14ac:dyDescent="0.8">
      <c r="A31" s="316" t="s">
        <v>174</v>
      </c>
      <c r="B31" s="276">
        <f>'Balance Sheet '!B13/'Income Statement '!B9</f>
        <v>0.26936081669809481</v>
      </c>
      <c r="C31" s="25">
        <f>'Balance Sheet '!C13/'Income Statement '!C9</f>
        <v>0.22281491002570694</v>
      </c>
      <c r="D31" s="25">
        <f>'Balance Sheet '!D13/'Income Statement '!D9</f>
        <v>0.25235028754433692</v>
      </c>
      <c r="E31" s="25">
        <f>'Balance Sheet '!E13/'Income Statement '!E9</f>
        <v>0.3048350944604547</v>
      </c>
      <c r="F31" s="25">
        <f>'Balance Sheet '!F13/'Income Statement '!F9</f>
        <v>0.11198608786954097</v>
      </c>
      <c r="G31" s="25">
        <f>'Balance Sheet '!G13/'Income Statement '!G9</f>
        <v>0.14029641498097337</v>
      </c>
      <c r="H31" s="200">
        <f>I31</f>
        <v>0.16118138065778292</v>
      </c>
      <c r="I31" s="205">
        <v>0.16118138065778292</v>
      </c>
      <c r="J31" s="205">
        <v>0.16118138065778292</v>
      </c>
      <c r="K31" s="205">
        <v>0.16118138065778292</v>
      </c>
      <c r="L31" s="205">
        <v>0.16118138065778292</v>
      </c>
      <c r="M31" s="205">
        <v>0.16118138065778292</v>
      </c>
      <c r="N31" s="204">
        <v>0.16118138065778292</v>
      </c>
      <c r="O31" s="205">
        <v>0.16118138065778292</v>
      </c>
      <c r="P31" s="205">
        <v>0.16118138065778292</v>
      </c>
      <c r="Q31" s="205">
        <v>0.16118138065778292</v>
      </c>
      <c r="R31" s="205">
        <v>0.16118138065778292</v>
      </c>
      <c r="S31" s="205">
        <v>0.16118138065778292</v>
      </c>
      <c r="T31" s="205">
        <v>0.16118138065778292</v>
      </c>
      <c r="U31" s="205">
        <v>0.16118138065778292</v>
      </c>
      <c r="V31" s="205">
        <v>0.16118138065778292</v>
      </c>
      <c r="W31" s="205">
        <v>0.16118138065778292</v>
      </c>
      <c r="X31" s="205">
        <v>0.16118138065778292</v>
      </c>
      <c r="Y31" s="205">
        <v>0.16118138065778292</v>
      </c>
      <c r="Z31" s="205">
        <v>0.16118138065778292</v>
      </c>
      <c r="AA31" s="205">
        <v>0.16118138065778292</v>
      </c>
      <c r="AB31" s="205">
        <v>0.16118138065778292</v>
      </c>
      <c r="AC31" s="205">
        <v>0.16118138065778292</v>
      </c>
      <c r="AD31" s="205">
        <v>0.16118138065778292</v>
      </c>
      <c r="AE31" s="205">
        <v>0.16118138065778292</v>
      </c>
      <c r="AF31" s="205">
        <v>0.16118138065778292</v>
      </c>
      <c r="AG31" s="205">
        <v>0.16118138065778292</v>
      </c>
      <c r="AH31" s="205">
        <v>0.16118138065778292</v>
      </c>
      <c r="AI31" s="205">
        <v>0.16118138065778292</v>
      </c>
      <c r="AJ31" s="205">
        <v>0.16118138065778292</v>
      </c>
      <c r="AK31" s="205">
        <v>0.16118138065778292</v>
      </c>
      <c r="AL31" s="205">
        <v>0.16118138065778292</v>
      </c>
      <c r="AM31" s="205">
        <v>0.16118138065778292</v>
      </c>
      <c r="AN31" s="205">
        <v>0.16118138065778292</v>
      </c>
      <c r="AO31" s="220">
        <v>0.16118138065778292</v>
      </c>
    </row>
    <row r="32" spans="1:42" x14ac:dyDescent="0.8">
      <c r="A32" s="22" t="s">
        <v>175</v>
      </c>
      <c r="B32" s="277">
        <f>('Balance Sheet '!B27*365)/'Income Statement '!B5</f>
        <v>25.527603653436898</v>
      </c>
      <c r="C32" s="334">
        <f>('Balance Sheet '!C27*365)/'Income Statement '!C5</f>
        <v>21.168415340086831</v>
      </c>
      <c r="D32" s="334">
        <f>('Balance Sheet '!D27*365)/'Income Statement '!D5</f>
        <v>23.983672758207181</v>
      </c>
      <c r="E32" s="334">
        <f>('Balance Sheet '!E27*365)/'Income Statement '!E5</f>
        <v>24.244706081653398</v>
      </c>
      <c r="F32" s="334">
        <f>('Balance Sheet '!F27*365)/'Income Statement '!F5</f>
        <v>19.5368915803076</v>
      </c>
      <c r="G32" s="334">
        <f>('Balance Sheet '!G27*365)/'Income Statement '!G5</f>
        <v>19.162202059314513</v>
      </c>
      <c r="H32" s="208">
        <f>AVERAGE(C32:G32)</f>
        <v>21.619177563913905</v>
      </c>
      <c r="I32" s="209">
        <f>H32</f>
        <v>21.619177563913905</v>
      </c>
      <c r="J32" s="209">
        <f t="shared" ref="J32:AO32" si="48">I32</f>
        <v>21.619177563913905</v>
      </c>
      <c r="K32" s="209">
        <f t="shared" si="48"/>
        <v>21.619177563913905</v>
      </c>
      <c r="L32" s="209">
        <f t="shared" si="48"/>
        <v>21.619177563913905</v>
      </c>
      <c r="M32" s="209">
        <f t="shared" si="48"/>
        <v>21.619177563913905</v>
      </c>
      <c r="N32" s="208">
        <f t="shared" si="48"/>
        <v>21.619177563913905</v>
      </c>
      <c r="O32" s="209">
        <f t="shared" si="48"/>
        <v>21.619177563913905</v>
      </c>
      <c r="P32" s="209">
        <f t="shared" si="48"/>
        <v>21.619177563913905</v>
      </c>
      <c r="Q32" s="209">
        <f t="shared" si="48"/>
        <v>21.619177563913905</v>
      </c>
      <c r="R32" s="209">
        <f t="shared" si="48"/>
        <v>21.619177563913905</v>
      </c>
      <c r="S32" s="209">
        <f t="shared" si="48"/>
        <v>21.619177563913905</v>
      </c>
      <c r="T32" s="209">
        <f t="shared" si="48"/>
        <v>21.619177563913905</v>
      </c>
      <c r="U32" s="209">
        <f t="shared" si="48"/>
        <v>21.619177563913905</v>
      </c>
      <c r="V32" s="209">
        <f t="shared" si="48"/>
        <v>21.619177563913905</v>
      </c>
      <c r="W32" s="209">
        <f t="shared" si="48"/>
        <v>21.619177563913905</v>
      </c>
      <c r="X32" s="209">
        <f t="shared" si="48"/>
        <v>21.619177563913905</v>
      </c>
      <c r="Y32" s="209">
        <f t="shared" si="48"/>
        <v>21.619177563913905</v>
      </c>
      <c r="Z32" s="209">
        <f t="shared" si="48"/>
        <v>21.619177563913905</v>
      </c>
      <c r="AA32" s="209">
        <f t="shared" si="48"/>
        <v>21.619177563913905</v>
      </c>
      <c r="AB32" s="209">
        <f t="shared" si="48"/>
        <v>21.619177563913905</v>
      </c>
      <c r="AC32" s="209">
        <f t="shared" si="48"/>
        <v>21.619177563913905</v>
      </c>
      <c r="AD32" s="209">
        <f t="shared" si="48"/>
        <v>21.619177563913905</v>
      </c>
      <c r="AE32" s="209">
        <f t="shared" si="48"/>
        <v>21.619177563913905</v>
      </c>
      <c r="AF32" s="209">
        <f t="shared" si="48"/>
        <v>21.619177563913905</v>
      </c>
      <c r="AG32" s="209">
        <f t="shared" si="48"/>
        <v>21.619177563913905</v>
      </c>
      <c r="AH32" s="209">
        <f t="shared" si="48"/>
        <v>21.619177563913905</v>
      </c>
      <c r="AI32" s="209">
        <f t="shared" si="48"/>
        <v>21.619177563913905</v>
      </c>
      <c r="AJ32" s="209">
        <f t="shared" si="48"/>
        <v>21.619177563913905</v>
      </c>
      <c r="AK32" s="209">
        <f t="shared" si="48"/>
        <v>21.619177563913905</v>
      </c>
      <c r="AL32" s="209">
        <f t="shared" si="48"/>
        <v>21.619177563913905</v>
      </c>
      <c r="AM32" s="209">
        <f t="shared" si="48"/>
        <v>21.619177563913905</v>
      </c>
      <c r="AN32" s="209">
        <f t="shared" si="48"/>
        <v>21.619177563913905</v>
      </c>
      <c r="AO32" s="335">
        <f t="shared" si="48"/>
        <v>21.619177563913905</v>
      </c>
    </row>
    <row r="33" spans="1:61" x14ac:dyDescent="0.8">
      <c r="A33" s="22" t="s">
        <v>176</v>
      </c>
      <c r="B33" s="276">
        <f>'Balance Sheet '!B32/'Income Statement '!B4</f>
        <v>4.003875872966061E-2</v>
      </c>
      <c r="C33" s="25">
        <f>'Balance Sheet '!C32/'Income Statement '!C4</f>
        <v>5.8901533678981752E-2</v>
      </c>
      <c r="D33" s="25">
        <f>'Balance Sheet '!D32/'Income Statement '!D4</f>
        <v>5.831851264579628E-2</v>
      </c>
      <c r="E33" s="25">
        <f>'Balance Sheet '!E32/'Income Statement '!E4</f>
        <v>4.6219486813546221E-2</v>
      </c>
      <c r="F33" s="25">
        <f>'Balance Sheet '!F32/'Income Statement '!F4</f>
        <v>5.0866819967706416E-2</v>
      </c>
      <c r="G33" s="25">
        <f>'Balance Sheet '!G32/'Income Statement '!G4</f>
        <v>5.1407746942867323E-2</v>
      </c>
      <c r="H33" s="200">
        <f>AVERAGE(B33:G33)</f>
        <v>5.0958809796426426E-2</v>
      </c>
      <c r="I33" s="205">
        <v>5.0958809796426426E-2</v>
      </c>
      <c r="J33" s="205">
        <v>5.0958809796426426E-2</v>
      </c>
      <c r="K33" s="205">
        <v>5.0958809796426426E-2</v>
      </c>
      <c r="L33" s="205">
        <v>5.0958809796426426E-2</v>
      </c>
      <c r="M33" s="205">
        <v>5.0958809796426426E-2</v>
      </c>
      <c r="N33" s="204">
        <v>5.0958809796426426E-2</v>
      </c>
      <c r="O33" s="205">
        <v>5.0958809796426426E-2</v>
      </c>
      <c r="P33" s="205">
        <v>5.0958809796426426E-2</v>
      </c>
      <c r="Q33" s="205">
        <v>5.0958809796426426E-2</v>
      </c>
      <c r="R33" s="205">
        <v>5.0958809796426426E-2</v>
      </c>
      <c r="S33" s="205">
        <v>5.0958809796426426E-2</v>
      </c>
      <c r="T33" s="205">
        <v>5.0958809796426426E-2</v>
      </c>
      <c r="U33" s="205">
        <v>5.0958809796426426E-2</v>
      </c>
      <c r="V33" s="205">
        <v>5.0958809796426426E-2</v>
      </c>
      <c r="W33" s="205">
        <v>5.0958809796426426E-2</v>
      </c>
      <c r="X33" s="205">
        <v>5.0958809796426426E-2</v>
      </c>
      <c r="Y33" s="205">
        <v>5.0958809796426426E-2</v>
      </c>
      <c r="Z33" s="205">
        <v>5.0958809796426426E-2</v>
      </c>
      <c r="AA33" s="205">
        <v>5.0958809796426426E-2</v>
      </c>
      <c r="AB33" s="205">
        <v>5.0958809796426426E-2</v>
      </c>
      <c r="AC33" s="205">
        <v>5.0958809796426426E-2</v>
      </c>
      <c r="AD33" s="205">
        <v>5.0958809796426426E-2</v>
      </c>
      <c r="AE33" s="205">
        <v>5.0958809796426426E-2</v>
      </c>
      <c r="AF33" s="205">
        <v>5.0958809796426426E-2</v>
      </c>
      <c r="AG33" s="205">
        <v>5.0958809796426426E-2</v>
      </c>
      <c r="AH33" s="205">
        <v>5.0958809796426426E-2</v>
      </c>
      <c r="AI33" s="205">
        <v>5.0958809796426426E-2</v>
      </c>
      <c r="AJ33" s="205">
        <v>5.0958809796426426E-2</v>
      </c>
      <c r="AK33" s="205">
        <v>5.0958809796426426E-2</v>
      </c>
      <c r="AL33" s="205">
        <v>5.0958809796426426E-2</v>
      </c>
      <c r="AM33" s="205">
        <v>5.0958809796426426E-2</v>
      </c>
      <c r="AN33" s="205">
        <v>5.0958809796426426E-2</v>
      </c>
      <c r="AO33" s="220">
        <v>5.0958809796426426E-2</v>
      </c>
    </row>
    <row r="34" spans="1:61" x14ac:dyDescent="0.8">
      <c r="A34" s="316" t="s">
        <v>182</v>
      </c>
      <c r="B34" s="276">
        <f>'Balance Sheet '!B25/'Balance Sheet '!B16</f>
        <v>5.4673013324157443E-2</v>
      </c>
      <c r="C34" s="25">
        <f>'Balance Sheet '!C25/'Balance Sheet '!C16</f>
        <v>5.1238608193183641E-2</v>
      </c>
      <c r="D34" s="25">
        <f>'Balance Sheet '!D25/'Balance Sheet '!D16</f>
        <v>4.7273776324646598E-2</v>
      </c>
      <c r="E34" s="25">
        <f>'Balance Sheet '!E25/'Balance Sheet '!E16</f>
        <v>4.8804603610907868E-2</v>
      </c>
      <c r="F34" s="25">
        <f>'Balance Sheet '!F25/'Balance Sheet '!F16</f>
        <v>1.0906099424139146E-2</v>
      </c>
      <c r="G34" s="25">
        <f>'Balance Sheet '!G25/'Balance Sheet '!G16</f>
        <v>0</v>
      </c>
      <c r="H34" s="204">
        <v>0</v>
      </c>
      <c r="I34" s="205">
        <v>0</v>
      </c>
      <c r="J34" s="205">
        <v>0</v>
      </c>
      <c r="K34" s="205">
        <v>0</v>
      </c>
      <c r="L34" s="205">
        <v>0</v>
      </c>
      <c r="M34" s="205">
        <v>0</v>
      </c>
      <c r="N34" s="204">
        <v>0</v>
      </c>
      <c r="O34" s="205">
        <v>0</v>
      </c>
      <c r="P34" s="205">
        <v>0</v>
      </c>
      <c r="Q34" s="205">
        <v>0</v>
      </c>
      <c r="R34" s="205">
        <v>0</v>
      </c>
      <c r="S34" s="205">
        <v>0</v>
      </c>
      <c r="T34" s="205">
        <v>0</v>
      </c>
      <c r="U34" s="205">
        <v>0</v>
      </c>
      <c r="V34" s="205">
        <v>0</v>
      </c>
      <c r="W34" s="205">
        <v>0</v>
      </c>
      <c r="X34" s="205">
        <v>0</v>
      </c>
      <c r="Y34" s="205">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v>0</v>
      </c>
      <c r="AO34" s="220">
        <v>0</v>
      </c>
    </row>
    <row r="35" spans="1:61" x14ac:dyDescent="0.8">
      <c r="A35" s="316" t="s">
        <v>183</v>
      </c>
      <c r="B35" s="276">
        <f>'Balance Sheet '!B30/'Balance Sheet '!B16</f>
        <v>9.5983636328879199E-2</v>
      </c>
      <c r="C35" s="25">
        <f>'Balance Sheet '!C30/'Balance Sheet '!C16</f>
        <v>0.11513973355210358</v>
      </c>
      <c r="D35" s="25">
        <f>'Balance Sheet '!D30/'Balance Sheet '!D16</f>
        <v>5.7197807481488602E-2</v>
      </c>
      <c r="E35" s="25">
        <f>'Balance Sheet '!E30/'Balance Sheet '!E16</f>
        <v>1.4297296762838894E-2</v>
      </c>
      <c r="F35" s="25">
        <f>'Balance Sheet '!F30/'Balance Sheet '!F16</f>
        <v>0</v>
      </c>
      <c r="G35" s="25">
        <f>'Balance Sheet '!G30/'Balance Sheet '!G16</f>
        <v>0</v>
      </c>
      <c r="H35" s="204">
        <v>0</v>
      </c>
      <c r="I35" s="205">
        <v>0</v>
      </c>
      <c r="J35" s="205">
        <v>0</v>
      </c>
      <c r="K35" s="205">
        <v>0</v>
      </c>
      <c r="L35" s="205">
        <v>0</v>
      </c>
      <c r="M35" s="205">
        <v>0</v>
      </c>
      <c r="N35" s="204">
        <v>0</v>
      </c>
      <c r="O35" s="205">
        <v>0</v>
      </c>
      <c r="P35" s="205">
        <v>0</v>
      </c>
      <c r="Q35" s="205">
        <v>0</v>
      </c>
      <c r="R35" s="205">
        <v>0</v>
      </c>
      <c r="S35" s="205">
        <v>0</v>
      </c>
      <c r="T35" s="205">
        <v>0</v>
      </c>
      <c r="U35" s="205">
        <v>0</v>
      </c>
      <c r="V35" s="205">
        <v>0</v>
      </c>
      <c r="W35" s="205">
        <v>0</v>
      </c>
      <c r="X35" s="205">
        <v>0</v>
      </c>
      <c r="Y35" s="205">
        <v>0</v>
      </c>
      <c r="Z35" s="205">
        <v>0</v>
      </c>
      <c r="AA35" s="205">
        <v>0</v>
      </c>
      <c r="AB35" s="205">
        <v>0</v>
      </c>
      <c r="AC35" s="205">
        <v>0</v>
      </c>
      <c r="AD35" s="205">
        <v>0</v>
      </c>
      <c r="AE35" s="205">
        <v>0</v>
      </c>
      <c r="AF35" s="205">
        <v>0</v>
      </c>
      <c r="AG35" s="205">
        <v>0</v>
      </c>
      <c r="AH35" s="205">
        <v>0</v>
      </c>
      <c r="AI35" s="205">
        <v>0</v>
      </c>
      <c r="AJ35" s="205">
        <v>0</v>
      </c>
      <c r="AK35" s="205">
        <v>0</v>
      </c>
      <c r="AL35" s="205">
        <v>0</v>
      </c>
      <c r="AM35" s="205">
        <v>0</v>
      </c>
      <c r="AN35" s="205">
        <v>0</v>
      </c>
      <c r="AO35" s="220">
        <v>0</v>
      </c>
    </row>
    <row r="36" spans="1:61" x14ac:dyDescent="0.8">
      <c r="A36" s="22" t="s">
        <v>353</v>
      </c>
      <c r="B36" s="273"/>
      <c r="C36" s="7"/>
      <c r="D36" s="7"/>
      <c r="E36" s="7"/>
      <c r="F36" s="7"/>
      <c r="G36" s="7"/>
      <c r="H36" s="365">
        <v>0</v>
      </c>
      <c r="I36" s="192">
        <v>0</v>
      </c>
      <c r="J36" s="192">
        <v>0</v>
      </c>
      <c r="K36" s="192">
        <v>0</v>
      </c>
      <c r="L36" s="192">
        <v>0</v>
      </c>
      <c r="M36" s="192">
        <v>0</v>
      </c>
      <c r="N36" s="201">
        <v>0</v>
      </c>
      <c r="O36" s="192">
        <v>0</v>
      </c>
      <c r="P36" s="192">
        <v>0</v>
      </c>
      <c r="Q36" s="192">
        <v>0</v>
      </c>
      <c r="R36" s="192">
        <v>0</v>
      </c>
      <c r="S36" s="192">
        <v>0</v>
      </c>
      <c r="T36" s="192">
        <v>0</v>
      </c>
      <c r="U36" s="192">
        <v>0</v>
      </c>
      <c r="V36" s="192">
        <v>0</v>
      </c>
      <c r="W36" s="192">
        <v>0</v>
      </c>
      <c r="X36" s="192">
        <v>0</v>
      </c>
      <c r="Y36" s="192">
        <v>0</v>
      </c>
      <c r="Z36" s="192">
        <v>0</v>
      </c>
      <c r="AA36" s="192">
        <v>0</v>
      </c>
      <c r="AB36" s="192">
        <v>0</v>
      </c>
      <c r="AC36" s="192">
        <v>0</v>
      </c>
      <c r="AD36" s="192">
        <v>0</v>
      </c>
      <c r="AE36" s="192">
        <v>0</v>
      </c>
      <c r="AF36" s="192">
        <v>0</v>
      </c>
      <c r="AG36" s="192">
        <v>0</v>
      </c>
      <c r="AH36" s="192">
        <v>0</v>
      </c>
      <c r="AI36" s="192">
        <v>0</v>
      </c>
      <c r="AJ36" s="192">
        <v>0</v>
      </c>
      <c r="AK36" s="192">
        <v>0</v>
      </c>
      <c r="AL36" s="192">
        <v>0</v>
      </c>
      <c r="AM36" s="192">
        <v>0</v>
      </c>
      <c r="AN36" s="192">
        <v>0</v>
      </c>
      <c r="AO36" s="301">
        <v>0</v>
      </c>
    </row>
    <row r="37" spans="1:61" ht="16.75" thickBot="1" x14ac:dyDescent="0.95">
      <c r="A37" s="367" t="s">
        <v>270</v>
      </c>
      <c r="B37" s="320">
        <f>'Balance Sheet '!B28/'Income Statement '!B15</f>
        <v>7.1685506326938167E-2</v>
      </c>
      <c r="C37" s="81">
        <f>'Balance Sheet '!C28/'Income Statement '!C15</f>
        <v>6.7012128699314152E-2</v>
      </c>
      <c r="D37" s="81">
        <f>'Balance Sheet '!D28/'Income Statement '!D15</f>
        <v>6.4196579355994057E-2</v>
      </c>
      <c r="E37" s="81">
        <f>'Balance Sheet '!E28/'Income Statement '!E15</f>
        <v>0.15701015311040725</v>
      </c>
      <c r="F37" s="81">
        <f>'Balance Sheet '!F28/'Income Statement '!F15</f>
        <v>6.3821857821671477E-2</v>
      </c>
      <c r="G37" s="81">
        <f>'Balance Sheet '!G28/'Income Statement '!G15</f>
        <v>7.3067102300807207E-2</v>
      </c>
      <c r="H37" s="397">
        <f>AVERAGE(B37:G37)</f>
        <v>8.2798887935855395E-2</v>
      </c>
      <c r="I37" s="398">
        <f>H37</f>
        <v>8.2798887935855395E-2</v>
      </c>
      <c r="J37" s="398">
        <f>I37</f>
        <v>8.2798887935855395E-2</v>
      </c>
      <c r="K37" s="398">
        <f t="shared" ref="K37:AO37" si="49">J37</f>
        <v>8.2798887935855395E-2</v>
      </c>
      <c r="L37" s="398">
        <f t="shared" si="49"/>
        <v>8.2798887935855395E-2</v>
      </c>
      <c r="M37" s="398">
        <f t="shared" si="49"/>
        <v>8.2798887935855395E-2</v>
      </c>
      <c r="N37" s="397">
        <f t="shared" si="49"/>
        <v>8.2798887935855395E-2</v>
      </c>
      <c r="O37" s="398">
        <f t="shared" si="49"/>
        <v>8.2798887935855395E-2</v>
      </c>
      <c r="P37" s="398">
        <f t="shared" si="49"/>
        <v>8.2798887935855395E-2</v>
      </c>
      <c r="Q37" s="398">
        <f t="shared" si="49"/>
        <v>8.2798887935855395E-2</v>
      </c>
      <c r="R37" s="398">
        <f t="shared" si="49"/>
        <v>8.2798887935855395E-2</v>
      </c>
      <c r="S37" s="398">
        <f t="shared" si="49"/>
        <v>8.2798887935855395E-2</v>
      </c>
      <c r="T37" s="398">
        <f t="shared" si="49"/>
        <v>8.2798887935855395E-2</v>
      </c>
      <c r="U37" s="398">
        <f t="shared" si="49"/>
        <v>8.2798887935855395E-2</v>
      </c>
      <c r="V37" s="398">
        <f t="shared" si="49"/>
        <v>8.2798887935855395E-2</v>
      </c>
      <c r="W37" s="398">
        <f t="shared" si="49"/>
        <v>8.2798887935855395E-2</v>
      </c>
      <c r="X37" s="398">
        <f t="shared" si="49"/>
        <v>8.2798887935855395E-2</v>
      </c>
      <c r="Y37" s="398">
        <f t="shared" si="49"/>
        <v>8.2798887935855395E-2</v>
      </c>
      <c r="Z37" s="398">
        <f t="shared" si="49"/>
        <v>8.2798887935855395E-2</v>
      </c>
      <c r="AA37" s="398">
        <f t="shared" si="49"/>
        <v>8.2798887935855395E-2</v>
      </c>
      <c r="AB37" s="398">
        <f t="shared" si="49"/>
        <v>8.2798887935855395E-2</v>
      </c>
      <c r="AC37" s="398">
        <f t="shared" si="49"/>
        <v>8.2798887935855395E-2</v>
      </c>
      <c r="AD37" s="398">
        <f t="shared" si="49"/>
        <v>8.2798887935855395E-2</v>
      </c>
      <c r="AE37" s="398">
        <f t="shared" si="49"/>
        <v>8.2798887935855395E-2</v>
      </c>
      <c r="AF37" s="398">
        <f t="shared" si="49"/>
        <v>8.2798887935855395E-2</v>
      </c>
      <c r="AG37" s="398">
        <f t="shared" si="49"/>
        <v>8.2798887935855395E-2</v>
      </c>
      <c r="AH37" s="398">
        <f t="shared" si="49"/>
        <v>8.2798887935855395E-2</v>
      </c>
      <c r="AI37" s="398">
        <f t="shared" si="49"/>
        <v>8.2798887935855395E-2</v>
      </c>
      <c r="AJ37" s="398">
        <f t="shared" si="49"/>
        <v>8.2798887935855395E-2</v>
      </c>
      <c r="AK37" s="398">
        <f t="shared" si="49"/>
        <v>8.2798887935855395E-2</v>
      </c>
      <c r="AL37" s="398">
        <f t="shared" si="49"/>
        <v>8.2798887935855395E-2</v>
      </c>
      <c r="AM37" s="398">
        <f t="shared" si="49"/>
        <v>8.2798887935855395E-2</v>
      </c>
      <c r="AN37" s="398">
        <f t="shared" si="49"/>
        <v>8.2798887935855395E-2</v>
      </c>
      <c r="AO37" s="420">
        <f t="shared" si="49"/>
        <v>8.2798887935855395E-2</v>
      </c>
    </row>
    <row r="38" spans="1:61" x14ac:dyDescent="0.8">
      <c r="A38" s="22"/>
      <c r="B38" s="276"/>
      <c r="C38" s="25"/>
      <c r="D38" s="25"/>
      <c r="E38" s="25"/>
      <c r="F38" s="25"/>
      <c r="G38" s="2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20"/>
      <c r="AT38" s="1657" t="s">
        <v>726</v>
      </c>
      <c r="AU38" s="1658"/>
      <c r="AV38" s="1659"/>
      <c r="AX38" s="1565" t="s">
        <v>730</v>
      </c>
      <c r="AY38" s="1566"/>
      <c r="AZ38" s="1566"/>
      <c r="BA38" s="21"/>
      <c r="BB38" s="21"/>
      <c r="BC38" s="21"/>
      <c r="BD38" s="21"/>
      <c r="BE38" s="21"/>
      <c r="BF38" s="21"/>
      <c r="BG38" s="21"/>
      <c r="BH38" s="21"/>
      <c r="BI38" s="171"/>
    </row>
    <row r="39" spans="1:61" x14ac:dyDescent="0.8">
      <c r="A39" s="55" t="s">
        <v>376</v>
      </c>
      <c r="B39" s="273"/>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c r="AT39" s="366"/>
      <c r="AU39" s="1548" t="s">
        <v>727</v>
      </c>
      <c r="AV39" s="1391" t="s">
        <v>732</v>
      </c>
      <c r="AX39" s="366"/>
      <c r="AY39" s="1563"/>
      <c r="AZ39" s="1643" t="s">
        <v>729</v>
      </c>
      <c r="BA39" s="1644"/>
      <c r="BB39" s="1644"/>
      <c r="BC39" s="1644"/>
      <c r="BD39" s="1644"/>
      <c r="BE39" s="1644"/>
      <c r="BF39" s="1644"/>
      <c r="BG39" s="1644"/>
      <c r="BH39" s="1644"/>
      <c r="BI39" s="1645"/>
    </row>
    <row r="40" spans="1:61" x14ac:dyDescent="0.8">
      <c r="A40" s="328" t="s">
        <v>167</v>
      </c>
      <c r="B40" s="318"/>
      <c r="C40" s="156"/>
      <c r="D40" s="156"/>
      <c r="E40" s="156"/>
      <c r="F40" s="156"/>
      <c r="G40" s="156"/>
      <c r="H40" s="185"/>
      <c r="I40" s="156"/>
      <c r="J40" s="156"/>
      <c r="K40" s="156"/>
      <c r="L40" s="156"/>
      <c r="M40" s="156"/>
      <c r="N40" s="185"/>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56"/>
      <c r="AO40" s="319"/>
      <c r="AP40" s="7"/>
      <c r="AQ40" s="7"/>
      <c r="AT40" s="22"/>
      <c r="AU40" s="1549"/>
      <c r="AV40" s="1546">
        <f>'APV Valuation'!B36</f>
        <v>10.653657453279301</v>
      </c>
      <c r="AX40" s="22"/>
      <c r="AY40" s="1564"/>
      <c r="AZ40" s="1646" t="s">
        <v>731</v>
      </c>
      <c r="BA40" s="1647"/>
      <c r="BB40" s="1647"/>
      <c r="BC40" s="1647"/>
      <c r="BD40" s="1647"/>
      <c r="BE40" s="1647"/>
      <c r="BF40" s="1647"/>
      <c r="BG40" s="1647"/>
      <c r="BH40" s="1647"/>
      <c r="BI40" s="1648"/>
    </row>
    <row r="41" spans="1:61" s="7" customFormat="1" x14ac:dyDescent="0.8">
      <c r="A41" s="219" t="s">
        <v>377</v>
      </c>
      <c r="B41" s="336">
        <v>20000</v>
      </c>
      <c r="C41" s="289">
        <v>20000</v>
      </c>
      <c r="D41" s="289">
        <v>20000</v>
      </c>
      <c r="E41" s="289">
        <v>50000</v>
      </c>
      <c r="F41" s="289">
        <v>50000</v>
      </c>
      <c r="G41" s="163">
        <v>125000</v>
      </c>
      <c r="H41" s="206">
        <v>125000</v>
      </c>
      <c r="I41" s="163">
        <v>125000</v>
      </c>
      <c r="J41" s="163">
        <v>125000</v>
      </c>
      <c r="K41" s="163">
        <v>125000</v>
      </c>
      <c r="L41" s="163">
        <v>125000</v>
      </c>
      <c r="M41" s="163">
        <v>125000</v>
      </c>
      <c r="N41" s="206">
        <v>50000</v>
      </c>
      <c r="O41" s="163">
        <v>50000</v>
      </c>
      <c r="P41" s="163">
        <v>50000</v>
      </c>
      <c r="Q41" s="163">
        <v>50000</v>
      </c>
      <c r="R41" s="163">
        <v>50000</v>
      </c>
      <c r="S41" s="163">
        <v>50000</v>
      </c>
      <c r="T41" s="163">
        <v>50000</v>
      </c>
      <c r="U41" s="163">
        <v>50000</v>
      </c>
      <c r="V41" s="163">
        <v>20000</v>
      </c>
      <c r="W41" s="163">
        <v>20000</v>
      </c>
      <c r="X41" s="163">
        <v>20000</v>
      </c>
      <c r="Y41" s="163">
        <v>20000</v>
      </c>
      <c r="Z41" s="163">
        <v>20000</v>
      </c>
      <c r="AA41" s="163">
        <v>20000</v>
      </c>
      <c r="AB41" s="163">
        <v>20000</v>
      </c>
      <c r="AC41" s="163">
        <v>20000</v>
      </c>
      <c r="AD41" s="163">
        <v>20000</v>
      </c>
      <c r="AE41" s="163">
        <v>20000</v>
      </c>
      <c r="AF41" s="163">
        <v>20000</v>
      </c>
      <c r="AG41" s="163">
        <v>20000</v>
      </c>
      <c r="AH41" s="163">
        <v>20000</v>
      </c>
      <c r="AI41" s="163">
        <v>20000</v>
      </c>
      <c r="AJ41" s="163">
        <v>20000</v>
      </c>
      <c r="AK41" s="163">
        <v>20000</v>
      </c>
      <c r="AL41" s="163">
        <v>20000</v>
      </c>
      <c r="AM41" s="163">
        <v>20000</v>
      </c>
      <c r="AN41" s="163">
        <v>20000</v>
      </c>
      <c r="AO41" s="290">
        <v>20000</v>
      </c>
      <c r="AT41" s="1550" t="s">
        <v>725</v>
      </c>
      <c r="AU41" s="1545">
        <f t="shared" ref="AU41:AU43" si="50">AU42-0.1%</f>
        <v>-3.9450000000000006E-3</v>
      </c>
      <c r="AV41" s="1365">
        <f t="dataTable" ref="AV41:AV49" dt2D="0" dtr="0" r1="AA17" ca="1"/>
        <v>10.920535712346116</v>
      </c>
      <c r="AX41" s="1640" t="s">
        <v>728</v>
      </c>
      <c r="AY41" s="1649" t="s">
        <v>731</v>
      </c>
      <c r="AZ41" s="1560">
        <f>'APV Valuation'!B36</f>
        <v>10.653657453279301</v>
      </c>
      <c r="BA41" s="1559">
        <f>BB41-2.5%</f>
        <v>-0.30000000000000004</v>
      </c>
      <c r="BB41" s="1559">
        <f>BC41-2.5%</f>
        <v>-0.27500000000000002</v>
      </c>
      <c r="BC41" s="1559">
        <f>BD41-2.5%</f>
        <v>-0.25</v>
      </c>
      <c r="BD41" s="1559">
        <f>BE41-2.5%</f>
        <v>-0.22500000000000001</v>
      </c>
      <c r="BE41" s="1568">
        <v>-0.2</v>
      </c>
      <c r="BF41" s="1559">
        <f>BE41+2.5%</f>
        <v>-0.17500000000000002</v>
      </c>
      <c r="BG41" s="1559">
        <f>BF41+2.5%</f>
        <v>-0.15000000000000002</v>
      </c>
      <c r="BH41" s="1559">
        <f>BG41+2.5%</f>
        <v>-0.12500000000000003</v>
      </c>
      <c r="BI41" s="1561">
        <f>BH41+2.5%</f>
        <v>-0.10000000000000003</v>
      </c>
    </row>
    <row r="42" spans="1:61" s="7" customFormat="1" ht="15.75" customHeight="1" x14ac:dyDescent="0.8">
      <c r="A42" s="219" t="s">
        <v>169</v>
      </c>
      <c r="B42" s="276"/>
      <c r="C42" s="25"/>
      <c r="D42" s="25"/>
      <c r="E42" s="25"/>
      <c r="F42" s="25"/>
      <c r="G42" s="25"/>
      <c r="H42" s="56">
        <v>1.1865267138483997E-2</v>
      </c>
      <c r="I42" s="25">
        <v>1.5841766183644822E-2</v>
      </c>
      <c r="J42" s="25">
        <v>1.999999999999998E-2</v>
      </c>
      <c r="K42" s="25">
        <v>2.4158233816355172E-2</v>
      </c>
      <c r="L42" s="25">
        <v>2.8134732861515993E-2</v>
      </c>
      <c r="M42" s="25">
        <v>3.1755705045849458E-2</v>
      </c>
      <c r="N42" s="56">
        <v>3.4862896509547887E-2</v>
      </c>
      <c r="O42" s="25">
        <v>3.732050807568877E-2</v>
      </c>
      <c r="P42" s="25">
        <v>3.9021130325903076E-2</v>
      </c>
      <c r="Q42" s="25">
        <v>3.9890437907365468E-2</v>
      </c>
      <c r="R42" s="25">
        <v>3.9890437907365468E-2</v>
      </c>
      <c r="S42" s="25">
        <v>3.9021130325903076E-2</v>
      </c>
      <c r="T42" s="25">
        <v>3.7320508075688784E-2</v>
      </c>
      <c r="U42" s="25">
        <v>3.4862896509547908E-2</v>
      </c>
      <c r="V42" s="25">
        <v>3.1755705045849465E-2</v>
      </c>
      <c r="W42" s="25">
        <v>2.8134732861516021E-2</v>
      </c>
      <c r="X42" s="25">
        <v>2.4158233816355221E-2</v>
      </c>
      <c r="Y42" s="25">
        <v>2.0000000000000011E-2</v>
      </c>
      <c r="Z42" s="25">
        <v>1.5841766183644832E-2</v>
      </c>
      <c r="AA42" s="25">
        <v>1.1865267138483992E-2</v>
      </c>
      <c r="AB42" s="25">
        <v>8.2442949541505443E-3</v>
      </c>
      <c r="AC42" s="25">
        <v>5.1371034904521282E-3</v>
      </c>
      <c r="AD42" s="25">
        <v>2.67949192431123E-3</v>
      </c>
      <c r="AE42" s="25">
        <v>9.7886967409693154E-4</v>
      </c>
      <c r="AF42" s="25">
        <v>1.0956209263453198E-4</v>
      </c>
      <c r="AG42" s="25">
        <v>1.095620926345342E-4</v>
      </c>
      <c r="AH42" s="25">
        <v>9.7886967409692503E-4</v>
      </c>
      <c r="AI42" s="25">
        <v>2.6794919243112347E-3</v>
      </c>
      <c r="AJ42" s="25">
        <v>5.1371034904521178E-3</v>
      </c>
      <c r="AK42" s="25">
        <f>AJ42</f>
        <v>5.1371034904521178E-3</v>
      </c>
      <c r="AL42" s="25">
        <f t="shared" ref="AL42:AO42" si="51">AK42</f>
        <v>5.1371034904521178E-3</v>
      </c>
      <c r="AM42" s="25">
        <f t="shared" si="51"/>
        <v>5.1371034904521178E-3</v>
      </c>
      <c r="AN42" s="25">
        <f t="shared" si="51"/>
        <v>5.1371034904521178E-3</v>
      </c>
      <c r="AO42" s="57">
        <f t="shared" si="51"/>
        <v>5.1371034904521178E-3</v>
      </c>
      <c r="AT42" s="1504"/>
      <c r="AU42" s="1545">
        <f t="shared" si="50"/>
        <v>-2.9450000000000001E-3</v>
      </c>
      <c r="AV42" s="1365">
        <v>10.856235908152193</v>
      </c>
      <c r="AX42" s="1641"/>
      <c r="AY42" s="1650"/>
      <c r="AZ42" s="1558">
        <f t="shared" ref="AZ42:AZ44" si="52">AZ43-5%</f>
        <v>-0.3</v>
      </c>
      <c r="BA42" s="1506">
        <f t="dataTable" ref="BA42:BI50" dt2D="1" dtr="1" r1="U19" r2="N19" ca="1"/>
        <v>11.528890970171693</v>
      </c>
      <c r="BB42" s="1506">
        <v>11.513784105677441</v>
      </c>
      <c r="BC42" s="1506">
        <v>11.498642772885654</v>
      </c>
      <c r="BD42" s="1506">
        <v>11.483466908766246</v>
      </c>
      <c r="BE42" s="1514">
        <v>11.468256450204187</v>
      </c>
      <c r="BF42" s="1506">
        <v>11.453011333998685</v>
      </c>
      <c r="BG42" s="1506">
        <v>11.437731496863874</v>
      </c>
      <c r="BH42" s="1506">
        <v>11.422416875428366</v>
      </c>
      <c r="BI42" s="1507">
        <v>11.407067406235146</v>
      </c>
    </row>
    <row r="43" spans="1:61" s="7" customFormat="1" x14ac:dyDescent="0.8">
      <c r="A43" s="219" t="s">
        <v>168</v>
      </c>
      <c r="B43" s="276"/>
      <c r="C43" s="25"/>
      <c r="D43" s="25"/>
      <c r="E43" s="25"/>
      <c r="F43" s="25"/>
      <c r="G43" s="25"/>
      <c r="H43" s="214">
        <v>1.6250000000000001E-2</v>
      </c>
      <c r="I43" s="164">
        <v>1.6250000000000001E-2</v>
      </c>
      <c r="J43" s="164">
        <v>1.6250000000000001E-2</v>
      </c>
      <c r="K43" s="164">
        <v>1.6250000000000001E-2</v>
      </c>
      <c r="L43" s="164">
        <v>1.6250000000000001E-2</v>
      </c>
      <c r="M43" s="164">
        <v>1.6250000000000001E-2</v>
      </c>
      <c r="N43" s="214">
        <v>7.4999999999999997E-3</v>
      </c>
      <c r="O43" s="164">
        <v>7.4999999999999997E-3</v>
      </c>
      <c r="P43" s="164">
        <v>7.4999999999999997E-3</v>
      </c>
      <c r="Q43" s="164">
        <v>7.4999999999999997E-3</v>
      </c>
      <c r="R43" s="164">
        <v>7.4999999999999997E-3</v>
      </c>
      <c r="S43" s="164">
        <v>7.4999999999999997E-3</v>
      </c>
      <c r="T43" s="164">
        <v>7.4999999999999997E-3</v>
      </c>
      <c r="U43" s="164">
        <v>7.4999999999999997E-3</v>
      </c>
      <c r="V43" s="164">
        <v>7.4999999999999997E-3</v>
      </c>
      <c r="W43" s="164">
        <v>7.4999999999999997E-3</v>
      </c>
      <c r="X43" s="164">
        <v>7.4999999999999997E-3</v>
      </c>
      <c r="Y43" s="164">
        <v>7.4999999999999997E-3</v>
      </c>
      <c r="Z43" s="164">
        <v>7.4999999999999997E-3</v>
      </c>
      <c r="AA43" s="164">
        <v>7.4999999999999997E-3</v>
      </c>
      <c r="AB43" s="164">
        <v>7.4999999999999997E-3</v>
      </c>
      <c r="AC43" s="164">
        <v>7.4999999999999997E-3</v>
      </c>
      <c r="AD43" s="164">
        <v>7.4999999999999997E-3</v>
      </c>
      <c r="AE43" s="164">
        <v>7.4999999999999997E-3</v>
      </c>
      <c r="AF43" s="164">
        <v>7.4999999999999997E-3</v>
      </c>
      <c r="AG43" s="164">
        <v>7.4999999999999997E-3</v>
      </c>
      <c r="AH43" s="164">
        <v>7.4999999999999997E-3</v>
      </c>
      <c r="AI43" s="164">
        <v>7.4999999999999997E-3</v>
      </c>
      <c r="AJ43" s="164">
        <v>7.4999999999999997E-3</v>
      </c>
      <c r="AK43" s="164">
        <v>7.4999999999999997E-3</v>
      </c>
      <c r="AL43" s="164">
        <v>7.4999999999999997E-3</v>
      </c>
      <c r="AM43" s="164">
        <v>7.4999999999999997E-3</v>
      </c>
      <c r="AN43" s="164">
        <v>7.4999999999999997E-3</v>
      </c>
      <c r="AO43" s="291">
        <v>7.4999999999999997E-3</v>
      </c>
      <c r="AT43" s="1504"/>
      <c r="AU43" s="1545">
        <f t="shared" si="50"/>
        <v>-1.9450000000000001E-3</v>
      </c>
      <c r="AV43" s="1365">
        <v>10.790330263114894</v>
      </c>
      <c r="AX43" s="1641"/>
      <c r="AY43" s="1650"/>
      <c r="AZ43" s="1558">
        <f t="shared" si="52"/>
        <v>-0.25</v>
      </c>
      <c r="BA43" s="1506">
        <v>11.338468884221001</v>
      </c>
      <c r="BB43" s="1506">
        <v>11.321840284971366</v>
      </c>
      <c r="BC43" s="1506">
        <v>11.305171070149207</v>
      </c>
      <c r="BD43" s="1506">
        <v>11.288461160252741</v>
      </c>
      <c r="BE43" s="1514">
        <v>11.271710475665502</v>
      </c>
      <c r="BF43" s="1506">
        <v>11.254918936655615</v>
      </c>
      <c r="BG43" s="1506">
        <v>11.238086463376055</v>
      </c>
      <c r="BH43" s="1506">
        <v>11.221212975864132</v>
      </c>
      <c r="BI43" s="1507">
        <v>11.204298394041681</v>
      </c>
    </row>
    <row r="44" spans="1:61" s="7" customFormat="1" x14ac:dyDescent="0.8">
      <c r="A44" s="219" t="s">
        <v>170</v>
      </c>
      <c r="B44" s="276"/>
      <c r="C44" s="25"/>
      <c r="D44" s="25"/>
      <c r="E44" s="25"/>
      <c r="F44" s="25"/>
      <c r="G44" s="25"/>
      <c r="H44" s="204">
        <f>SUM(H42:H43)</f>
        <v>2.8115267138483998E-2</v>
      </c>
      <c r="I44" s="205">
        <f t="shared" ref="I44:AO44" si="53">SUM(I42:I43)</f>
        <v>3.2091766183644822E-2</v>
      </c>
      <c r="J44" s="205">
        <f t="shared" si="53"/>
        <v>3.6249999999999977E-2</v>
      </c>
      <c r="K44" s="205">
        <f t="shared" si="53"/>
        <v>4.0408233816355173E-2</v>
      </c>
      <c r="L44" s="205">
        <f t="shared" si="53"/>
        <v>4.4384732861515994E-2</v>
      </c>
      <c r="M44" s="205">
        <f t="shared" si="53"/>
        <v>4.8005705045849459E-2</v>
      </c>
      <c r="N44" s="204">
        <f t="shared" si="53"/>
        <v>4.2362896509547887E-2</v>
      </c>
      <c r="O44" s="205">
        <f t="shared" si="53"/>
        <v>4.482050807568877E-2</v>
      </c>
      <c r="P44" s="205">
        <f t="shared" si="53"/>
        <v>4.6521130325903076E-2</v>
      </c>
      <c r="Q44" s="205">
        <f t="shared" si="53"/>
        <v>4.7390437907365468E-2</v>
      </c>
      <c r="R44" s="205">
        <f t="shared" si="53"/>
        <v>4.7390437907365468E-2</v>
      </c>
      <c r="S44" s="205">
        <f t="shared" si="53"/>
        <v>4.6521130325903076E-2</v>
      </c>
      <c r="T44" s="205">
        <f t="shared" si="53"/>
        <v>4.4820508075688784E-2</v>
      </c>
      <c r="U44" s="205">
        <f t="shared" si="53"/>
        <v>4.2362896509547908E-2</v>
      </c>
      <c r="V44" s="205">
        <f t="shared" si="53"/>
        <v>3.9255705045849465E-2</v>
      </c>
      <c r="W44" s="205">
        <f t="shared" si="53"/>
        <v>3.5634732861516021E-2</v>
      </c>
      <c r="X44" s="205">
        <f t="shared" si="53"/>
        <v>3.165823381635522E-2</v>
      </c>
      <c r="Y44" s="205">
        <f t="shared" si="53"/>
        <v>2.7500000000000011E-2</v>
      </c>
      <c r="Z44" s="205">
        <f t="shared" si="53"/>
        <v>2.3341766183644832E-2</v>
      </c>
      <c r="AA44" s="205">
        <f t="shared" si="53"/>
        <v>1.9365267138483994E-2</v>
      </c>
      <c r="AB44" s="205">
        <f t="shared" si="53"/>
        <v>1.5744294954150542E-2</v>
      </c>
      <c r="AC44" s="205">
        <f t="shared" si="53"/>
        <v>1.2637103490452127E-2</v>
      </c>
      <c r="AD44" s="205">
        <f t="shared" si="53"/>
        <v>1.0179491924311231E-2</v>
      </c>
      <c r="AE44" s="205">
        <f t="shared" si="53"/>
        <v>8.478869674096931E-3</v>
      </c>
      <c r="AF44" s="205">
        <f t="shared" si="53"/>
        <v>7.6095620926345314E-3</v>
      </c>
      <c r="AG44" s="205">
        <f t="shared" si="53"/>
        <v>7.609562092634534E-3</v>
      </c>
      <c r="AH44" s="205">
        <f t="shared" si="53"/>
        <v>8.4788696740969241E-3</v>
      </c>
      <c r="AI44" s="205">
        <f t="shared" si="53"/>
        <v>1.0179491924311234E-2</v>
      </c>
      <c r="AJ44" s="205">
        <f t="shared" si="53"/>
        <v>1.2637103490452117E-2</v>
      </c>
      <c r="AK44" s="205">
        <f t="shared" si="53"/>
        <v>1.2637103490452117E-2</v>
      </c>
      <c r="AL44" s="205">
        <f t="shared" si="53"/>
        <v>1.2637103490452117E-2</v>
      </c>
      <c r="AM44" s="205">
        <f t="shared" si="53"/>
        <v>1.2637103490452117E-2</v>
      </c>
      <c r="AN44" s="205">
        <f t="shared" si="53"/>
        <v>1.2637103490452117E-2</v>
      </c>
      <c r="AO44" s="220">
        <f t="shared" si="53"/>
        <v>1.2637103490452117E-2</v>
      </c>
      <c r="AT44" s="1504"/>
      <c r="AU44" s="1545">
        <f>AU45-0.1%</f>
        <v>-9.4499999999999998E-4</v>
      </c>
      <c r="AV44" s="1365">
        <v>10.722805860922097</v>
      </c>
      <c r="AX44" s="1641"/>
      <c r="AY44" s="1650"/>
      <c r="AZ44" s="1558">
        <f t="shared" si="52"/>
        <v>-0.2</v>
      </c>
      <c r="BA44" s="1506">
        <v>11.143666189681753</v>
      </c>
      <c r="BB44" s="1506">
        <v>11.125445343771325</v>
      </c>
      <c r="BC44" s="1506">
        <v>11.107177066827537</v>
      </c>
      <c r="BD44" s="1506">
        <v>11.088861259911443</v>
      </c>
      <c r="BE44" s="1514">
        <v>11.070497823931532</v>
      </c>
      <c r="BF44" s="1506">
        <v>11.05208665964374</v>
      </c>
      <c r="BG44" s="1506">
        <v>11.033627667650645</v>
      </c>
      <c r="BH44" s="1506">
        <v>11.01512074840195</v>
      </c>
      <c r="BI44" s="1507">
        <v>10.996565802194182</v>
      </c>
    </row>
    <row r="45" spans="1:61" s="7" customFormat="1" x14ac:dyDescent="0.8">
      <c r="A45" s="327" t="s">
        <v>171</v>
      </c>
      <c r="B45" s="320"/>
      <c r="C45" s="81"/>
      <c r="D45" s="81"/>
      <c r="E45" s="81"/>
      <c r="F45" s="81"/>
      <c r="G45" s="81"/>
      <c r="H45" s="82">
        <f>0.004375</f>
        <v>4.3750000000000004E-3</v>
      </c>
      <c r="I45" s="81">
        <f t="shared" ref="I45:AO45" si="54">0.004375</f>
        <v>4.3750000000000004E-3</v>
      </c>
      <c r="J45" s="81">
        <f t="shared" si="54"/>
        <v>4.3750000000000004E-3</v>
      </c>
      <c r="K45" s="81">
        <f t="shared" si="54"/>
        <v>4.3750000000000004E-3</v>
      </c>
      <c r="L45" s="81">
        <f t="shared" si="54"/>
        <v>4.3750000000000004E-3</v>
      </c>
      <c r="M45" s="81">
        <f t="shared" si="54"/>
        <v>4.3750000000000004E-3</v>
      </c>
      <c r="N45" s="82">
        <f t="shared" si="54"/>
        <v>4.3750000000000004E-3</v>
      </c>
      <c r="O45" s="81">
        <f t="shared" si="54"/>
        <v>4.3750000000000004E-3</v>
      </c>
      <c r="P45" s="81">
        <f t="shared" si="54"/>
        <v>4.3750000000000004E-3</v>
      </c>
      <c r="Q45" s="81">
        <f t="shared" si="54"/>
        <v>4.3750000000000004E-3</v>
      </c>
      <c r="R45" s="81">
        <f t="shared" si="54"/>
        <v>4.3750000000000004E-3</v>
      </c>
      <c r="S45" s="81">
        <f t="shared" si="54"/>
        <v>4.3750000000000004E-3</v>
      </c>
      <c r="T45" s="81">
        <f t="shared" si="54"/>
        <v>4.3750000000000004E-3</v>
      </c>
      <c r="U45" s="81">
        <f t="shared" si="54"/>
        <v>4.3750000000000004E-3</v>
      </c>
      <c r="V45" s="81">
        <f t="shared" si="54"/>
        <v>4.3750000000000004E-3</v>
      </c>
      <c r="W45" s="81">
        <f t="shared" si="54"/>
        <v>4.3750000000000004E-3</v>
      </c>
      <c r="X45" s="81">
        <f t="shared" si="54"/>
        <v>4.3750000000000004E-3</v>
      </c>
      <c r="Y45" s="81">
        <f t="shared" si="54"/>
        <v>4.3750000000000004E-3</v>
      </c>
      <c r="Z45" s="81">
        <f t="shared" si="54"/>
        <v>4.3750000000000004E-3</v>
      </c>
      <c r="AA45" s="81">
        <f t="shared" si="54"/>
        <v>4.3750000000000004E-3</v>
      </c>
      <c r="AB45" s="81">
        <f t="shared" si="54"/>
        <v>4.3750000000000004E-3</v>
      </c>
      <c r="AC45" s="81">
        <f t="shared" si="54"/>
        <v>4.3750000000000004E-3</v>
      </c>
      <c r="AD45" s="81">
        <f t="shared" si="54"/>
        <v>4.3750000000000004E-3</v>
      </c>
      <c r="AE45" s="81">
        <f t="shared" si="54"/>
        <v>4.3750000000000004E-3</v>
      </c>
      <c r="AF45" s="81">
        <f t="shared" si="54"/>
        <v>4.3750000000000004E-3</v>
      </c>
      <c r="AG45" s="81">
        <f t="shared" si="54"/>
        <v>4.3750000000000004E-3</v>
      </c>
      <c r="AH45" s="81">
        <f t="shared" si="54"/>
        <v>4.3750000000000004E-3</v>
      </c>
      <c r="AI45" s="81">
        <f t="shared" si="54"/>
        <v>4.3750000000000004E-3</v>
      </c>
      <c r="AJ45" s="81">
        <f t="shared" si="54"/>
        <v>4.3750000000000004E-3</v>
      </c>
      <c r="AK45" s="81">
        <f t="shared" si="54"/>
        <v>4.3750000000000004E-3</v>
      </c>
      <c r="AL45" s="81">
        <f t="shared" si="54"/>
        <v>4.3750000000000004E-3</v>
      </c>
      <c r="AM45" s="81">
        <f t="shared" si="54"/>
        <v>4.3750000000000004E-3</v>
      </c>
      <c r="AN45" s="81">
        <f t="shared" si="54"/>
        <v>4.3750000000000004E-3</v>
      </c>
      <c r="AO45" s="344">
        <f t="shared" si="54"/>
        <v>4.3750000000000004E-3</v>
      </c>
      <c r="AT45" s="1504"/>
      <c r="AU45" s="1570">
        <v>5.5000000000000002E-5</v>
      </c>
      <c r="AV45" s="1569">
        <v>10.653657453279301</v>
      </c>
      <c r="AX45" s="1641"/>
      <c r="AY45" s="1650"/>
      <c r="AZ45" s="1558">
        <f>AZ46-5%</f>
        <v>-0.15000000000000002</v>
      </c>
      <c r="BA45" s="1506">
        <v>10.944389543635205</v>
      </c>
      <c r="BB45" s="1506">
        <v>10.924503523428843</v>
      </c>
      <c r="BC45" s="1506">
        <v>10.904562549197578</v>
      </c>
      <c r="BD45" s="1506">
        <v>10.884566499259916</v>
      </c>
      <c r="BE45" s="1514">
        <v>10.864515251734693</v>
      </c>
      <c r="BF45" s="1506">
        <v>10.844408684541373</v>
      </c>
      <c r="BG45" s="1506">
        <v>10.824246675399699</v>
      </c>
      <c r="BH45" s="1506">
        <v>10.804029101829526</v>
      </c>
      <c r="BI45" s="1507">
        <v>10.783755841150478</v>
      </c>
    </row>
    <row r="46" spans="1:61" s="7" customFormat="1" x14ac:dyDescent="0.8">
      <c r="A46" s="328" t="s">
        <v>378</v>
      </c>
      <c r="B46" s="274"/>
      <c r="C46" s="198"/>
      <c r="D46" s="198"/>
      <c r="E46" s="198"/>
      <c r="F46" s="198"/>
      <c r="G46" s="198"/>
      <c r="H46" s="324"/>
      <c r="I46" s="325"/>
      <c r="J46" s="325"/>
      <c r="K46" s="325"/>
      <c r="L46" s="325"/>
      <c r="M46" s="325"/>
      <c r="N46" s="324"/>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6"/>
      <c r="AT46" s="1504"/>
      <c r="AU46" s="1545">
        <f>AU45+0.1%</f>
        <v>1.0549999999999999E-3</v>
      </c>
      <c r="AV46" s="1365">
        <v>10.582889259213337</v>
      </c>
      <c r="AX46" s="1641"/>
      <c r="AY46" s="1650"/>
      <c r="AZ46" s="1567">
        <v>-0.1</v>
      </c>
      <c r="BA46" s="1514">
        <v>10.74054381734404</v>
      </c>
      <c r="BB46" s="1514">
        <v>10.718917212765938</v>
      </c>
      <c r="BC46" s="1514">
        <v>10.697227382667487</v>
      </c>
      <c r="BD46" s="1514">
        <v>10.675474178955193</v>
      </c>
      <c r="BE46" s="1518">
        <v>10.653657453279301</v>
      </c>
      <c r="BF46" s="1514">
        <v>10.631777057033215</v>
      </c>
      <c r="BG46" s="1514">
        <v>10.60983284135316</v>
      </c>
      <c r="BH46" s="1514">
        <v>10.587824657117741</v>
      </c>
      <c r="BI46" s="1516">
        <v>10.565752354948071</v>
      </c>
    </row>
    <row r="47" spans="1:61" s="7" customFormat="1" x14ac:dyDescent="0.8">
      <c r="A47" s="219" t="s">
        <v>379</v>
      </c>
      <c r="B47" s="340">
        <v>10000</v>
      </c>
      <c r="C47" s="341">
        <v>10000</v>
      </c>
      <c r="D47" s="341">
        <v>10000</v>
      </c>
      <c r="E47" s="341">
        <v>10000</v>
      </c>
      <c r="F47" s="341">
        <v>10000</v>
      </c>
      <c r="G47" s="248" t="s">
        <v>37</v>
      </c>
      <c r="H47" s="131"/>
      <c r="N47" s="203"/>
      <c r="O47" s="159"/>
      <c r="P47" s="159"/>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292"/>
      <c r="AT47" s="1504"/>
      <c r="AU47" s="1545">
        <f t="shared" ref="AU47:AU49" si="55">AU46+0.1%</f>
        <v>2.055E-3</v>
      </c>
      <c r="AV47" s="1365">
        <v>10.510517112793764</v>
      </c>
      <c r="AX47" s="1641"/>
      <c r="AY47" s="1650"/>
      <c r="AZ47" s="1558">
        <f>AZ46+5%</f>
        <v>-0.05</v>
      </c>
      <c r="BA47" s="1506">
        <v>10.532032066190611</v>
      </c>
      <c r="BB47" s="1506">
        <v>10.508586916492781</v>
      </c>
      <c r="BC47" s="1506">
        <v>10.485069478619458</v>
      </c>
      <c r="BD47" s="1506">
        <v>10.461479574010161</v>
      </c>
      <c r="BE47" s="1514">
        <v>10.437817023778571</v>
      </c>
      <c r="BF47" s="1506">
        <v>10.414081648711358</v>
      </c>
      <c r="BG47" s="1506">
        <v>10.3902732692685</v>
      </c>
      <c r="BH47" s="1506">
        <v>10.366391705582439</v>
      </c>
      <c r="BI47" s="1507">
        <v>10.342436777457849</v>
      </c>
    </row>
    <row r="48" spans="1:61" s="7" customFormat="1" x14ac:dyDescent="0.8">
      <c r="A48" s="219" t="s">
        <v>380</v>
      </c>
      <c r="B48" s="369">
        <v>3.6999999999999998E-2</v>
      </c>
      <c r="C48" s="191">
        <v>1.9900000000000001E-2</v>
      </c>
      <c r="D48" s="191">
        <v>1.9900000000000001E-2</v>
      </c>
      <c r="E48" s="191">
        <v>2.69E-2</v>
      </c>
      <c r="F48" s="191">
        <v>2.69E-2</v>
      </c>
      <c r="G48" s="248" t="s">
        <v>37</v>
      </c>
      <c r="H48" s="131"/>
      <c r="N48" s="203"/>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292"/>
      <c r="AT48" s="1504"/>
      <c r="AU48" s="1545">
        <f t="shared" si="55"/>
        <v>3.055E-3</v>
      </c>
      <c r="AV48" s="1365">
        <v>10.436571024946611</v>
      </c>
      <c r="AX48" s="1641"/>
      <c r="AY48" s="1650"/>
      <c r="AZ48" s="1558">
        <f t="shared" ref="AZ48:AZ50" si="56">AZ47+5%</f>
        <v>0</v>
      </c>
      <c r="BA48" s="1506">
        <v>10.318755499177415</v>
      </c>
      <c r="BB48" s="1506">
        <v>10.293411223156864</v>
      </c>
      <c r="BC48" s="1506">
        <v>10.267984760757322</v>
      </c>
      <c r="BD48" s="1506">
        <v>10.242475898483622</v>
      </c>
      <c r="BE48" s="1514">
        <v>10.216884422430466</v>
      </c>
      <c r="BF48" s="1506">
        <v>10.191210118281802</v>
      </c>
      <c r="BG48" s="1506">
        <v>10.165452771310587</v>
      </c>
      <c r="BH48" s="1506">
        <v>10.13961216637767</v>
      </c>
      <c r="BI48" s="1507">
        <v>10.113688087932001</v>
      </c>
    </row>
    <row r="49" spans="1:61" s="7" customFormat="1" ht="16.75" thickBot="1" x14ac:dyDescent="0.95">
      <c r="A49" s="317" t="s">
        <v>381</v>
      </c>
      <c r="B49" s="275"/>
      <c r="C49" s="157"/>
      <c r="D49" s="157"/>
      <c r="E49" s="157"/>
      <c r="F49" s="157"/>
      <c r="H49" s="131"/>
      <c r="N49" s="203"/>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292"/>
      <c r="AT49" s="1505"/>
      <c r="AU49" s="1547">
        <f t="shared" si="55"/>
        <v>4.0549999999999996E-3</v>
      </c>
      <c r="AV49" s="1369">
        <v>10.361098237220409</v>
      </c>
      <c r="AX49" s="1641"/>
      <c r="AY49" s="1650"/>
      <c r="AZ49" s="1558">
        <f t="shared" si="56"/>
        <v>0.05</v>
      </c>
      <c r="BA49" s="1506">
        <v>10.100616287182421</v>
      </c>
      <c r="BB49" s="1506">
        <v>10.073289611819121</v>
      </c>
      <c r="BC49" s="1506">
        <v>10.04586997014751</v>
      </c>
      <c r="BD49" s="1506">
        <v>10.018357108831326</v>
      </c>
      <c r="BE49" s="1514">
        <v>9.9907507740236667</v>
      </c>
      <c r="BF49" s="1506">
        <v>9.963050711366451</v>
      </c>
      <c r="BG49" s="1506">
        <v>9.9352566659896144</v>
      </c>
      <c r="BH49" s="1506">
        <v>9.9073683825104251</v>
      </c>
      <c r="BI49" s="1507">
        <v>9.8793856050330753</v>
      </c>
    </row>
    <row r="50" spans="1:61" s="7" customFormat="1" ht="16.75" thickBot="1" x14ac:dyDescent="0.95">
      <c r="A50" s="219" t="s">
        <v>379</v>
      </c>
      <c r="B50" s="331" t="s">
        <v>37</v>
      </c>
      <c r="C50" s="331" t="s">
        <v>37</v>
      </c>
      <c r="D50" s="331" t="s">
        <v>37</v>
      </c>
      <c r="E50" s="331" t="s">
        <v>37</v>
      </c>
      <c r="F50" s="341">
        <v>6500</v>
      </c>
      <c r="G50" s="341">
        <v>6500</v>
      </c>
      <c r="H50" s="342">
        <v>6500</v>
      </c>
      <c r="I50" s="341">
        <v>6500</v>
      </c>
      <c r="J50" s="341">
        <v>6500</v>
      </c>
      <c r="K50" s="341">
        <v>6500</v>
      </c>
      <c r="L50" s="341">
        <v>6500</v>
      </c>
      <c r="M50" s="341">
        <v>6500</v>
      </c>
      <c r="N50" s="203"/>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292"/>
      <c r="AX50" s="1642"/>
      <c r="AY50" s="1651"/>
      <c r="AZ50" s="1562">
        <f t="shared" si="56"/>
        <v>0.1</v>
      </c>
      <c r="BA50" s="1508">
        <v>9.8750598477814631</v>
      </c>
      <c r="BB50" s="1508">
        <v>9.8456410229495628</v>
      </c>
      <c r="BC50" s="1508">
        <v>9.8161173740258221</v>
      </c>
      <c r="BD50" s="1508">
        <v>9.7864864570011765</v>
      </c>
      <c r="BE50" s="1515">
        <v>9.7567441730646607</v>
      </c>
      <c r="BF50" s="1508">
        <v>9.7268859791562754</v>
      </c>
      <c r="BG50" s="1508">
        <v>9.6968370145998986</v>
      </c>
      <c r="BH50" s="1508">
        <v>9.6668609625895137</v>
      </c>
      <c r="BI50" s="1509">
        <v>9.6366233891893511</v>
      </c>
    </row>
    <row r="51" spans="1:61" s="7" customFormat="1" x14ac:dyDescent="0.8">
      <c r="A51" s="219" t="s">
        <v>380</v>
      </c>
      <c r="B51" s="331" t="s">
        <v>37</v>
      </c>
      <c r="C51" s="331" t="s">
        <v>37</v>
      </c>
      <c r="D51" s="331" t="s">
        <v>37</v>
      </c>
      <c r="E51" s="331" t="s">
        <v>37</v>
      </c>
      <c r="F51" s="205">
        <v>1.7500000000000002E-2</v>
      </c>
      <c r="G51" s="205">
        <v>1.7500000000000002E-2</v>
      </c>
      <c r="H51" s="204">
        <v>1.7500000000000002E-2</v>
      </c>
      <c r="I51" s="205">
        <v>1.7500000000000002E-2</v>
      </c>
      <c r="J51" s="205">
        <v>1.7500000000000002E-2</v>
      </c>
      <c r="K51" s="205">
        <v>1.7500000000000002E-2</v>
      </c>
      <c r="L51" s="205">
        <v>1.7500000000000002E-2</v>
      </c>
      <c r="M51" s="205">
        <v>1.7500000000000002E-2</v>
      </c>
      <c r="N51" s="207"/>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292"/>
    </row>
    <row r="52" spans="1:61" s="7" customFormat="1" x14ac:dyDescent="0.8">
      <c r="A52" s="317" t="s">
        <v>382</v>
      </c>
      <c r="B52" s="276"/>
      <c r="C52" s="25"/>
      <c r="D52" s="25"/>
      <c r="E52" s="25"/>
      <c r="F52" s="25"/>
      <c r="G52" s="25"/>
      <c r="H52" s="207"/>
      <c r="I52" s="159"/>
      <c r="J52" s="159"/>
      <c r="K52" s="159"/>
      <c r="L52" s="159"/>
      <c r="N52" s="131"/>
      <c r="U52" s="159"/>
      <c r="V52" s="159"/>
      <c r="W52" s="159"/>
      <c r="X52" s="159"/>
      <c r="Y52" s="159"/>
      <c r="Z52" s="159"/>
      <c r="AA52" s="159"/>
      <c r="AB52" s="159"/>
      <c r="AC52" s="159"/>
      <c r="AD52" s="159"/>
      <c r="AE52" s="159"/>
      <c r="AF52" s="159"/>
      <c r="AG52" s="159"/>
      <c r="AH52" s="159"/>
      <c r="AI52" s="159"/>
      <c r="AJ52" s="159"/>
      <c r="AK52" s="159"/>
      <c r="AL52" s="159"/>
      <c r="AM52" s="159"/>
      <c r="AN52" s="159"/>
      <c r="AO52" s="292"/>
    </row>
    <row r="53" spans="1:61" s="7" customFormat="1" x14ac:dyDescent="0.8">
      <c r="A53" s="219" t="s">
        <v>379</v>
      </c>
      <c r="B53" s="331" t="s">
        <v>37</v>
      </c>
      <c r="C53" s="331" t="s">
        <v>37</v>
      </c>
      <c r="D53" s="331" t="s">
        <v>37</v>
      </c>
      <c r="E53" s="331" t="s">
        <v>37</v>
      </c>
      <c r="F53" s="331" t="s">
        <v>37</v>
      </c>
      <c r="G53" s="332" t="s">
        <v>37</v>
      </c>
      <c r="H53" s="331" t="s">
        <v>37</v>
      </c>
      <c r="I53" s="331" t="s">
        <v>37</v>
      </c>
      <c r="J53" s="331" t="s">
        <v>37</v>
      </c>
      <c r="K53" s="331" t="s">
        <v>37</v>
      </c>
      <c r="L53" s="331" t="s">
        <v>37</v>
      </c>
      <c r="M53" s="341">
        <v>4225</v>
      </c>
      <c r="N53" s="342">
        <v>4225</v>
      </c>
      <c r="O53" s="341">
        <v>4225</v>
      </c>
      <c r="P53" s="341">
        <v>4225</v>
      </c>
      <c r="Q53" s="341">
        <v>4225</v>
      </c>
      <c r="R53" s="341">
        <v>4225</v>
      </c>
      <c r="S53" s="341">
        <v>4225</v>
      </c>
      <c r="T53" s="341">
        <v>4225</v>
      </c>
      <c r="U53" s="159"/>
      <c r="V53" s="159"/>
      <c r="W53" s="159"/>
      <c r="X53" s="159"/>
      <c r="Y53" s="159"/>
      <c r="Z53" s="159"/>
      <c r="AA53" s="159"/>
      <c r="AB53" s="159"/>
      <c r="AC53" s="159"/>
      <c r="AD53" s="159"/>
      <c r="AE53" s="159"/>
      <c r="AF53" s="159"/>
      <c r="AG53" s="159"/>
      <c r="AH53" s="159"/>
      <c r="AI53" s="159"/>
      <c r="AJ53" s="159"/>
      <c r="AK53" s="159"/>
      <c r="AL53" s="159"/>
      <c r="AM53" s="159"/>
      <c r="AN53" s="159"/>
      <c r="AO53" s="292"/>
    </row>
    <row r="54" spans="1:61" s="7" customFormat="1" x14ac:dyDescent="0.8">
      <c r="A54" s="219" t="s">
        <v>380</v>
      </c>
      <c r="B54" s="331" t="s">
        <v>37</v>
      </c>
      <c r="C54" s="331" t="s">
        <v>37</v>
      </c>
      <c r="D54" s="331" t="s">
        <v>37</v>
      </c>
      <c r="E54" s="331" t="s">
        <v>37</v>
      </c>
      <c r="F54" s="331" t="s">
        <v>37</v>
      </c>
      <c r="G54" s="332" t="s">
        <v>37</v>
      </c>
      <c r="H54" s="331" t="s">
        <v>37</v>
      </c>
      <c r="I54" s="331" t="s">
        <v>37</v>
      </c>
      <c r="J54" s="331" t="s">
        <v>37</v>
      </c>
      <c r="K54" s="331" t="s">
        <v>37</v>
      </c>
      <c r="L54" s="331" t="s">
        <v>37</v>
      </c>
      <c r="M54" s="205">
        <v>1.4999999999999999E-2</v>
      </c>
      <c r="N54" s="204">
        <v>1.4999999999999999E-2</v>
      </c>
      <c r="O54" s="205">
        <v>1.4999999999999999E-2</v>
      </c>
      <c r="P54" s="205">
        <v>1.4999999999999999E-2</v>
      </c>
      <c r="Q54" s="205">
        <v>1.4999999999999999E-2</v>
      </c>
      <c r="R54" s="205">
        <v>1.4999999999999999E-2</v>
      </c>
      <c r="S54" s="205">
        <v>1.4999999999999999E-2</v>
      </c>
      <c r="T54" s="205">
        <v>1.4999999999999999E-2</v>
      </c>
      <c r="U54" s="159"/>
      <c r="V54" s="159"/>
      <c r="W54" s="159"/>
      <c r="X54" s="159"/>
      <c r="Y54" s="159"/>
      <c r="Z54" s="159"/>
      <c r="AA54" s="159"/>
      <c r="AB54" s="159"/>
      <c r="AC54" s="159"/>
      <c r="AD54" s="159"/>
      <c r="AE54" s="159"/>
      <c r="AF54" s="159"/>
      <c r="AG54" s="159"/>
      <c r="AH54" s="159"/>
      <c r="AI54" s="159"/>
      <c r="AJ54" s="159"/>
      <c r="AK54" s="159"/>
      <c r="AL54" s="159"/>
      <c r="AM54" s="159"/>
      <c r="AN54" s="159"/>
      <c r="AO54" s="292"/>
      <c r="AT54"/>
      <c r="AU54"/>
      <c r="AV54"/>
    </row>
    <row r="55" spans="1:61" s="7" customFormat="1" x14ac:dyDescent="0.8">
      <c r="A55" s="317" t="s">
        <v>383</v>
      </c>
      <c r="B55" s="276"/>
      <c r="C55" s="25"/>
      <c r="D55" s="25"/>
      <c r="E55" s="25"/>
      <c r="F55" s="25"/>
      <c r="G55" s="25"/>
      <c r="H55" s="207"/>
      <c r="I55" s="159"/>
      <c r="J55" s="159"/>
      <c r="K55" s="159"/>
      <c r="L55" s="159"/>
      <c r="M55" s="157" t="s">
        <v>384</v>
      </c>
      <c r="N55" s="203"/>
      <c r="O55" s="157"/>
      <c r="P55" s="157"/>
      <c r="Q55" s="157"/>
      <c r="R55" s="157"/>
      <c r="S55" s="157"/>
      <c r="T55" s="157"/>
      <c r="U55" s="159"/>
      <c r="V55" s="159"/>
      <c r="W55" s="159"/>
      <c r="X55" s="159"/>
      <c r="Y55" s="159"/>
      <c r="Z55" s="159"/>
      <c r="AA55" s="159"/>
      <c r="AB55" s="159"/>
      <c r="AC55" s="159"/>
      <c r="AD55" s="159"/>
      <c r="AE55" s="159"/>
      <c r="AF55" s="159"/>
      <c r="AG55" s="159"/>
      <c r="AH55" s="159"/>
      <c r="AI55" s="159"/>
      <c r="AJ55" s="159"/>
      <c r="AK55" s="159"/>
      <c r="AL55" s="159"/>
      <c r="AM55" s="159"/>
      <c r="AN55" s="159"/>
      <c r="AO55" s="292"/>
      <c r="AT55"/>
      <c r="AU55"/>
      <c r="AV55"/>
    </row>
    <row r="56" spans="1:61" s="7" customFormat="1" x14ac:dyDescent="0.8">
      <c r="A56" s="219" t="s">
        <v>379</v>
      </c>
      <c r="B56" s="331" t="s">
        <v>37</v>
      </c>
      <c r="C56" s="331" t="s">
        <v>37</v>
      </c>
      <c r="D56" s="331" t="s">
        <v>37</v>
      </c>
      <c r="E56" s="331" t="s">
        <v>37</v>
      </c>
      <c r="F56" s="331" t="s">
        <v>37</v>
      </c>
      <c r="G56" s="332" t="s">
        <v>37</v>
      </c>
      <c r="H56" s="331" t="s">
        <v>37</v>
      </c>
      <c r="I56" s="331" t="s">
        <v>37</v>
      </c>
      <c r="J56" s="331" t="s">
        <v>37</v>
      </c>
      <c r="K56" s="331" t="s">
        <v>37</v>
      </c>
      <c r="L56" s="331" t="s">
        <v>37</v>
      </c>
      <c r="M56" s="332" t="s">
        <v>37</v>
      </c>
      <c r="N56" s="331" t="s">
        <v>37</v>
      </c>
      <c r="O56" s="331" t="s">
        <v>37</v>
      </c>
      <c r="P56" s="331" t="s">
        <v>37</v>
      </c>
      <c r="Q56" s="331" t="s">
        <v>37</v>
      </c>
      <c r="R56" s="331" t="s">
        <v>37</v>
      </c>
      <c r="S56" s="331" t="s">
        <v>37</v>
      </c>
      <c r="T56" s="341">
        <v>2750</v>
      </c>
      <c r="U56" s="341">
        <v>2750</v>
      </c>
      <c r="V56" s="341">
        <v>2750</v>
      </c>
      <c r="W56" s="341">
        <v>2750</v>
      </c>
      <c r="X56" s="341">
        <v>2750</v>
      </c>
      <c r="Y56" s="341">
        <v>2750</v>
      </c>
      <c r="Z56" s="341">
        <v>2750</v>
      </c>
      <c r="AA56" s="341">
        <v>2750</v>
      </c>
      <c r="AB56" s="159"/>
      <c r="AC56" s="159"/>
      <c r="AD56" s="159"/>
      <c r="AE56" s="159"/>
      <c r="AF56" s="159"/>
      <c r="AG56" s="159"/>
      <c r="AH56" s="159"/>
      <c r="AI56" s="159"/>
      <c r="AJ56" s="159"/>
      <c r="AK56" s="159"/>
      <c r="AL56" s="159"/>
      <c r="AM56" s="159"/>
      <c r="AN56" s="159"/>
      <c r="AO56" s="292"/>
      <c r="AT56"/>
      <c r="AU56"/>
      <c r="AV56"/>
    </row>
    <row r="57" spans="1:61" x14ac:dyDescent="0.8">
      <c r="A57" s="327" t="s">
        <v>380</v>
      </c>
      <c r="B57" s="436" t="s">
        <v>37</v>
      </c>
      <c r="C57" s="436" t="s">
        <v>37</v>
      </c>
      <c r="D57" s="436" t="s">
        <v>37</v>
      </c>
      <c r="E57" s="436" t="s">
        <v>37</v>
      </c>
      <c r="F57" s="436" t="s">
        <v>37</v>
      </c>
      <c r="G57" s="437" t="s">
        <v>37</v>
      </c>
      <c r="H57" s="436" t="s">
        <v>37</v>
      </c>
      <c r="I57" s="436" t="s">
        <v>37</v>
      </c>
      <c r="J57" s="436" t="s">
        <v>37</v>
      </c>
      <c r="K57" s="436" t="s">
        <v>37</v>
      </c>
      <c r="L57" s="436" t="s">
        <v>37</v>
      </c>
      <c r="M57" s="437" t="s">
        <v>37</v>
      </c>
      <c r="N57" s="436" t="s">
        <v>37</v>
      </c>
      <c r="O57" s="436" t="s">
        <v>37</v>
      </c>
      <c r="P57" s="436" t="s">
        <v>37</v>
      </c>
      <c r="Q57" s="436" t="s">
        <v>37</v>
      </c>
      <c r="R57" s="436" t="s">
        <v>37</v>
      </c>
      <c r="S57" s="436" t="s">
        <v>37</v>
      </c>
      <c r="T57" s="398">
        <v>1.2500000000000001E-2</v>
      </c>
      <c r="U57" s="398">
        <v>1.2500000000000001E-2</v>
      </c>
      <c r="V57" s="398">
        <v>1.2500000000000001E-2</v>
      </c>
      <c r="W57" s="398">
        <v>1.2500000000000001E-2</v>
      </c>
      <c r="X57" s="398">
        <v>1.2500000000000001E-2</v>
      </c>
      <c r="Y57" s="398">
        <v>1.2500000000000001E-2</v>
      </c>
      <c r="Z57" s="398">
        <v>1.2500000000000001E-2</v>
      </c>
      <c r="AA57" s="398">
        <v>1.2500000000000001E-2</v>
      </c>
      <c r="AB57" s="321"/>
      <c r="AC57" s="321"/>
      <c r="AD57" s="321"/>
      <c r="AE57" s="321"/>
      <c r="AF57" s="321"/>
      <c r="AG57" s="321"/>
      <c r="AH57" s="321"/>
      <c r="AI57" s="321"/>
      <c r="AJ57" s="321"/>
      <c r="AK57" s="321"/>
      <c r="AL57" s="321"/>
      <c r="AM57" s="321"/>
      <c r="AN57" s="321"/>
      <c r="AO57" s="322"/>
      <c r="AP57" s="7"/>
    </row>
    <row r="58" spans="1:61" ht="16.75" thickBot="1" x14ac:dyDescent="0.95">
      <c r="A58" s="23"/>
      <c r="B58" s="293"/>
      <c r="C58" s="294"/>
      <c r="D58" s="294"/>
      <c r="E58" s="294"/>
      <c r="F58" s="294"/>
      <c r="G58" s="294"/>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4"/>
      <c r="AP58" s="7"/>
      <c r="AQ58" s="7"/>
    </row>
    <row r="59" spans="1:61" x14ac:dyDescent="0.8">
      <c r="A59" s="7"/>
      <c r="B59" s="25"/>
      <c r="C59" s="25"/>
      <c r="D59" s="25"/>
      <c r="E59" s="25"/>
      <c r="F59" s="25"/>
      <c r="G59" s="2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row>
    <row r="60" spans="1:61" x14ac:dyDescent="0.8">
      <c r="A60" s="7"/>
    </row>
    <row r="61" spans="1:61" ht="16.5" customHeight="1" thickBot="1" x14ac:dyDescent="1.1499999999999999">
      <c r="A61" s="445" t="s">
        <v>519</v>
      </c>
    </row>
    <row r="62" spans="1:61" x14ac:dyDescent="0.8">
      <c r="A62" s="264" t="s">
        <v>106</v>
      </c>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171"/>
    </row>
    <row r="63" spans="1:61" x14ac:dyDescent="0.8">
      <c r="A63" s="366" t="s">
        <v>142</v>
      </c>
      <c r="B63" s="421">
        <f>'Revenue Schedule'!B65</f>
        <v>0</v>
      </c>
      <c r="C63" s="422">
        <f>'Revenue Schedule'!C65</f>
        <v>1.3023263496048426E-2</v>
      </c>
      <c r="D63" s="422">
        <f>'Revenue Schedule'!D65</f>
        <v>-0.23910066194932664</v>
      </c>
      <c r="E63" s="422">
        <f>'Revenue Schedule'!E65</f>
        <v>0.2011185155027963</v>
      </c>
      <c r="F63" s="422">
        <f>'Revenue Schedule'!F65</f>
        <v>7.2458597211072463E-3</v>
      </c>
      <c r="G63" s="423">
        <f>'Revenue Schedule'!G65</f>
        <v>-6.3636658824501799E-2</v>
      </c>
      <c r="H63" s="424">
        <f>'Revenue Schedule'!H65</f>
        <v>-8.0218284506429538E-2</v>
      </c>
      <c r="I63" s="425">
        <f>'Revenue Schedule'!I65</f>
        <v>9.46209535975195E-2</v>
      </c>
      <c r="J63" s="425">
        <f>'Revenue Schedule'!J65</f>
        <v>-1.459692663702806E-2</v>
      </c>
      <c r="K63" s="425">
        <f>'Revenue Schedule'!K65</f>
        <v>3.1595918889528507E-2</v>
      </c>
      <c r="L63" s="425">
        <f>'Revenue Schedule'!L65</f>
        <v>-3.7578308724409919E-2</v>
      </c>
      <c r="M63" s="425">
        <f>'Revenue Schedule'!M65</f>
        <v>3.2052475744660913E-2</v>
      </c>
      <c r="N63" s="424">
        <f>'Revenue Schedule'!N65</f>
        <v>-0.11024797639146866</v>
      </c>
      <c r="O63" s="425">
        <f>'Revenue Schedule'!O65</f>
        <v>2.6395024328734841E-2</v>
      </c>
      <c r="P63" s="425">
        <f>'Revenue Schedule'!P65</f>
        <v>-7.1458695941780323E-2</v>
      </c>
      <c r="Q63" s="425">
        <f>'Revenue Schedule'!Q65</f>
        <v>1.9295275208840008E-2</v>
      </c>
      <c r="R63" s="425">
        <f>'Revenue Schedule'!R65</f>
        <v>-7.6134031811010514E-2</v>
      </c>
      <c r="S63" s="425">
        <f>'Revenue Schedule'!S65</f>
        <v>1.3606006978867127E-2</v>
      </c>
      <c r="T63" s="425">
        <f>'Revenue Schedule'!T65</f>
        <v>-5.6861124898276855E-2</v>
      </c>
      <c r="U63" s="425">
        <f>'Revenue Schedule'!U65</f>
        <v>9.394301223976529E-3</v>
      </c>
      <c r="V63" s="425">
        <f>'Revenue Schedule'!V65</f>
        <v>-4.4193070125858623E-2</v>
      </c>
      <c r="W63" s="425">
        <f>'Revenue Schedule'!W65</f>
        <v>1.5033768026896377E-3</v>
      </c>
      <c r="X63" s="425">
        <f>'Revenue Schedule'!X65</f>
        <v>-3.5568842616255487E-2</v>
      </c>
      <c r="Y63" s="425">
        <f>'Revenue Schedule'!Y65</f>
        <v>-2.9194396319772054E-2</v>
      </c>
      <c r="Z63" s="425">
        <f>'Revenue Schedule'!Z65</f>
        <v>-3.5850478935720298E-2</v>
      </c>
      <c r="AA63" s="425">
        <f>'Revenue Schedule'!AA65</f>
        <v>-2.9642742725686469E-2</v>
      </c>
      <c r="AB63" s="425">
        <f>'Revenue Schedule'!AB65</f>
        <v>-3.4145975704420059E-2</v>
      </c>
      <c r="AC63" s="425">
        <f>'Revenue Schedule'!AC65</f>
        <v>-2.9690833110300879E-2</v>
      </c>
      <c r="AD63" s="425">
        <f>'Revenue Schedule'!AD65</f>
        <v>-3.2684056712558397E-2</v>
      </c>
      <c r="AE63" s="425">
        <f>'Revenue Schedule'!AE65</f>
        <v>-2.9451881692295026E-2</v>
      </c>
      <c r="AF63" s="425">
        <f>'Revenue Schedule'!AF65</f>
        <v>-3.1388570223934646E-2</v>
      </c>
      <c r="AG63" s="425">
        <f>'Revenue Schedule'!AG65</f>
        <v>-2.9007631524691591E-2</v>
      </c>
      <c r="AH63" s="425">
        <f>'Revenue Schedule'!AH65</f>
        <v>-2.8612654281871788E-2</v>
      </c>
      <c r="AI63" s="425">
        <f>'Revenue Schedule'!AI65</f>
        <v>-2.8049535653812151E-2</v>
      </c>
      <c r="AJ63" s="425">
        <f>'Revenue Schedule'!AJ65</f>
        <v>-2.7634110367531314E-2</v>
      </c>
      <c r="AK63" s="425">
        <f>'Revenue Schedule'!AK65</f>
        <v>-2.7089686894948978E-2</v>
      </c>
      <c r="AL63" s="425">
        <f>'Revenue Schedule'!AL65</f>
        <v>-2.6651802399609861E-2</v>
      </c>
      <c r="AM63" s="425">
        <f>'Revenue Schedule'!AM65</f>
        <v>-2.6121418468386368E-2</v>
      </c>
      <c r="AN63" s="425">
        <f>'Revenue Schedule'!AN65</f>
        <v>-2.5668007059615382E-2</v>
      </c>
      <c r="AO63" s="438">
        <f>'Revenue Schedule'!AO65</f>
        <v>-2.5148708033120176E-2</v>
      </c>
      <c r="AP63" s="1357"/>
      <c r="AQ63" s="1357"/>
    </row>
    <row r="64" spans="1:61" x14ac:dyDescent="0.8">
      <c r="A64" s="219" t="s">
        <v>141</v>
      </c>
      <c r="B64" s="271">
        <f>'Revenue Schedule'!B59</f>
        <v>0</v>
      </c>
      <c r="C64" s="258">
        <f>'Revenue Schedule'!C59</f>
        <v>9.8168388086614045E-2</v>
      </c>
      <c r="D64" s="258">
        <f>'Revenue Schedule'!D59</f>
        <v>-0.27657911982658667</v>
      </c>
      <c r="E64" s="258">
        <f>'Revenue Schedule'!E59</f>
        <v>0.1090355238991175</v>
      </c>
      <c r="F64" s="258">
        <f>'Revenue Schedule'!F59</f>
        <v>-1.5115814606867643E-2</v>
      </c>
      <c r="G64" s="259">
        <f>'Revenue Schedule'!G59</f>
        <v>-2.7788284080293466E-2</v>
      </c>
      <c r="H64" s="261">
        <f>'Revenue Schedule'!H59</f>
        <v>-8.8255864858657537E-2</v>
      </c>
      <c r="I64" s="260">
        <f>'Revenue Schedule'!I59</f>
        <v>8.5093687105652072E-2</v>
      </c>
      <c r="J64" s="260">
        <f>'Revenue Schedule'!J59</f>
        <v>-8.0558467165700205E-3</v>
      </c>
      <c r="K64" s="260">
        <f>'Revenue Schedule'!K59</f>
        <v>6.683071638602249E-2</v>
      </c>
      <c r="L64" s="260">
        <f>'Revenue Schedule'!L59</f>
        <v>-3.3824864506740604E-2</v>
      </c>
      <c r="M64" s="262">
        <f>'Revenue Schedule'!M59</f>
        <v>1.1936023475701484E-2</v>
      </c>
      <c r="N64" s="260">
        <f>'Revenue Schedule'!N59</f>
        <v>-0.13408980725432842</v>
      </c>
      <c r="O64" s="260">
        <f>'Revenue Schedule'!O59</f>
        <v>2.1071011988170015E-2</v>
      </c>
      <c r="P64" s="260">
        <f>'Revenue Schedule'!P59</f>
        <v>-8.8270860105027132E-2</v>
      </c>
      <c r="Q64" s="260">
        <f>'Revenue Schedule'!Q59</f>
        <v>1.5983736835514323E-2</v>
      </c>
      <c r="R64" s="260">
        <f>'Revenue Schedule'!R59</f>
        <v>-9.3726499019694043E-2</v>
      </c>
      <c r="S64" s="260">
        <f>'Revenue Schedule'!S59</f>
        <v>1.1512758147183527E-2</v>
      </c>
      <c r="T64" s="260">
        <f>'Revenue Schedule'!T59</f>
        <v>-7.0722429620711902E-2</v>
      </c>
      <c r="U64" s="260">
        <f>'Revenue Schedule'!U59</f>
        <v>8.0550339304385904E-3</v>
      </c>
      <c r="V64" s="260">
        <f>'Revenue Schedule'!V59</f>
        <v>-5.5396701408013081E-2</v>
      </c>
      <c r="W64" s="260">
        <f>'Revenue Schedule'!W59</f>
        <v>-3.7845618036263795E-3</v>
      </c>
      <c r="X64" s="260">
        <f>'Revenue Schedule'!X59</f>
        <v>-4.5180661874477425E-2</v>
      </c>
      <c r="Y64" s="260">
        <f>'Revenue Schedule'!Y59</f>
        <v>-4.8963350319972475E-2</v>
      </c>
      <c r="Z64" s="260">
        <f>'Revenue Schedule'!Z59</f>
        <v>-4.89421568701729E-2</v>
      </c>
      <c r="AA64" s="260">
        <f>'Revenue Schedule'!AA59</f>
        <v>-4.8919882434908073E-2</v>
      </c>
      <c r="AB64" s="260">
        <f>'Revenue Schedule'!AB59</f>
        <v>-4.8896472947770928E-2</v>
      </c>
      <c r="AC64" s="260">
        <f>'Revenue Schedule'!AC59</f>
        <v>-4.8871871750952166E-2</v>
      </c>
      <c r="AD64" s="260">
        <f>'Revenue Schedule'!AD59</f>
        <v>-4.8846019482964971E-2</v>
      </c>
      <c r="AE64" s="260">
        <f>'Revenue Schedule'!AE59</f>
        <v>-4.8818853962796289E-2</v>
      </c>
      <c r="AF64" s="260">
        <f>'Revenue Schedule'!AF59</f>
        <v>-4.8790310070515409E-2</v>
      </c>
      <c r="AG64" s="260">
        <f>'Revenue Schedule'!AG59</f>
        <v>-4.8760319624395074E-2</v>
      </c>
      <c r="AH64" s="260">
        <f>'Revenue Schedule'!AH59</f>
        <v>-4.8728811254633415E-2</v>
      </c>
      <c r="AI64" s="260">
        <f>'Revenue Schedule'!AI59</f>
        <v>-4.8695710273777018E-2</v>
      </c>
      <c r="AJ64" s="260">
        <f>'Revenue Schedule'!AJ59</f>
        <v>-4.866093854399807E-2</v>
      </c>
      <c r="AK64" s="260">
        <f>'Revenue Schedule'!AK59</f>
        <v>-4.8624414341392197E-2</v>
      </c>
      <c r="AL64" s="260">
        <f>'Revenue Schedule'!AL59</f>
        <v>-4.8586052217523545E-2</v>
      </c>
      <c r="AM64" s="260">
        <f>'Revenue Schedule'!AM59</f>
        <v>-4.8545762858464091E-2</v>
      </c>
      <c r="AN64" s="260">
        <f>'Revenue Schedule'!AN59</f>
        <v>-4.8503452941649691E-2</v>
      </c>
      <c r="AO64" s="285">
        <f>'Revenue Schedule'!AO59</f>
        <v>-4.8459024990899893E-2</v>
      </c>
    </row>
    <row r="65" spans="1:41" x14ac:dyDescent="0.8">
      <c r="A65" s="219" t="s">
        <v>447</v>
      </c>
      <c r="B65" s="271">
        <f>'Revenue Schedule'!B61</f>
        <v>0</v>
      </c>
      <c r="C65" s="258">
        <f>'Revenue Schedule'!C61</f>
        <v>-0.23584259537398619</v>
      </c>
      <c r="D65" s="258">
        <f>'Revenue Schedule'!D61</f>
        <v>-8.8117364026605027E-2</v>
      </c>
      <c r="E65" s="258">
        <f>'Revenue Schedule'!E61</f>
        <v>0.57241391202386493</v>
      </c>
      <c r="F65" s="258">
        <f>'Revenue Schedule'!F61</f>
        <v>4.7790851966794237E-2</v>
      </c>
      <c r="G65" s="259">
        <f>'Revenue Schedule'!G61</f>
        <v>-0.12003516593927596</v>
      </c>
      <c r="H65" s="261">
        <f>'Revenue Schedule'!H61</f>
        <v>8.3692391588761177E-3</v>
      </c>
      <c r="I65" s="260">
        <f>'Revenue Schedule'!I61</f>
        <v>0.14773577329432133</v>
      </c>
      <c r="J65" s="260">
        <f>'Revenue Schedule'!J61</f>
        <v>-3.0151905713320118E-2</v>
      </c>
      <c r="K65" s="260">
        <f>'Revenue Schedule'!K61</f>
        <v>-4.3924979516870286E-2</v>
      </c>
      <c r="L65" s="260">
        <f>'Revenue Schedule'!L61</f>
        <v>-4.988347395107063E-2</v>
      </c>
      <c r="M65" s="262">
        <f>'Revenue Schedule'!M61</f>
        <v>8.3184061154562186E-2</v>
      </c>
      <c r="N65" s="260">
        <f>'Revenue Schedule'!N61</f>
        <v>-6.9741589129463849E-2</v>
      </c>
      <c r="O65" s="260">
        <f>'Revenue Schedule'!O61</f>
        <v>4.1662712547958801E-2</v>
      </c>
      <c r="P65" s="260">
        <f>'Revenue Schedule'!P61</f>
        <v>-4.6062348114312944E-2</v>
      </c>
      <c r="Q65" s="260">
        <f>'Revenue Schedule'!Q61</f>
        <v>2.8741203263506938E-2</v>
      </c>
      <c r="R65" s="260">
        <f>'Revenue Schedule'!R61</f>
        <v>-5.1596154958779797E-2</v>
      </c>
      <c r="S65" s="260">
        <f>'Revenue Schedule'!S61</f>
        <v>1.9577016065807959E-2</v>
      </c>
      <c r="T65" s="260">
        <f>'Revenue Schedule'!T61</f>
        <v>-3.8801352215184909E-2</v>
      </c>
      <c r="U65" s="260">
        <f>'Revenue Schedule'!U61</f>
        <v>1.3234261179829303E-2</v>
      </c>
      <c r="V65" s="260">
        <f>'Revenue Schedule'!V61</f>
        <v>-3.0281887566217941E-2</v>
      </c>
      <c r="W65" s="260">
        <f>'Revenue Schedule'!W61</f>
        <v>8.9027176039833157E-3</v>
      </c>
      <c r="X65" s="260">
        <f>'Revenue Schedule'!X61</f>
        <v>-2.4606516334110012E-2</v>
      </c>
      <c r="Y65" s="260">
        <f>'Revenue Schedule'!Y61</f>
        <v>-1.3643706610583163E-3</v>
      </c>
      <c r="Z65" s="260">
        <f>'Revenue Schedule'!Z61</f>
        <v>-2.0818939078640818E-2</v>
      </c>
      <c r="AA65" s="260">
        <f>'Revenue Schedule'!AA61</f>
        <v>-5.3349627601357542E-3</v>
      </c>
      <c r="AB65" s="260">
        <f>'Revenue Schedule'!AB61</f>
        <v>-1.8291647068181784E-2</v>
      </c>
      <c r="AC65" s="260">
        <f>'Revenue Schedule'!AC61</f>
        <v>-7.9759062377280227E-3</v>
      </c>
      <c r="AD65" s="260">
        <f>'Revenue Schedule'!AD61</f>
        <v>-1.6603761569115829E-2</v>
      </c>
      <c r="AE65" s="260">
        <f>'Revenue Schedule'!AE61</f>
        <v>-9.7306925758413963E-3</v>
      </c>
      <c r="AF65" s="260">
        <f>'Revenue Schedule'!AF61</f>
        <v>-1.547490332054639E-2</v>
      </c>
      <c r="AG65" s="260">
        <f>'Revenue Schedule'!AG61</f>
        <v>-1.0894932068844962E-2</v>
      </c>
      <c r="AH65" s="260">
        <f>'Revenue Schedule'!AH61</f>
        <v>-1.0862955552445833E-2</v>
      </c>
      <c r="AI65" s="260">
        <f>'Revenue Schedule'!AI61</f>
        <v>-1.085832741648282E-2</v>
      </c>
      <c r="AJ65" s="260">
        <f>'Revenue Schedule'!AJ61</f>
        <v>-1.0853650468493323E-2</v>
      </c>
      <c r="AK65" s="260">
        <f>'Revenue Schedule'!AK61</f>
        <v>-1.0848924238127637E-2</v>
      </c>
      <c r="AL65" s="260">
        <f>'Revenue Schedule'!AL61</f>
        <v>-1.0844148251485631E-2</v>
      </c>
      <c r="AM65" s="260">
        <f>'Revenue Schedule'!AM61</f>
        <v>-1.0839322031110965E-2</v>
      </c>
      <c r="AN65" s="260">
        <f>'Revenue Schedule'!AN61</f>
        <v>-1.0834445095990191E-2</v>
      </c>
      <c r="AO65" s="285">
        <f>'Revenue Schedule'!AO61</f>
        <v>-1.0829516961546061E-2</v>
      </c>
    </row>
    <row r="66" spans="1:41" x14ac:dyDescent="0.8">
      <c r="A66" s="327" t="s">
        <v>116</v>
      </c>
      <c r="B66" s="426">
        <f>'Revenue Schedule'!B63</f>
        <v>0</v>
      </c>
      <c r="C66" s="427">
        <f>'Revenue Schedule'!C63</f>
        <v>-1.7196936220356458E-2</v>
      </c>
      <c r="D66" s="427">
        <f>'Revenue Schedule'!D63</f>
        <v>-0.20888755667128781</v>
      </c>
      <c r="E66" s="427">
        <f>'Revenue Schedule'!E63</f>
        <v>5.7497395093303025E-2</v>
      </c>
      <c r="F66" s="427">
        <f>'Revenue Schedule'!F63</f>
        <v>6.4806520960229305E-2</v>
      </c>
      <c r="G66" s="428">
        <f>'Revenue Schedule'!G63</f>
        <v>-0.16786540483701368</v>
      </c>
      <c r="H66" s="429">
        <f>'Revenue Schedule'!H63</f>
        <v>-0.37002156793368379</v>
      </c>
      <c r="I66" s="430">
        <f>'Revenue Schedule'!I63</f>
        <v>-0.11799515256288538</v>
      </c>
      <c r="J66" s="430">
        <f>'Revenue Schedule'!J63</f>
        <v>-2.4998835607998593E-3</v>
      </c>
      <c r="K66" s="430">
        <f>'Revenue Schedule'!K63</f>
        <v>8.7995891068308116E-3</v>
      </c>
      <c r="L66" s="430">
        <f>'Revenue Schedule'!L63</f>
        <v>-1.2999398293497357E-2</v>
      </c>
      <c r="M66" s="431">
        <f>'Revenue Schedule'!M63</f>
        <v>2.8198677568932278E-2</v>
      </c>
      <c r="N66" s="430">
        <f>'Revenue Schedule'!N63</f>
        <v>1.8499156240602815E-2</v>
      </c>
      <c r="O66" s="430">
        <f>'Revenue Schedule'!O63</f>
        <v>-8.9995969780221714E-4</v>
      </c>
      <c r="P66" s="430">
        <f>'Revenue Schedule'!P63</f>
        <v>1.266609893961817E-2</v>
      </c>
      <c r="Q66" s="430">
        <f>'Revenue Schedule'!Q63</f>
        <v>-3.999822960177721E-4</v>
      </c>
      <c r="R66" s="430">
        <f>'Revenue Schedule'!R63</f>
        <v>8.5922121326495425E-3</v>
      </c>
      <c r="S66" s="430">
        <f>'Revenue Schedule'!S63</f>
        <v>-1.7776997325081261E-4</v>
      </c>
      <c r="T66" s="430">
        <f>'Revenue Schedule'!T63</f>
        <v>5.793984268135456E-3</v>
      </c>
      <c r="U66" s="430">
        <f>'Revenue Schedule'!U63</f>
        <v>-7.9008896368857896E-5</v>
      </c>
      <c r="V66" s="430">
        <f>'Revenue Schedule'!V63</f>
        <v>3.8919196965986921E-3</v>
      </c>
      <c r="W66" s="430">
        <f>'Revenue Schedule'!W63</f>
        <v>1.5984489997112022E-2</v>
      </c>
      <c r="X66" s="430">
        <f>'Revenue Schedule'!X63</f>
        <v>6.0096192886309359E-3</v>
      </c>
      <c r="Y66" s="430">
        <f>'Revenue Schedule'!Y63</f>
        <v>1.3989528182704629E-2</v>
      </c>
      <c r="Z66" s="430">
        <f>'Revenue Schedule'!Z63</f>
        <v>7.3396096937477003E-3</v>
      </c>
      <c r="AA66" s="430">
        <f>'Revenue Schedule'!AA63</f>
        <v>1.265955492583639E-2</v>
      </c>
      <c r="AB66" s="430">
        <f>'Revenue Schedule'!AB63</f>
        <v>8.2262733866707485E-3</v>
      </c>
      <c r="AC66" s="430">
        <f>'Revenue Schedule'!AC63</f>
        <v>1.1772907843901694E-2</v>
      </c>
      <c r="AD66" s="430">
        <f>'Revenue Schedule'!AD63</f>
        <v>8.8173856167197105E-3</v>
      </c>
      <c r="AE66" s="430">
        <f>'Revenue Schedule'!AE63</f>
        <v>1.1181811811290758E-2</v>
      </c>
      <c r="AF66" s="430">
        <f>'Revenue Schedule'!AF63</f>
        <v>9.2114633109651005E-3</v>
      </c>
      <c r="AG66" s="430">
        <f>'Revenue Schedule'!AG63</f>
        <v>1.0787749958090792E-2</v>
      </c>
      <c r="AH66" s="430">
        <f>'Revenue Schedule'!AH63</f>
        <v>9.4741844828055925E-3</v>
      </c>
      <c r="AI66" s="430">
        <f>'Revenue Schedule'!AI63</f>
        <v>1.0525044299145412E-2</v>
      </c>
      <c r="AJ66" s="430">
        <f>'Revenue Schedule'!AJ63</f>
        <v>9.649334515387702E-3</v>
      </c>
      <c r="AK66" s="430">
        <f>'Revenue Schedule'!AK63</f>
        <v>1.0349909466946975E-2</v>
      </c>
      <c r="AL66" s="430">
        <f>'Revenue Schedule'!AL63</f>
        <v>9.7661036911796222E-3</v>
      </c>
      <c r="AM66" s="430">
        <f>'Revenue Schedule'!AM63</f>
        <v>1.0233155189136546E-2</v>
      </c>
      <c r="AN66" s="430">
        <f>'Revenue Schedule'!AN63</f>
        <v>9.8439522164773113E-3</v>
      </c>
      <c r="AO66" s="439">
        <f>'Revenue Schedule'!AO63</f>
        <v>1.015532126707182E-2</v>
      </c>
    </row>
    <row r="67" spans="1:41" x14ac:dyDescent="0.8">
      <c r="A67" s="219"/>
      <c r="B67" s="271"/>
      <c r="C67" s="258"/>
      <c r="D67" s="258"/>
      <c r="E67" s="258"/>
      <c r="F67" s="258"/>
      <c r="G67" s="258"/>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85"/>
    </row>
    <row r="68" spans="1:41" ht="16.5" customHeight="1" x14ac:dyDescent="0.8">
      <c r="A68" s="317" t="s">
        <v>107</v>
      </c>
      <c r="B68" s="272"/>
      <c r="C68" s="195"/>
      <c r="D68" s="195"/>
      <c r="E68" s="195"/>
      <c r="F68" s="195"/>
      <c r="G68" s="195"/>
      <c r="H68" s="191"/>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440"/>
    </row>
    <row r="69" spans="1:41" ht="16.5" customHeight="1" x14ac:dyDescent="0.8">
      <c r="A69" s="441" t="s">
        <v>438</v>
      </c>
      <c r="B69" s="432">
        <f>'Income Statement '!B4</f>
        <v>363273</v>
      </c>
      <c r="C69" s="432">
        <f>'Income Statement '!C4</f>
        <v>368004</v>
      </c>
      <c r="D69" s="432">
        <f>'Income Statement '!D4</f>
        <v>280014</v>
      </c>
      <c r="E69" s="432">
        <f>'Income Statement '!E4</f>
        <v>336330</v>
      </c>
      <c r="F69" s="432">
        <f>'Income Statement '!F4</f>
        <v>338767</v>
      </c>
      <c r="G69" s="433">
        <f>'Income Statement '!G4</f>
        <v>317209</v>
      </c>
      <c r="H69" s="432">
        <f>'Income Statement '!H4</f>
        <v>291763.03818999999</v>
      </c>
      <c r="I69" s="432">
        <f>'Income Statement '!I4</f>
        <v>319369.93508804729</v>
      </c>
      <c r="J69" s="432">
        <f>'Income Statement '!J4</f>
        <v>314708.11557549465</v>
      </c>
      <c r="K69" s="432">
        <f>'Income Statement '!K4</f>
        <v>324651.60766909434</v>
      </c>
      <c r="L69" s="432">
        <f>'Income Statement '!L4</f>
        <v>312451.74932822911</v>
      </c>
      <c r="M69" s="433">
        <f>'Income Statement '!M4</f>
        <v>322466.60144494905</v>
      </c>
      <c r="N69" s="432">
        <f>'Income Statement '!N4</f>
        <v>286915.31118180917</v>
      </c>
      <c r="O69" s="432">
        <f>'Income Statement '!O4</f>
        <v>294488.44780073955</v>
      </c>
      <c r="P69" s="432">
        <f>'Income Statement '!P4</f>
        <v>273444.68735097966</v>
      </c>
      <c r="Q69" s="432">
        <f>'Income Statement '!Q4</f>
        <v>278720.87784781202</v>
      </c>
      <c r="R69" s="432">
        <f>'Income Statement '!R4</f>
        <v>257500.73366735392</v>
      </c>
      <c r="S69" s="432">
        <f>'Income Statement '!S4</f>
        <v>261004.29044669532</v>
      </c>
      <c r="T69" s="432">
        <f>'Income Statement '!T4</f>
        <v>246163.29288861965</v>
      </c>
      <c r="U69" s="432">
        <f>'Income Statement '!U4</f>
        <v>248475.8250123013</v>
      </c>
      <c r="V69" s="432">
        <f>'Income Statement '!V4</f>
        <v>237494.91545295209</v>
      </c>
      <c r="W69" s="432">
        <f>'Income Statement '!W4</f>
        <v>237851.95979960077</v>
      </c>
      <c r="X69" s="432">
        <f>'Income Statement '!X4</f>
        <v>229391.84087552084</v>
      </c>
      <c r="Y69" s="432">
        <f>'Income Statement '!Y4</f>
        <v>222694.88456047879</v>
      </c>
      <c r="Z69" s="432">
        <f>'Income Statement '!Z4</f>
        <v>214711.16629245068</v>
      </c>
      <c r="AA69" s="432">
        <f>'Income Statement '!AA4</f>
        <v>208346.53842971148</v>
      </c>
      <c r="AB69" s="432">
        <f>'Income Statement '!AB4</f>
        <v>201232.34259039053</v>
      </c>
      <c r="AC69" s="432">
        <f>'Income Statement '!AC4</f>
        <v>195257.58669014435</v>
      </c>
      <c r="AD69" s="432">
        <f>'Income Statement '!AD4</f>
        <v>188875.77665320638</v>
      </c>
      <c r="AE69" s="432">
        <f>'Income Statement '!AE4</f>
        <v>183313.02962467581</v>
      </c>
      <c r="AF69" s="432">
        <f>'Income Statement '!AF4</f>
        <v>177559.09572133946</v>
      </c>
      <c r="AG69" s="432">
        <f>'Income Statement '!AG4</f>
        <v>172408.5268987974</v>
      </c>
      <c r="AH69" s="432">
        <f>'Income Statement '!AH4</f>
        <v>167475.46132339531</v>
      </c>
      <c r="AI69" s="432">
        <f>'Income Statement '!AI4</f>
        <v>162777.8523998661</v>
      </c>
      <c r="AJ69" s="432">
        <f>'Income Statement '!AJ4</f>
        <v>158279.63126125847</v>
      </c>
      <c r="AK69" s="432">
        <f>'Income Statement '!AK4</f>
        <v>153991.885608543</v>
      </c>
      <c r="AL69" s="432">
        <f>'Income Statement '!AL4</f>
        <v>149887.72430216079</v>
      </c>
      <c r="AM69" s="432">
        <f>'Income Statement '!AM4</f>
        <v>145972.44433238992</v>
      </c>
      <c r="AN69" s="432">
        <f>'Income Statement '!AN4</f>
        <v>142225.62260075682</v>
      </c>
      <c r="AO69" s="442">
        <f>'Income Statement '!AO4</f>
        <v>138648.83194314165</v>
      </c>
    </row>
    <row r="70" spans="1:41" x14ac:dyDescent="0.8">
      <c r="A70" s="265" t="s">
        <v>107</v>
      </c>
      <c r="B70" s="304">
        <f>'Income Statement '!B5</f>
        <v>241526</v>
      </c>
      <c r="C70" s="304">
        <f>'Income Statement '!C5</f>
        <v>248760</v>
      </c>
      <c r="D70" s="304">
        <f>'Income Statement '!D5</f>
        <v>195134</v>
      </c>
      <c r="E70" s="304">
        <f>'Income Statement '!E5</f>
        <v>236120</v>
      </c>
      <c r="F70" s="304">
        <f>'Income Statement '!F5</f>
        <v>236802</v>
      </c>
      <c r="G70" s="305">
        <f>'Income Statement '!G5</f>
        <v>217451</v>
      </c>
      <c r="H70" s="304">
        <f t="shared" ref="H70:AO70" si="57">H69*H71</f>
        <v>196241.5030345702</v>
      </c>
      <c r="I70" s="304">
        <f t="shared" si="57"/>
        <v>210866.17965362692</v>
      </c>
      <c r="J70" s="304">
        <f t="shared" si="57"/>
        <v>204068.2848986352</v>
      </c>
      <c r="K70" s="304">
        <f t="shared" si="57"/>
        <v>206841.19099238049</v>
      </c>
      <c r="L70" s="304">
        <f t="shared" si="57"/>
        <v>195680.05391088375</v>
      </c>
      <c r="M70" s="305">
        <f t="shared" si="57"/>
        <v>198600.26387444753</v>
      </c>
      <c r="N70" s="304">
        <f t="shared" si="57"/>
        <v>173918.83478723589</v>
      </c>
      <c r="O70" s="304">
        <f t="shared" si="57"/>
        <v>178509.42666267019</v>
      </c>
      <c r="P70" s="304">
        <f t="shared" si="57"/>
        <v>165753.37582004091</v>
      </c>
      <c r="Q70" s="304">
        <f t="shared" si="57"/>
        <v>172085.34039798053</v>
      </c>
      <c r="R70" s="304">
        <f t="shared" si="57"/>
        <v>160041.03181887121</v>
      </c>
      <c r="S70" s="304">
        <f t="shared" si="57"/>
        <v>163243.36691200273</v>
      </c>
      <c r="T70" s="304">
        <f t="shared" si="57"/>
        <v>154885.18261672117</v>
      </c>
      <c r="U70" s="304">
        <f t="shared" si="57"/>
        <v>157231.60128542985</v>
      </c>
      <c r="V70" s="304">
        <f t="shared" si="57"/>
        <v>151097.05724128554</v>
      </c>
      <c r="W70" s="304">
        <f t="shared" si="57"/>
        <v>152102.8734651854</v>
      </c>
      <c r="X70" s="304">
        <f t="shared" si="57"/>
        <v>147409.83742761679</v>
      </c>
      <c r="Y70" s="304">
        <f t="shared" si="57"/>
        <v>143770.87369759529</v>
      </c>
      <c r="Z70" s="304">
        <f t="shared" si="57"/>
        <v>138616.61901852954</v>
      </c>
      <c r="AA70" s="304">
        <f t="shared" si="57"/>
        <v>135449.19573916297</v>
      </c>
      <c r="AB70" s="304">
        <f t="shared" si="57"/>
        <v>130824.15079227027</v>
      </c>
      <c r="AC70" s="304">
        <f t="shared" si="57"/>
        <v>126939.87276430013</v>
      </c>
      <c r="AD70" s="304">
        <f t="shared" si="57"/>
        <v>122790.9627637868</v>
      </c>
      <c r="AE70" s="304">
        <f t="shared" si="57"/>
        <v>119174.53785558474</v>
      </c>
      <c r="AF70" s="304">
        <f t="shared" si="57"/>
        <v>115433.81950519976</v>
      </c>
      <c r="AG70" s="304">
        <f t="shared" si="57"/>
        <v>112085.35780350518</v>
      </c>
      <c r="AH70" s="304">
        <f t="shared" si="57"/>
        <v>108878.29821061358</v>
      </c>
      <c r="AI70" s="304">
        <f t="shared" si="57"/>
        <v>105824.31250302859</v>
      </c>
      <c r="AJ70" s="304">
        <f t="shared" si="57"/>
        <v>102899.95177175176</v>
      </c>
      <c r="AK70" s="304">
        <f t="shared" si="57"/>
        <v>100112.42429674965</v>
      </c>
      <c r="AL70" s="304">
        <f t="shared" si="57"/>
        <v>97444.247746646783</v>
      </c>
      <c r="AM70" s="304">
        <f t="shared" si="57"/>
        <v>94898.865773919504</v>
      </c>
      <c r="AN70" s="304">
        <f t="shared" si="57"/>
        <v>92463.001017285045</v>
      </c>
      <c r="AO70" s="306">
        <f t="shared" si="57"/>
        <v>90137.676000835258</v>
      </c>
    </row>
    <row r="71" spans="1:41" x14ac:dyDescent="0.8">
      <c r="A71" s="300" t="s">
        <v>439</v>
      </c>
      <c r="B71" s="298">
        <f>B70/B69</f>
        <v>0.66486086221656993</v>
      </c>
      <c r="C71" s="298">
        <f t="shared" ref="C71:G71" si="58">C70/C69</f>
        <v>0.67597091335963744</v>
      </c>
      <c r="D71" s="298">
        <f t="shared" si="58"/>
        <v>0.69687229924218075</v>
      </c>
      <c r="E71" s="298">
        <f t="shared" si="58"/>
        <v>0.70204858323670205</v>
      </c>
      <c r="F71" s="337">
        <f t="shared" si="58"/>
        <v>0.69901141492530261</v>
      </c>
      <c r="G71" s="311">
        <f t="shared" si="58"/>
        <v>0.68551333663294545</v>
      </c>
      <c r="H71" s="298">
        <f>G71*(1+H72)</f>
        <v>0.67260577025790058</v>
      </c>
      <c r="I71" s="298">
        <f>H71*(1+I72)</f>
        <v>0.66025682597672541</v>
      </c>
      <c r="J71" s="298">
        <f t="shared" ref="J71:Z71" si="59">I71*(1+J72)</f>
        <v>0.64843667766706103</v>
      </c>
      <c r="K71" s="298">
        <f t="shared" si="59"/>
        <v>0.63711740865058719</v>
      </c>
      <c r="L71" s="298">
        <f t="shared" si="59"/>
        <v>0.62627287039229462</v>
      </c>
      <c r="M71" s="311">
        <f t="shared" si="59"/>
        <v>0.61587855295566862</v>
      </c>
      <c r="N71" s="298">
        <f t="shared" si="59"/>
        <v>0.60616784120324974</v>
      </c>
      <c r="O71" s="298">
        <f t="shared" si="59"/>
        <v>0.60616784120324974</v>
      </c>
      <c r="P71" s="298">
        <f t="shared" si="59"/>
        <v>0.60616784120324974</v>
      </c>
      <c r="Q71" s="298">
        <f>P71*(1+Q72)+B85</f>
        <v>0.61741101609167237</v>
      </c>
      <c r="R71" s="298">
        <f t="shared" si="59"/>
        <v>0.62151679934868198</v>
      </c>
      <c r="S71" s="298">
        <f t="shared" si="59"/>
        <v>0.62544323172856731</v>
      </c>
      <c r="T71" s="298">
        <f t="shared" si="59"/>
        <v>0.62919690746419021</v>
      </c>
      <c r="U71" s="298">
        <f t="shared" si="59"/>
        <v>0.63278430115946205</v>
      </c>
      <c r="V71" s="298">
        <f t="shared" si="59"/>
        <v>0.63621175616796721</v>
      </c>
      <c r="W71" s="298">
        <f t="shared" si="59"/>
        <v>0.6394854748867228</v>
      </c>
      <c r="X71" s="298">
        <f t="shared" si="59"/>
        <v>0.64261151078868817</v>
      </c>
      <c r="Y71" s="298">
        <f t="shared" si="59"/>
        <v>0.64559576202815938</v>
      </c>
      <c r="Z71" s="298">
        <f t="shared" si="59"/>
        <v>0.64559576202815938</v>
      </c>
      <c r="AA71" s="298">
        <f>Z71*(1+$B$85)</f>
        <v>0.6501149323623564</v>
      </c>
      <c r="AB71" s="298">
        <f>AA71</f>
        <v>0.6501149323623564</v>
      </c>
      <c r="AC71" s="298">
        <f t="shared" ref="AC71:AO71" si="60">AB71</f>
        <v>0.6501149323623564</v>
      </c>
      <c r="AD71" s="298">
        <f t="shared" si="60"/>
        <v>0.6501149323623564</v>
      </c>
      <c r="AE71" s="298">
        <f t="shared" si="60"/>
        <v>0.6501149323623564</v>
      </c>
      <c r="AF71" s="298">
        <f t="shared" si="60"/>
        <v>0.6501149323623564</v>
      </c>
      <c r="AG71" s="298">
        <f t="shared" si="60"/>
        <v>0.6501149323623564</v>
      </c>
      <c r="AH71" s="298">
        <f t="shared" si="60"/>
        <v>0.6501149323623564</v>
      </c>
      <c r="AI71" s="298">
        <f t="shared" si="60"/>
        <v>0.6501149323623564</v>
      </c>
      <c r="AJ71" s="298">
        <f t="shared" si="60"/>
        <v>0.6501149323623564</v>
      </c>
      <c r="AK71" s="298">
        <f t="shared" si="60"/>
        <v>0.6501149323623564</v>
      </c>
      <c r="AL71" s="298">
        <f t="shared" si="60"/>
        <v>0.6501149323623564</v>
      </c>
      <c r="AM71" s="298">
        <f t="shared" si="60"/>
        <v>0.6501149323623564</v>
      </c>
      <c r="AN71" s="298">
        <f t="shared" si="60"/>
        <v>0.6501149323623564</v>
      </c>
      <c r="AO71" s="312">
        <f t="shared" si="60"/>
        <v>0.6501149323623564</v>
      </c>
    </row>
    <row r="72" spans="1:41" x14ac:dyDescent="0.8">
      <c r="A72" s="266" t="s">
        <v>103</v>
      </c>
      <c r="B72" s="197"/>
      <c r="C72" s="307">
        <f>(C71-B71)/B71</f>
        <v>1.6710340124440285E-2</v>
      </c>
      <c r="D72" s="307">
        <f t="shared" ref="D72:G72" si="61">(D71-C71)/C71</f>
        <v>3.0920540321271377E-2</v>
      </c>
      <c r="E72" s="307">
        <f>(E71-D71)/D71</f>
        <v>7.4278802589086883E-3</v>
      </c>
      <c r="F72" s="307">
        <f t="shared" si="61"/>
        <v>-4.3261511865702778E-3</v>
      </c>
      <c r="G72" s="308">
        <f t="shared" si="61"/>
        <v>-1.9310240153659848E-2</v>
      </c>
      <c r="H72" s="307">
        <f>G72*(1+$B$83)</f>
        <v>-1.8829052164678943E-2</v>
      </c>
      <c r="I72" s="307">
        <f t="shared" ref="I72:M72" si="62">H72*(1+$B$83)</f>
        <v>-1.8359854802375751E-2</v>
      </c>
      <c r="J72" s="307">
        <f t="shared" si="62"/>
        <v>-1.7902349274736717E-2</v>
      </c>
      <c r="K72" s="307">
        <f t="shared" si="62"/>
        <v>-1.7456244235286359E-2</v>
      </c>
      <c r="L72" s="307">
        <f t="shared" si="62"/>
        <v>-1.7021255597553391E-2</v>
      </c>
      <c r="M72" s="308">
        <f t="shared" si="62"/>
        <v>-1.6597106354160146E-2</v>
      </c>
      <c r="N72" s="307">
        <f>M72*(1+$B$84)</f>
        <v>-1.5767251036452139E-2</v>
      </c>
      <c r="O72" s="307">
        <v>0</v>
      </c>
      <c r="P72" s="307">
        <f>O72*(1+$B$84)</f>
        <v>0</v>
      </c>
      <c r="Q72" s="1596">
        <f>P72*(1+$B$85)+B85</f>
        <v>7.0000000000000001E-3</v>
      </c>
      <c r="R72" s="307">
        <f t="shared" ref="R72:Y72" si="63">Q72*(1+$B$84)</f>
        <v>6.6499999999999997E-3</v>
      </c>
      <c r="S72" s="307">
        <f t="shared" si="63"/>
        <v>6.3174999999999993E-3</v>
      </c>
      <c r="T72" s="307">
        <f t="shared" si="63"/>
        <v>6.0016249999999991E-3</v>
      </c>
      <c r="U72" s="307">
        <f t="shared" si="63"/>
        <v>5.7015437499999986E-3</v>
      </c>
      <c r="V72" s="307">
        <f t="shared" si="63"/>
        <v>5.4164665624999988E-3</v>
      </c>
      <c r="W72" s="307">
        <f t="shared" si="63"/>
        <v>5.1456432343749987E-3</v>
      </c>
      <c r="X72" s="307">
        <f t="shared" si="63"/>
        <v>4.8883610726562481E-3</v>
      </c>
      <c r="Y72" s="307">
        <f t="shared" si="63"/>
        <v>4.6439430190234358E-3</v>
      </c>
      <c r="Z72" s="307">
        <v>0</v>
      </c>
      <c r="AA72" s="307">
        <v>0</v>
      </c>
      <c r="AB72" s="307">
        <f t="shared" ref="AB72:AJ72" si="64">AA72*(1+$B$84)</f>
        <v>0</v>
      </c>
      <c r="AC72" s="307">
        <f t="shared" si="64"/>
        <v>0</v>
      </c>
      <c r="AD72" s="307">
        <f t="shared" si="64"/>
        <v>0</v>
      </c>
      <c r="AE72" s="307">
        <f t="shared" si="64"/>
        <v>0</v>
      </c>
      <c r="AF72" s="307">
        <f t="shared" si="64"/>
        <v>0</v>
      </c>
      <c r="AG72" s="307">
        <f t="shared" si="64"/>
        <v>0</v>
      </c>
      <c r="AH72" s="307">
        <f t="shared" si="64"/>
        <v>0</v>
      </c>
      <c r="AI72" s="307">
        <f t="shared" si="64"/>
        <v>0</v>
      </c>
      <c r="AJ72" s="307">
        <f t="shared" si="64"/>
        <v>0</v>
      </c>
      <c r="AK72" s="307">
        <v>0</v>
      </c>
      <c r="AL72" s="307">
        <f>AK72*(1+$B$84)</f>
        <v>0</v>
      </c>
      <c r="AM72" s="307">
        <f>AL72*(1+$B$84)</f>
        <v>0</v>
      </c>
      <c r="AN72" s="307">
        <f>AM72*(1+$B$84)</f>
        <v>0</v>
      </c>
      <c r="AO72" s="309">
        <f>AN72*(1+$B$84)</f>
        <v>0</v>
      </c>
    </row>
    <row r="73" spans="1:41" x14ac:dyDescent="0.8">
      <c r="A73" s="22"/>
      <c r="B73" s="7"/>
      <c r="C73" s="7"/>
      <c r="D73" s="7"/>
      <c r="E73" s="7"/>
      <c r="F73" s="7"/>
      <c r="G73" s="194"/>
      <c r="H73" s="191"/>
      <c r="I73" s="192"/>
      <c r="J73" s="192"/>
      <c r="K73" s="192"/>
      <c r="L73" s="192"/>
      <c r="M73" s="193"/>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301"/>
    </row>
    <row r="74" spans="1:41" x14ac:dyDescent="0.8">
      <c r="A74" s="53" t="s">
        <v>109</v>
      </c>
      <c r="B74" s="25">
        <v>0.61199999999999999</v>
      </c>
      <c r="C74" s="25">
        <v>0.61599999999999999</v>
      </c>
      <c r="D74" s="25">
        <v>0.57399999999999995</v>
      </c>
      <c r="E74" s="25">
        <v>0.59599999999999997</v>
      </c>
      <c r="F74" s="25">
        <v>0.69</v>
      </c>
      <c r="G74" s="79">
        <v>0.70399999999999996</v>
      </c>
      <c r="H74" s="7"/>
      <c r="I74" s="7"/>
      <c r="J74" s="7"/>
      <c r="K74" s="7"/>
      <c r="L74" s="7"/>
      <c r="M74" s="194"/>
      <c r="N74" s="7"/>
      <c r="O74" s="7"/>
      <c r="P74" s="40"/>
      <c r="Q74" s="7"/>
      <c r="R74" s="7"/>
      <c r="S74" s="7"/>
      <c r="T74" s="7"/>
      <c r="U74" s="7"/>
      <c r="V74" s="7"/>
      <c r="W74" s="7"/>
      <c r="X74" s="40"/>
      <c r="Y74" s="7"/>
      <c r="Z74" s="7"/>
      <c r="AA74" s="7"/>
      <c r="AB74" s="7"/>
      <c r="AC74" s="7"/>
      <c r="AD74" s="7"/>
      <c r="AE74" s="7"/>
      <c r="AF74" s="40"/>
      <c r="AG74" s="7"/>
      <c r="AH74" s="7"/>
      <c r="AI74" s="7"/>
      <c r="AJ74" s="7"/>
      <c r="AK74" s="7"/>
      <c r="AL74" s="7"/>
      <c r="AM74" s="7"/>
      <c r="AN74" s="40"/>
      <c r="AO74" s="172"/>
    </row>
    <row r="75" spans="1:41" x14ac:dyDescent="0.8">
      <c r="A75" s="266" t="s">
        <v>103</v>
      </c>
      <c r="B75" s="7"/>
      <c r="C75" s="307">
        <f>(C74-B74)/B74</f>
        <v>6.5359477124183069E-3</v>
      </c>
      <c r="D75" s="307">
        <f t="shared" ref="D75:G75" si="65">(D74-C74)/C74</f>
        <v>-6.8181818181818246E-2</v>
      </c>
      <c r="E75" s="307">
        <f t="shared" si="65"/>
        <v>3.832752613240422E-2</v>
      </c>
      <c r="F75" s="307">
        <f t="shared" si="65"/>
        <v>0.15771812080536909</v>
      </c>
      <c r="G75" s="308">
        <f t="shared" si="65"/>
        <v>2.0289855072463787E-2</v>
      </c>
      <c r="H75" s="307">
        <f>AVERAGE(E75:G75)</f>
        <v>7.2111834003412367E-2</v>
      </c>
      <c r="I75" s="7"/>
      <c r="J75" s="25"/>
      <c r="K75" s="25"/>
      <c r="L75" s="25"/>
      <c r="M75" s="79"/>
      <c r="N75" s="25"/>
      <c r="O75" s="25"/>
      <c r="P75" s="40"/>
      <c r="Q75" s="7"/>
      <c r="R75" s="25"/>
      <c r="S75" s="25"/>
      <c r="T75" s="25"/>
      <c r="U75" s="25"/>
      <c r="V75" s="25"/>
      <c r="W75" s="25"/>
      <c r="X75" s="40"/>
      <c r="Y75" s="7"/>
      <c r="Z75" s="25"/>
      <c r="AA75" s="25"/>
      <c r="AB75" s="25"/>
      <c r="AC75" s="25"/>
      <c r="AD75" s="25"/>
      <c r="AE75" s="25"/>
      <c r="AF75" s="40"/>
      <c r="AG75" s="7"/>
      <c r="AH75" s="25"/>
      <c r="AI75" s="25"/>
      <c r="AJ75" s="25"/>
      <c r="AK75" s="25"/>
      <c r="AL75" s="25"/>
      <c r="AM75" s="25"/>
      <c r="AN75" s="40"/>
      <c r="AO75" s="172"/>
    </row>
    <row r="76" spans="1:41" x14ac:dyDescent="0.8">
      <c r="A76" s="53" t="s">
        <v>110</v>
      </c>
      <c r="B76" s="195">
        <v>0.38800000000000001</v>
      </c>
      <c r="C76" s="189">
        <v>0.40699999999999997</v>
      </c>
      <c r="D76" s="189">
        <v>0.35599999999999998</v>
      </c>
      <c r="E76" s="189">
        <v>0.36499999999999999</v>
      </c>
      <c r="F76" s="189">
        <v>0.436</v>
      </c>
      <c r="G76" s="310">
        <v>0.46</v>
      </c>
      <c r="H76" s="7"/>
      <c r="I76" s="7"/>
      <c r="J76" s="7"/>
      <c r="K76" s="7"/>
      <c r="L76" s="7"/>
      <c r="M76" s="194"/>
      <c r="N76" s="7"/>
      <c r="O76" s="7"/>
      <c r="P76" s="40"/>
      <c r="Q76" s="7"/>
      <c r="R76" s="7"/>
      <c r="S76" s="7"/>
      <c r="T76" s="7"/>
      <c r="U76" s="7"/>
      <c r="V76" s="7"/>
      <c r="W76" s="7"/>
      <c r="X76" s="40"/>
      <c r="Y76" s="7"/>
      <c r="Z76" s="7"/>
      <c r="AA76" s="7"/>
      <c r="AB76" s="7"/>
      <c r="AC76" s="7"/>
      <c r="AD76" s="7"/>
      <c r="AE76" s="7"/>
      <c r="AF76" s="40"/>
      <c r="AG76" s="7"/>
      <c r="AH76" s="7"/>
      <c r="AI76" s="7"/>
      <c r="AJ76" s="7"/>
      <c r="AK76" s="7"/>
      <c r="AL76" s="7"/>
      <c r="AM76" s="7"/>
      <c r="AN76" s="40"/>
      <c r="AO76" s="172"/>
    </row>
    <row r="77" spans="1:41" x14ac:dyDescent="0.8">
      <c r="A77" s="266" t="s">
        <v>103</v>
      </c>
      <c r="B77" s="7"/>
      <c r="C77" s="307">
        <f>(C76-B76)/B76</f>
        <v>4.8969072164948356E-2</v>
      </c>
      <c r="D77" s="307">
        <f t="shared" ref="D77:G77" si="66">(D76-C76)/C76</f>
        <v>-0.12530712530712529</v>
      </c>
      <c r="E77" s="307">
        <f t="shared" si="66"/>
        <v>2.5280898876404518E-2</v>
      </c>
      <c r="F77" s="307">
        <f t="shared" si="66"/>
        <v>0.19452054794520551</v>
      </c>
      <c r="G77" s="308">
        <f t="shared" si="66"/>
        <v>5.5045871559633079E-2</v>
      </c>
      <c r="H77" s="307">
        <f>AVERAGE(E77:G77)</f>
        <v>9.1615772793747705E-2</v>
      </c>
      <c r="I77" s="7"/>
      <c r="J77" s="25"/>
      <c r="K77" s="25"/>
      <c r="L77" s="25"/>
      <c r="M77" s="79"/>
      <c r="N77" s="25"/>
      <c r="O77" s="25"/>
      <c r="P77" s="40"/>
      <c r="Q77" s="7"/>
      <c r="R77" s="25"/>
      <c r="S77" s="25"/>
      <c r="T77" s="25"/>
      <c r="U77" s="25"/>
      <c r="V77" s="25"/>
      <c r="W77" s="25"/>
      <c r="X77" s="40"/>
      <c r="Y77" s="7"/>
      <c r="Z77" s="25"/>
      <c r="AA77" s="25"/>
      <c r="AB77" s="25"/>
      <c r="AC77" s="25"/>
      <c r="AD77" s="25"/>
      <c r="AE77" s="25"/>
      <c r="AF77" s="40"/>
      <c r="AG77" s="7"/>
      <c r="AH77" s="25"/>
      <c r="AI77" s="25"/>
      <c r="AJ77" s="25"/>
      <c r="AK77" s="25"/>
      <c r="AL77" s="25"/>
      <c r="AM77" s="25"/>
      <c r="AN77" s="40"/>
      <c r="AO77" s="172"/>
    </row>
    <row r="78" spans="1:41" x14ac:dyDescent="0.8">
      <c r="A78" s="266"/>
      <c r="B78" s="273"/>
      <c r="C78" s="25"/>
      <c r="D78" s="25"/>
      <c r="E78" s="25"/>
      <c r="F78" s="25"/>
      <c r="G78" s="25"/>
      <c r="H78" s="56"/>
      <c r="I78" s="7"/>
      <c r="J78" s="25"/>
      <c r="K78" s="25"/>
      <c r="L78" s="25"/>
      <c r="M78" s="25"/>
      <c r="N78" s="56"/>
      <c r="O78" s="25"/>
      <c r="P78" s="40"/>
      <c r="Q78" s="7"/>
      <c r="R78" s="25"/>
      <c r="S78" s="25"/>
      <c r="T78" s="25"/>
      <c r="U78" s="25"/>
      <c r="V78" s="25"/>
      <c r="W78" s="25"/>
      <c r="X78" s="40"/>
      <c r="Y78" s="7"/>
      <c r="Z78" s="25"/>
      <c r="AA78" s="25"/>
      <c r="AB78" s="25"/>
      <c r="AC78" s="25"/>
      <c r="AD78" s="25"/>
      <c r="AE78" s="25"/>
      <c r="AF78" s="40"/>
      <c r="AG78" s="7"/>
      <c r="AH78" s="25"/>
      <c r="AI78" s="25"/>
      <c r="AJ78" s="25"/>
      <c r="AK78" s="25"/>
      <c r="AL78" s="25"/>
      <c r="AM78" s="25"/>
      <c r="AN78" s="40"/>
      <c r="AO78" s="172"/>
    </row>
    <row r="79" spans="1:41" x14ac:dyDescent="0.8">
      <c r="A79" s="53" t="s">
        <v>111</v>
      </c>
      <c r="B79" s="338">
        <f>AVERAGE(C75:G75)</f>
        <v>3.093792630816743E-2</v>
      </c>
      <c r="C79" s="195"/>
      <c r="D79" s="40"/>
      <c r="E79" s="195"/>
      <c r="F79" s="40"/>
      <c r="G79" s="195"/>
      <c r="H79" s="35"/>
      <c r="I79" s="195"/>
      <c r="J79" s="40"/>
      <c r="K79" s="195"/>
      <c r="L79" s="40"/>
      <c r="M79" s="195"/>
      <c r="N79" s="35"/>
      <c r="O79" s="195"/>
      <c r="P79" s="40"/>
      <c r="Q79" s="195"/>
      <c r="R79" s="40"/>
      <c r="S79" s="195"/>
      <c r="T79" s="40"/>
      <c r="U79" s="195"/>
      <c r="V79" s="40"/>
      <c r="W79" s="195"/>
      <c r="X79" s="40"/>
      <c r="Y79" s="195"/>
      <c r="Z79" s="40"/>
      <c r="AA79" s="195"/>
      <c r="AB79" s="40"/>
      <c r="AC79" s="195"/>
      <c r="AD79" s="40"/>
      <c r="AE79" s="195"/>
      <c r="AF79" s="40"/>
      <c r="AG79" s="195"/>
      <c r="AH79" s="40"/>
      <c r="AI79" s="195"/>
      <c r="AJ79" s="40"/>
      <c r="AK79" s="195"/>
      <c r="AL79" s="40"/>
      <c r="AM79" s="195"/>
      <c r="AN79" s="40"/>
      <c r="AO79" s="243"/>
    </row>
    <row r="80" spans="1:41" x14ac:dyDescent="0.8">
      <c r="A80" s="53" t="s">
        <v>112</v>
      </c>
      <c r="B80" s="338">
        <f>AVERAGE(C77:G77)</f>
        <v>3.9701853047813242E-2</v>
      </c>
      <c r="C80" s="195"/>
      <c r="D80" s="40"/>
      <c r="E80" s="195"/>
      <c r="F80" s="40"/>
      <c r="G80" s="195"/>
      <c r="H80" s="35"/>
      <c r="I80" s="195"/>
      <c r="J80" s="40"/>
      <c r="K80" s="195"/>
      <c r="L80" s="40"/>
      <c r="M80" s="195"/>
      <c r="N80" s="35"/>
      <c r="O80" s="195"/>
      <c r="P80" s="40"/>
      <c r="Q80" s="195"/>
      <c r="R80" s="40"/>
      <c r="S80" s="195"/>
      <c r="T80" s="40"/>
      <c r="U80" s="195"/>
      <c r="V80" s="40"/>
      <c r="W80" s="195"/>
      <c r="X80" s="40"/>
      <c r="Y80" s="195"/>
      <c r="Z80" s="40"/>
      <c r="AA80" s="195"/>
      <c r="AB80" s="40"/>
      <c r="AC80" s="195"/>
      <c r="AD80" s="40"/>
      <c r="AE80" s="195"/>
      <c r="AF80" s="40"/>
      <c r="AG80" s="195"/>
      <c r="AH80" s="40"/>
      <c r="AI80" s="195"/>
      <c r="AJ80" s="40"/>
      <c r="AK80" s="195"/>
      <c r="AL80" s="40"/>
      <c r="AM80" s="195"/>
      <c r="AN80" s="40"/>
      <c r="AO80" s="243"/>
    </row>
    <row r="81" spans="1:41" x14ac:dyDescent="0.8">
      <c r="A81" s="53" t="s">
        <v>113</v>
      </c>
      <c r="B81" s="338">
        <f>AVERAGE(B79:B80)</f>
        <v>3.5319889677990338E-2</v>
      </c>
      <c r="C81" s="195"/>
      <c r="D81" s="40"/>
      <c r="E81" s="195"/>
      <c r="F81" s="40"/>
      <c r="G81" s="195"/>
      <c r="H81" s="35"/>
      <c r="I81" s="195"/>
      <c r="J81" s="40"/>
      <c r="K81" s="195"/>
      <c r="L81" s="40"/>
      <c r="M81" s="195"/>
      <c r="N81" s="35"/>
      <c r="O81" s="195"/>
      <c r="P81" s="40"/>
      <c r="Q81" s="195"/>
      <c r="R81" s="40"/>
      <c r="S81" s="195"/>
      <c r="T81" s="40"/>
      <c r="U81" s="195"/>
      <c r="V81" s="40"/>
      <c r="W81" s="195"/>
      <c r="X81" s="40"/>
      <c r="Y81" s="195"/>
      <c r="Z81" s="40"/>
      <c r="AA81" s="195"/>
      <c r="AB81" s="40"/>
      <c r="AC81" s="195"/>
      <c r="AD81" s="40"/>
      <c r="AE81" s="195"/>
      <c r="AF81" s="40"/>
      <c r="AG81" s="195"/>
      <c r="AH81" s="40"/>
      <c r="AI81" s="195"/>
      <c r="AJ81" s="40"/>
      <c r="AK81" s="195"/>
      <c r="AL81" s="40"/>
      <c r="AM81" s="195"/>
      <c r="AN81" s="40"/>
      <c r="AO81" s="243"/>
    </row>
    <row r="82" spans="1:41" x14ac:dyDescent="0.8">
      <c r="A82" s="53" t="s">
        <v>114</v>
      </c>
      <c r="B82" s="339">
        <f>-AVERAGE(B81,-AVERAGE(C72:G72))</f>
        <v>-1.4517707902556146E-2</v>
      </c>
      <c r="C82" s="195"/>
      <c r="D82" s="40"/>
      <c r="E82" s="195"/>
      <c r="F82" s="40"/>
      <c r="G82" s="195"/>
      <c r="H82" s="35"/>
      <c r="I82" s="195"/>
      <c r="J82" s="40"/>
      <c r="K82" s="195"/>
      <c r="L82" s="40"/>
      <c r="M82" s="195"/>
      <c r="N82" s="35"/>
      <c r="O82" s="195"/>
      <c r="P82" s="40"/>
      <c r="Q82" s="195"/>
      <c r="R82" s="40"/>
      <c r="S82" s="195"/>
      <c r="T82" s="40"/>
      <c r="U82" s="195"/>
      <c r="V82" s="40"/>
      <c r="W82" s="195"/>
      <c r="X82" s="40"/>
      <c r="Y82" s="195"/>
      <c r="Z82" s="40"/>
      <c r="AA82" s="195"/>
      <c r="AB82" s="40"/>
      <c r="AC82" s="195"/>
      <c r="AD82" s="40"/>
      <c r="AE82" s="195"/>
      <c r="AF82" s="40"/>
      <c r="AG82" s="195"/>
      <c r="AH82" s="40"/>
      <c r="AI82" s="195"/>
      <c r="AJ82" s="40"/>
      <c r="AK82" s="195"/>
      <c r="AL82" s="40"/>
      <c r="AM82" s="195"/>
      <c r="AN82" s="40"/>
      <c r="AO82" s="243"/>
    </row>
    <row r="83" spans="1:41" x14ac:dyDescent="0.8">
      <c r="A83" s="267" t="s">
        <v>440</v>
      </c>
      <c r="B83" s="368">
        <f>AVERAGE(B82,-B81)</f>
        <v>-2.4918798790273242E-2</v>
      </c>
      <c r="C83" s="195"/>
      <c r="D83" s="40"/>
      <c r="E83" s="195"/>
      <c r="F83" s="40"/>
      <c r="G83" s="195"/>
      <c r="H83" s="35"/>
      <c r="I83" s="195"/>
      <c r="J83" s="40"/>
      <c r="K83" s="195"/>
      <c r="L83" s="40"/>
      <c r="M83" s="195"/>
      <c r="N83" s="35"/>
      <c r="O83" s="195"/>
      <c r="P83" s="40"/>
      <c r="Q83" s="195"/>
      <c r="R83" s="40"/>
      <c r="S83" s="195"/>
      <c r="T83" s="40"/>
      <c r="U83" s="195"/>
      <c r="V83" s="40"/>
      <c r="W83" s="195"/>
      <c r="X83" s="40"/>
      <c r="Y83" s="195"/>
      <c r="Z83" s="40"/>
      <c r="AA83" s="195"/>
      <c r="AB83" s="40"/>
      <c r="AC83" s="195"/>
      <c r="AD83" s="40"/>
      <c r="AE83" s="195"/>
      <c r="AF83" s="40"/>
      <c r="AG83" s="195"/>
      <c r="AH83" s="40"/>
      <c r="AI83" s="195"/>
      <c r="AJ83" s="40"/>
      <c r="AK83" s="195"/>
      <c r="AL83" s="40"/>
      <c r="AM83" s="195"/>
      <c r="AN83" s="40"/>
      <c r="AO83" s="243"/>
    </row>
    <row r="84" spans="1:41" x14ac:dyDescent="0.8">
      <c r="A84" s="443" t="s">
        <v>441</v>
      </c>
      <c r="B84" s="435">
        <v>-0.05</v>
      </c>
      <c r="C84" s="196"/>
      <c r="D84" s="80"/>
      <c r="E84" s="196"/>
      <c r="F84" s="80"/>
      <c r="G84" s="196"/>
      <c r="H84" s="101"/>
      <c r="I84" s="196"/>
      <c r="J84" s="80"/>
      <c r="K84" s="196"/>
      <c r="L84" s="80"/>
      <c r="M84" s="196"/>
      <c r="N84" s="101"/>
      <c r="O84" s="196"/>
      <c r="P84" s="80"/>
      <c r="Q84" s="196"/>
      <c r="R84" s="80"/>
      <c r="S84" s="196"/>
      <c r="T84" s="80"/>
      <c r="U84" s="196"/>
      <c r="V84" s="80"/>
      <c r="W84" s="196"/>
      <c r="X84" s="80"/>
      <c r="Y84" s="196"/>
      <c r="Z84" s="80"/>
      <c r="AA84" s="196"/>
      <c r="AB84" s="80"/>
      <c r="AC84" s="196"/>
      <c r="AD84" s="80"/>
      <c r="AE84" s="196"/>
      <c r="AF84" s="80"/>
      <c r="AG84" s="196"/>
      <c r="AH84" s="80"/>
      <c r="AI84" s="196"/>
      <c r="AJ84" s="80"/>
      <c r="AK84" s="196"/>
      <c r="AL84" s="80"/>
      <c r="AM84" s="196"/>
      <c r="AN84" s="80"/>
      <c r="AO84" s="412"/>
    </row>
    <row r="85" spans="1:41" ht="16.75" thickBot="1" x14ac:dyDescent="0.95">
      <c r="A85" s="443" t="s">
        <v>739</v>
      </c>
      <c r="B85" s="1595">
        <v>7.0000000000000001E-3</v>
      </c>
      <c r="C85" s="268"/>
      <c r="D85" s="69"/>
      <c r="E85" s="268"/>
      <c r="F85" s="69"/>
      <c r="G85" s="268"/>
      <c r="H85" s="69"/>
      <c r="I85" s="268"/>
      <c r="J85" s="69"/>
      <c r="K85" s="268"/>
      <c r="L85" s="69"/>
      <c r="M85" s="268"/>
      <c r="N85" s="69"/>
      <c r="O85" s="268"/>
      <c r="P85" s="69"/>
      <c r="Q85" s="268"/>
      <c r="R85" s="69"/>
      <c r="S85" s="268"/>
      <c r="T85" s="69"/>
      <c r="U85" s="268"/>
      <c r="V85" s="69"/>
      <c r="W85" s="268"/>
      <c r="X85" s="69"/>
      <c r="Y85" s="268"/>
      <c r="Z85" s="69"/>
      <c r="AA85" s="268"/>
      <c r="AB85" s="69"/>
      <c r="AC85" s="268"/>
      <c r="AD85" s="69"/>
      <c r="AE85" s="268"/>
      <c r="AF85" s="69"/>
      <c r="AG85" s="268"/>
      <c r="AH85" s="69"/>
      <c r="AI85" s="268"/>
      <c r="AJ85" s="69"/>
      <c r="AK85" s="268"/>
      <c r="AL85" s="69"/>
      <c r="AM85" s="268"/>
      <c r="AN85" s="69"/>
      <c r="AO85" s="303"/>
    </row>
    <row r="105" spans="1:41" ht="16.75" thickBot="1" x14ac:dyDescent="0.95"/>
    <row r="106" spans="1:41" x14ac:dyDescent="0.8">
      <c r="A106" s="2"/>
      <c r="B106" s="276"/>
      <c r="C106" s="15"/>
      <c r="D106" s="15"/>
      <c r="E106" s="15"/>
      <c r="F106" s="15"/>
      <c r="G106" s="218"/>
      <c r="H106" s="159"/>
      <c r="I106" s="159"/>
      <c r="J106" s="159"/>
      <c r="K106" s="159"/>
      <c r="L106" s="159"/>
      <c r="M106" s="329"/>
      <c r="N106" s="157"/>
      <c r="O106" s="157"/>
      <c r="P106" s="157"/>
      <c r="Q106" s="157"/>
      <c r="R106" s="157"/>
      <c r="S106" s="157"/>
      <c r="T106" s="25"/>
      <c r="U106" s="25"/>
      <c r="V106" s="25"/>
      <c r="W106" s="25"/>
      <c r="X106" s="25"/>
      <c r="Y106" s="25"/>
      <c r="Z106" s="25"/>
      <c r="AA106" s="25"/>
      <c r="AB106" s="159"/>
      <c r="AC106" s="159"/>
      <c r="AD106" s="159"/>
      <c r="AE106" s="159"/>
      <c r="AF106" s="159"/>
      <c r="AG106" s="159"/>
      <c r="AH106" s="159"/>
      <c r="AI106" s="159"/>
      <c r="AJ106" s="159"/>
      <c r="AK106" s="159"/>
      <c r="AL106" s="159"/>
      <c r="AM106" s="159"/>
      <c r="AN106" s="159"/>
      <c r="AO106" s="159"/>
    </row>
    <row r="138" spans="1:41" x14ac:dyDescent="0.8">
      <c r="A138" s="33"/>
      <c r="B138" s="276"/>
      <c r="C138" s="15"/>
      <c r="D138" s="15"/>
      <c r="E138" s="15"/>
      <c r="F138" s="15"/>
      <c r="G138" s="2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row>
    <row r="139" spans="1:41" ht="18" thickBot="1" x14ac:dyDescent="1">
      <c r="A139" s="295" t="s">
        <v>509</v>
      </c>
      <c r="B139" s="273"/>
      <c r="G139" s="24"/>
      <c r="H139" s="192"/>
      <c r="I139" s="192"/>
      <c r="J139" s="192"/>
      <c r="K139" s="192"/>
      <c r="L139" s="192"/>
      <c r="M139" s="378"/>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1" x14ac:dyDescent="0.8">
      <c r="A140" s="345" t="s">
        <v>508</v>
      </c>
      <c r="B140" s="349">
        <v>1.21E-2</v>
      </c>
      <c r="C140" s="350">
        <v>1.9599999999999999E-2</v>
      </c>
      <c r="D140" s="350">
        <v>1.7500000000000002E-2</v>
      </c>
      <c r="E140" s="350">
        <v>1.5100000000000001E-2</v>
      </c>
      <c r="F140" s="350">
        <v>1.35E-2</v>
      </c>
      <c r="G140" s="350">
        <v>1.9E-2</v>
      </c>
      <c r="H140" s="351">
        <v>1.8200000000000001E-2</v>
      </c>
      <c r="I140" s="352">
        <v>1.9E-2</v>
      </c>
      <c r="J140" s="352">
        <v>1.9699999999999999E-2</v>
      </c>
      <c r="K140" s="352">
        <v>2.01E-2</v>
      </c>
      <c r="L140" s="352">
        <v>2.0299999999999999E-2</v>
      </c>
      <c r="M140" s="352">
        <v>2.0299999999999999E-2</v>
      </c>
      <c r="N140" s="351">
        <v>2.0299999999999999E-2</v>
      </c>
      <c r="O140" s="352">
        <v>2.0299999999999999E-2</v>
      </c>
      <c r="P140" s="352">
        <v>2.0299999999999999E-2</v>
      </c>
      <c r="Q140" s="352">
        <v>2.0400000000000001E-2</v>
      </c>
      <c r="R140" s="352">
        <v>2.0400000000000001E-2</v>
      </c>
      <c r="S140" s="352">
        <v>2.0400000000000001E-2</v>
      </c>
      <c r="T140" s="352">
        <v>2.0400000000000001E-2</v>
      </c>
      <c r="U140" s="352">
        <v>2.0400000000000001E-2</v>
      </c>
      <c r="V140" s="352">
        <v>2.0400000000000001E-2</v>
      </c>
      <c r="W140" s="352">
        <v>2.0400000000000001E-2</v>
      </c>
      <c r="X140" s="352">
        <v>2.0400000000000001E-2</v>
      </c>
      <c r="Y140" s="352">
        <v>2.0400000000000001E-2</v>
      </c>
      <c r="Z140" s="352">
        <v>2.0400000000000001E-2</v>
      </c>
      <c r="AA140" s="352">
        <v>2.0299999999999999E-2</v>
      </c>
      <c r="AB140" s="352">
        <v>2.0299999999999999E-2</v>
      </c>
      <c r="AC140" s="352">
        <v>2.0299999999999999E-2</v>
      </c>
      <c r="AD140" s="352">
        <v>2.0299999999999999E-2</v>
      </c>
      <c r="AE140" s="352">
        <v>2.0299999999999999E-2</v>
      </c>
      <c r="AF140" s="352">
        <v>2.0299999999999999E-2</v>
      </c>
      <c r="AG140" s="352">
        <v>2.0299999999999999E-2</v>
      </c>
      <c r="AH140" s="352">
        <v>2.0299999999999999E-2</v>
      </c>
      <c r="AI140" s="352">
        <v>2.0299999999999999E-2</v>
      </c>
      <c r="AJ140" s="352">
        <v>2.0299999999999999E-2</v>
      </c>
      <c r="AK140" s="352">
        <v>2.0299999999999999E-2</v>
      </c>
      <c r="AL140" s="352">
        <v>2.0299999999999999E-2</v>
      </c>
      <c r="AM140" s="352">
        <v>2.0299999999999999E-2</v>
      </c>
      <c r="AN140" s="352">
        <v>2.0299999999999999E-2</v>
      </c>
      <c r="AO140" s="353">
        <v>2.0299999999999999E-2</v>
      </c>
    </row>
    <row r="141" spans="1:41" x14ac:dyDescent="0.8">
      <c r="A141" s="346" t="s">
        <v>510</v>
      </c>
      <c r="B141" s="354">
        <v>2.5100000000000001E-2</v>
      </c>
      <c r="C141" s="355">
        <v>1.8499999999999999E-2</v>
      </c>
      <c r="D141" s="355">
        <v>2.7799999999999998E-2</v>
      </c>
      <c r="E141" s="355">
        <v>1.8800000000000001E-2</v>
      </c>
      <c r="F141" s="355">
        <v>2.75E-2</v>
      </c>
      <c r="G141" s="355">
        <v>3.5200000000000002E-2</v>
      </c>
      <c r="H141" s="356">
        <v>3.2800000000000003E-2</v>
      </c>
      <c r="I141" s="357">
        <v>2.9700000000000001E-2</v>
      </c>
      <c r="J141" s="357">
        <v>2.76E-2</v>
      </c>
      <c r="K141" s="357">
        <v>2.64E-2</v>
      </c>
      <c r="L141" s="357">
        <v>2.5600000000000001E-2</v>
      </c>
      <c r="M141" s="357">
        <v>2.5600000000000001E-2</v>
      </c>
      <c r="N141" s="356">
        <v>2.5600000000000001E-2</v>
      </c>
      <c r="O141" s="357">
        <v>2.5600000000000001E-2</v>
      </c>
      <c r="P141" s="357">
        <v>2.5600000000000001E-2</v>
      </c>
      <c r="Q141" s="357">
        <v>2.4E-2</v>
      </c>
      <c r="R141" s="357">
        <v>2.4E-2</v>
      </c>
      <c r="S141" s="357">
        <v>2.4E-2</v>
      </c>
      <c r="T141" s="357">
        <v>2.4E-2</v>
      </c>
      <c r="U141" s="357">
        <v>2.4E-2</v>
      </c>
      <c r="V141" s="357">
        <v>2.2800000000000001E-2</v>
      </c>
      <c r="W141" s="357">
        <v>2.2800000000000001E-2</v>
      </c>
      <c r="X141" s="364">
        <v>2.2800000000000001E-2</v>
      </c>
      <c r="Y141" s="357">
        <v>2.2800000000000001E-2</v>
      </c>
      <c r="Z141" s="357">
        <v>2.2800000000000001E-2</v>
      </c>
      <c r="AA141" s="357">
        <v>2.0400000000000001E-2</v>
      </c>
      <c r="AB141" s="357">
        <v>2.0400000000000001E-2</v>
      </c>
      <c r="AC141" s="357">
        <v>2.0400000000000001E-2</v>
      </c>
      <c r="AD141" s="357">
        <v>2.0400000000000001E-2</v>
      </c>
      <c r="AE141" s="357">
        <v>2.0400000000000001E-2</v>
      </c>
      <c r="AF141" s="357">
        <v>1.8200000000000001E-2</v>
      </c>
      <c r="AG141" s="357">
        <v>1.8200000000000001E-2</v>
      </c>
      <c r="AH141" s="357">
        <v>1.8200000000000001E-2</v>
      </c>
      <c r="AI141" s="357">
        <v>1.8200000000000001E-2</v>
      </c>
      <c r="AJ141" s="357">
        <v>1.8200000000000001E-2</v>
      </c>
      <c r="AK141" s="357">
        <v>1.66E-2</v>
      </c>
      <c r="AL141" s="357">
        <v>1.66E-2</v>
      </c>
      <c r="AM141" s="357">
        <v>1.66E-2</v>
      </c>
      <c r="AN141" s="357">
        <v>1.66E-2</v>
      </c>
      <c r="AO141" s="358">
        <v>1.66E-2</v>
      </c>
    </row>
    <row r="142" spans="1:41" ht="16.75" thickBot="1" x14ac:dyDescent="0.95">
      <c r="A142" s="347" t="s">
        <v>511</v>
      </c>
      <c r="B142" s="359">
        <v>1.21E-2</v>
      </c>
      <c r="C142" s="360">
        <v>1.2E-2</v>
      </c>
      <c r="D142" s="360">
        <v>1.18E-2</v>
      </c>
      <c r="E142" s="360">
        <v>1.2200000000000001E-2</v>
      </c>
      <c r="F142" s="360">
        <v>1.18E-2</v>
      </c>
      <c r="G142" s="360">
        <v>1.18E-2</v>
      </c>
      <c r="H142" s="361">
        <v>1.1299999999999999E-2</v>
      </c>
      <c r="I142" s="362">
        <v>1.11E-2</v>
      </c>
      <c r="J142" s="362">
        <v>1.09E-2</v>
      </c>
      <c r="K142" s="362">
        <v>1.06E-2</v>
      </c>
      <c r="L142" s="362">
        <v>1.04E-2</v>
      </c>
      <c r="M142" s="362">
        <v>1.0200000000000001E-2</v>
      </c>
      <c r="N142" s="361">
        <v>0.01</v>
      </c>
      <c r="O142" s="362">
        <v>9.7000000000000003E-3</v>
      </c>
      <c r="P142" s="362">
        <v>9.4999999999999998E-3</v>
      </c>
      <c r="Q142" s="362">
        <v>9.2999999999999992E-3</v>
      </c>
      <c r="R142" s="362">
        <v>9.1000000000000004E-3</v>
      </c>
      <c r="S142" s="362">
        <v>8.8999999999999999E-3</v>
      </c>
      <c r="T142" s="362">
        <v>8.6999999999999994E-3</v>
      </c>
      <c r="U142" s="362">
        <v>8.5000000000000006E-3</v>
      </c>
      <c r="V142" s="362">
        <v>8.3000000000000001E-3</v>
      </c>
      <c r="W142" s="362">
        <v>8.0999999999999996E-3</v>
      </c>
      <c r="X142" s="362">
        <v>7.9000000000000008E-3</v>
      </c>
      <c r="Y142" s="362">
        <v>7.7999999999999996E-3</v>
      </c>
      <c r="Z142" s="362">
        <v>7.6E-3</v>
      </c>
      <c r="AA142" s="362">
        <v>7.4999999999999997E-3</v>
      </c>
      <c r="AB142" s="362">
        <v>7.3000000000000001E-3</v>
      </c>
      <c r="AC142" s="362">
        <v>7.1999999999999998E-3</v>
      </c>
      <c r="AD142" s="362">
        <v>7.1000000000000004E-3</v>
      </c>
      <c r="AE142" s="362">
        <v>6.8999999999999999E-3</v>
      </c>
      <c r="AF142" s="362">
        <v>6.7999999999999996E-3</v>
      </c>
      <c r="AG142" s="362">
        <v>6.7000000000000002E-3</v>
      </c>
      <c r="AH142" s="362">
        <v>6.4999999999999997E-3</v>
      </c>
      <c r="AI142" s="362">
        <v>6.4000000000000003E-3</v>
      </c>
      <c r="AJ142" s="362">
        <v>6.1999999999999998E-3</v>
      </c>
      <c r="AK142" s="362">
        <v>6.1000000000000004E-3</v>
      </c>
      <c r="AL142" s="362">
        <v>5.8999999999999999E-3</v>
      </c>
      <c r="AM142" s="362">
        <v>5.7999999999999996E-3</v>
      </c>
      <c r="AN142" s="362">
        <v>5.5999999999999999E-3</v>
      </c>
      <c r="AO142" s="363">
        <v>5.4999999999999997E-3</v>
      </c>
    </row>
    <row r="143" spans="1:41" x14ac:dyDescent="0.8">
      <c r="A143" s="27"/>
      <c r="B143" s="278"/>
      <c r="C143" s="28"/>
      <c r="D143" s="28"/>
      <c r="E143" s="28"/>
      <c r="F143" s="28"/>
      <c r="G143" s="381"/>
      <c r="H143" s="134"/>
      <c r="I143" s="134"/>
      <c r="J143" s="134"/>
      <c r="K143" s="134"/>
      <c r="L143" s="134"/>
      <c r="M143" s="38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row>
    <row r="148" spans="2:41" x14ac:dyDescent="0.8">
      <c r="B148" s="273"/>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row>
    <row r="149" spans="2:41" x14ac:dyDescent="0.8">
      <c r="H149" s="7"/>
    </row>
    <row r="150" spans="2:41" x14ac:dyDescent="0.8">
      <c r="H150" s="7"/>
    </row>
  </sheetData>
  <mergeCells count="11">
    <mergeCell ref="AX41:AX50"/>
    <mergeCell ref="AZ39:BI39"/>
    <mergeCell ref="AZ40:BI40"/>
    <mergeCell ref="AY41:AY50"/>
    <mergeCell ref="B1:G2"/>
    <mergeCell ref="AA16:AO16"/>
    <mergeCell ref="AT38:AV38"/>
    <mergeCell ref="N16:T16"/>
    <mergeCell ref="U16:Z16"/>
    <mergeCell ref="H1:M2"/>
    <mergeCell ref="N1:AO2"/>
  </mergeCells>
  <hyperlinks>
    <hyperlink ref="A140" r:id="rId1" xr:uid="{00000000-0004-0000-0100-000000000000}"/>
    <hyperlink ref="A141" r:id="rId2" xr:uid="{00000000-0004-0000-0100-000001000000}"/>
    <hyperlink ref="A142" r:id="rId3" xr:uid="{00000000-0004-0000-0100-000002000000}"/>
    <hyperlink ref="A1" location="'Cover Page '!A1" display="Back to menu" xr:uid="{00000000-0004-0000-0100-000003000000}"/>
  </hyperlinks>
  <pageMargins left="0.7" right="0.7" top="0.75" bottom="0.75" header="0.3" footer="0.3"/>
  <pageSetup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AO16"/>
  <sheetViews>
    <sheetView showGridLines="0" zoomScale="115" zoomScaleNormal="115" zoomScalePageLayoutView="115" workbookViewId="0">
      <pane xSplit="1" ySplit="3" topLeftCell="AA4" activePane="bottomRight" state="frozen"/>
      <selection pane="topRight" activeCell="B1" sqref="B1"/>
      <selection pane="bottomLeft" activeCell="A4" sqref="A4"/>
      <selection pane="bottomRight" activeCell="A2" sqref="A2"/>
    </sheetView>
  </sheetViews>
  <sheetFormatPr defaultColWidth="8.83203125" defaultRowHeight="16" x14ac:dyDescent="0.8"/>
  <cols>
    <col min="1" max="1" width="33.1640625" bestFit="1" customWidth="1"/>
    <col min="2" max="7" width="9.1640625" bestFit="1" customWidth="1"/>
    <col min="8" max="8" width="13.83203125" bestFit="1" customWidth="1"/>
    <col min="9" max="25" width="9.1640625" bestFit="1" customWidth="1"/>
    <col min="26" max="41" width="10.1640625" bestFit="1" customWidth="1"/>
  </cols>
  <sheetData>
    <row r="1" spans="1:41" ht="18.5" x14ac:dyDescent="0.9">
      <c r="A1" s="1312"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A2" s="245"/>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x14ac:dyDescent="0.8">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129" customFormat="1" ht="16.75" thickBot="1" x14ac:dyDescent="0.95">
      <c r="A4" s="1601"/>
      <c r="B4" s="1601"/>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row>
    <row r="5" spans="1:41" s="129" customFormat="1" x14ac:dyDescent="0.8">
      <c r="A5" s="1602" t="s">
        <v>524</v>
      </c>
      <c r="B5" s="1603">
        <v>35574</v>
      </c>
      <c r="C5" s="1604">
        <f t="shared" ref="C5:D5" si="0">B11</f>
        <v>29436</v>
      </c>
      <c r="D5" s="1604">
        <f t="shared" si="0"/>
        <v>28138</v>
      </c>
      <c r="E5" s="1604">
        <f>D11</f>
        <v>25289</v>
      </c>
      <c r="F5" s="1604">
        <f t="shared" ref="F5:AO5" si="1">E11</f>
        <v>24304</v>
      </c>
      <c r="G5" s="1604">
        <f t="shared" si="1"/>
        <v>22753</v>
      </c>
      <c r="H5" s="1603">
        <f t="shared" si="1"/>
        <v>21380</v>
      </c>
      <c r="I5" s="1604">
        <f t="shared" si="1"/>
        <v>20117.139704627327</v>
      </c>
      <c r="J5" s="1604">
        <f t="shared" si="1"/>
        <v>18734.786363846048</v>
      </c>
      <c r="K5" s="1604">
        <f t="shared" si="1"/>
        <v>17372.611133366601</v>
      </c>
      <c r="L5" s="1604">
        <f t="shared" si="1"/>
        <v>15967.396724791603</v>
      </c>
      <c r="M5" s="1604">
        <f t="shared" si="1"/>
        <v>14614.987897086025</v>
      </c>
      <c r="N5" s="1603">
        <f t="shared" si="1"/>
        <v>13219.23101823355</v>
      </c>
      <c r="O5" s="1604">
        <f t="shared" si="1"/>
        <v>11977.353510809031</v>
      </c>
      <c r="P5" s="1604">
        <f t="shared" si="1"/>
        <v>10702.696616362733</v>
      </c>
      <c r="Q5" s="1604">
        <f t="shared" si="1"/>
        <v>9519.1250413667676</v>
      </c>
      <c r="R5" s="1604">
        <f t="shared" si="1"/>
        <v>8312.7161271018958</v>
      </c>
      <c r="S5" s="1604">
        <f t="shared" si="1"/>
        <v>7198.1559874927525</v>
      </c>
      <c r="T5" s="1604">
        <f t="shared" si="1"/>
        <v>6068.4311348457195</v>
      </c>
      <c r="U5" s="1604">
        <f t="shared" si="1"/>
        <v>5002.9437081457363</v>
      </c>
      <c r="V5" s="1604">
        <f t="shared" si="1"/>
        <v>3927.4467716089739</v>
      </c>
      <c r="W5" s="1604">
        <f t="shared" si="1"/>
        <v>2899.4793466087272</v>
      </c>
      <c r="X5" s="1604">
        <f t="shared" si="1"/>
        <v>1869.9664992278142</v>
      </c>
      <c r="Y5" s="1604">
        <f t="shared" si="1"/>
        <v>877.07223228680596</v>
      </c>
      <c r="Z5" s="1604">
        <f t="shared" si="1"/>
        <v>-86.835085921495988</v>
      </c>
      <c r="AA5" s="1604">
        <f t="shared" si="1"/>
        <v>-1016.1858651223851</v>
      </c>
      <c r="AB5" s="1604">
        <f t="shared" si="1"/>
        <v>-1917.9881382735057</v>
      </c>
      <c r="AC5" s="1604">
        <f t="shared" si="1"/>
        <v>-2788.9974929154178</v>
      </c>
      <c r="AD5" s="1604">
        <f t="shared" si="1"/>
        <v>-3634.1458541711459</v>
      </c>
      <c r="AE5" s="1604">
        <f t="shared" si="1"/>
        <v>-4451.6713384570658</v>
      </c>
      <c r="AF5" s="1604">
        <f t="shared" si="1"/>
        <v>-5245.1191588993606</v>
      </c>
      <c r="AG5" s="1604">
        <f t="shared" si="1"/>
        <v>-6013.6617867106743</v>
      </c>
      <c r="AH5" s="1604">
        <f t="shared" si="1"/>
        <v>-6759.9108131634202</v>
      </c>
      <c r="AI5" s="1604">
        <f t="shared" si="1"/>
        <v>-7484.8076742140893</v>
      </c>
      <c r="AJ5" s="1604">
        <f t="shared" si="1"/>
        <v>-8189.3715149153813</v>
      </c>
      <c r="AK5" s="1604">
        <f t="shared" si="1"/>
        <v>-8874.4653606817628</v>
      </c>
      <c r="AL5" s="1604">
        <f t="shared" si="1"/>
        <v>-9541.0002286726758</v>
      </c>
      <c r="AM5" s="1604">
        <f t="shared" si="1"/>
        <v>-10189.770741069446</v>
      </c>
      <c r="AN5" s="1604">
        <f t="shared" si="1"/>
        <v>-10821.59444742195</v>
      </c>
      <c r="AO5" s="1605">
        <f t="shared" si="1"/>
        <v>-11437.200498419366</v>
      </c>
    </row>
    <row r="6" spans="1:41" s="129" customFormat="1" x14ac:dyDescent="0.8">
      <c r="A6" s="1606" t="s">
        <v>326</v>
      </c>
      <c r="B6" s="1607">
        <v>-9618</v>
      </c>
      <c r="C6" s="1608">
        <v>-2543</v>
      </c>
      <c r="D6" s="1608">
        <v>-2242</v>
      </c>
      <c r="E6" s="1608">
        <v>-1579</v>
      </c>
      <c r="F6" s="1608">
        <v>-1637</v>
      </c>
      <c r="G6" s="1608">
        <v>-2455</v>
      </c>
      <c r="H6" s="1608">
        <f>G6*(1+'Forecast Drivers '!H63)</f>
        <v>-2258.0641115367157</v>
      </c>
      <c r="I6" s="1608">
        <f>H6*(1+'Forecast Drivers '!I63)</f>
        <v>-2471.7242910546556</v>
      </c>
      <c r="J6" s="1608">
        <f>I6*(1+'Forecast Drivers '!J63)</f>
        <v>-2435.6447129111707</v>
      </c>
      <c r="K6" s="1608">
        <f>J6*(1+'Forecast Drivers '!K63)</f>
        <v>-2512.6011457040208</v>
      </c>
      <c r="L6" s="1608">
        <f>K6*(1+'Forecast Drivers '!L63)</f>
        <v>-2418.1818441494493</v>
      </c>
      <c r="M6" s="1608">
        <f>L6*(1+'Forecast Drivers '!M63)</f>
        <v>-2495.6905590552292</v>
      </c>
      <c r="N6" s="1608">
        <f>M6*(1+'Forecast Drivers '!N63)</f>
        <v>-2220.5457252200972</v>
      </c>
      <c r="O6" s="1608">
        <f>N6*(1+'Forecast Drivers '!O63)</f>
        <v>-2279.1570836603496</v>
      </c>
      <c r="P6" s="1608">
        <f>O6*(1+'Forecast Drivers '!P63)</f>
        <v>-2116.2914906155097</v>
      </c>
      <c r="Q6" s="1608">
        <f>P6*(1+'Forecast Drivers '!Q63)</f>
        <v>-2157.1259173490621</v>
      </c>
      <c r="R6" s="1608">
        <f>Q6*(1+'Forecast Drivers '!R63)</f>
        <v>-1992.8952241372533</v>
      </c>
      <c r="S6" s="1608">
        <f>R6*(1+'Forecast Drivers '!S63)</f>
        <v>-2020.0105704650157</v>
      </c>
      <c r="T6" s="1608">
        <f>S6*(1+'Forecast Drivers '!T63)</f>
        <v>-1905.1504971219649</v>
      </c>
      <c r="U6" s="1608">
        <f>T6*(1+'Forecast Drivers '!U63)</f>
        <v>-1923.0480547689374</v>
      </c>
      <c r="V6" s="1608">
        <f>U6*(1+'Forecast Drivers '!V63)</f>
        <v>-1838.0626572291378</v>
      </c>
      <c r="W6" s="1608">
        <f>V6*(1+'Forecast Drivers '!W63)</f>
        <v>-1840.8259579899059</v>
      </c>
      <c r="X6" s="1608">
        <f>W6*(1+'Forecast Drivers '!X63)</f>
        <v>-1775.3499092062452</v>
      </c>
      <c r="Y6" s="1608">
        <f>X6*(1+'Forecast Drivers '!Y63)</f>
        <v>-1723.5196403506068</v>
      </c>
      <c r="Z6" s="1608">
        <f>Y6*(1+'Forecast Drivers '!Z63)</f>
        <v>-1661.730635788917</v>
      </c>
      <c r="AA6" s="1608">
        <f>Z6*(1+'Forecast Drivers '!AA63)</f>
        <v>-1612.4723820728348</v>
      </c>
      <c r="AB6" s="1608">
        <f>AA6*(1+'Forecast Drivers '!AB63)</f>
        <v>-1557.4129392905274</v>
      </c>
      <c r="AC6" s="1608">
        <f>AB6*(1+'Forecast Drivers '!AC63)</f>
        <v>-1511.1720516262292</v>
      </c>
      <c r="AD6" s="1608">
        <f>AC6*(1+'Forecast Drivers '!AD63)</f>
        <v>-1461.7808185884444</v>
      </c>
      <c r="AE6" s="1608">
        <f>AD6*(1+'Forecast Drivers '!AE63)</f>
        <v>-1418.7286228593114</v>
      </c>
      <c r="AF6" s="1608">
        <f>AE6*(1+'Forecast Drivers '!AF63)</f>
        <v>-1374.1967598519859</v>
      </c>
      <c r="AG6" s="1608">
        <f>AF6*(1+'Forecast Drivers '!AG63)</f>
        <v>-1334.3345665997745</v>
      </c>
      <c r="AH6" s="1608">
        <f>AG6*(1+'Forecast Drivers '!AH63)</f>
        <v>-1296.155712949304</v>
      </c>
      <c r="AI6" s="1608">
        <f>AH6*(1+'Forecast Drivers '!AI63)</f>
        <v>-1259.7991470660402</v>
      </c>
      <c r="AJ6" s="1608">
        <f>AI6*(1+'Forecast Drivers '!AJ63)</f>
        <v>-1224.9857183950955</v>
      </c>
      <c r="AK6" s="1608">
        <f>AJ6*(1+'Forecast Drivers '!AK63)</f>
        <v>-1191.8012388329882</v>
      </c>
      <c r="AL6" s="1608">
        <f>AK6*(1+'Forecast Drivers '!AL63)</f>
        <v>-1160.0375877160013</v>
      </c>
      <c r="AM6" s="1608">
        <f>AL6*(1+'Forecast Drivers '!AM63)</f>
        <v>-1129.7357604482143</v>
      </c>
      <c r="AN6" s="1608">
        <f>AM6*(1+'Forecast Drivers '!AN63)</f>
        <v>-1100.7376949735296</v>
      </c>
      <c r="AO6" s="1608">
        <f>AN6*(1+'Forecast Drivers '!AO63)</f>
        <v>-1073.0555640615905</v>
      </c>
    </row>
    <row r="7" spans="1:41" s="129" customFormat="1" x14ac:dyDescent="0.8">
      <c r="A7" s="1606" t="s">
        <v>327</v>
      </c>
      <c r="B7" s="1607">
        <v>-2230</v>
      </c>
      <c r="C7" s="1608">
        <v>-2313</v>
      </c>
      <c r="D7" s="1608">
        <v>-3662</v>
      </c>
      <c r="E7" s="1608">
        <v>-3422</v>
      </c>
      <c r="F7" s="1608">
        <v>-2901</v>
      </c>
      <c r="G7" s="1608">
        <v>-3217</v>
      </c>
      <c r="H7" s="1608">
        <f>G7*(1+'Forecast Drivers '!H63)</f>
        <v>-2958.9377787428161</v>
      </c>
      <c r="I7" s="1608">
        <f>H7*(1+'Forecast Drivers '!I63)</f>
        <v>-3238.9152930031878</v>
      </c>
      <c r="J7" s="1608">
        <f>I7*(1+'Forecast Drivers '!J63)</f>
        <v>-3191.6370840876721</v>
      </c>
      <c r="K7" s="1608">
        <f>J7*(1+'Forecast Drivers '!K63)</f>
        <v>-3292.4797905213172</v>
      </c>
      <c r="L7" s="1608">
        <f>K7*(1+'Forecast Drivers '!L63)</f>
        <v>-3168.7539684842268</v>
      </c>
      <c r="M7" s="1608">
        <f>L7*(1+'Forecast Drivers '!M63)</f>
        <v>-3270.3203781998654</v>
      </c>
      <c r="N7" s="1608">
        <f>M7*(1+'Forecast Drivers '!N63)</f>
        <v>-2909.774174351548</v>
      </c>
      <c r="O7" s="1608">
        <f>N7*(1+'Forecast Drivers '!O63)</f>
        <v>-2986.5777344746812</v>
      </c>
      <c r="P7" s="1608">
        <f>O7*(1+'Forecast Drivers '!P63)</f>
        <v>-2773.1607842403637</v>
      </c>
      <c r="Q7" s="1608">
        <f>P7*(1+'Forecast Drivers '!Q63)</f>
        <v>-2826.6696847706439</v>
      </c>
      <c r="R7" s="1608">
        <f>Q7*(1+'Forecast Drivers '!R63)</f>
        <v>-2611.4639250710966</v>
      </c>
      <c r="S7" s="1608">
        <f>R7*(1+'Forecast Drivers '!S63)</f>
        <v>-2646.9955214606734</v>
      </c>
      <c r="T7" s="1608">
        <f>S7*(1+'Forecast Drivers '!T63)</f>
        <v>-2496.4843785097187</v>
      </c>
      <c r="U7" s="1608">
        <f>T7*(1+'Forecast Drivers '!U63)</f>
        <v>-2519.9371047623908</v>
      </c>
      <c r="V7" s="1608">
        <f>U7*(1+'Forecast Drivers '!V63)</f>
        <v>-2408.5733475788734</v>
      </c>
      <c r="W7" s="1608">
        <f>V7*(1+'Forecast Drivers '!W63)</f>
        <v>-2412.1943408771999</v>
      </c>
      <c r="X7" s="1608">
        <f>W7*(1+'Forecast Drivers '!X63)</f>
        <v>-2326.3953800067166</v>
      </c>
      <c r="Y7" s="1608">
        <f>X7*(1+'Forecast Drivers '!Y63)</f>
        <v>-2258.4776712863136</v>
      </c>
      <c r="Z7" s="1608">
        <f>Y7*(1+'Forecast Drivers '!Z63)</f>
        <v>-2177.5101651050691</v>
      </c>
      <c r="AA7" s="1608">
        <f>Z7*(1+'Forecast Drivers '!AA63)</f>
        <v>-2112.9627914982925</v>
      </c>
      <c r="AB7" s="1608">
        <f>AA7*(1+'Forecast Drivers '!AB63)</f>
        <v>-2040.8136153554483</v>
      </c>
      <c r="AC7" s="1608">
        <f>AB7*(1+'Forecast Drivers '!AC63)</f>
        <v>-1980.2201588927001</v>
      </c>
      <c r="AD7" s="1608">
        <f>AC7*(1+'Forecast Drivers '!AD63)</f>
        <v>-1915.4985309160998</v>
      </c>
      <c r="AE7" s="1608">
        <f>AD7*(1+'Forecast Drivers '!AE63)</f>
        <v>-1859.0834948017937</v>
      </c>
      <c r="AF7" s="1608">
        <f>AE7*(1+'Forecast Drivers '!AF63)</f>
        <v>-1800.7295219730497</v>
      </c>
      <c r="AG7" s="1608">
        <f>AF7*(1+'Forecast Drivers '!AG63)</f>
        <v>-1748.4946235240216</v>
      </c>
      <c r="AH7" s="1608">
        <f>AG7*(1+'Forecast Drivers '!AH63)</f>
        <v>-1698.4655513474172</v>
      </c>
      <c r="AI7" s="1608">
        <f>AH7*(1+'Forecast Drivers '!AI63)</f>
        <v>-1650.824381308126</v>
      </c>
      <c r="AJ7" s="1608">
        <f>AI7*(1+'Forecast Drivers '!AJ63)</f>
        <v>-1605.2053181576457</v>
      </c>
      <c r="AK7" s="1608">
        <f>AJ7*(1+'Forecast Drivers '!AK63)</f>
        <v>-1561.7208086866481</v>
      </c>
      <c r="AL7" s="1608">
        <f>AK7*(1+'Forecast Drivers '!AL63)</f>
        <v>-1520.0981342901725</v>
      </c>
      <c r="AM7" s="1608">
        <f>AL7*(1+'Forecast Drivers '!AM63)</f>
        <v>-1480.3910148113657</v>
      </c>
      <c r="AN7" s="1608">
        <f>AM7*(1+'Forecast Drivers '!AN63)</f>
        <v>-1442.3923277921965</v>
      </c>
      <c r="AO7" s="1608">
        <f>AN7*(1+'Forecast Drivers '!AO63)</f>
        <v>-1406.1180242713381</v>
      </c>
    </row>
    <row r="8" spans="1:41" s="129" customFormat="1" x14ac:dyDescent="0.8">
      <c r="A8" s="1606" t="s">
        <v>328</v>
      </c>
      <c r="B8" s="1607">
        <v>5288</v>
      </c>
      <c r="C8" s="1608">
        <v>3921</v>
      </c>
      <c r="D8" s="1608">
        <v>3385</v>
      </c>
      <c r="E8" s="1608">
        <v>3503</v>
      </c>
      <c r="F8" s="1608">
        <v>4487</v>
      </c>
      <c r="G8" s="1608">
        <v>4125</v>
      </c>
      <c r="H8" s="1608">
        <f>G8*(1+'Forecast Drivers '!H63)</f>
        <v>3794.099576410978</v>
      </c>
      <c r="I8" s="1608">
        <f>H8*(1+'Forecast Drivers '!I63)</f>
        <v>4153.10089637493</v>
      </c>
      <c r="J8" s="1608">
        <f>I8*(1+'Forecast Drivers '!J63)</f>
        <v>4092.4783872743697</v>
      </c>
      <c r="K8" s="1608">
        <f>J8*(1+'Forecast Drivers '!K63)</f>
        <v>4221.7840024558391</v>
      </c>
      <c r="L8" s="1608">
        <f>K8*(1+'Forecast Drivers '!L63)</f>
        <v>4063.1364998437784</v>
      </c>
      <c r="M8" s="1608">
        <f>L8*(1+'Forecast Drivers '!M63)</f>
        <v>4193.370083952268</v>
      </c>
      <c r="N8" s="1608">
        <f>M8*(1+'Forecast Drivers '!N63)</f>
        <v>3731.0595179360075</v>
      </c>
      <c r="O8" s="1608">
        <f>N8*(1+'Forecast Drivers '!O63)</f>
        <v>3829.5409246838858</v>
      </c>
      <c r="P8" s="1608">
        <f>O8*(1+'Forecast Drivers '!P63)</f>
        <v>3555.8869241502957</v>
      </c>
      <c r="Q8" s="1608">
        <f>P8*(1+'Forecast Drivers '!Q63)</f>
        <v>3624.4987409632913</v>
      </c>
      <c r="R8" s="1608">
        <f>Q8*(1+'Forecast Drivers '!R63)</f>
        <v>3348.5510385198245</v>
      </c>
      <c r="S8" s="1608">
        <f>R8*(1+'Forecast Drivers '!S63)</f>
        <v>3394.1114473190178</v>
      </c>
      <c r="T8" s="1608">
        <f>S8*(1+'Forecast Drivers '!T63)</f>
        <v>3201.1184523943398</v>
      </c>
      <c r="U8" s="1608">
        <f>T8*(1+'Forecast Drivers '!U63)</f>
        <v>3231.1907233897618</v>
      </c>
      <c r="V8" s="1608">
        <f>U8*(1+'Forecast Drivers '!V63)</f>
        <v>3088.3944851609745</v>
      </c>
      <c r="W8" s="1608">
        <f>V8*(1+'Forecast Drivers '!W63)</f>
        <v>3093.0375057875199</v>
      </c>
      <c r="X8" s="1608">
        <f>W8*(1+'Forecast Drivers '!X63)</f>
        <v>2983.021741537988</v>
      </c>
      <c r="Y8" s="1608">
        <f>X8*(1+'Forecast Drivers '!Y63)</f>
        <v>2895.9342225850314</v>
      </c>
      <c r="Z8" s="1608">
        <f>Y8*(1+'Forecast Drivers '!Z63)</f>
        <v>2792.113593739015</v>
      </c>
      <c r="AA8" s="1608">
        <f>Z8*(1+'Forecast Drivers '!AA63)</f>
        <v>2709.3476888189175</v>
      </c>
      <c r="AB8" s="1608">
        <f>AA8*(1+'Forecast Drivers '!AB63)</f>
        <v>2616.8343684616802</v>
      </c>
      <c r="AC8" s="1608">
        <f>AB8*(1+'Forecast Drivers '!AC63)</f>
        <v>2539.1383759503851</v>
      </c>
      <c r="AD8" s="1608">
        <f>AC8*(1+'Forecast Drivers '!AD63)</f>
        <v>2456.1490332697895</v>
      </c>
      <c r="AE8" s="1608">
        <f>AD8*(1+'Forecast Drivers '!AE63)</f>
        <v>2383.8108225232827</v>
      </c>
      <c r="AF8" s="1608">
        <f>AE8*(1+'Forecast Drivers '!AF63)</f>
        <v>2308.9864091199352</v>
      </c>
      <c r="AG8" s="1608">
        <f>AF8*(1+'Forecast Drivers '!AG63)</f>
        <v>2242.0081821686636</v>
      </c>
      <c r="AH8" s="1608">
        <f>AG8*(1+'Forecast Drivers '!AH63)</f>
        <v>2177.8583771551439</v>
      </c>
      <c r="AI8" s="1608">
        <f>AH8*(1+'Forecast Drivers '!AI63)</f>
        <v>2116.770460956177</v>
      </c>
      <c r="AJ8" s="1608">
        <f>AI8*(1+'Forecast Drivers '!AJ63)</f>
        <v>2058.275392415384</v>
      </c>
      <c r="AK8" s="1608">
        <f>AJ8*(1+'Forecast Drivers '!AK63)</f>
        <v>2002.5173564912729</v>
      </c>
      <c r="AL8" s="1608">
        <f>AK8*(1+'Forecast Drivers '!AL63)</f>
        <v>1949.1466596042785</v>
      </c>
      <c r="AM8" s="1608">
        <f>AL8*(1+'Forecast Drivers '!AM63)</f>
        <v>1898.2321840524978</v>
      </c>
      <c r="AN8" s="1608">
        <f>AM8*(1+'Forecast Drivers '!AN63)</f>
        <v>1849.5083469514493</v>
      </c>
      <c r="AO8" s="1608">
        <f>AN8*(1+'Forecast Drivers '!AO63)</f>
        <v>1802.9956015291486</v>
      </c>
    </row>
    <row r="9" spans="1:41" s="129" customFormat="1" x14ac:dyDescent="0.8">
      <c r="A9" s="1606" t="s">
        <v>329</v>
      </c>
      <c r="B9" s="1607">
        <v>422</v>
      </c>
      <c r="C9" s="1608">
        <v>-363</v>
      </c>
      <c r="D9" s="1608">
        <v>-330</v>
      </c>
      <c r="E9" s="1608">
        <v>513</v>
      </c>
      <c r="F9" s="1608">
        <v>-1500</v>
      </c>
      <c r="G9" s="1608">
        <v>174</v>
      </c>
      <c r="H9" s="1608">
        <f>G9*(1+'Forecast Drivers '!H63)</f>
        <v>160.04201849588125</v>
      </c>
      <c r="I9" s="1608">
        <f>H9*(1+'Forecast Drivers '!I63)</f>
        <v>175.18534690163341</v>
      </c>
      <c r="J9" s="1608">
        <f>I9*(1+'Forecast Drivers '!J63)</f>
        <v>172.62817924502795</v>
      </c>
      <c r="K9" s="1608">
        <f>J9*(1+'Forecast Drivers '!K63)</f>
        <v>178.08252519450085</v>
      </c>
      <c r="L9" s="1608">
        <f>K9*(1+'Forecast Drivers '!L63)</f>
        <v>171.39048508431938</v>
      </c>
      <c r="M9" s="1608">
        <f>L9*(1+'Forecast Drivers '!M63)</f>
        <v>176.88397445035019</v>
      </c>
      <c r="N9" s="1608">
        <f>M9*(1+'Forecast Drivers '!N63)</f>
        <v>157.38287421111883</v>
      </c>
      <c r="O9" s="1608">
        <f>N9*(1+'Forecast Drivers '!O63)</f>
        <v>161.5369990048475</v>
      </c>
      <c r="P9" s="1608">
        <f>O9*(1+'Forecast Drivers '!P63)</f>
        <v>149.99377570961244</v>
      </c>
      <c r="Q9" s="1608">
        <f>P9*(1+'Forecast Drivers '!Q63)</f>
        <v>152.88794689154244</v>
      </c>
      <c r="R9" s="1608">
        <f>Q9*(1+'Forecast Drivers '!R63)</f>
        <v>141.24797107938167</v>
      </c>
      <c r="S9" s="1608">
        <f>R9*(1+'Forecast Drivers '!S63)</f>
        <v>143.16979195963856</v>
      </c>
      <c r="T9" s="1608">
        <f>S9*(1+'Forecast Drivers '!T63)</f>
        <v>135.02899653736122</v>
      </c>
      <c r="U9" s="1608">
        <f>T9*(1+'Forecast Drivers '!U63)</f>
        <v>136.29749960480447</v>
      </c>
      <c r="V9" s="1608">
        <f>U9*(1+'Forecast Drivers '!V63)</f>
        <v>130.27409464679016</v>
      </c>
      <c r="W9" s="1608">
        <f>V9*(1+'Forecast Drivers '!W63)</f>
        <v>130.46994569867351</v>
      </c>
      <c r="X9" s="1608">
        <f>W9*(1+'Forecast Drivers '!X63)</f>
        <v>125.829280733966</v>
      </c>
      <c r="Y9" s="1608">
        <f>X9*(1+'Forecast Drivers '!Y63)</f>
        <v>122.15577084358674</v>
      </c>
      <c r="Z9" s="1608">
        <f>Y9*(1+'Forecast Drivers '!Z63)</f>
        <v>117.77642795408205</v>
      </c>
      <c r="AA9" s="1608">
        <f>Z9*(1+'Forecast Drivers '!AA63)</f>
        <v>114.28521160108885</v>
      </c>
      <c r="AB9" s="1608">
        <f>AA9*(1+'Forecast Drivers '!AB63)</f>
        <v>110.38283154238357</v>
      </c>
      <c r="AC9" s="1608">
        <f>AB9*(1+'Forecast Drivers '!AC63)</f>
        <v>107.1054733128162</v>
      </c>
      <c r="AD9" s="1608">
        <f>AC9*(1+'Forecast Drivers '!AD63)</f>
        <v>103.60483194883471</v>
      </c>
      <c r="AE9" s="1608">
        <f>AD9*(1+'Forecast Drivers '!AE63)</f>
        <v>100.55347469552753</v>
      </c>
      <c r="AF9" s="1608">
        <f>AE9*(1+'Forecast Drivers '!AF63)</f>
        <v>97.397244893786336</v>
      </c>
      <c r="AG9" s="1608">
        <f>AF9*(1+'Forecast Drivers '!AG63)</f>
        <v>94.571981502387231</v>
      </c>
      <c r="AH9" s="1608">
        <f>AG9*(1+'Forecast Drivers '!AH63)</f>
        <v>91.866026090907852</v>
      </c>
      <c r="AI9" s="1608">
        <f>AH9*(1+'Forecast Drivers '!AI63)</f>
        <v>89.289226716696888</v>
      </c>
      <c r="AJ9" s="1608">
        <f>AI9*(1+'Forecast Drivers '!AJ63)</f>
        <v>86.821798370976168</v>
      </c>
      <c r="AK9" s="1608">
        <f>AJ9*(1+'Forecast Drivers '!AK63)</f>
        <v>84.469823037450041</v>
      </c>
      <c r="AL9" s="1608">
        <f>AK9*(1+'Forecast Drivers '!AL63)</f>
        <v>82.218550005125905</v>
      </c>
      <c r="AM9" s="1608">
        <f>AL9*(1+'Forecast Drivers '!AM63)</f>
        <v>80.070884854578068</v>
      </c>
      <c r="AN9" s="1608">
        <f>AM9*(1+'Forecast Drivers '!AN63)</f>
        <v>78.015624816861106</v>
      </c>
      <c r="AO9" s="1608">
        <f>AN9*(1+'Forecast Drivers '!AO63)</f>
        <v>76.053632646320423</v>
      </c>
    </row>
    <row r="10" spans="1:41" s="129" customFormat="1" x14ac:dyDescent="0.8">
      <c r="A10" s="1609" t="s">
        <v>330</v>
      </c>
      <c r="B10" s="1610">
        <f>SUM(B6:B9)</f>
        <v>-6138</v>
      </c>
      <c r="C10" s="1611">
        <f t="shared" ref="C10:AO10" si="2">SUM(C6:C9)</f>
        <v>-1298</v>
      </c>
      <c r="D10" s="1611">
        <f t="shared" si="2"/>
        <v>-2849</v>
      </c>
      <c r="E10" s="1611">
        <f t="shared" si="2"/>
        <v>-985</v>
      </c>
      <c r="F10" s="1611">
        <f t="shared" si="2"/>
        <v>-1551</v>
      </c>
      <c r="G10" s="1611">
        <f t="shared" si="2"/>
        <v>-1373</v>
      </c>
      <c r="H10" s="1610">
        <f t="shared" si="2"/>
        <v>-1262.8602953726727</v>
      </c>
      <c r="I10" s="1611">
        <f t="shared" si="2"/>
        <v>-1382.3533407812799</v>
      </c>
      <c r="J10" s="1611">
        <f t="shared" si="2"/>
        <v>-1362.1752304794452</v>
      </c>
      <c r="K10" s="1611">
        <f t="shared" si="2"/>
        <v>-1405.2144085749985</v>
      </c>
      <c r="L10" s="1611">
        <f t="shared" si="2"/>
        <v>-1352.4088277055778</v>
      </c>
      <c r="M10" s="1611">
        <f t="shared" si="2"/>
        <v>-1395.7568788524759</v>
      </c>
      <c r="N10" s="1610">
        <f t="shared" si="2"/>
        <v>-1241.8775074245184</v>
      </c>
      <c r="O10" s="1611">
        <f t="shared" si="2"/>
        <v>-1274.6568944462974</v>
      </c>
      <c r="P10" s="1611">
        <f t="shared" si="2"/>
        <v>-1183.5715749959656</v>
      </c>
      <c r="Q10" s="1611">
        <f t="shared" si="2"/>
        <v>-1206.4089142648722</v>
      </c>
      <c r="R10" s="1611">
        <f t="shared" si="2"/>
        <v>-1114.5601396091436</v>
      </c>
      <c r="S10" s="1611">
        <f t="shared" si="2"/>
        <v>-1129.724852647033</v>
      </c>
      <c r="T10" s="1611">
        <f t="shared" si="2"/>
        <v>-1065.4874266999827</v>
      </c>
      <c r="U10" s="1611">
        <f t="shared" si="2"/>
        <v>-1075.4969365367622</v>
      </c>
      <c r="V10" s="1611">
        <f t="shared" si="2"/>
        <v>-1027.9674250002467</v>
      </c>
      <c r="W10" s="1611">
        <f t="shared" si="2"/>
        <v>-1029.5128473809129</v>
      </c>
      <c r="X10" s="1611">
        <f t="shared" si="2"/>
        <v>-992.89426694100825</v>
      </c>
      <c r="Y10" s="1611">
        <f t="shared" si="2"/>
        <v>-963.90731820830194</v>
      </c>
      <c r="Z10" s="1611">
        <f t="shared" si="2"/>
        <v>-929.35077920088906</v>
      </c>
      <c r="AA10" s="1611">
        <f t="shared" si="2"/>
        <v>-901.80227315112074</v>
      </c>
      <c r="AB10" s="1611">
        <f t="shared" si="2"/>
        <v>-871.00935464191195</v>
      </c>
      <c r="AC10" s="1611">
        <f t="shared" si="2"/>
        <v>-845.1483612557281</v>
      </c>
      <c r="AD10" s="1611">
        <f t="shared" si="2"/>
        <v>-817.52548428592013</v>
      </c>
      <c r="AE10" s="1611">
        <f t="shared" si="2"/>
        <v>-793.44782044229464</v>
      </c>
      <c r="AF10" s="1611">
        <f t="shared" si="2"/>
        <v>-768.54262781131388</v>
      </c>
      <c r="AG10" s="1611">
        <f t="shared" si="2"/>
        <v>-746.24902645274551</v>
      </c>
      <c r="AH10" s="1611">
        <f t="shared" si="2"/>
        <v>-724.89686105066937</v>
      </c>
      <c r="AI10" s="1611">
        <f t="shared" si="2"/>
        <v>-704.56384070129229</v>
      </c>
      <c r="AJ10" s="1611">
        <f t="shared" si="2"/>
        <v>-685.09384576638092</v>
      </c>
      <c r="AK10" s="1611">
        <f t="shared" si="2"/>
        <v>-666.53486799091354</v>
      </c>
      <c r="AL10" s="1611">
        <f t="shared" si="2"/>
        <v>-648.77051239676916</v>
      </c>
      <c r="AM10" s="1611">
        <f t="shared" si="2"/>
        <v>-631.82370635250413</v>
      </c>
      <c r="AN10" s="1611">
        <f t="shared" si="2"/>
        <v>-615.60605099741576</v>
      </c>
      <c r="AO10" s="1612">
        <f t="shared" si="2"/>
        <v>-600.12435415745927</v>
      </c>
    </row>
    <row r="11" spans="1:41" s="129" customFormat="1" x14ac:dyDescent="0.8">
      <c r="A11" s="1613" t="s">
        <v>525</v>
      </c>
      <c r="B11" s="1607">
        <f t="shared" ref="B11:F11" si="3">B10+B5</f>
        <v>29436</v>
      </c>
      <c r="C11" s="1608">
        <f t="shared" si="3"/>
        <v>28138</v>
      </c>
      <c r="D11" s="1608">
        <f t="shared" si="3"/>
        <v>25289</v>
      </c>
      <c r="E11" s="1608">
        <f t="shared" si="3"/>
        <v>24304</v>
      </c>
      <c r="F11" s="1608">
        <f t="shared" si="3"/>
        <v>22753</v>
      </c>
      <c r="G11" s="1608">
        <f>G10+G5</f>
        <v>21380</v>
      </c>
      <c r="H11" s="1607">
        <f t="shared" ref="H11" si="4">H10+H5</f>
        <v>20117.139704627327</v>
      </c>
      <c r="I11" s="1608">
        <f t="shared" ref="I11" si="5">I10+I5</f>
        <v>18734.786363846048</v>
      </c>
      <c r="J11" s="1608">
        <f t="shared" ref="J11" si="6">J10+J5</f>
        <v>17372.611133366601</v>
      </c>
      <c r="K11" s="1608">
        <f t="shared" ref="K11" si="7">K10+K5</f>
        <v>15967.396724791603</v>
      </c>
      <c r="L11" s="1608">
        <f t="shared" ref="L11:M11" si="8">L10+L5</f>
        <v>14614.987897086025</v>
      </c>
      <c r="M11" s="1608">
        <f t="shared" si="8"/>
        <v>13219.23101823355</v>
      </c>
      <c r="N11" s="1607">
        <f t="shared" ref="N11" si="9">N10+N5</f>
        <v>11977.353510809031</v>
      </c>
      <c r="O11" s="1608">
        <f t="shared" ref="O11" si="10">O10+O5</f>
        <v>10702.696616362733</v>
      </c>
      <c r="P11" s="1608">
        <f t="shared" ref="P11" si="11">P10+P5</f>
        <v>9519.1250413667676</v>
      </c>
      <c r="Q11" s="1608">
        <f t="shared" ref="Q11" si="12">Q10+Q5</f>
        <v>8312.7161271018958</v>
      </c>
      <c r="R11" s="1608">
        <f t="shared" ref="R11:S11" si="13">R10+R5</f>
        <v>7198.1559874927525</v>
      </c>
      <c r="S11" s="1608">
        <f t="shared" si="13"/>
        <v>6068.4311348457195</v>
      </c>
      <c r="T11" s="1608">
        <f t="shared" ref="T11" si="14">T10+T5</f>
        <v>5002.9437081457363</v>
      </c>
      <c r="U11" s="1608">
        <f t="shared" ref="U11" si="15">U10+U5</f>
        <v>3927.4467716089739</v>
      </c>
      <c r="V11" s="1608">
        <f t="shared" ref="V11" si="16">V10+V5</f>
        <v>2899.4793466087272</v>
      </c>
      <c r="W11" s="1608">
        <f t="shared" ref="W11" si="17">W10+W5</f>
        <v>1869.9664992278142</v>
      </c>
      <c r="X11" s="1608">
        <f t="shared" ref="X11:Y11" si="18">X10+X5</f>
        <v>877.07223228680596</v>
      </c>
      <c r="Y11" s="1608">
        <f t="shared" si="18"/>
        <v>-86.835085921495988</v>
      </c>
      <c r="Z11" s="1608">
        <f t="shared" ref="Z11" si="19">Z10+Z5</f>
        <v>-1016.1858651223851</v>
      </c>
      <c r="AA11" s="1608">
        <f t="shared" ref="AA11" si="20">AA10+AA5</f>
        <v>-1917.9881382735057</v>
      </c>
      <c r="AB11" s="1608">
        <f t="shared" ref="AB11" si="21">AB10+AB5</f>
        <v>-2788.9974929154178</v>
      </c>
      <c r="AC11" s="1608">
        <f t="shared" ref="AC11" si="22">AC10+AC5</f>
        <v>-3634.1458541711459</v>
      </c>
      <c r="AD11" s="1608">
        <f t="shared" ref="AD11:AE11" si="23">AD10+AD5</f>
        <v>-4451.6713384570658</v>
      </c>
      <c r="AE11" s="1608">
        <f t="shared" si="23"/>
        <v>-5245.1191588993606</v>
      </c>
      <c r="AF11" s="1608">
        <f t="shared" ref="AF11" si="24">AF10+AF5</f>
        <v>-6013.6617867106743</v>
      </c>
      <c r="AG11" s="1608">
        <f t="shared" ref="AG11" si="25">AG10+AG5</f>
        <v>-6759.9108131634202</v>
      </c>
      <c r="AH11" s="1608">
        <f t="shared" ref="AH11" si="26">AH10+AH5</f>
        <v>-7484.8076742140893</v>
      </c>
      <c r="AI11" s="1608">
        <f t="shared" ref="AI11" si="27">AI10+AI5</f>
        <v>-8189.3715149153813</v>
      </c>
      <c r="AJ11" s="1608">
        <f t="shared" ref="AJ11:AK11" si="28">AJ10+AJ5</f>
        <v>-8874.4653606817628</v>
      </c>
      <c r="AK11" s="1608">
        <f t="shared" si="28"/>
        <v>-9541.0002286726758</v>
      </c>
      <c r="AL11" s="1608">
        <f t="shared" ref="AL11" si="29">AL10+AL5</f>
        <v>-10189.770741069446</v>
      </c>
      <c r="AM11" s="1608">
        <f t="shared" ref="AM11" si="30">AM10+AM5</f>
        <v>-10821.59444742195</v>
      </c>
      <c r="AN11" s="1608">
        <f t="shared" ref="AN11" si="31">AN10+AN5</f>
        <v>-11437.200498419366</v>
      </c>
      <c r="AO11" s="1614">
        <f t="shared" ref="AO11" si="32">AO10+AO5</f>
        <v>-12037.324852576825</v>
      </c>
    </row>
    <row r="12" spans="1:41" s="129" customFormat="1" ht="16.75" thickBot="1" x14ac:dyDescent="0.95">
      <c r="A12" s="1615" t="s">
        <v>159</v>
      </c>
      <c r="B12" s="1616"/>
      <c r="C12" s="1617">
        <f>(C11-B11)/B11</f>
        <v>-4.4095665171898356E-2</v>
      </c>
      <c r="D12" s="1617">
        <f t="shared" ref="D12:AO12" si="33">(D11-C11)/C11</f>
        <v>-0.10125097732603597</v>
      </c>
      <c r="E12" s="1617">
        <f t="shared" si="33"/>
        <v>-3.8949740994108112E-2</v>
      </c>
      <c r="F12" s="1617">
        <f t="shared" si="33"/>
        <v>-6.3816655694535873E-2</v>
      </c>
      <c r="G12" s="1617">
        <f t="shared" si="33"/>
        <v>-6.0343690941853823E-2</v>
      </c>
      <c r="H12" s="1618">
        <f t="shared" si="33"/>
        <v>-5.9067366481415959E-2</v>
      </c>
      <c r="I12" s="1617">
        <f t="shared" si="33"/>
        <v>-6.8715203109282558E-2</v>
      </c>
      <c r="J12" s="1617">
        <f t="shared" si="33"/>
        <v>-7.2708340731770515E-2</v>
      </c>
      <c r="K12" s="1617">
        <f t="shared" si="33"/>
        <v>-8.0886770433494723E-2</v>
      </c>
      <c r="L12" s="1617">
        <f t="shared" si="33"/>
        <v>-8.4698141532725577E-2</v>
      </c>
      <c r="M12" s="1617">
        <f t="shared" si="33"/>
        <v>-9.550174715716081E-2</v>
      </c>
      <c r="N12" s="1618">
        <f t="shared" si="33"/>
        <v>-9.3944761666663684E-2</v>
      </c>
      <c r="O12" s="1617">
        <f t="shared" si="33"/>
        <v>-0.10642224872931876</v>
      </c>
      <c r="P12" s="1617">
        <f t="shared" si="33"/>
        <v>-0.11058629590476024</v>
      </c>
      <c r="Q12" s="1617">
        <f t="shared" si="33"/>
        <v>-0.12673527335991944</v>
      </c>
      <c r="R12" s="1617">
        <f t="shared" si="33"/>
        <v>-0.13407893672386453</v>
      </c>
      <c r="S12" s="1617">
        <f t="shared" si="33"/>
        <v>-0.15694642553037205</v>
      </c>
      <c r="T12" s="1617">
        <f t="shared" si="33"/>
        <v>-0.17557872916804082</v>
      </c>
      <c r="U12" s="1617">
        <f t="shared" si="33"/>
        <v>-0.21497282385681263</v>
      </c>
      <c r="V12" s="1617">
        <f t="shared" si="33"/>
        <v>-0.26173936523628938</v>
      </c>
      <c r="W12" s="1617">
        <f t="shared" si="33"/>
        <v>-0.35506817752816416</v>
      </c>
      <c r="X12" s="1617">
        <f t="shared" si="33"/>
        <v>-0.53096901326896229</v>
      </c>
      <c r="Y12" s="1617">
        <f t="shared" si="33"/>
        <v>-1.0990056265891457</v>
      </c>
      <c r="Z12" s="1617">
        <f t="shared" si="33"/>
        <v>10.702480101661633</v>
      </c>
      <c r="AA12" s="1617">
        <f t="shared" si="33"/>
        <v>0.8874383162597046</v>
      </c>
      <c r="AB12" s="1617">
        <f t="shared" si="33"/>
        <v>0.45412655962823578</v>
      </c>
      <c r="AC12" s="1617">
        <f t="shared" si="33"/>
        <v>0.30302944459525871</v>
      </c>
      <c r="AD12" s="1617">
        <f t="shared" si="33"/>
        <v>0.22495670704784529</v>
      </c>
      <c r="AE12" s="1617">
        <f t="shared" si="33"/>
        <v>0.17823593884567884</v>
      </c>
      <c r="AF12" s="1617">
        <f t="shared" si="33"/>
        <v>0.14652529418847085</v>
      </c>
      <c r="AG12" s="1617">
        <f t="shared" si="33"/>
        <v>0.12409228402266465</v>
      </c>
      <c r="AH12" s="1617">
        <f t="shared" si="33"/>
        <v>0.10723467825035411</v>
      </c>
      <c r="AI12" s="1617">
        <f t="shared" si="33"/>
        <v>9.4132524357116748E-2</v>
      </c>
      <c r="AJ12" s="1617">
        <f t="shared" si="33"/>
        <v>8.3656461856518954E-2</v>
      </c>
      <c r="AK12" s="1617">
        <f t="shared" si="33"/>
        <v>7.5107044864244951E-2</v>
      </c>
      <c r="AL12" s="1617">
        <f t="shared" si="33"/>
        <v>6.7998165480290057E-2</v>
      </c>
      <c r="AM12" s="1617">
        <f t="shared" si="33"/>
        <v>6.2005684171672848E-2</v>
      </c>
      <c r="AN12" s="1617">
        <f t="shared" si="33"/>
        <v>5.6886815892834806E-2</v>
      </c>
      <c r="AO12" s="1619">
        <f t="shared" si="33"/>
        <v>5.247126289692975E-2</v>
      </c>
    </row>
    <row r="13" spans="1:41" ht="16.75" thickBot="1" x14ac:dyDescent="0.95"/>
    <row r="14" spans="1:41" x14ac:dyDescent="0.8">
      <c r="A14" s="20" t="s">
        <v>331</v>
      </c>
      <c r="B14" s="585">
        <v>75839</v>
      </c>
      <c r="C14" s="584">
        <v>86240</v>
      </c>
      <c r="D14" s="584">
        <v>83829</v>
      </c>
      <c r="E14" s="584">
        <v>93028</v>
      </c>
      <c r="F14" s="584">
        <v>82005</v>
      </c>
      <c r="G14" s="584">
        <v>89604</v>
      </c>
      <c r="H14" s="585">
        <f>G14*(1+IF('Forecast Drivers '!H63&lt;0,0,'Forecast Drivers '!H63))</f>
        <v>89604</v>
      </c>
      <c r="I14" s="585">
        <f>H14*(1+IF('Forecast Drivers '!I63&lt;0,0,'Forecast Drivers '!I63))</f>
        <v>98082.415926152142</v>
      </c>
      <c r="J14" s="585">
        <f>I14*(1+IF('Forecast Drivers '!J63&lt;0,0,'Forecast Drivers '!J63))</f>
        <v>98082.415926152142</v>
      </c>
      <c r="K14" s="585">
        <f>J14*(1+IF('Forecast Drivers '!K63&lt;0,0,'Forecast Drivers '!K63))</f>
        <v>101181.41998424384</v>
      </c>
      <c r="L14" s="585">
        <f>K14*(1+IF('Forecast Drivers '!L63&lt;0,0,'Forecast Drivers '!L63))</f>
        <v>101181.41998424384</v>
      </c>
      <c r="M14" s="585">
        <f>L14*(1+IF('Forecast Drivers '!M63&lt;0,0,'Forecast Drivers '!M63))</f>
        <v>104424.53499409917</v>
      </c>
      <c r="N14" s="585">
        <f>M14*(1+IF('Forecast Drivers '!N63&lt;0,0,'Forecast Drivers '!N63))</f>
        <v>104424.53499409917</v>
      </c>
      <c r="O14" s="585">
        <f>N14*(1+IF('Forecast Drivers '!O63&lt;0,0,'Forecast Drivers '!O63))</f>
        <v>107180.82313578523</v>
      </c>
      <c r="P14" s="585">
        <f>O14*(1+IF('Forecast Drivers '!P63&lt;0,0,'Forecast Drivers '!P63))</f>
        <v>107180.82313578523</v>
      </c>
      <c r="Q14" s="585">
        <f>P14*(1+IF('Forecast Drivers '!Q63&lt;0,0,'Forecast Drivers '!Q63))</f>
        <v>109248.90661530022</v>
      </c>
      <c r="R14" s="585">
        <f>Q14*(1+IF('Forecast Drivers '!R63&lt;0,0,'Forecast Drivers '!R63))</f>
        <v>109248.90661530022</v>
      </c>
      <c r="S14" s="585">
        <f>R14*(1+IF('Forecast Drivers '!S63&lt;0,0,'Forecast Drivers '!S63))</f>
        <v>110735.3480011416</v>
      </c>
      <c r="T14" s="585">
        <f>S14*(1+IF('Forecast Drivers '!T63&lt;0,0,'Forecast Drivers '!T63))</f>
        <v>110735.3480011416</v>
      </c>
      <c r="U14" s="585">
        <f>T14*(1+IF('Forecast Drivers '!U63&lt;0,0,'Forecast Drivers '!U63))</f>
        <v>111775.62921640619</v>
      </c>
      <c r="V14" s="585">
        <f>U14*(1+IF('Forecast Drivers '!V63&lt;0,0,'Forecast Drivers '!V63))</f>
        <v>111775.62921640619</v>
      </c>
      <c r="W14" s="585">
        <f>V14*(1+IF('Forecast Drivers '!W63&lt;0,0,'Forecast Drivers '!W63))</f>
        <v>111943.67010447616</v>
      </c>
      <c r="X14" s="585">
        <f>W14*(1+IF('Forecast Drivers '!X63&lt;0,0,'Forecast Drivers '!X63))</f>
        <v>111943.67010447616</v>
      </c>
      <c r="Y14" s="585">
        <f>X14*(1+IF('Forecast Drivers '!Y63&lt;0,0,'Forecast Drivers '!Y63))</f>
        <v>111943.67010447616</v>
      </c>
      <c r="Z14" s="585">
        <f>Y14*(1+IF('Forecast Drivers '!Z63&lt;0,0,'Forecast Drivers '!Z63))</f>
        <v>111943.67010447616</v>
      </c>
      <c r="AA14" s="585">
        <f>Z14*(1+IF('Forecast Drivers '!AA63&lt;0,0,'Forecast Drivers '!AA63))</f>
        <v>111943.67010447616</v>
      </c>
      <c r="AB14" s="585">
        <f>AA14*(1+IF('Forecast Drivers '!AB63&lt;0,0,'Forecast Drivers '!AB63))</f>
        <v>111943.67010447616</v>
      </c>
      <c r="AC14" s="585">
        <f>AB14*(1+IF('Forecast Drivers '!AC63&lt;0,0,'Forecast Drivers '!AC63))</f>
        <v>111943.67010447616</v>
      </c>
      <c r="AD14" s="585">
        <f>AC14*(1+IF('Forecast Drivers '!AD63&lt;0,0,'Forecast Drivers '!AD63))</f>
        <v>111943.67010447616</v>
      </c>
      <c r="AE14" s="585">
        <f>AD14*(1+IF('Forecast Drivers '!AE63&lt;0,0,'Forecast Drivers '!AE63))</f>
        <v>111943.67010447616</v>
      </c>
      <c r="AF14" s="585">
        <f>AE14*(1+IF('Forecast Drivers '!AF63&lt;0,0,'Forecast Drivers '!AF63))</f>
        <v>111943.67010447616</v>
      </c>
      <c r="AG14" s="585">
        <f>AF14*(1+IF('Forecast Drivers '!AG63&lt;0,0,'Forecast Drivers '!AG63))</f>
        <v>111943.67010447616</v>
      </c>
      <c r="AH14" s="585">
        <f>AG14*(1+IF('Forecast Drivers '!AH63&lt;0,0,'Forecast Drivers '!AH63))</f>
        <v>111943.67010447616</v>
      </c>
      <c r="AI14" s="585">
        <f>AH14*(1+IF('Forecast Drivers '!AI63&lt;0,0,'Forecast Drivers '!AI63))</f>
        <v>111943.67010447616</v>
      </c>
      <c r="AJ14" s="585">
        <f>AI14*(1+IF('Forecast Drivers '!AJ63&lt;0,0,'Forecast Drivers '!AJ63))</f>
        <v>111943.67010447616</v>
      </c>
      <c r="AK14" s="585">
        <f>AJ14*(1+IF('Forecast Drivers '!AK63&lt;0,0,'Forecast Drivers '!AK63))</f>
        <v>111943.67010447616</v>
      </c>
      <c r="AL14" s="585">
        <f>AK14*(1+IF('Forecast Drivers '!AL63&lt;0,0,'Forecast Drivers '!AL63))</f>
        <v>111943.67010447616</v>
      </c>
      <c r="AM14" s="585">
        <f>AL14*(1+IF('Forecast Drivers '!AM63&lt;0,0,'Forecast Drivers '!AM63))</f>
        <v>111943.67010447616</v>
      </c>
      <c r="AN14" s="585">
        <f>AM14*(1+IF('Forecast Drivers '!AN63&lt;0,0,'Forecast Drivers '!AN63))</f>
        <v>111943.67010447616</v>
      </c>
      <c r="AO14" s="585">
        <f>AN14*(1+IF('Forecast Drivers '!AO63&lt;0,0,'Forecast Drivers '!AO63))</f>
        <v>111943.67010447616</v>
      </c>
    </row>
    <row r="15" spans="1:41" x14ac:dyDescent="0.8">
      <c r="A15" s="22" t="s">
        <v>525</v>
      </c>
      <c r="B15" s="491">
        <f t="shared" ref="B15:G15" si="34">B11</f>
        <v>29436</v>
      </c>
      <c r="C15" s="142">
        <f t="shared" si="34"/>
        <v>28138</v>
      </c>
      <c r="D15" s="142">
        <f t="shared" si="34"/>
        <v>25289</v>
      </c>
      <c r="E15" s="142">
        <f t="shared" si="34"/>
        <v>24304</v>
      </c>
      <c r="F15" s="142">
        <f t="shared" si="34"/>
        <v>22753</v>
      </c>
      <c r="G15" s="142">
        <f t="shared" si="34"/>
        <v>21380</v>
      </c>
      <c r="H15" s="491">
        <f>H11</f>
        <v>20117.139704627327</v>
      </c>
      <c r="I15" s="142">
        <f t="shared" ref="I15:AO15" si="35">I11</f>
        <v>18734.786363846048</v>
      </c>
      <c r="J15" s="142">
        <f t="shared" si="35"/>
        <v>17372.611133366601</v>
      </c>
      <c r="K15" s="142">
        <f t="shared" si="35"/>
        <v>15967.396724791603</v>
      </c>
      <c r="L15" s="142">
        <f t="shared" si="35"/>
        <v>14614.987897086025</v>
      </c>
      <c r="M15" s="142">
        <f t="shared" si="35"/>
        <v>13219.23101823355</v>
      </c>
      <c r="N15" s="491">
        <f t="shared" si="35"/>
        <v>11977.353510809031</v>
      </c>
      <c r="O15" s="142">
        <f t="shared" si="35"/>
        <v>10702.696616362733</v>
      </c>
      <c r="P15" s="142">
        <f t="shared" si="35"/>
        <v>9519.1250413667676</v>
      </c>
      <c r="Q15" s="142">
        <f t="shared" si="35"/>
        <v>8312.7161271018958</v>
      </c>
      <c r="R15" s="142">
        <f t="shared" si="35"/>
        <v>7198.1559874927525</v>
      </c>
      <c r="S15" s="142">
        <f t="shared" si="35"/>
        <v>6068.4311348457195</v>
      </c>
      <c r="T15" s="142">
        <f t="shared" si="35"/>
        <v>5002.9437081457363</v>
      </c>
      <c r="U15" s="142">
        <f t="shared" si="35"/>
        <v>3927.4467716089739</v>
      </c>
      <c r="V15" s="142">
        <f t="shared" si="35"/>
        <v>2899.4793466087272</v>
      </c>
      <c r="W15" s="142">
        <f t="shared" si="35"/>
        <v>1869.9664992278142</v>
      </c>
      <c r="X15" s="142">
        <f t="shared" si="35"/>
        <v>877.07223228680596</v>
      </c>
      <c r="Y15" s="142">
        <f t="shared" si="35"/>
        <v>-86.835085921495988</v>
      </c>
      <c r="Z15" s="142">
        <f t="shared" si="35"/>
        <v>-1016.1858651223851</v>
      </c>
      <c r="AA15" s="142">
        <f t="shared" si="35"/>
        <v>-1917.9881382735057</v>
      </c>
      <c r="AB15" s="142">
        <f t="shared" si="35"/>
        <v>-2788.9974929154178</v>
      </c>
      <c r="AC15" s="142">
        <f t="shared" si="35"/>
        <v>-3634.1458541711459</v>
      </c>
      <c r="AD15" s="142">
        <f t="shared" si="35"/>
        <v>-4451.6713384570658</v>
      </c>
      <c r="AE15" s="142">
        <f t="shared" si="35"/>
        <v>-5245.1191588993606</v>
      </c>
      <c r="AF15" s="142">
        <f t="shared" si="35"/>
        <v>-6013.6617867106743</v>
      </c>
      <c r="AG15" s="142">
        <f t="shared" si="35"/>
        <v>-6759.9108131634202</v>
      </c>
      <c r="AH15" s="142">
        <f t="shared" si="35"/>
        <v>-7484.8076742140893</v>
      </c>
      <c r="AI15" s="142">
        <f t="shared" si="35"/>
        <v>-8189.3715149153813</v>
      </c>
      <c r="AJ15" s="142">
        <f t="shared" si="35"/>
        <v>-8874.4653606817628</v>
      </c>
      <c r="AK15" s="142">
        <f t="shared" si="35"/>
        <v>-9541.0002286726758</v>
      </c>
      <c r="AL15" s="142">
        <f t="shared" si="35"/>
        <v>-10189.770741069446</v>
      </c>
      <c r="AM15" s="142">
        <f t="shared" si="35"/>
        <v>-10821.59444742195</v>
      </c>
      <c r="AN15" s="142">
        <f t="shared" si="35"/>
        <v>-11437.200498419366</v>
      </c>
      <c r="AO15" s="510">
        <f t="shared" si="35"/>
        <v>-12037.324852576825</v>
      </c>
    </row>
    <row r="16" spans="1:41" ht="16.75" thickBot="1" x14ac:dyDescent="0.95">
      <c r="A16" s="586" t="s">
        <v>332</v>
      </c>
      <c r="B16" s="587">
        <f>B15/B14</f>
        <v>0.38813802924616619</v>
      </c>
      <c r="C16" s="587">
        <f t="shared" ref="C16:G16" si="36">C15/C14</f>
        <v>0.32627551020408163</v>
      </c>
      <c r="D16" s="587">
        <f t="shared" si="36"/>
        <v>0.30167364515859668</v>
      </c>
      <c r="E16" s="587">
        <f t="shared" si="36"/>
        <v>0.26125467601152341</v>
      </c>
      <c r="F16" s="587">
        <f t="shared" si="36"/>
        <v>0.27745869154319858</v>
      </c>
      <c r="G16" s="587">
        <f t="shared" si="36"/>
        <v>0.23860541940091959</v>
      </c>
      <c r="H16" s="589">
        <v>0.22522364689421298</v>
      </c>
      <c r="I16" s="587">
        <v>0.22522364689421298</v>
      </c>
      <c r="J16" s="587">
        <v>0.22522364689421298</v>
      </c>
      <c r="K16" s="587">
        <v>0.22522364689421298</v>
      </c>
      <c r="L16" s="587">
        <v>0.22522364689421298</v>
      </c>
      <c r="M16" s="587">
        <v>0.22522364689421298</v>
      </c>
      <c r="N16" s="589">
        <v>0.22522364689421298</v>
      </c>
      <c r="O16" s="587">
        <v>0.22522364689421298</v>
      </c>
      <c r="P16" s="587">
        <v>0.22522364689421298</v>
      </c>
      <c r="Q16" s="587">
        <v>0.22522364689421298</v>
      </c>
      <c r="R16" s="587">
        <v>0.22522364689421298</v>
      </c>
      <c r="S16" s="587">
        <v>0.22522364689421298</v>
      </c>
      <c r="T16" s="587">
        <v>0.22522364689421298</v>
      </c>
      <c r="U16" s="587">
        <v>0.22522364689421298</v>
      </c>
      <c r="V16" s="587">
        <v>0.22522364689421298</v>
      </c>
      <c r="W16" s="587">
        <v>0.22522364689421298</v>
      </c>
      <c r="X16" s="587">
        <v>0.22522364689421298</v>
      </c>
      <c r="Y16" s="587">
        <v>0.22522364689421298</v>
      </c>
      <c r="Z16" s="587">
        <v>0.22522364689421298</v>
      </c>
      <c r="AA16" s="587">
        <v>0.22522364689421298</v>
      </c>
      <c r="AB16" s="587">
        <v>0.22522364689421298</v>
      </c>
      <c r="AC16" s="587">
        <v>0.22522364689421298</v>
      </c>
      <c r="AD16" s="587">
        <v>0.22522364689421298</v>
      </c>
      <c r="AE16" s="587">
        <v>0.22522364689421298</v>
      </c>
      <c r="AF16" s="587">
        <v>0.22522364689421298</v>
      </c>
      <c r="AG16" s="587">
        <v>0.22522364689421298</v>
      </c>
      <c r="AH16" s="587">
        <v>0.22522364689421298</v>
      </c>
      <c r="AI16" s="587">
        <v>0.22522364689421298</v>
      </c>
      <c r="AJ16" s="587">
        <v>0.22522364689421298</v>
      </c>
      <c r="AK16" s="587">
        <v>0.22522364689421298</v>
      </c>
      <c r="AL16" s="587">
        <v>0.22522364689421298</v>
      </c>
      <c r="AM16" s="587">
        <v>0.22522364689421298</v>
      </c>
      <c r="AN16" s="587">
        <v>0.22522364689421298</v>
      </c>
      <c r="AO16" s="588">
        <v>0.22522364689421298</v>
      </c>
    </row>
  </sheetData>
  <mergeCells count="3">
    <mergeCell ref="B1:G2"/>
    <mergeCell ref="H1:M2"/>
    <mergeCell ref="N1:AO2"/>
  </mergeCells>
  <hyperlinks>
    <hyperlink ref="A1" location="'Cover Page '!A1" display="Back to cover page "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AQ26"/>
  <sheetViews>
    <sheetView showGridLines="0" zoomScale="85" zoomScaleNormal="85" zoomScalePageLayoutView="85" workbookViewId="0">
      <pane xSplit="1" ySplit="3" topLeftCell="X4" activePane="bottomRight" state="frozen"/>
      <selection pane="topRight" activeCell="B1" sqref="B1"/>
      <selection pane="bottomLeft" activeCell="A2" sqref="A2"/>
      <selection pane="bottomRight" activeCell="M8" sqref="M8"/>
    </sheetView>
  </sheetViews>
  <sheetFormatPr defaultColWidth="11" defaultRowHeight="16" x14ac:dyDescent="0.8"/>
  <cols>
    <col min="1" max="1" width="35.6640625" bestFit="1" customWidth="1"/>
    <col min="2" max="43" width="10" bestFit="1" customWidth="1"/>
  </cols>
  <sheetData>
    <row r="1" spans="1:43" ht="18.5" x14ac:dyDescent="0.9">
      <c r="A1" s="1195" t="s">
        <v>534</v>
      </c>
      <c r="B1" s="1652" t="s">
        <v>445</v>
      </c>
      <c r="C1" s="1652"/>
      <c r="D1" s="1652"/>
      <c r="E1" s="1652"/>
      <c r="F1" s="1652"/>
      <c r="G1" s="1652"/>
      <c r="H1" s="1652"/>
      <c r="I1" s="1653"/>
      <c r="J1" s="1663" t="s">
        <v>443</v>
      </c>
      <c r="K1" s="1664"/>
      <c r="L1" s="1664"/>
      <c r="M1" s="1664"/>
      <c r="N1" s="1664"/>
      <c r="O1" s="1665"/>
      <c r="P1" s="1666" t="s">
        <v>444</v>
      </c>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c r="AQ1" s="1667"/>
    </row>
    <row r="2" spans="1:43" x14ac:dyDescent="0.8">
      <c r="B2" s="1652"/>
      <c r="C2" s="1652"/>
      <c r="D2" s="1652"/>
      <c r="E2" s="1652"/>
      <c r="F2" s="1652"/>
      <c r="G2" s="1652"/>
      <c r="H2" s="1652"/>
      <c r="I2" s="1653"/>
      <c r="J2" s="1663"/>
      <c r="K2" s="1664"/>
      <c r="L2" s="1664"/>
      <c r="M2" s="1664"/>
      <c r="N2" s="1664"/>
      <c r="O2" s="1665"/>
      <c r="P2" s="1666"/>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c r="AQ2" s="1667"/>
    </row>
    <row r="3" spans="1:43" x14ac:dyDescent="0.8">
      <c r="B3" s="313">
        <v>2009</v>
      </c>
      <c r="C3" s="313">
        <v>2010</v>
      </c>
      <c r="D3" s="313">
        <v>2011</v>
      </c>
      <c r="E3" s="286">
        <v>2012</v>
      </c>
      <c r="F3" s="286">
        <v>2013</v>
      </c>
      <c r="G3" s="286">
        <v>2014</v>
      </c>
      <c r="H3" s="286">
        <v>2015</v>
      </c>
      <c r="I3" s="286">
        <v>2016</v>
      </c>
      <c r="J3" s="252">
        <v>2017</v>
      </c>
      <c r="K3" s="256">
        <v>2018</v>
      </c>
      <c r="L3" s="256">
        <v>2019</v>
      </c>
      <c r="M3" s="256">
        <v>2020</v>
      </c>
      <c r="N3" s="256">
        <v>2021</v>
      </c>
      <c r="O3" s="256">
        <v>2022</v>
      </c>
      <c r="P3" s="251">
        <v>2023</v>
      </c>
      <c r="Q3" s="254">
        <v>2024</v>
      </c>
      <c r="R3" s="254">
        <v>2025</v>
      </c>
      <c r="S3" s="254">
        <v>2026</v>
      </c>
      <c r="T3" s="254">
        <v>2027</v>
      </c>
      <c r="U3" s="254">
        <v>2028</v>
      </c>
      <c r="V3" s="254">
        <v>2029</v>
      </c>
      <c r="W3" s="254">
        <v>2030</v>
      </c>
      <c r="X3" s="254">
        <v>2031</v>
      </c>
      <c r="Y3" s="254">
        <v>2032</v>
      </c>
      <c r="Z3" s="254">
        <v>2033</v>
      </c>
      <c r="AA3" s="254">
        <v>2034</v>
      </c>
      <c r="AB3" s="254">
        <v>2035</v>
      </c>
      <c r="AC3" s="254">
        <v>2036</v>
      </c>
      <c r="AD3" s="254">
        <v>2037</v>
      </c>
      <c r="AE3" s="254">
        <v>2038</v>
      </c>
      <c r="AF3" s="254">
        <v>2039</v>
      </c>
      <c r="AG3" s="254">
        <v>2040</v>
      </c>
      <c r="AH3" s="254">
        <v>2041</v>
      </c>
      <c r="AI3" s="254">
        <v>2042</v>
      </c>
      <c r="AJ3" s="254">
        <v>2043</v>
      </c>
      <c r="AK3" s="254">
        <v>2044</v>
      </c>
      <c r="AL3" s="254">
        <v>2045</v>
      </c>
      <c r="AM3" s="254">
        <v>2046</v>
      </c>
      <c r="AN3" s="254">
        <v>2047</v>
      </c>
      <c r="AO3" s="254">
        <v>2048</v>
      </c>
      <c r="AP3" s="254">
        <v>2049</v>
      </c>
      <c r="AQ3" s="254">
        <v>2050</v>
      </c>
    </row>
    <row r="4" spans="1:43" ht="16.75" thickBot="1" x14ac:dyDescent="0.95"/>
    <row r="5" spans="1:43" x14ac:dyDescent="0.8">
      <c r="A5" s="20" t="s">
        <v>106</v>
      </c>
      <c r="B5" s="559">
        <v>273552</v>
      </c>
      <c r="C5" s="560">
        <v>243224</v>
      </c>
      <c r="D5" s="561">
        <f>'Income Statement '!B4</f>
        <v>363273</v>
      </c>
      <c r="E5" s="561">
        <f>'Income Statement '!C4</f>
        <v>368004</v>
      </c>
      <c r="F5" s="561">
        <f>'Income Statement '!D4</f>
        <v>280014</v>
      </c>
      <c r="G5" s="561">
        <f>'Income Statement '!E4</f>
        <v>336330</v>
      </c>
      <c r="H5" s="561">
        <f>'Income Statement '!F4</f>
        <v>338767</v>
      </c>
      <c r="I5" s="561">
        <f>'Income Statement '!G4</f>
        <v>317209</v>
      </c>
      <c r="J5" s="562">
        <f>'Revenue Schedule'!H64</f>
        <v>291763.03818999999</v>
      </c>
      <c r="K5" s="563">
        <f>'Revenue Schedule'!I64</f>
        <v>319369.93508804729</v>
      </c>
      <c r="L5" s="563">
        <f>'Revenue Schedule'!J64</f>
        <v>314708.11557549465</v>
      </c>
      <c r="M5" s="563">
        <f>'Revenue Schedule'!K64</f>
        <v>324651.60766909434</v>
      </c>
      <c r="N5" s="563">
        <f>'Revenue Schedule'!L64</f>
        <v>312451.74932822911</v>
      </c>
      <c r="O5" s="563">
        <f>'Revenue Schedule'!M64</f>
        <v>322466.60144494905</v>
      </c>
      <c r="P5" s="562">
        <f>'Revenue Schedule'!N64</f>
        <v>286915.31118180917</v>
      </c>
      <c r="Q5" s="563">
        <f>'Revenue Schedule'!O64</f>
        <v>294488.44780073955</v>
      </c>
      <c r="R5" s="563">
        <f>'Revenue Schedule'!P64</f>
        <v>273444.68735097966</v>
      </c>
      <c r="S5" s="563">
        <f>'Revenue Schedule'!Q64</f>
        <v>278720.87784781202</v>
      </c>
      <c r="T5" s="563">
        <f>'Revenue Schedule'!R64</f>
        <v>257500.73366735392</v>
      </c>
      <c r="U5" s="563">
        <f>'Revenue Schedule'!S64</f>
        <v>261004.29044669535</v>
      </c>
      <c r="V5" s="563">
        <f>'Revenue Schedule'!T64</f>
        <v>246163.29288861968</v>
      </c>
      <c r="W5" s="563">
        <f>'Revenue Schedule'!U64</f>
        <v>248475.82501230133</v>
      </c>
      <c r="X5" s="563">
        <f>'Revenue Schedule'!V64</f>
        <v>237494.91545295212</v>
      </c>
      <c r="Y5" s="563">
        <f>'Revenue Schedule'!W64</f>
        <v>237851.95979960082</v>
      </c>
      <c r="Z5" s="563">
        <f>'Revenue Schedule'!X64</f>
        <v>229391.84087552089</v>
      </c>
      <c r="AA5" s="563">
        <f>'Revenue Schedule'!Y64</f>
        <v>222694.88456047885</v>
      </c>
      <c r="AB5" s="563">
        <f>'Revenue Schedule'!Z64</f>
        <v>214711.16629245074</v>
      </c>
      <c r="AC5" s="563">
        <f>'Revenue Schedule'!AA64</f>
        <v>208346.53842971154</v>
      </c>
      <c r="AD5" s="563">
        <f>'Revenue Schedule'!AB64</f>
        <v>201232.34259039059</v>
      </c>
      <c r="AE5" s="563">
        <f>'Revenue Schedule'!AC64</f>
        <v>195257.58669014441</v>
      </c>
      <c r="AF5" s="563">
        <f>'Revenue Schedule'!AD64</f>
        <v>188875.77665320644</v>
      </c>
      <c r="AG5" s="563">
        <f>'Revenue Schedule'!AE64</f>
        <v>183313.02962467587</v>
      </c>
      <c r="AH5" s="563">
        <f>'Revenue Schedule'!AF64</f>
        <v>177559.09572133952</v>
      </c>
      <c r="AI5" s="563">
        <f>'Revenue Schedule'!AG64</f>
        <v>172408.52689879746</v>
      </c>
      <c r="AJ5" s="563">
        <f>'Revenue Schedule'!AH64</f>
        <v>167475.46132339537</v>
      </c>
      <c r="AK5" s="563">
        <f>'Revenue Schedule'!AI64</f>
        <v>162777.85239986615</v>
      </c>
      <c r="AL5" s="563">
        <f>'Revenue Schedule'!AJ64</f>
        <v>158279.63126125853</v>
      </c>
      <c r="AM5" s="563">
        <f>'Revenue Schedule'!AK64</f>
        <v>153991.88560854306</v>
      </c>
      <c r="AN5" s="563">
        <f>'Revenue Schedule'!AL64</f>
        <v>149887.72430216084</v>
      </c>
      <c r="AO5" s="563">
        <f>'Revenue Schedule'!AM64</f>
        <v>145972.44433238998</v>
      </c>
      <c r="AP5" s="563">
        <f>'Revenue Schedule'!AN64</f>
        <v>142225.62260075688</v>
      </c>
      <c r="AQ5" s="564">
        <f>'Revenue Schedule'!AO64</f>
        <v>138648.8319431417</v>
      </c>
    </row>
    <row r="6" spans="1:43" x14ac:dyDescent="0.8">
      <c r="A6" s="22" t="s">
        <v>43</v>
      </c>
      <c r="B6" s="565">
        <v>19931</v>
      </c>
      <c r="C6" s="566">
        <v>20112</v>
      </c>
      <c r="D6" s="567">
        <f>'Income Statement '!B8</f>
        <v>28177</v>
      </c>
      <c r="E6" s="567">
        <f>'Income Statement '!C8</f>
        <v>28847</v>
      </c>
      <c r="F6" s="567">
        <f>'Income Statement '!D8</f>
        <v>28022</v>
      </c>
      <c r="G6" s="567">
        <f>'Income Statement '!E8</f>
        <v>30884</v>
      </c>
      <c r="H6" s="567">
        <f>'Income Statement '!F8</f>
        <v>26667</v>
      </c>
      <c r="I6" s="567">
        <f>'Income Statement '!G8</f>
        <v>29986</v>
      </c>
      <c r="J6" s="558">
        <f>J5*J7</f>
        <v>28504.535747997863</v>
      </c>
      <c r="K6" s="331">
        <f>K5*K7</f>
        <v>32246.931336486068</v>
      </c>
      <c r="L6" s="331">
        <f t="shared" ref="L6:AQ6" si="0">L5*L7</f>
        <v>32840.74259453758</v>
      </c>
      <c r="M6" s="331">
        <f t="shared" si="0"/>
        <v>35013.31634743094</v>
      </c>
      <c r="N6" s="331">
        <f t="shared" si="0"/>
        <v>34826.458541259461</v>
      </c>
      <c r="O6" s="331">
        <f t="shared" si="0"/>
        <v>37146.829919559481</v>
      </c>
      <c r="P6" s="558">
        <f t="shared" si="0"/>
        <v>33051.467091569983</v>
      </c>
      <c r="Q6" s="331">
        <f t="shared" si="0"/>
        <v>33923.861369552353</v>
      </c>
      <c r="R6" s="331">
        <f t="shared" si="0"/>
        <v>31499.706474774404</v>
      </c>
      <c r="S6" s="331">
        <f t="shared" si="0"/>
        <v>32107.501980202855</v>
      </c>
      <c r="T6" s="331">
        <f t="shared" si="0"/>
        <v>29663.028403070006</v>
      </c>
      <c r="U6" s="331">
        <f t="shared" si="0"/>
        <v>30066.623774536511</v>
      </c>
      <c r="V6" s="331">
        <f t="shared" si="0"/>
        <v>28357.001724823091</v>
      </c>
      <c r="W6" s="331">
        <f t="shared" si="0"/>
        <v>28623.3959408349</v>
      </c>
      <c r="X6" s="331">
        <f t="shared" si="0"/>
        <v>27358.440196781368</v>
      </c>
      <c r="Y6" s="331">
        <f t="shared" si="0"/>
        <v>27399.570241130979</v>
      </c>
      <c r="Z6" s="331">
        <f t="shared" si="0"/>
        <v>26424.999239471155</v>
      </c>
      <c r="AA6" s="331">
        <f t="shared" si="0"/>
        <v>25653.537338924358</v>
      </c>
      <c r="AB6" s="331">
        <f t="shared" si="0"/>
        <v>24733.845738928536</v>
      </c>
      <c r="AC6" s="331">
        <f t="shared" si="0"/>
        <v>24000.66671307266</v>
      </c>
      <c r="AD6" s="331">
        <f t="shared" si="0"/>
        <v>23181.140530598201</v>
      </c>
      <c r="AE6" s="331">
        <f t="shared" si="0"/>
        <v>22492.873155797777</v>
      </c>
      <c r="AF6" s="331">
        <f t="shared" si="0"/>
        <v>21757.714813945298</v>
      </c>
      <c r="AG6" s="331">
        <f t="shared" si="0"/>
        <v>21116.909171350286</v>
      </c>
      <c r="AH6" s="331">
        <f t="shared" si="0"/>
        <v>20454.07958491291</v>
      </c>
      <c r="AI6" s="331">
        <f t="shared" si="0"/>
        <v>19860.755181137039</v>
      </c>
      <c r="AJ6" s="331">
        <f t="shared" si="0"/>
        <v>19292.486259362271</v>
      </c>
      <c r="AK6" s="331">
        <f t="shared" si="0"/>
        <v>18751.340978179607</v>
      </c>
      <c r="AL6" s="331">
        <f t="shared" si="0"/>
        <v>18233.164352049382</v>
      </c>
      <c r="AM6" s="331">
        <f t="shared" si="0"/>
        <v>17739.233638648217</v>
      </c>
      <c r="AN6" s="331">
        <f t="shared" si="0"/>
        <v>17266.451088990452</v>
      </c>
      <c r="AO6" s="331">
        <f t="shared" si="0"/>
        <v>16815.426894631008</v>
      </c>
      <c r="AP6" s="331">
        <f t="shared" si="0"/>
        <v>16383.808398389172</v>
      </c>
      <c r="AQ6" s="568">
        <f t="shared" si="0"/>
        <v>15971.776784507501</v>
      </c>
    </row>
    <row r="7" spans="1:43" x14ac:dyDescent="0.8">
      <c r="A7" s="572" t="s">
        <v>105</v>
      </c>
      <c r="B7" s="574">
        <f>B6/B5</f>
        <v>7.2860004679183479E-2</v>
      </c>
      <c r="C7" s="575">
        <f>C6/C5</f>
        <v>8.2689208301812325E-2</v>
      </c>
      <c r="D7" s="575">
        <f>D6/D5</f>
        <v>7.7564256082890831E-2</v>
      </c>
      <c r="E7" s="575">
        <f t="shared" ref="E7:I7" si="1">E6/E5</f>
        <v>7.8387734915924823E-2</v>
      </c>
      <c r="F7" s="575">
        <f t="shared" si="1"/>
        <v>0.10007356775018392</v>
      </c>
      <c r="G7" s="575">
        <f t="shared" si="1"/>
        <v>9.182647994529182E-2</v>
      </c>
      <c r="H7" s="575">
        <f t="shared" si="1"/>
        <v>7.8717820803088853E-2</v>
      </c>
      <c r="I7" s="575">
        <f t="shared" si="1"/>
        <v>9.4530735256565857E-2</v>
      </c>
      <c r="J7" s="576">
        <f>I7*(1+J8)</f>
        <v>9.7697555950988307E-2</v>
      </c>
      <c r="K7" s="575">
        <f t="shared" ref="K7:AQ7" si="2">J7*(1+K8)</f>
        <v>0.10097046651431323</v>
      </c>
      <c r="L7" s="575">
        <f t="shared" si="2"/>
        <v>0.10435302100323335</v>
      </c>
      <c r="M7" s="575">
        <f t="shared" si="2"/>
        <v>0.10784889253688448</v>
      </c>
      <c r="N7" s="575">
        <f t="shared" si="2"/>
        <v>0.11146187728548906</v>
      </c>
      <c r="O7" s="575">
        <f t="shared" si="2"/>
        <v>0.11519589859262098</v>
      </c>
      <c r="P7" s="576">
        <f t="shared" si="2"/>
        <v>0.11519589859262098</v>
      </c>
      <c r="Q7" s="575">
        <f t="shared" si="2"/>
        <v>0.11519589859262098</v>
      </c>
      <c r="R7" s="575">
        <f t="shared" si="2"/>
        <v>0.11519589859262098</v>
      </c>
      <c r="S7" s="575">
        <f t="shared" si="2"/>
        <v>0.11519589859262098</v>
      </c>
      <c r="T7" s="575">
        <f t="shared" si="2"/>
        <v>0.11519589859262098</v>
      </c>
      <c r="U7" s="575">
        <f t="shared" si="2"/>
        <v>0.11519589859262098</v>
      </c>
      <c r="V7" s="575">
        <f t="shared" si="2"/>
        <v>0.11519589859262098</v>
      </c>
      <c r="W7" s="575">
        <f t="shared" si="2"/>
        <v>0.11519589859262098</v>
      </c>
      <c r="X7" s="575">
        <f t="shared" si="2"/>
        <v>0.11519589859262098</v>
      </c>
      <c r="Y7" s="575">
        <f t="shared" si="2"/>
        <v>0.11519589859262098</v>
      </c>
      <c r="Z7" s="575">
        <f t="shared" si="2"/>
        <v>0.11519589859262098</v>
      </c>
      <c r="AA7" s="575">
        <f t="shared" si="2"/>
        <v>0.11519589859262098</v>
      </c>
      <c r="AB7" s="575">
        <f t="shared" si="2"/>
        <v>0.11519589859262098</v>
      </c>
      <c r="AC7" s="575">
        <f t="shared" si="2"/>
        <v>0.11519589859262098</v>
      </c>
      <c r="AD7" s="575">
        <f t="shared" si="2"/>
        <v>0.11519589859262098</v>
      </c>
      <c r="AE7" s="575">
        <f t="shared" si="2"/>
        <v>0.11519589859262098</v>
      </c>
      <c r="AF7" s="575">
        <f t="shared" si="2"/>
        <v>0.11519589859262098</v>
      </c>
      <c r="AG7" s="575">
        <f t="shared" si="2"/>
        <v>0.11519589859262098</v>
      </c>
      <c r="AH7" s="575">
        <f t="shared" si="2"/>
        <v>0.11519589859262098</v>
      </c>
      <c r="AI7" s="575">
        <f t="shared" si="2"/>
        <v>0.11519589859262098</v>
      </c>
      <c r="AJ7" s="575">
        <f t="shared" si="2"/>
        <v>0.11519589859262098</v>
      </c>
      <c r="AK7" s="575">
        <f t="shared" si="2"/>
        <v>0.11519589859262098</v>
      </c>
      <c r="AL7" s="575">
        <f t="shared" si="2"/>
        <v>0.11519589859262098</v>
      </c>
      <c r="AM7" s="575">
        <f t="shared" si="2"/>
        <v>0.11519589859262098</v>
      </c>
      <c r="AN7" s="575">
        <f t="shared" si="2"/>
        <v>0.11519589859262098</v>
      </c>
      <c r="AO7" s="575">
        <f t="shared" si="2"/>
        <v>0.11519589859262098</v>
      </c>
      <c r="AP7" s="575">
        <f t="shared" si="2"/>
        <v>0.11519589859262098</v>
      </c>
      <c r="AQ7" s="577">
        <f t="shared" si="2"/>
        <v>0.11519589859262098</v>
      </c>
    </row>
    <row r="8" spans="1:43" x14ac:dyDescent="0.8">
      <c r="A8" s="578" t="s">
        <v>104</v>
      </c>
      <c r="B8" s="450"/>
      <c r="C8" s="451">
        <f>(C7-B7)/B7</f>
        <v>0.13490533888803202</v>
      </c>
      <c r="D8" s="451">
        <f t="shared" ref="D8:I8" si="3">(D7-C7)/C7</f>
        <v>-6.1978489384196568E-2</v>
      </c>
      <c r="E8" s="451">
        <f t="shared" si="3"/>
        <v>1.0616730883797323E-2</v>
      </c>
      <c r="F8" s="451">
        <f t="shared" si="3"/>
        <v>0.27664829016322962</v>
      </c>
      <c r="G8" s="451">
        <f t="shared" si="3"/>
        <v>-8.2410250681573621E-2</v>
      </c>
      <c r="H8" s="451">
        <f t="shared" si="3"/>
        <v>-0.14275467327085622</v>
      </c>
      <c r="I8" s="451">
        <f t="shared" si="3"/>
        <v>0.20088099863730619</v>
      </c>
      <c r="J8" s="579">
        <f>AVERAGE($D$8:$I$8)</f>
        <v>3.3500434391284452E-2</v>
      </c>
      <c r="K8" s="580">
        <f t="shared" ref="K8:O8" si="4">AVERAGE($D$8:$I$8)</f>
        <v>3.3500434391284452E-2</v>
      </c>
      <c r="L8" s="580">
        <f t="shared" si="4"/>
        <v>3.3500434391284452E-2</v>
      </c>
      <c r="M8" s="580">
        <f t="shared" si="4"/>
        <v>3.3500434391284452E-2</v>
      </c>
      <c r="N8" s="580">
        <f t="shared" si="4"/>
        <v>3.3500434391284452E-2</v>
      </c>
      <c r="O8" s="580">
        <f t="shared" si="4"/>
        <v>3.3500434391284452E-2</v>
      </c>
      <c r="P8" s="579">
        <v>0</v>
      </c>
      <c r="Q8" s="579">
        <v>0</v>
      </c>
      <c r="R8" s="579">
        <v>0</v>
      </c>
      <c r="S8" s="579">
        <v>0</v>
      </c>
      <c r="T8" s="579">
        <v>0</v>
      </c>
      <c r="U8" s="579">
        <v>0</v>
      </c>
      <c r="V8" s="579">
        <v>0</v>
      </c>
      <c r="W8" s="579">
        <v>0</v>
      </c>
      <c r="X8" s="579">
        <v>0</v>
      </c>
      <c r="Y8" s="579">
        <v>0</v>
      </c>
      <c r="Z8" s="579">
        <v>0</v>
      </c>
      <c r="AA8" s="579">
        <v>0</v>
      </c>
      <c r="AB8" s="579">
        <v>0</v>
      </c>
      <c r="AC8" s="579">
        <v>0</v>
      </c>
      <c r="AD8" s="579">
        <v>0</v>
      </c>
      <c r="AE8" s="579">
        <v>0</v>
      </c>
      <c r="AF8" s="579">
        <v>0</v>
      </c>
      <c r="AG8" s="579">
        <v>0</v>
      </c>
      <c r="AH8" s="579">
        <v>0</v>
      </c>
      <c r="AI8" s="579">
        <v>0</v>
      </c>
      <c r="AJ8" s="579">
        <v>0</v>
      </c>
      <c r="AK8" s="579">
        <v>0</v>
      </c>
      <c r="AL8" s="579">
        <v>0</v>
      </c>
      <c r="AM8" s="579">
        <v>0</v>
      </c>
      <c r="AN8" s="579">
        <v>0</v>
      </c>
      <c r="AO8" s="579">
        <v>0</v>
      </c>
      <c r="AP8" s="579">
        <v>0</v>
      </c>
      <c r="AQ8" s="579">
        <v>0</v>
      </c>
    </row>
    <row r="9" spans="1:43" x14ac:dyDescent="0.8">
      <c r="A9" s="22"/>
      <c r="B9" s="7"/>
      <c r="C9" s="7"/>
      <c r="D9" s="7"/>
      <c r="E9" s="7"/>
      <c r="F9" s="7"/>
      <c r="G9" s="7"/>
      <c r="H9" s="7"/>
      <c r="I9" s="195"/>
      <c r="J9" s="131"/>
      <c r="K9" s="7"/>
      <c r="L9" s="7"/>
      <c r="M9" s="7"/>
      <c r="N9" s="7"/>
      <c r="O9" s="7"/>
      <c r="P9" s="131"/>
      <c r="Q9" s="7"/>
      <c r="R9" s="7"/>
      <c r="S9" s="7"/>
      <c r="T9" s="7"/>
      <c r="U9" s="7"/>
      <c r="V9" s="7"/>
      <c r="W9" s="7"/>
      <c r="X9" s="7"/>
      <c r="Y9" s="7"/>
      <c r="Z9" s="7"/>
      <c r="AA9" s="7"/>
      <c r="AB9" s="7"/>
      <c r="AC9" s="7"/>
      <c r="AD9" s="7"/>
      <c r="AE9" s="7"/>
      <c r="AF9" s="7"/>
      <c r="AG9" s="7"/>
      <c r="AH9" s="7"/>
      <c r="AI9" s="7"/>
      <c r="AJ9" s="7"/>
      <c r="AK9" s="7"/>
      <c r="AL9" s="7"/>
      <c r="AM9" s="7"/>
      <c r="AN9" s="7"/>
      <c r="AO9" s="7"/>
      <c r="AP9" s="7"/>
      <c r="AQ9" s="172"/>
    </row>
    <row r="10" spans="1:43" x14ac:dyDescent="0.8">
      <c r="A10" s="582" t="s">
        <v>230</v>
      </c>
      <c r="B10" s="7"/>
      <c r="C10" s="569">
        <v>0</v>
      </c>
      <c r="D10" s="569">
        <v>-0.01</v>
      </c>
      <c r="E10" s="569">
        <v>-0.01</v>
      </c>
      <c r="F10" s="569">
        <v>-0.04</v>
      </c>
      <c r="G10" s="569">
        <v>-0.01</v>
      </c>
      <c r="H10" s="569">
        <v>-0.01</v>
      </c>
      <c r="I10" s="569">
        <v>-0.03</v>
      </c>
      <c r="J10" s="211">
        <f>-J11</f>
        <v>-1.5304104032808784E-2</v>
      </c>
      <c r="K10" s="189">
        <f t="shared" ref="K10:AQ10" si="5">-K11</f>
        <v>-1.5816798165877288E-2</v>
      </c>
      <c r="L10" s="189">
        <f t="shared" si="5"/>
        <v>-1.6346667775113444E-2</v>
      </c>
      <c r="M10" s="189">
        <f t="shared" si="5"/>
        <v>-1.6894288246429755E-2</v>
      </c>
      <c r="N10" s="189">
        <f t="shared" si="5"/>
        <v>-1.7460254241416721E-2</v>
      </c>
      <c r="O10" s="189">
        <f t="shared" si="5"/>
        <v>-1.8045180343086449E-2</v>
      </c>
      <c r="P10" s="211">
        <f t="shared" si="5"/>
        <v>-1.8045180343086449E-2</v>
      </c>
      <c r="Q10" s="189">
        <f t="shared" si="5"/>
        <v>-1.8045180343086449E-2</v>
      </c>
      <c r="R10" s="189">
        <f t="shared" si="5"/>
        <v>-1.8045180343086449E-2</v>
      </c>
      <c r="S10" s="189">
        <f t="shared" si="5"/>
        <v>-1.8045180343086449E-2</v>
      </c>
      <c r="T10" s="189">
        <f t="shared" si="5"/>
        <v>-1.8045180343086449E-2</v>
      </c>
      <c r="U10" s="189">
        <f t="shared" si="5"/>
        <v>-1.8045180343086449E-2</v>
      </c>
      <c r="V10" s="189">
        <f t="shared" si="5"/>
        <v>-1.8045180343086449E-2</v>
      </c>
      <c r="W10" s="189">
        <f t="shared" si="5"/>
        <v>-1.8045180343086449E-2</v>
      </c>
      <c r="X10" s="189">
        <f t="shared" si="5"/>
        <v>-1.8045180343086449E-2</v>
      </c>
      <c r="Y10" s="189">
        <f t="shared" si="5"/>
        <v>-1.8045180343086449E-2</v>
      </c>
      <c r="Z10" s="189">
        <f t="shared" si="5"/>
        <v>-1.8045180343086449E-2</v>
      </c>
      <c r="AA10" s="189">
        <f t="shared" si="5"/>
        <v>-1.8045180343086449E-2</v>
      </c>
      <c r="AB10" s="189">
        <f t="shared" si="5"/>
        <v>-1.8045180343086449E-2</v>
      </c>
      <c r="AC10" s="189">
        <f t="shared" si="5"/>
        <v>-1.8045180343086449E-2</v>
      </c>
      <c r="AD10" s="189">
        <f t="shared" si="5"/>
        <v>-1.8045180343086449E-2</v>
      </c>
      <c r="AE10" s="189">
        <f t="shared" si="5"/>
        <v>-1.8045180343086449E-2</v>
      </c>
      <c r="AF10" s="189">
        <f t="shared" si="5"/>
        <v>-1.8045180343086449E-2</v>
      </c>
      <c r="AG10" s="189">
        <f>-AG11</f>
        <v>-1.8045180343086449E-2</v>
      </c>
      <c r="AH10" s="189">
        <f t="shared" si="5"/>
        <v>-1.8045180343086449E-2</v>
      </c>
      <c r="AI10" s="189">
        <f t="shared" si="5"/>
        <v>-1.8045180343086449E-2</v>
      </c>
      <c r="AJ10" s="189">
        <f t="shared" si="5"/>
        <v>-1.8045180343086449E-2</v>
      </c>
      <c r="AK10" s="189">
        <f t="shared" si="5"/>
        <v>-1.8045180343086449E-2</v>
      </c>
      <c r="AL10" s="189">
        <f t="shared" si="5"/>
        <v>-1.8045180343086449E-2</v>
      </c>
      <c r="AM10" s="189">
        <f t="shared" si="5"/>
        <v>-1.8045180343086449E-2</v>
      </c>
      <c r="AN10" s="189">
        <f t="shared" si="5"/>
        <v>-1.8045180343086449E-2</v>
      </c>
      <c r="AO10" s="189">
        <f t="shared" si="5"/>
        <v>-1.8045180343086449E-2</v>
      </c>
      <c r="AP10" s="189">
        <f t="shared" si="5"/>
        <v>-1.8045180343086449E-2</v>
      </c>
      <c r="AQ10" s="348">
        <f t="shared" si="5"/>
        <v>-1.8045180343086449E-2</v>
      </c>
    </row>
    <row r="11" spans="1:43" x14ac:dyDescent="0.8">
      <c r="A11" s="22"/>
      <c r="B11" s="7"/>
      <c r="C11" s="569">
        <f>-C10</f>
        <v>0</v>
      </c>
      <c r="D11" s="569">
        <f t="shared" ref="D11:I11" si="6">-D10</f>
        <v>0.01</v>
      </c>
      <c r="E11" s="569">
        <f t="shared" si="6"/>
        <v>0.01</v>
      </c>
      <c r="F11" s="569">
        <f t="shared" si="6"/>
        <v>0.04</v>
      </c>
      <c r="G11" s="569">
        <f t="shared" si="6"/>
        <v>0.01</v>
      </c>
      <c r="H11" s="569">
        <f t="shared" si="6"/>
        <v>0.01</v>
      </c>
      <c r="I11" s="569">
        <f t="shared" si="6"/>
        <v>0.03</v>
      </c>
      <c r="J11" s="211">
        <f t="shared" ref="J11:AQ11" si="7">J7/J12</f>
        <v>1.5304104032808784E-2</v>
      </c>
      <c r="K11" s="189">
        <f t="shared" si="7"/>
        <v>1.5816798165877288E-2</v>
      </c>
      <c r="L11" s="189">
        <f t="shared" si="7"/>
        <v>1.6346667775113444E-2</v>
      </c>
      <c r="M11" s="189">
        <f t="shared" si="7"/>
        <v>1.6894288246429755E-2</v>
      </c>
      <c r="N11" s="189">
        <f t="shared" si="7"/>
        <v>1.7460254241416721E-2</v>
      </c>
      <c r="O11" s="189">
        <f t="shared" si="7"/>
        <v>1.8045180343086449E-2</v>
      </c>
      <c r="P11" s="211">
        <f t="shared" si="7"/>
        <v>1.8045180343086449E-2</v>
      </c>
      <c r="Q11" s="189">
        <f t="shared" si="7"/>
        <v>1.8045180343086449E-2</v>
      </c>
      <c r="R11" s="189">
        <f t="shared" si="7"/>
        <v>1.8045180343086449E-2</v>
      </c>
      <c r="S11" s="189">
        <f t="shared" si="7"/>
        <v>1.8045180343086449E-2</v>
      </c>
      <c r="T11" s="189">
        <f t="shared" si="7"/>
        <v>1.8045180343086449E-2</v>
      </c>
      <c r="U11" s="189">
        <f t="shared" si="7"/>
        <v>1.8045180343086449E-2</v>
      </c>
      <c r="V11" s="189">
        <f t="shared" si="7"/>
        <v>1.8045180343086449E-2</v>
      </c>
      <c r="W11" s="189">
        <f t="shared" si="7"/>
        <v>1.8045180343086449E-2</v>
      </c>
      <c r="X11" s="189">
        <f t="shared" si="7"/>
        <v>1.8045180343086449E-2</v>
      </c>
      <c r="Y11" s="189">
        <f t="shared" si="7"/>
        <v>1.8045180343086449E-2</v>
      </c>
      <c r="Z11" s="189">
        <f t="shared" si="7"/>
        <v>1.8045180343086449E-2</v>
      </c>
      <c r="AA11" s="189">
        <f t="shared" si="7"/>
        <v>1.8045180343086449E-2</v>
      </c>
      <c r="AB11" s="189">
        <f t="shared" si="7"/>
        <v>1.8045180343086449E-2</v>
      </c>
      <c r="AC11" s="189">
        <f t="shared" si="7"/>
        <v>1.8045180343086449E-2</v>
      </c>
      <c r="AD11" s="189">
        <f t="shared" si="7"/>
        <v>1.8045180343086449E-2</v>
      </c>
      <c r="AE11" s="189">
        <f t="shared" si="7"/>
        <v>1.8045180343086449E-2</v>
      </c>
      <c r="AF11" s="189">
        <f t="shared" si="7"/>
        <v>1.8045180343086449E-2</v>
      </c>
      <c r="AG11" s="189">
        <f t="shared" si="7"/>
        <v>1.8045180343086449E-2</v>
      </c>
      <c r="AH11" s="189">
        <f t="shared" si="7"/>
        <v>1.8045180343086449E-2</v>
      </c>
      <c r="AI11" s="189">
        <f t="shared" si="7"/>
        <v>1.8045180343086449E-2</v>
      </c>
      <c r="AJ11" s="189">
        <f t="shared" si="7"/>
        <v>1.8045180343086449E-2</v>
      </c>
      <c r="AK11" s="189">
        <f t="shared" si="7"/>
        <v>1.8045180343086449E-2</v>
      </c>
      <c r="AL11" s="189">
        <f t="shared" si="7"/>
        <v>1.8045180343086449E-2</v>
      </c>
      <c r="AM11" s="189">
        <f t="shared" si="7"/>
        <v>1.8045180343086449E-2</v>
      </c>
      <c r="AN11" s="189">
        <f t="shared" si="7"/>
        <v>1.8045180343086449E-2</v>
      </c>
      <c r="AO11" s="189">
        <f t="shared" si="7"/>
        <v>1.8045180343086449E-2</v>
      </c>
      <c r="AP11" s="189">
        <f t="shared" si="7"/>
        <v>1.8045180343086449E-2</v>
      </c>
      <c r="AQ11" s="348">
        <f t="shared" si="7"/>
        <v>1.8045180343086449E-2</v>
      </c>
    </row>
    <row r="12" spans="1:43" s="239" customFormat="1" ht="16.75" thickBot="1" x14ac:dyDescent="0.95">
      <c r="A12" s="581" t="s">
        <v>268</v>
      </c>
      <c r="B12" s="546"/>
      <c r="C12" s="546"/>
      <c r="D12" s="570">
        <f t="shared" ref="D12:I12" si="8">D7/D11</f>
        <v>7.7564256082890832</v>
      </c>
      <c r="E12" s="570">
        <f t="shared" si="8"/>
        <v>7.838773491592482</v>
      </c>
      <c r="F12" s="570">
        <f t="shared" si="8"/>
        <v>2.5018391937545981</v>
      </c>
      <c r="G12" s="570">
        <f t="shared" si="8"/>
        <v>9.1826479945291819</v>
      </c>
      <c r="H12" s="570">
        <f t="shared" si="8"/>
        <v>7.8717820803088854</v>
      </c>
      <c r="I12" s="570">
        <f t="shared" si="8"/>
        <v>3.1510245085521955</v>
      </c>
      <c r="J12" s="583">
        <f>AVERAGE(D12:I12)</f>
        <v>6.3837488128377373</v>
      </c>
      <c r="K12" s="570">
        <f>J12</f>
        <v>6.3837488128377373</v>
      </c>
      <c r="L12" s="570">
        <f t="shared" ref="L12:AQ12" si="9">K12</f>
        <v>6.3837488128377373</v>
      </c>
      <c r="M12" s="570">
        <f t="shared" si="9"/>
        <v>6.3837488128377373</v>
      </c>
      <c r="N12" s="570">
        <f t="shared" si="9"/>
        <v>6.3837488128377373</v>
      </c>
      <c r="O12" s="570">
        <f t="shared" si="9"/>
        <v>6.3837488128377373</v>
      </c>
      <c r="P12" s="583">
        <f t="shared" si="9"/>
        <v>6.3837488128377373</v>
      </c>
      <c r="Q12" s="570">
        <f t="shared" si="9"/>
        <v>6.3837488128377373</v>
      </c>
      <c r="R12" s="570">
        <f t="shared" si="9"/>
        <v>6.3837488128377373</v>
      </c>
      <c r="S12" s="570">
        <f t="shared" si="9"/>
        <v>6.3837488128377373</v>
      </c>
      <c r="T12" s="570">
        <f t="shared" si="9"/>
        <v>6.3837488128377373</v>
      </c>
      <c r="U12" s="570">
        <f t="shared" si="9"/>
        <v>6.3837488128377373</v>
      </c>
      <c r="V12" s="570">
        <f t="shared" si="9"/>
        <v>6.3837488128377373</v>
      </c>
      <c r="W12" s="570">
        <f t="shared" si="9"/>
        <v>6.3837488128377373</v>
      </c>
      <c r="X12" s="570">
        <f t="shared" si="9"/>
        <v>6.3837488128377373</v>
      </c>
      <c r="Y12" s="570">
        <f t="shared" si="9"/>
        <v>6.3837488128377373</v>
      </c>
      <c r="Z12" s="570">
        <f t="shared" si="9"/>
        <v>6.3837488128377373</v>
      </c>
      <c r="AA12" s="570">
        <f t="shared" si="9"/>
        <v>6.3837488128377373</v>
      </c>
      <c r="AB12" s="570">
        <f t="shared" si="9"/>
        <v>6.3837488128377373</v>
      </c>
      <c r="AC12" s="570">
        <f t="shared" si="9"/>
        <v>6.3837488128377373</v>
      </c>
      <c r="AD12" s="570">
        <f t="shared" si="9"/>
        <v>6.3837488128377373</v>
      </c>
      <c r="AE12" s="570">
        <f t="shared" si="9"/>
        <v>6.3837488128377373</v>
      </c>
      <c r="AF12" s="570">
        <f t="shared" si="9"/>
        <v>6.3837488128377373</v>
      </c>
      <c r="AG12" s="570">
        <f t="shared" si="9"/>
        <v>6.3837488128377373</v>
      </c>
      <c r="AH12" s="570">
        <f t="shared" si="9"/>
        <v>6.3837488128377373</v>
      </c>
      <c r="AI12" s="570">
        <f t="shared" si="9"/>
        <v>6.3837488128377373</v>
      </c>
      <c r="AJ12" s="570">
        <f t="shared" si="9"/>
        <v>6.3837488128377373</v>
      </c>
      <c r="AK12" s="570">
        <f t="shared" si="9"/>
        <v>6.3837488128377373</v>
      </c>
      <c r="AL12" s="570">
        <f t="shared" si="9"/>
        <v>6.3837488128377373</v>
      </c>
      <c r="AM12" s="570">
        <f t="shared" si="9"/>
        <v>6.3837488128377373</v>
      </c>
      <c r="AN12" s="570">
        <f t="shared" si="9"/>
        <v>6.3837488128377373</v>
      </c>
      <c r="AO12" s="570">
        <f t="shared" si="9"/>
        <v>6.3837488128377373</v>
      </c>
      <c r="AP12" s="570">
        <f t="shared" si="9"/>
        <v>6.3837488128377373</v>
      </c>
      <c r="AQ12" s="571">
        <f t="shared" si="9"/>
        <v>6.3837488128377373</v>
      </c>
    </row>
    <row r="13" spans="1:43" x14ac:dyDescent="0.8">
      <c r="F13" s="5"/>
      <c r="H13" s="14"/>
    </row>
    <row r="14" spans="1:43" x14ac:dyDescent="0.8">
      <c r="D14" s="5"/>
      <c r="E14" s="5"/>
      <c r="F14" s="5"/>
      <c r="G14" s="5"/>
      <c r="I14" s="5"/>
      <c r="J14" s="5"/>
    </row>
    <row r="15" spans="1:43" x14ac:dyDescent="0.8">
      <c r="E15" s="14"/>
      <c r="G15" s="14"/>
      <c r="I15" s="14"/>
    </row>
    <row r="19" spans="2:9" x14ac:dyDescent="0.8">
      <c r="B19" s="17"/>
      <c r="C19" s="17"/>
      <c r="D19" s="17"/>
      <c r="E19" s="17"/>
      <c r="F19" s="17"/>
      <c r="G19" s="17"/>
      <c r="H19" s="17"/>
      <c r="I19" s="17"/>
    </row>
    <row r="20" spans="2:9" x14ac:dyDescent="0.8">
      <c r="C20" s="15"/>
      <c r="D20" s="15"/>
      <c r="E20" s="15"/>
      <c r="F20" s="15"/>
      <c r="G20" s="15"/>
      <c r="H20" s="15"/>
      <c r="I20" s="15"/>
    </row>
    <row r="21" spans="2:9" x14ac:dyDescent="0.8">
      <c r="B21" s="17"/>
      <c r="C21" s="17"/>
      <c r="D21" s="17"/>
      <c r="E21" s="17"/>
      <c r="F21" s="17"/>
      <c r="G21" s="17"/>
      <c r="H21" s="17"/>
      <c r="I21" s="17"/>
    </row>
    <row r="22" spans="2:9" x14ac:dyDescent="0.8">
      <c r="C22" s="15"/>
      <c r="D22" s="15"/>
      <c r="E22" s="15"/>
      <c r="F22" s="15"/>
      <c r="G22" s="15"/>
      <c r="H22" s="15"/>
      <c r="I22" s="15"/>
    </row>
    <row r="24" spans="2:9" x14ac:dyDescent="0.8">
      <c r="D24" s="16"/>
    </row>
    <row r="25" spans="2:9" x14ac:dyDescent="0.8">
      <c r="D25" s="16"/>
    </row>
    <row r="26" spans="2:9" x14ac:dyDescent="0.8">
      <c r="B26" s="16"/>
    </row>
  </sheetData>
  <mergeCells count="3">
    <mergeCell ref="B1:I2"/>
    <mergeCell ref="J1:O2"/>
    <mergeCell ref="P1:AQ2"/>
  </mergeCells>
  <hyperlinks>
    <hyperlink ref="A1" location="'Cover Page '!A1" display="Back to cover page "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CP195"/>
  <sheetViews>
    <sheetView showGridLines="0" zoomScale="85" zoomScaleNormal="85" zoomScalePageLayoutView="85" workbookViewId="0">
      <pane xSplit="1" ySplit="3" topLeftCell="X4" activePane="bottomRight" state="frozen"/>
      <selection activeCell="L37" sqref="L37"/>
      <selection pane="topRight" activeCell="L37" sqref="L37"/>
      <selection pane="bottomLeft" activeCell="L37" sqref="L37"/>
      <selection pane="bottomRight" activeCell="AH9" sqref="AH9"/>
    </sheetView>
  </sheetViews>
  <sheetFormatPr defaultColWidth="8.83203125" defaultRowHeight="16" x14ac:dyDescent="0.8"/>
  <cols>
    <col min="1" max="1" width="26.5" bestFit="1" customWidth="1"/>
    <col min="2" max="4" width="10.83203125" bestFit="1" customWidth="1"/>
    <col min="5" max="8" width="11.83203125" bestFit="1" customWidth="1"/>
    <col min="9" max="41" width="13" bestFit="1" customWidth="1"/>
  </cols>
  <sheetData>
    <row r="1" spans="1:9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BA1" s="1652" t="s">
        <v>445</v>
      </c>
      <c r="BB1" s="1652"/>
      <c r="BC1" s="1652"/>
      <c r="BD1" s="1652"/>
      <c r="BE1" s="1652"/>
      <c r="BF1" s="1652"/>
      <c r="BG1" s="1652"/>
      <c r="BH1" s="1653"/>
      <c r="BI1" s="1663" t="s">
        <v>443</v>
      </c>
      <c r="BJ1" s="1664"/>
      <c r="BK1" s="1664"/>
      <c r="BL1" s="1664"/>
      <c r="BM1" s="1664"/>
      <c r="BN1" s="1665"/>
      <c r="BO1" s="1666" t="s">
        <v>444</v>
      </c>
      <c r="BP1" s="1667"/>
      <c r="BQ1" s="1667"/>
      <c r="BR1" s="1667"/>
      <c r="BS1" s="1667"/>
      <c r="BT1" s="1667"/>
      <c r="BU1" s="1667"/>
      <c r="BV1" s="1667"/>
      <c r="BW1" s="1667"/>
      <c r="BX1" s="1667"/>
      <c r="BY1" s="1667"/>
      <c r="BZ1" s="1667"/>
      <c r="CA1" s="1667"/>
      <c r="CB1" s="1667"/>
      <c r="CC1" s="1667"/>
      <c r="CD1" s="1667"/>
      <c r="CE1" s="1667"/>
      <c r="CF1" s="1667"/>
      <c r="CG1" s="1667"/>
      <c r="CH1" s="1667"/>
      <c r="CI1" s="1667"/>
      <c r="CJ1" s="1667"/>
      <c r="CK1" s="1667"/>
      <c r="CL1" s="1667"/>
      <c r="CM1" s="1667"/>
      <c r="CN1" s="1667"/>
      <c r="CO1" s="1667"/>
      <c r="CP1" s="1667"/>
    </row>
    <row r="2" spans="1:9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BA2" s="1652"/>
      <c r="BB2" s="1652"/>
      <c r="BC2" s="1652"/>
      <c r="BD2" s="1652"/>
      <c r="BE2" s="1652"/>
      <c r="BF2" s="1652"/>
      <c r="BG2" s="1652"/>
      <c r="BH2" s="1653"/>
      <c r="BI2" s="1663"/>
      <c r="BJ2" s="1664"/>
      <c r="BK2" s="1664"/>
      <c r="BL2" s="1664"/>
      <c r="BM2" s="1664"/>
      <c r="BN2" s="1665"/>
      <c r="BO2" s="1666"/>
      <c r="BP2" s="1667"/>
      <c r="BQ2" s="1667"/>
      <c r="BR2" s="1667"/>
      <c r="BS2" s="1667"/>
      <c r="BT2" s="1667"/>
      <c r="BU2" s="1667"/>
      <c r="BV2" s="1667"/>
      <c r="BW2" s="1667"/>
      <c r="BX2" s="1667"/>
      <c r="BY2" s="1667"/>
      <c r="BZ2" s="1667"/>
      <c r="CA2" s="1667"/>
      <c r="CB2" s="1667"/>
      <c r="CC2" s="1667"/>
      <c r="CD2" s="1667"/>
      <c r="CE2" s="1667"/>
      <c r="CF2" s="1667"/>
      <c r="CG2" s="1667"/>
      <c r="CH2" s="1667"/>
      <c r="CI2" s="1667"/>
      <c r="CJ2" s="1667"/>
      <c r="CK2" s="1667"/>
      <c r="CL2" s="1667"/>
      <c r="CM2" s="1667"/>
      <c r="CN2" s="1667"/>
      <c r="CO2" s="1667"/>
      <c r="CP2" s="1667"/>
    </row>
    <row r="3" spans="1:94" ht="16.75" thickBot="1" x14ac:dyDescent="0.95">
      <c r="A3" s="245"/>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c r="BA3" s="313">
        <v>2009</v>
      </c>
      <c r="BB3" s="313">
        <v>2010</v>
      </c>
      <c r="BC3" s="313">
        <v>2011</v>
      </c>
      <c r="BD3" s="286">
        <v>2012</v>
      </c>
      <c r="BE3" s="286">
        <v>2013</v>
      </c>
      <c r="BF3" s="286">
        <v>2014</v>
      </c>
      <c r="BG3" s="286">
        <v>2015</v>
      </c>
      <c r="BH3" s="286">
        <v>2016</v>
      </c>
      <c r="BI3" s="252">
        <v>2017</v>
      </c>
      <c r="BJ3" s="256">
        <v>2018</v>
      </c>
      <c r="BK3" s="256">
        <v>2019</v>
      </c>
      <c r="BL3" s="256">
        <v>2020</v>
      </c>
      <c r="BM3" s="256">
        <v>2021</v>
      </c>
      <c r="BN3" s="256">
        <v>2022</v>
      </c>
      <c r="BO3" s="251">
        <v>2023</v>
      </c>
      <c r="BP3" s="254">
        <v>2024</v>
      </c>
      <c r="BQ3" s="254">
        <v>2025</v>
      </c>
      <c r="BR3" s="254">
        <v>2026</v>
      </c>
      <c r="BS3" s="254">
        <v>2027</v>
      </c>
      <c r="BT3" s="254">
        <v>2028</v>
      </c>
      <c r="BU3" s="254">
        <v>2029</v>
      </c>
      <c r="BV3" s="254">
        <v>2030</v>
      </c>
      <c r="BW3" s="254">
        <v>2031</v>
      </c>
      <c r="BX3" s="254">
        <v>2032</v>
      </c>
      <c r="BY3" s="254">
        <v>2033</v>
      </c>
      <c r="BZ3" s="254">
        <v>2034</v>
      </c>
      <c r="CA3" s="254">
        <v>2035</v>
      </c>
      <c r="CB3" s="254">
        <v>2036</v>
      </c>
      <c r="CC3" s="254">
        <v>2037</v>
      </c>
      <c r="CD3" s="254">
        <v>2038</v>
      </c>
      <c r="CE3" s="254">
        <v>2039</v>
      </c>
      <c r="CF3" s="254">
        <v>2040</v>
      </c>
      <c r="CG3" s="254">
        <v>2041</v>
      </c>
      <c r="CH3" s="254">
        <v>2042</v>
      </c>
      <c r="CI3" s="254">
        <v>2043</v>
      </c>
      <c r="CJ3" s="254">
        <v>2044</v>
      </c>
      <c r="CK3" s="254">
        <v>2045</v>
      </c>
      <c r="CL3" s="254">
        <v>2046</v>
      </c>
      <c r="CM3" s="254">
        <v>2047</v>
      </c>
      <c r="CN3" s="254">
        <v>2048</v>
      </c>
      <c r="CO3" s="254">
        <v>2049</v>
      </c>
      <c r="CP3" s="254">
        <v>2050</v>
      </c>
    </row>
    <row r="4" spans="1:94" ht="16.75" thickBot="1" x14ac:dyDescent="0.95">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94" x14ac:dyDescent="0.8">
      <c r="A5" s="556" t="s">
        <v>493</v>
      </c>
      <c r="B5" s="329">
        <v>10</v>
      </c>
      <c r="C5" s="329"/>
      <c r="D5" s="329"/>
      <c r="E5" s="329"/>
      <c r="F5" s="329"/>
      <c r="G5" s="329"/>
      <c r="H5" s="542">
        <v>9</v>
      </c>
      <c r="I5" s="542">
        <v>8</v>
      </c>
      <c r="J5" s="542">
        <v>7</v>
      </c>
      <c r="K5" s="542">
        <v>6</v>
      </c>
      <c r="L5" s="542">
        <v>5</v>
      </c>
      <c r="M5" s="542">
        <v>4</v>
      </c>
      <c r="N5" s="542">
        <v>3</v>
      </c>
      <c r="O5" s="542">
        <v>2</v>
      </c>
      <c r="P5" s="542">
        <v>1</v>
      </c>
      <c r="Q5" s="329"/>
      <c r="R5" s="21"/>
      <c r="S5" s="21"/>
      <c r="T5" s="21"/>
      <c r="U5" s="21"/>
      <c r="V5" s="21"/>
      <c r="W5" s="21"/>
      <c r="X5" s="21"/>
      <c r="Y5" s="21"/>
      <c r="Z5" s="21"/>
      <c r="AA5" s="21"/>
      <c r="AB5" s="21"/>
      <c r="AC5" s="21"/>
      <c r="AD5" s="21"/>
      <c r="AE5" s="21"/>
      <c r="AF5" s="21"/>
      <c r="AG5" s="21"/>
      <c r="AH5" s="21"/>
      <c r="AI5" s="21"/>
      <c r="AJ5" s="21"/>
      <c r="AK5" s="21"/>
      <c r="AL5" s="21"/>
      <c r="AM5" s="21"/>
      <c r="AN5" s="21"/>
      <c r="AO5" s="171"/>
    </row>
    <row r="6" spans="1:94" ht="16.75" thickBot="1" x14ac:dyDescent="0.95">
      <c r="A6" s="557" t="s">
        <v>494</v>
      </c>
      <c r="B6" s="543">
        <f>'Income Statement '!B8</f>
        <v>28177</v>
      </c>
      <c r="C6" s="543">
        <f>'Income Statement '!C8</f>
        <v>28847</v>
      </c>
      <c r="D6" s="543">
        <f>'Income Statement '!D8</f>
        <v>28022</v>
      </c>
      <c r="E6" s="543">
        <f>'Income Statement '!E8</f>
        <v>30884</v>
      </c>
      <c r="F6" s="543">
        <f>'Income Statement '!F8</f>
        <v>26667</v>
      </c>
      <c r="G6" s="543">
        <f>'Income Statement '!G8</f>
        <v>29986</v>
      </c>
      <c r="H6" s="543">
        <f>'Income Statement '!H4*'R&amp;D Schedule '!J7</f>
        <v>28504.535747997863</v>
      </c>
      <c r="I6" s="543">
        <f>'Income Statement '!I4*'R&amp;D Schedule '!K7</f>
        <v>32246.931336486068</v>
      </c>
      <c r="J6" s="543">
        <f>'Income Statement '!J4*'R&amp;D Schedule '!L7</f>
        <v>32840.74259453758</v>
      </c>
      <c r="K6" s="543">
        <f>'Income Statement '!K4*'R&amp;D Schedule '!M7</f>
        <v>35013.31634743094</v>
      </c>
      <c r="L6" s="543">
        <f>'Income Statement '!L4*'R&amp;D Schedule '!N7</f>
        <v>34826.458541259461</v>
      </c>
      <c r="M6" s="543">
        <f>'Income Statement '!M4*'R&amp;D Schedule '!O7</f>
        <v>37146.829919559481</v>
      </c>
      <c r="N6" s="543">
        <f>'Income Statement '!N4*'R&amp;D Schedule '!P7</f>
        <v>33051.467091569983</v>
      </c>
      <c r="O6" s="543">
        <f>'Income Statement '!O4*'R&amp;D Schedule '!Q7</f>
        <v>33923.861369552353</v>
      </c>
      <c r="P6" s="543">
        <f>'Income Statement '!P4*'R&amp;D Schedule '!R7</f>
        <v>31499.706474774404</v>
      </c>
      <c r="Q6" s="543">
        <f>'Income Statement '!Q4*'R&amp;D Schedule '!S7</f>
        <v>32107.501980202855</v>
      </c>
      <c r="R6" s="543">
        <f>'Income Statement '!R4*'R&amp;D Schedule '!T7</f>
        <v>29663.028403070006</v>
      </c>
      <c r="S6" s="543">
        <f>'Income Statement '!S4*'R&amp;D Schedule '!U7</f>
        <v>30066.623774536507</v>
      </c>
      <c r="T6" s="543">
        <f>'Income Statement '!T4*'R&amp;D Schedule '!V7</f>
        <v>28357.001724823087</v>
      </c>
      <c r="U6" s="543">
        <f>'Income Statement '!U4*'R&amp;D Schedule '!W7</f>
        <v>28623.395940834896</v>
      </c>
      <c r="V6" s="543">
        <f>'Income Statement '!V4*'R&amp;D Schedule '!X7</f>
        <v>27358.440196781365</v>
      </c>
      <c r="W6" s="543">
        <f>'Income Statement '!W4*'R&amp;D Schedule '!Y7</f>
        <v>27399.570241130972</v>
      </c>
      <c r="X6" s="543">
        <f>'Income Statement '!X4*'R&amp;D Schedule '!Z7</f>
        <v>26424.999239471148</v>
      </c>
      <c r="Y6" s="543">
        <f>'Income Statement '!Y4*'R&amp;D Schedule '!AA7</f>
        <v>25653.53733892435</v>
      </c>
      <c r="Z6" s="543">
        <f>'Income Statement '!Z4*'R&amp;D Schedule '!AB7</f>
        <v>24733.845738928529</v>
      </c>
      <c r="AA6" s="543">
        <f>'Income Statement '!AA4*'R&amp;D Schedule '!AC7</f>
        <v>24000.666713072656</v>
      </c>
      <c r="AB6" s="543">
        <f>'Income Statement '!AB4*'R&amp;D Schedule '!AD7</f>
        <v>23181.140530598193</v>
      </c>
      <c r="AC6" s="543">
        <f>'Income Statement '!AC4*'R&amp;D Schedule '!AE7</f>
        <v>22492.87315579777</v>
      </c>
      <c r="AD6" s="543">
        <f>'Income Statement '!AD4*'R&amp;D Schedule '!AF7</f>
        <v>21757.714813945291</v>
      </c>
      <c r="AE6" s="543">
        <f>'Income Statement '!AE4*'R&amp;D Schedule '!AG7</f>
        <v>21116.909171350282</v>
      </c>
      <c r="AF6" s="543">
        <f>'Income Statement '!AF4*'R&amp;D Schedule '!AH7</f>
        <v>20454.079584912903</v>
      </c>
      <c r="AG6" s="543">
        <f>'Income Statement '!AG4*'R&amp;D Schedule '!AI7</f>
        <v>19860.755181137032</v>
      </c>
      <c r="AH6" s="543">
        <f>'Income Statement '!AH4*'R&amp;D Schedule '!AJ7</f>
        <v>19292.486259362264</v>
      </c>
      <c r="AI6" s="543">
        <f>'Income Statement '!AI4*'R&amp;D Schedule '!AK7</f>
        <v>18751.3409781796</v>
      </c>
      <c r="AJ6" s="543">
        <f>'Income Statement '!AJ4*'R&amp;D Schedule '!AL7</f>
        <v>18233.164352049374</v>
      </c>
      <c r="AK6" s="543">
        <f>'Income Statement '!AK4*'R&amp;D Schedule '!AM7</f>
        <v>17739.233638648209</v>
      </c>
      <c r="AL6" s="543">
        <f>'Income Statement '!AL4*'R&amp;D Schedule '!AN7</f>
        <v>17266.451088990445</v>
      </c>
      <c r="AM6" s="543">
        <f>'Income Statement '!AM4*'R&amp;D Schedule '!AO7</f>
        <v>16815.426894631</v>
      </c>
      <c r="AN6" s="543">
        <f>'Income Statement '!AN4*'R&amp;D Schedule '!AP7</f>
        <v>16383.808398389167</v>
      </c>
      <c r="AO6" s="543">
        <f>'Income Statement '!AO4*'R&amp;D Schedule '!AQ7</f>
        <v>15971.776784507494</v>
      </c>
    </row>
    <row r="7" spans="1:94" x14ac:dyDescent="0.8">
      <c r="A7" s="22"/>
      <c r="B7" s="157"/>
      <c r="C7" s="157"/>
      <c r="D7" s="157"/>
      <c r="E7" s="157"/>
      <c r="F7" s="157"/>
      <c r="G7" s="157"/>
      <c r="H7" s="330"/>
      <c r="I7" s="157"/>
      <c r="J7" s="157"/>
      <c r="K7" s="157"/>
      <c r="L7" s="157"/>
      <c r="M7" s="157"/>
      <c r="N7" s="330"/>
      <c r="O7" s="157"/>
      <c r="P7" s="157"/>
      <c r="Q7" s="157"/>
      <c r="R7" s="7"/>
      <c r="S7" s="7"/>
      <c r="T7" s="7"/>
      <c r="U7" s="7"/>
      <c r="V7" s="7"/>
      <c r="W7" s="7"/>
      <c r="X7" s="7"/>
      <c r="Y7" s="7"/>
      <c r="Z7" s="7"/>
      <c r="AA7" s="7"/>
      <c r="AB7" s="7"/>
      <c r="AC7" s="7"/>
      <c r="AD7" s="25"/>
      <c r="AE7" s="7"/>
      <c r="AF7" s="7"/>
      <c r="AG7" s="7"/>
      <c r="AH7" s="189"/>
      <c r="AI7" s="7"/>
      <c r="AJ7" s="7"/>
      <c r="AK7" s="7"/>
      <c r="AL7" s="7"/>
      <c r="AM7" s="7"/>
      <c r="AN7" s="7"/>
      <c r="AO7" s="172"/>
    </row>
    <row r="8" spans="1:94" x14ac:dyDescent="0.8">
      <c r="A8" s="22" t="s">
        <v>495</v>
      </c>
      <c r="B8" s="189">
        <f>1-H$5/$B$5</f>
        <v>9.9999999999999978E-2</v>
      </c>
      <c r="C8" s="189">
        <f t="shared" ref="C8:G8" si="0">1-I$5/$B$5</f>
        <v>0.19999999999999996</v>
      </c>
      <c r="D8" s="189">
        <f t="shared" si="0"/>
        <v>0.30000000000000004</v>
      </c>
      <c r="E8" s="189">
        <f t="shared" si="0"/>
        <v>0.4</v>
      </c>
      <c r="F8" s="189">
        <f t="shared" si="0"/>
        <v>0.5</v>
      </c>
      <c r="G8" s="189">
        <f t="shared" si="0"/>
        <v>0.6</v>
      </c>
      <c r="H8" s="211">
        <f>1-N$5/$B$5</f>
        <v>0.7</v>
      </c>
      <c r="I8" s="189">
        <f t="shared" ref="I8" si="1">1-O$5/$B$5</f>
        <v>0.8</v>
      </c>
      <c r="J8" s="189">
        <f t="shared" ref="J8" si="2">1-P$5/$B$5</f>
        <v>0.9</v>
      </c>
      <c r="K8" s="189">
        <f t="shared" ref="K8" si="3">1-Q$5/$B$5</f>
        <v>1</v>
      </c>
      <c r="L8" s="157"/>
      <c r="M8" s="157"/>
      <c r="N8" s="203"/>
      <c r="O8" s="157"/>
      <c r="P8" s="157"/>
      <c r="Q8" s="157"/>
      <c r="R8" s="7"/>
      <c r="S8" s="7"/>
      <c r="T8" s="7"/>
      <c r="U8" s="7"/>
      <c r="V8" s="7"/>
      <c r="W8" s="7"/>
      <c r="X8" s="7"/>
      <c r="Y8" s="7"/>
      <c r="Z8" s="7"/>
      <c r="AA8" s="7"/>
      <c r="AB8" s="7"/>
      <c r="AC8" s="7"/>
      <c r="AD8" s="7"/>
      <c r="AE8" s="7"/>
      <c r="AF8" s="7"/>
      <c r="AG8" s="7"/>
      <c r="AH8" s="7"/>
      <c r="AI8" s="7"/>
      <c r="AJ8" s="7"/>
      <c r="AK8" s="7"/>
      <c r="AL8" s="7"/>
      <c r="AM8" s="7"/>
      <c r="AN8" s="7"/>
      <c r="AO8" s="172"/>
    </row>
    <row r="9" spans="1:94" x14ac:dyDescent="0.8">
      <c r="A9" s="22" t="s">
        <v>496</v>
      </c>
      <c r="B9" s="187">
        <f>B8*B$6</f>
        <v>2817.6999999999994</v>
      </c>
      <c r="C9" s="187">
        <f t="shared" ref="C9:K9" si="4">C8*C$6</f>
        <v>5769.3999999999987</v>
      </c>
      <c r="D9" s="187">
        <f t="shared" si="4"/>
        <v>8406.6</v>
      </c>
      <c r="E9" s="187">
        <f t="shared" si="4"/>
        <v>12353.6</v>
      </c>
      <c r="F9" s="187">
        <f t="shared" si="4"/>
        <v>13333.5</v>
      </c>
      <c r="G9" s="187">
        <f t="shared" si="4"/>
        <v>17991.599999999999</v>
      </c>
      <c r="H9" s="554">
        <f t="shared" si="4"/>
        <v>19953.175023598502</v>
      </c>
      <c r="I9" s="187">
        <f t="shared" si="4"/>
        <v>25797.545069188855</v>
      </c>
      <c r="J9" s="187">
        <f t="shared" si="4"/>
        <v>29556.668335083821</v>
      </c>
      <c r="K9" s="187">
        <f t="shared" si="4"/>
        <v>35013.31634743094</v>
      </c>
      <c r="L9" s="157"/>
      <c r="M9" s="157"/>
      <c r="N9" s="203"/>
      <c r="O9" s="157"/>
      <c r="P9" s="157"/>
      <c r="Q9" s="157"/>
      <c r="R9" s="7"/>
      <c r="S9" s="7"/>
      <c r="T9" s="7"/>
      <c r="U9" s="7"/>
      <c r="V9" s="7"/>
      <c r="W9" s="7"/>
      <c r="X9" s="7"/>
      <c r="Y9" s="7"/>
      <c r="Z9" s="7"/>
      <c r="AA9" s="7"/>
      <c r="AB9" s="7"/>
      <c r="AC9" s="7"/>
      <c r="AD9" s="7"/>
      <c r="AE9" s="7"/>
      <c r="AF9" s="7"/>
      <c r="AG9" s="7"/>
      <c r="AH9" s="7"/>
      <c r="AI9" s="7"/>
      <c r="AJ9" s="7"/>
      <c r="AK9" s="7"/>
      <c r="AL9" s="7"/>
      <c r="AM9" s="7"/>
      <c r="AN9" s="7"/>
      <c r="AO9" s="172"/>
    </row>
    <row r="10" spans="1:94" x14ac:dyDescent="0.8">
      <c r="A10" s="22" t="s">
        <v>361</v>
      </c>
      <c r="B10" s="187">
        <f>1/$B$5*B$6</f>
        <v>2817.7000000000003</v>
      </c>
      <c r="C10" s="187">
        <f t="shared" ref="C10:K10" si="5">1/$B$5*C$6</f>
        <v>2884.7000000000003</v>
      </c>
      <c r="D10" s="187">
        <f t="shared" si="5"/>
        <v>2802.2000000000003</v>
      </c>
      <c r="E10" s="187">
        <f t="shared" si="5"/>
        <v>3088.4</v>
      </c>
      <c r="F10" s="187">
        <f t="shared" si="5"/>
        <v>2666.7000000000003</v>
      </c>
      <c r="G10" s="187">
        <f t="shared" si="5"/>
        <v>2998.6000000000004</v>
      </c>
      <c r="H10" s="554">
        <f t="shared" si="5"/>
        <v>2850.4535747997866</v>
      </c>
      <c r="I10" s="187">
        <f t="shared" si="5"/>
        <v>3224.6931336486068</v>
      </c>
      <c r="J10" s="187">
        <f t="shared" si="5"/>
        <v>3284.0742594537583</v>
      </c>
      <c r="K10" s="187">
        <f t="shared" si="5"/>
        <v>3501.3316347430941</v>
      </c>
      <c r="L10" s="157"/>
      <c r="M10" s="157"/>
      <c r="N10" s="203"/>
      <c r="O10" s="157"/>
      <c r="P10" s="157"/>
      <c r="Q10" s="157"/>
      <c r="R10" s="7"/>
      <c r="S10" s="7"/>
      <c r="T10" s="7"/>
      <c r="U10" s="7"/>
      <c r="V10" s="7"/>
      <c r="W10" s="7"/>
      <c r="X10" s="7"/>
      <c r="Y10" s="7"/>
      <c r="Z10" s="7"/>
      <c r="AA10" s="7"/>
      <c r="AB10" s="7"/>
      <c r="AC10" s="7"/>
      <c r="AD10" s="7"/>
      <c r="AE10" s="7"/>
      <c r="AF10" s="7"/>
      <c r="AG10" s="7"/>
      <c r="AH10" s="7"/>
      <c r="AI10" s="7"/>
      <c r="AJ10" s="7"/>
      <c r="AK10" s="7"/>
      <c r="AL10" s="7"/>
      <c r="AM10" s="7"/>
      <c r="AN10" s="7"/>
      <c r="AO10" s="172"/>
    </row>
    <row r="11" spans="1:94" x14ac:dyDescent="0.8">
      <c r="A11" s="22" t="s">
        <v>498</v>
      </c>
      <c r="B11" s="157"/>
      <c r="C11" s="157"/>
      <c r="D11" s="157"/>
      <c r="E11" s="157"/>
      <c r="F11" s="157"/>
      <c r="G11" s="157"/>
      <c r="H11" s="203"/>
      <c r="I11" s="157"/>
      <c r="J11" s="157"/>
      <c r="K11" s="157">
        <f>SUM(A9:K9)</f>
        <v>170993.10477530211</v>
      </c>
      <c r="L11" s="157"/>
      <c r="M11" s="157"/>
      <c r="N11" s="203"/>
      <c r="O11" s="157"/>
      <c r="P11" s="157"/>
      <c r="Q11" s="157"/>
      <c r="R11" s="7"/>
      <c r="S11" s="7"/>
      <c r="T11" s="7"/>
      <c r="U11" s="7"/>
      <c r="V11" s="7"/>
      <c r="W11" s="7"/>
      <c r="X11" s="7"/>
      <c r="Y11" s="7"/>
      <c r="Z11" s="7"/>
      <c r="AA11" s="7"/>
      <c r="AB11" s="7"/>
      <c r="AC11" s="7"/>
      <c r="AD11" s="7"/>
      <c r="AE11" s="7"/>
      <c r="AF11" s="7"/>
      <c r="AG11" s="7"/>
      <c r="AH11" s="7"/>
      <c r="AI11" s="7"/>
      <c r="AJ11" s="7"/>
      <c r="AK11" s="7"/>
      <c r="AL11" s="7"/>
      <c r="AM11" s="7"/>
      <c r="AN11" s="7"/>
      <c r="AO11" s="172"/>
    </row>
    <row r="12" spans="1:94" x14ac:dyDescent="0.8">
      <c r="A12" s="22" t="s">
        <v>497</v>
      </c>
      <c r="B12" s="157"/>
      <c r="C12" s="157"/>
      <c r="D12" s="157"/>
      <c r="E12" s="157"/>
      <c r="F12" s="157"/>
      <c r="G12" s="157"/>
      <c r="H12" s="203"/>
      <c r="I12" s="157"/>
      <c r="J12" s="157"/>
      <c r="K12" s="157">
        <f>SUM(A10:K10)</f>
        <v>30118.852602645253</v>
      </c>
      <c r="L12" s="157"/>
      <c r="M12" s="157"/>
      <c r="N12" s="203"/>
      <c r="O12" s="157"/>
      <c r="P12" s="157"/>
      <c r="Q12" s="157"/>
      <c r="R12" s="7"/>
      <c r="S12" s="7"/>
      <c r="T12" s="7"/>
      <c r="U12" s="7"/>
      <c r="V12" s="7"/>
      <c r="W12" s="7"/>
      <c r="X12" s="7"/>
      <c r="Y12" s="7"/>
      <c r="Z12" s="7"/>
      <c r="AA12" s="7"/>
      <c r="AB12" s="7"/>
      <c r="AC12" s="7"/>
      <c r="AD12" s="7"/>
      <c r="AE12" s="7"/>
      <c r="AF12" s="7"/>
      <c r="AG12" s="7"/>
      <c r="AH12" s="7"/>
      <c r="AI12" s="7"/>
      <c r="AJ12" s="7"/>
      <c r="AK12" s="7"/>
      <c r="AL12" s="7"/>
      <c r="AM12" s="7"/>
      <c r="AN12" s="7"/>
      <c r="AO12" s="172"/>
    </row>
    <row r="13" spans="1:94" x14ac:dyDescent="0.8">
      <c r="A13" s="22"/>
      <c r="B13" s="157"/>
      <c r="C13" s="157"/>
      <c r="D13" s="157"/>
      <c r="E13" s="157"/>
      <c r="F13" s="157"/>
      <c r="G13" s="157"/>
      <c r="H13" s="203"/>
      <c r="I13" s="157"/>
      <c r="J13" s="157"/>
      <c r="K13" s="157"/>
      <c r="L13" s="157"/>
      <c r="M13" s="157"/>
      <c r="N13" s="203"/>
      <c r="O13" s="157"/>
      <c r="P13" s="157"/>
      <c r="Q13" s="157"/>
      <c r="R13" s="7"/>
      <c r="S13" s="7"/>
      <c r="T13" s="7"/>
      <c r="U13" s="7"/>
      <c r="V13" s="7"/>
      <c r="W13" s="7"/>
      <c r="X13" s="7"/>
      <c r="Y13" s="7"/>
      <c r="Z13" s="7"/>
      <c r="AA13" s="7"/>
      <c r="AB13" s="7"/>
      <c r="AC13" s="7"/>
      <c r="AD13" s="7"/>
      <c r="AE13" s="7"/>
      <c r="AF13" s="7"/>
      <c r="AG13" s="7"/>
      <c r="AH13" s="7"/>
      <c r="AI13" s="7"/>
      <c r="AJ13" s="7"/>
      <c r="AK13" s="7"/>
      <c r="AL13" s="7"/>
      <c r="AM13" s="7"/>
      <c r="AN13" s="7"/>
      <c r="AO13" s="172"/>
    </row>
    <row r="14" spans="1:94" x14ac:dyDescent="0.8">
      <c r="A14" s="22" t="s">
        <v>495</v>
      </c>
      <c r="B14" s="157"/>
      <c r="C14" s="189">
        <f t="shared" ref="C14:L14" si="6">B8</f>
        <v>9.9999999999999978E-2</v>
      </c>
      <c r="D14" s="189">
        <f t="shared" si="6"/>
        <v>0.19999999999999996</v>
      </c>
      <c r="E14" s="189">
        <f t="shared" si="6"/>
        <v>0.30000000000000004</v>
      </c>
      <c r="F14" s="189">
        <f t="shared" si="6"/>
        <v>0.4</v>
      </c>
      <c r="G14" s="189">
        <f t="shared" si="6"/>
        <v>0.5</v>
      </c>
      <c r="H14" s="211">
        <f t="shared" si="6"/>
        <v>0.6</v>
      </c>
      <c r="I14" s="189">
        <f t="shared" si="6"/>
        <v>0.7</v>
      </c>
      <c r="J14" s="189">
        <f t="shared" si="6"/>
        <v>0.8</v>
      </c>
      <c r="K14" s="189">
        <f t="shared" si="6"/>
        <v>0.9</v>
      </c>
      <c r="L14" s="189">
        <f t="shared" si="6"/>
        <v>1</v>
      </c>
      <c r="M14" s="157"/>
      <c r="N14" s="203"/>
      <c r="O14" s="157"/>
      <c r="P14" s="157"/>
      <c r="Q14" s="157"/>
      <c r="R14" s="7"/>
      <c r="S14" s="7"/>
      <c r="T14" s="7"/>
      <c r="U14" s="7"/>
      <c r="V14" s="7"/>
      <c r="W14" s="7"/>
      <c r="X14" s="7"/>
      <c r="Y14" s="7"/>
      <c r="Z14" s="7"/>
      <c r="AA14" s="7"/>
      <c r="AB14" s="7"/>
      <c r="AC14" s="7"/>
      <c r="AD14" s="7"/>
      <c r="AE14" s="7"/>
      <c r="AF14" s="7"/>
      <c r="AG14" s="7"/>
      <c r="AH14" s="7"/>
      <c r="AI14" s="7"/>
      <c r="AJ14" s="7"/>
      <c r="AK14" s="7"/>
      <c r="AL14" s="7"/>
      <c r="AM14" s="7"/>
      <c r="AN14" s="7"/>
      <c r="AO14" s="172"/>
    </row>
    <row r="15" spans="1:94" x14ac:dyDescent="0.8">
      <c r="A15" s="22" t="s">
        <v>496</v>
      </c>
      <c r="B15" s="157"/>
      <c r="C15" s="187">
        <f>C14*C$6</f>
        <v>2884.6999999999994</v>
      </c>
      <c r="D15" s="187">
        <f t="shared" ref="D15:L15" si="7">D14*D$6</f>
        <v>5604.3999999999987</v>
      </c>
      <c r="E15" s="187">
        <f t="shared" si="7"/>
        <v>9265.2000000000007</v>
      </c>
      <c r="F15" s="187">
        <f t="shared" si="7"/>
        <v>10666.800000000001</v>
      </c>
      <c r="G15" s="187">
        <f t="shared" si="7"/>
        <v>14993</v>
      </c>
      <c r="H15" s="554">
        <f t="shared" si="7"/>
        <v>17102.721448798718</v>
      </c>
      <c r="I15" s="187">
        <f t="shared" si="7"/>
        <v>22572.851935540246</v>
      </c>
      <c r="J15" s="187">
        <f t="shared" si="7"/>
        <v>26272.594075630066</v>
      </c>
      <c r="K15" s="187">
        <f t="shared" si="7"/>
        <v>31511.984712687849</v>
      </c>
      <c r="L15" s="187">
        <f t="shared" si="7"/>
        <v>34826.458541259461</v>
      </c>
      <c r="M15" s="157"/>
      <c r="N15" s="203"/>
      <c r="O15" s="157"/>
      <c r="P15" s="157"/>
      <c r="Q15" s="157"/>
      <c r="R15" s="7"/>
      <c r="S15" s="7"/>
      <c r="T15" s="7"/>
      <c r="U15" s="7"/>
      <c r="V15" s="7"/>
      <c r="W15" s="7"/>
      <c r="X15" s="7"/>
      <c r="Y15" s="7"/>
      <c r="Z15" s="7"/>
      <c r="AA15" s="7"/>
      <c r="AB15" s="7"/>
      <c r="AC15" s="7"/>
      <c r="AD15" s="7"/>
      <c r="AE15" s="7"/>
      <c r="AF15" s="7"/>
      <c r="AG15" s="7"/>
      <c r="AH15" s="7"/>
      <c r="AI15" s="7"/>
      <c r="AJ15" s="7"/>
      <c r="AK15" s="7"/>
      <c r="AL15" s="7"/>
      <c r="AM15" s="7"/>
      <c r="AN15" s="7"/>
      <c r="AO15" s="172"/>
    </row>
    <row r="16" spans="1:94" x14ac:dyDescent="0.8">
      <c r="A16" s="22" t="s">
        <v>361</v>
      </c>
      <c r="B16" s="157"/>
      <c r="C16" s="187">
        <f>1/$B$5*C$6</f>
        <v>2884.7000000000003</v>
      </c>
      <c r="D16" s="187">
        <f t="shared" ref="D16:L16" si="8">1/$B$5*D$6</f>
        <v>2802.2000000000003</v>
      </c>
      <c r="E16" s="187">
        <f t="shared" si="8"/>
        <v>3088.4</v>
      </c>
      <c r="F16" s="187">
        <f t="shared" si="8"/>
        <v>2666.7000000000003</v>
      </c>
      <c r="G16" s="187">
        <f t="shared" si="8"/>
        <v>2998.6000000000004</v>
      </c>
      <c r="H16" s="554">
        <f t="shared" si="8"/>
        <v>2850.4535747997866</v>
      </c>
      <c r="I16" s="187">
        <f t="shared" si="8"/>
        <v>3224.6931336486068</v>
      </c>
      <c r="J16" s="187">
        <f t="shared" si="8"/>
        <v>3284.0742594537583</v>
      </c>
      <c r="K16" s="187">
        <f t="shared" si="8"/>
        <v>3501.3316347430941</v>
      </c>
      <c r="L16" s="187">
        <f t="shared" si="8"/>
        <v>3482.6458541259462</v>
      </c>
      <c r="M16" s="157"/>
      <c r="N16" s="203"/>
      <c r="O16" s="157"/>
      <c r="P16" s="157"/>
      <c r="Q16" s="157"/>
      <c r="R16" s="7"/>
      <c r="S16" s="7"/>
      <c r="T16" s="7"/>
      <c r="U16" s="7"/>
      <c r="V16" s="7"/>
      <c r="W16" s="7"/>
      <c r="X16" s="7"/>
      <c r="Y16" s="7"/>
      <c r="Z16" s="7"/>
      <c r="AA16" s="7"/>
      <c r="AB16" s="7"/>
      <c r="AC16" s="7"/>
      <c r="AD16" s="7"/>
      <c r="AE16" s="7"/>
      <c r="AF16" s="7"/>
      <c r="AG16" s="7"/>
      <c r="AH16" s="7"/>
      <c r="AI16" s="7"/>
      <c r="AJ16" s="7"/>
      <c r="AK16" s="7"/>
      <c r="AL16" s="7"/>
      <c r="AM16" s="7"/>
      <c r="AN16" s="7"/>
      <c r="AO16" s="172"/>
    </row>
    <row r="17" spans="1:41" x14ac:dyDescent="0.8">
      <c r="A17" s="22" t="s">
        <v>498</v>
      </c>
      <c r="B17" s="157"/>
      <c r="C17" s="157"/>
      <c r="D17" s="157"/>
      <c r="E17" s="157"/>
      <c r="F17" s="157"/>
      <c r="G17" s="157"/>
      <c r="H17" s="203"/>
      <c r="I17" s="157"/>
      <c r="J17" s="157"/>
      <c r="K17" s="157"/>
      <c r="L17" s="157">
        <f>SUM(C15:L15)</f>
        <v>175700.71071391634</v>
      </c>
      <c r="M17" s="157"/>
      <c r="N17" s="203"/>
      <c r="O17" s="157"/>
      <c r="P17" s="157"/>
      <c r="Q17" s="15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2" t="s">
        <v>497</v>
      </c>
      <c r="B18" s="157"/>
      <c r="C18" s="157"/>
      <c r="D18" s="157"/>
      <c r="E18" s="157"/>
      <c r="F18" s="157"/>
      <c r="G18" s="158"/>
      <c r="H18" s="203"/>
      <c r="I18" s="157"/>
      <c r="J18" s="157"/>
      <c r="K18" s="157"/>
      <c r="L18" s="157">
        <f>SUM(C16:L16)</f>
        <v>30783.798456771194</v>
      </c>
      <c r="M18" s="157"/>
      <c r="N18" s="203"/>
      <c r="O18" s="157"/>
      <c r="P18" s="157"/>
      <c r="Q18" s="157"/>
      <c r="R18" s="7"/>
      <c r="S18" s="7"/>
      <c r="T18" s="7"/>
      <c r="U18" s="7"/>
      <c r="V18" s="7"/>
      <c r="W18" s="7"/>
      <c r="X18" s="7"/>
      <c r="Y18" s="7"/>
      <c r="Z18" s="7"/>
      <c r="AA18" s="7"/>
      <c r="AB18" s="7"/>
      <c r="AC18" s="7"/>
      <c r="AD18" s="7"/>
      <c r="AE18" s="7"/>
      <c r="AF18" s="7"/>
      <c r="AG18" s="7"/>
      <c r="AH18" s="7"/>
      <c r="AI18" s="7"/>
      <c r="AJ18" s="7"/>
      <c r="AK18" s="7"/>
      <c r="AL18" s="7"/>
      <c r="AM18" s="7"/>
      <c r="AN18" s="7"/>
      <c r="AO18" s="172"/>
    </row>
    <row r="19" spans="1:41" x14ac:dyDescent="0.8">
      <c r="A19" s="22"/>
      <c r="B19" s="157"/>
      <c r="C19" s="157"/>
      <c r="D19" s="157"/>
      <c r="E19" s="157"/>
      <c r="F19" s="157"/>
      <c r="G19" s="158"/>
      <c r="H19" s="203"/>
      <c r="I19" s="157"/>
      <c r="J19" s="157"/>
      <c r="K19" s="157"/>
      <c r="L19" s="157"/>
      <c r="M19" s="157"/>
      <c r="N19" s="203"/>
      <c r="O19" s="157"/>
      <c r="P19" s="157"/>
      <c r="Q19" s="15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22" t="s">
        <v>495</v>
      </c>
      <c r="B20" s="157"/>
      <c r="C20" s="157"/>
      <c r="D20" s="189">
        <f t="shared" ref="D20:M20" si="9">C14</f>
        <v>9.9999999999999978E-2</v>
      </c>
      <c r="E20" s="189">
        <f t="shared" si="9"/>
        <v>0.19999999999999996</v>
      </c>
      <c r="F20" s="189">
        <f t="shared" si="9"/>
        <v>0.30000000000000004</v>
      </c>
      <c r="G20" s="189">
        <f t="shared" si="9"/>
        <v>0.4</v>
      </c>
      <c r="H20" s="211">
        <f t="shared" si="9"/>
        <v>0.5</v>
      </c>
      <c r="I20" s="189">
        <f t="shared" si="9"/>
        <v>0.6</v>
      </c>
      <c r="J20" s="189">
        <f t="shared" si="9"/>
        <v>0.7</v>
      </c>
      <c r="K20" s="189">
        <f t="shared" si="9"/>
        <v>0.8</v>
      </c>
      <c r="L20" s="189">
        <f t="shared" si="9"/>
        <v>0.9</v>
      </c>
      <c r="M20" s="189">
        <f t="shared" si="9"/>
        <v>1</v>
      </c>
      <c r="N20" s="203"/>
      <c r="O20" s="157"/>
      <c r="P20" s="157"/>
      <c r="Q20" s="15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496</v>
      </c>
      <c r="B21" s="157"/>
      <c r="C21" s="157"/>
      <c r="D21" s="187">
        <f>D20*D$6</f>
        <v>2802.1999999999994</v>
      </c>
      <c r="E21" s="187">
        <f t="shared" ref="E21:M21" si="10">E20*E$6</f>
        <v>6176.7999999999984</v>
      </c>
      <c r="F21" s="187">
        <f t="shared" si="10"/>
        <v>8000.1000000000013</v>
      </c>
      <c r="G21" s="187">
        <f t="shared" si="10"/>
        <v>11994.400000000001</v>
      </c>
      <c r="H21" s="554">
        <f t="shared" si="10"/>
        <v>14252.267873998931</v>
      </c>
      <c r="I21" s="187">
        <f t="shared" si="10"/>
        <v>19348.158801891641</v>
      </c>
      <c r="J21" s="187">
        <f t="shared" si="10"/>
        <v>22988.519816176304</v>
      </c>
      <c r="K21" s="187">
        <f t="shared" si="10"/>
        <v>28010.653077944753</v>
      </c>
      <c r="L21" s="187">
        <f t="shared" si="10"/>
        <v>31343.812687133515</v>
      </c>
      <c r="M21" s="187">
        <f t="shared" si="10"/>
        <v>37146.829919559481</v>
      </c>
      <c r="N21" s="203"/>
      <c r="O21" s="157"/>
      <c r="P21" s="157"/>
      <c r="Q21" s="157"/>
      <c r="R21" s="7"/>
      <c r="S21" s="7"/>
      <c r="T21" s="7"/>
      <c r="U21" s="7"/>
      <c r="V21" s="7"/>
      <c r="W21" s="7"/>
      <c r="X21" s="7"/>
      <c r="Y21" s="7"/>
      <c r="Z21" s="7"/>
      <c r="AA21" s="7"/>
      <c r="AB21" s="7"/>
      <c r="AC21" s="7"/>
      <c r="AD21" s="7"/>
      <c r="AE21" s="7"/>
      <c r="AF21" s="7"/>
      <c r="AG21" s="7"/>
      <c r="AH21" s="7"/>
      <c r="AI21" s="7"/>
      <c r="AJ21" s="7"/>
      <c r="AK21" s="7"/>
      <c r="AL21" s="7"/>
      <c r="AM21" s="7"/>
      <c r="AN21" s="7"/>
      <c r="AO21" s="172"/>
    </row>
    <row r="22" spans="1:41" x14ac:dyDescent="0.8">
      <c r="A22" s="22" t="s">
        <v>361</v>
      </c>
      <c r="B22" s="157"/>
      <c r="C22" s="157"/>
      <c r="D22" s="187">
        <f>1/$B$5*D$6</f>
        <v>2802.2000000000003</v>
      </c>
      <c r="E22" s="187">
        <f t="shared" ref="E22:M22" si="11">1/$B$5*E$6</f>
        <v>3088.4</v>
      </c>
      <c r="F22" s="187">
        <f t="shared" si="11"/>
        <v>2666.7000000000003</v>
      </c>
      <c r="G22" s="187">
        <f t="shared" si="11"/>
        <v>2998.6000000000004</v>
      </c>
      <c r="H22" s="554">
        <f t="shared" si="11"/>
        <v>2850.4535747997866</v>
      </c>
      <c r="I22" s="187">
        <f t="shared" si="11"/>
        <v>3224.6931336486068</v>
      </c>
      <c r="J22" s="187">
        <f t="shared" si="11"/>
        <v>3284.0742594537583</v>
      </c>
      <c r="K22" s="187">
        <f t="shared" si="11"/>
        <v>3501.3316347430941</v>
      </c>
      <c r="L22" s="187">
        <f t="shared" si="11"/>
        <v>3482.6458541259462</v>
      </c>
      <c r="M22" s="187">
        <f t="shared" si="11"/>
        <v>3714.6829919559482</v>
      </c>
      <c r="N22" s="203"/>
      <c r="O22" s="157"/>
      <c r="P22" s="157"/>
      <c r="Q22" s="15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x14ac:dyDescent="0.8">
      <c r="A23" s="22" t="s">
        <v>498</v>
      </c>
      <c r="B23" s="157"/>
      <c r="C23" s="157"/>
      <c r="D23" s="157"/>
      <c r="E23" s="157"/>
      <c r="F23" s="157"/>
      <c r="G23" s="158"/>
      <c r="H23" s="203"/>
      <c r="I23" s="157"/>
      <c r="J23" s="157"/>
      <c r="K23" s="157"/>
      <c r="L23" s="157"/>
      <c r="M23" s="157">
        <f>SUM(D21:M21)</f>
        <v>182063.7421767046</v>
      </c>
      <c r="N23" s="203"/>
      <c r="O23" s="157"/>
      <c r="P23" s="157"/>
      <c r="Q23" s="15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2" t="s">
        <v>497</v>
      </c>
      <c r="B24" s="157"/>
      <c r="C24" s="157"/>
      <c r="D24" s="157"/>
      <c r="E24" s="157"/>
      <c r="F24" s="157"/>
      <c r="G24" s="158"/>
      <c r="H24" s="203"/>
      <c r="I24" s="157"/>
      <c r="J24" s="157"/>
      <c r="K24" s="157"/>
      <c r="L24" s="157"/>
      <c r="M24" s="157">
        <f>SUM(D22:M22)</f>
        <v>31613.781448727146</v>
      </c>
      <c r="N24" s="203"/>
      <c r="O24" s="157"/>
      <c r="P24" s="157"/>
      <c r="Q24" s="157"/>
      <c r="R24" s="7"/>
      <c r="S24" s="7"/>
      <c r="T24" s="7"/>
      <c r="U24" s="7"/>
      <c r="V24" s="7"/>
      <c r="W24" s="7"/>
      <c r="X24" s="7"/>
      <c r="Y24" s="7"/>
      <c r="Z24" s="7"/>
      <c r="AA24" s="7"/>
      <c r="AB24" s="7"/>
      <c r="AC24" s="7"/>
      <c r="AD24" s="7"/>
      <c r="AE24" s="7"/>
      <c r="AF24" s="7"/>
      <c r="AG24" s="7"/>
      <c r="AH24" s="7"/>
      <c r="AI24" s="7"/>
      <c r="AJ24" s="7"/>
      <c r="AK24" s="7"/>
      <c r="AL24" s="7"/>
      <c r="AM24" s="7"/>
      <c r="AN24" s="7"/>
      <c r="AO24" s="172"/>
    </row>
    <row r="25" spans="1:41" x14ac:dyDescent="0.8">
      <c r="A25" s="22"/>
      <c r="B25" s="157"/>
      <c r="C25" s="157"/>
      <c r="D25" s="157"/>
      <c r="E25" s="157"/>
      <c r="F25" s="157"/>
      <c r="G25" s="158"/>
      <c r="H25" s="203"/>
      <c r="I25" s="157"/>
      <c r="J25" s="157"/>
      <c r="K25" s="157"/>
      <c r="L25" s="157"/>
      <c r="M25" s="157"/>
      <c r="N25" s="203"/>
      <c r="O25" s="157"/>
      <c r="P25" s="157"/>
      <c r="Q25" s="15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x14ac:dyDescent="0.8">
      <c r="A26" s="22" t="s">
        <v>495</v>
      </c>
      <c r="B26" s="157"/>
      <c r="C26" s="157"/>
      <c r="D26" s="157"/>
      <c r="E26" s="189">
        <f t="shared" ref="E26:N26" si="12">D20</f>
        <v>9.9999999999999978E-2</v>
      </c>
      <c r="F26" s="189">
        <f t="shared" si="12"/>
        <v>0.19999999999999996</v>
      </c>
      <c r="G26" s="189">
        <f t="shared" si="12"/>
        <v>0.30000000000000004</v>
      </c>
      <c r="H26" s="211">
        <f t="shared" si="12"/>
        <v>0.4</v>
      </c>
      <c r="I26" s="189">
        <f t="shared" si="12"/>
        <v>0.5</v>
      </c>
      <c r="J26" s="189">
        <f t="shared" si="12"/>
        <v>0.6</v>
      </c>
      <c r="K26" s="189">
        <f t="shared" si="12"/>
        <v>0.7</v>
      </c>
      <c r="L26" s="189">
        <f t="shared" si="12"/>
        <v>0.8</v>
      </c>
      <c r="M26" s="189">
        <f t="shared" si="12"/>
        <v>0.9</v>
      </c>
      <c r="N26" s="211">
        <f t="shared" si="12"/>
        <v>1</v>
      </c>
      <c r="O26" s="157"/>
      <c r="P26" s="157"/>
      <c r="Q26" s="157"/>
      <c r="R26" s="7"/>
      <c r="S26" s="7"/>
      <c r="T26" s="7"/>
      <c r="U26" s="7"/>
      <c r="V26" s="7"/>
      <c r="W26" s="7"/>
      <c r="X26" s="7"/>
      <c r="Y26" s="7"/>
      <c r="Z26" s="7"/>
      <c r="AA26" s="7"/>
      <c r="AB26" s="7"/>
      <c r="AC26" s="7"/>
      <c r="AD26" s="7"/>
      <c r="AE26" s="7"/>
      <c r="AF26" s="7"/>
      <c r="AG26" s="7"/>
      <c r="AH26" s="7"/>
      <c r="AI26" s="7"/>
      <c r="AJ26" s="7"/>
      <c r="AK26" s="7"/>
      <c r="AL26" s="7"/>
      <c r="AM26" s="7"/>
      <c r="AN26" s="7"/>
      <c r="AO26" s="172"/>
    </row>
    <row r="27" spans="1:41" x14ac:dyDescent="0.8">
      <c r="A27" s="22" t="s">
        <v>496</v>
      </c>
      <c r="B27" s="157"/>
      <c r="C27" s="157"/>
      <c r="D27" s="157"/>
      <c r="E27" s="187">
        <f>E26*E$6</f>
        <v>3088.3999999999992</v>
      </c>
      <c r="F27" s="187">
        <f t="shared" ref="F27:N27" si="13">F26*F$6</f>
        <v>5333.3999999999987</v>
      </c>
      <c r="G27" s="187">
        <f t="shared" si="13"/>
        <v>8995.8000000000011</v>
      </c>
      <c r="H27" s="554">
        <f t="shared" si="13"/>
        <v>11401.814299199146</v>
      </c>
      <c r="I27" s="187">
        <f t="shared" si="13"/>
        <v>16123.465668243034</v>
      </c>
      <c r="J27" s="187">
        <f t="shared" si="13"/>
        <v>19704.445556722549</v>
      </c>
      <c r="K27" s="187">
        <f t="shared" si="13"/>
        <v>24509.321443201658</v>
      </c>
      <c r="L27" s="187">
        <f t="shared" si="13"/>
        <v>27861.16683300757</v>
      </c>
      <c r="M27" s="187">
        <f t="shared" si="13"/>
        <v>33432.146927603535</v>
      </c>
      <c r="N27" s="554">
        <f t="shared" si="13"/>
        <v>33051.467091569983</v>
      </c>
      <c r="O27" s="157"/>
      <c r="P27" s="157"/>
      <c r="Q27" s="157"/>
      <c r="R27" s="7"/>
      <c r="S27" s="7"/>
      <c r="T27" s="7"/>
      <c r="U27" s="7"/>
      <c r="V27" s="7"/>
      <c r="W27" s="7"/>
      <c r="X27" s="7"/>
      <c r="Y27" s="7"/>
      <c r="Z27" s="7"/>
      <c r="AA27" s="7"/>
      <c r="AB27" s="7"/>
      <c r="AC27" s="7"/>
      <c r="AD27" s="7"/>
      <c r="AE27" s="7"/>
      <c r="AF27" s="7"/>
      <c r="AG27" s="7"/>
      <c r="AH27" s="7"/>
      <c r="AI27" s="7"/>
      <c r="AJ27" s="7"/>
      <c r="AK27" s="7"/>
      <c r="AL27" s="7"/>
      <c r="AM27" s="7"/>
      <c r="AN27" s="7"/>
      <c r="AO27" s="172"/>
    </row>
    <row r="28" spans="1:41" x14ac:dyDescent="0.8">
      <c r="A28" s="22" t="s">
        <v>361</v>
      </c>
      <c r="B28" s="157"/>
      <c r="C28" s="157"/>
      <c r="D28" s="157"/>
      <c r="E28" s="187">
        <f>1/$B$5*E$6</f>
        <v>3088.4</v>
      </c>
      <c r="F28" s="187">
        <f t="shared" ref="F28:N28" si="14">1/$B$5*F$6</f>
        <v>2666.7000000000003</v>
      </c>
      <c r="G28" s="187">
        <f t="shared" si="14"/>
        <v>2998.6000000000004</v>
      </c>
      <c r="H28" s="554">
        <f t="shared" si="14"/>
        <v>2850.4535747997866</v>
      </c>
      <c r="I28" s="187">
        <f t="shared" si="14"/>
        <v>3224.6931336486068</v>
      </c>
      <c r="J28" s="187">
        <f t="shared" si="14"/>
        <v>3284.0742594537583</v>
      </c>
      <c r="K28" s="187">
        <f t="shared" si="14"/>
        <v>3501.3316347430941</v>
      </c>
      <c r="L28" s="187">
        <f t="shared" si="14"/>
        <v>3482.6458541259462</v>
      </c>
      <c r="M28" s="187">
        <f t="shared" si="14"/>
        <v>3714.6829919559482</v>
      </c>
      <c r="N28" s="554">
        <f t="shared" si="14"/>
        <v>3305.1467091569984</v>
      </c>
      <c r="O28" s="157"/>
      <c r="P28" s="157"/>
      <c r="Q28" s="15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x14ac:dyDescent="0.8">
      <c r="A29" s="22" t="s">
        <v>498</v>
      </c>
      <c r="B29" s="157"/>
      <c r="C29" s="157"/>
      <c r="D29" s="157"/>
      <c r="E29" s="157"/>
      <c r="F29" s="157"/>
      <c r="G29" s="158"/>
      <c r="H29" s="203"/>
      <c r="I29" s="157"/>
      <c r="J29" s="157"/>
      <c r="K29" s="157"/>
      <c r="L29" s="157"/>
      <c r="M29" s="157"/>
      <c r="N29" s="203">
        <f>SUM(E27:N27)</f>
        <v>183501.42781954748</v>
      </c>
      <c r="O29" s="157"/>
      <c r="P29" s="157"/>
      <c r="Q29" s="157"/>
      <c r="R29" s="7"/>
      <c r="S29" s="7"/>
      <c r="T29" s="7"/>
      <c r="U29" s="7"/>
      <c r="V29" s="7"/>
      <c r="W29" s="7"/>
      <c r="X29" s="7"/>
      <c r="Y29" s="7"/>
      <c r="Z29" s="7"/>
      <c r="AA29" s="7"/>
      <c r="AB29" s="7"/>
      <c r="AC29" s="7"/>
      <c r="AD29" s="7"/>
      <c r="AE29" s="7"/>
      <c r="AF29" s="7"/>
      <c r="AG29" s="7"/>
      <c r="AH29" s="7"/>
      <c r="AI29" s="7"/>
      <c r="AJ29" s="7"/>
      <c r="AK29" s="7"/>
      <c r="AL29" s="7"/>
      <c r="AM29" s="7"/>
      <c r="AN29" s="7"/>
      <c r="AO29" s="172"/>
    </row>
    <row r="30" spans="1:41" x14ac:dyDescent="0.8">
      <c r="A30" s="22" t="s">
        <v>497</v>
      </c>
      <c r="B30" s="157"/>
      <c r="C30" s="157"/>
      <c r="D30" s="157"/>
      <c r="E30" s="157"/>
      <c r="F30" s="157"/>
      <c r="G30" s="158"/>
      <c r="H30" s="203"/>
      <c r="I30" s="157"/>
      <c r="J30" s="157"/>
      <c r="K30" s="157"/>
      <c r="L30" s="157"/>
      <c r="M30" s="157"/>
      <c r="N30" s="203">
        <f>SUM(E28:N28)</f>
        <v>32116.728157884139</v>
      </c>
      <c r="O30" s="157"/>
      <c r="P30" s="157"/>
      <c r="Q30" s="157"/>
      <c r="R30" s="7"/>
      <c r="S30" s="7"/>
      <c r="T30" s="7"/>
      <c r="U30" s="7"/>
      <c r="V30" s="7"/>
      <c r="W30" s="7"/>
      <c r="X30" s="7"/>
      <c r="Y30" s="7"/>
      <c r="Z30" s="7"/>
      <c r="AA30" s="7"/>
      <c r="AB30" s="7"/>
      <c r="AC30" s="7"/>
      <c r="AD30" s="7"/>
      <c r="AE30" s="7"/>
      <c r="AF30" s="7"/>
      <c r="AG30" s="7"/>
      <c r="AH30" s="7"/>
      <c r="AI30" s="7"/>
      <c r="AJ30" s="7"/>
      <c r="AK30" s="7"/>
      <c r="AL30" s="7"/>
      <c r="AM30" s="7"/>
      <c r="AN30" s="7"/>
      <c r="AO30" s="172"/>
    </row>
    <row r="31" spans="1:41" x14ac:dyDescent="0.8">
      <c r="A31" s="22"/>
      <c r="B31" s="157"/>
      <c r="C31" s="157"/>
      <c r="D31" s="157"/>
      <c r="E31" s="157"/>
      <c r="F31" s="157"/>
      <c r="G31" s="158"/>
      <c r="H31" s="203"/>
      <c r="I31" s="157"/>
      <c r="J31" s="157"/>
      <c r="K31" s="157"/>
      <c r="L31" s="157"/>
      <c r="M31" s="157"/>
      <c r="N31" s="203"/>
      <c r="O31" s="157"/>
      <c r="P31" s="157"/>
      <c r="Q31" s="157"/>
      <c r="R31" s="7"/>
      <c r="S31" s="7"/>
      <c r="T31" s="7"/>
      <c r="U31" s="7"/>
      <c r="V31" s="7"/>
      <c r="W31" s="7"/>
      <c r="X31" s="7"/>
      <c r="Y31" s="7"/>
      <c r="Z31" s="7"/>
      <c r="AA31" s="7"/>
      <c r="AB31" s="7"/>
      <c r="AC31" s="7"/>
      <c r="AD31" s="7"/>
      <c r="AE31" s="7"/>
      <c r="AF31" s="7"/>
      <c r="AG31" s="7"/>
      <c r="AH31" s="7"/>
      <c r="AI31" s="7"/>
      <c r="AJ31" s="7"/>
      <c r="AK31" s="7"/>
      <c r="AL31" s="7"/>
      <c r="AM31" s="7"/>
      <c r="AN31" s="7"/>
      <c r="AO31" s="172"/>
    </row>
    <row r="32" spans="1:41" x14ac:dyDescent="0.8">
      <c r="A32" s="22" t="s">
        <v>495</v>
      </c>
      <c r="B32" s="157"/>
      <c r="C32" s="157"/>
      <c r="D32" s="157"/>
      <c r="E32" s="157"/>
      <c r="F32" s="189">
        <f t="shared" ref="F32:O32" si="15">E26</f>
        <v>9.9999999999999978E-2</v>
      </c>
      <c r="G32" s="189">
        <f t="shared" si="15"/>
        <v>0.19999999999999996</v>
      </c>
      <c r="H32" s="211">
        <f t="shared" si="15"/>
        <v>0.30000000000000004</v>
      </c>
      <c r="I32" s="189">
        <f t="shared" si="15"/>
        <v>0.4</v>
      </c>
      <c r="J32" s="189">
        <f t="shared" si="15"/>
        <v>0.5</v>
      </c>
      <c r="K32" s="189">
        <f t="shared" si="15"/>
        <v>0.6</v>
      </c>
      <c r="L32" s="189">
        <f t="shared" si="15"/>
        <v>0.7</v>
      </c>
      <c r="M32" s="189">
        <f t="shared" si="15"/>
        <v>0.8</v>
      </c>
      <c r="N32" s="211">
        <f t="shared" si="15"/>
        <v>0.9</v>
      </c>
      <c r="O32" s="189">
        <f t="shared" si="15"/>
        <v>1</v>
      </c>
      <c r="P32" s="157"/>
      <c r="Q32" s="157"/>
      <c r="R32" s="7"/>
      <c r="S32" s="7"/>
      <c r="T32" s="7"/>
      <c r="U32" s="7"/>
      <c r="V32" s="7"/>
      <c r="W32" s="7"/>
      <c r="X32" s="7"/>
      <c r="Y32" s="7"/>
      <c r="Z32" s="7"/>
      <c r="AA32" s="7"/>
      <c r="AB32" s="7"/>
      <c r="AC32" s="7"/>
      <c r="AD32" s="7"/>
      <c r="AE32" s="7"/>
      <c r="AF32" s="7"/>
      <c r="AG32" s="7"/>
      <c r="AH32" s="7"/>
      <c r="AI32" s="7"/>
      <c r="AJ32" s="7"/>
      <c r="AK32" s="7"/>
      <c r="AL32" s="7"/>
      <c r="AM32" s="7"/>
      <c r="AN32" s="7"/>
      <c r="AO32" s="172"/>
    </row>
    <row r="33" spans="1:41" x14ac:dyDescent="0.8">
      <c r="A33" s="22" t="s">
        <v>496</v>
      </c>
      <c r="B33" s="157"/>
      <c r="C33" s="157"/>
      <c r="D33" s="157"/>
      <c r="E33" s="157"/>
      <c r="F33" s="187">
        <f>F32*F$6</f>
        <v>2666.6999999999994</v>
      </c>
      <c r="G33" s="187">
        <f t="shared" ref="G33:O33" si="16">G32*G$6</f>
        <v>5997.1999999999989</v>
      </c>
      <c r="H33" s="554">
        <f t="shared" si="16"/>
        <v>8551.3607243993592</v>
      </c>
      <c r="I33" s="187">
        <f t="shared" si="16"/>
        <v>12898.772534594427</v>
      </c>
      <c r="J33" s="187">
        <f t="shared" si="16"/>
        <v>16420.37129726879</v>
      </c>
      <c r="K33" s="187">
        <f t="shared" si="16"/>
        <v>21007.989808458562</v>
      </c>
      <c r="L33" s="187">
        <f t="shared" si="16"/>
        <v>24378.520978881621</v>
      </c>
      <c r="M33" s="187">
        <f t="shared" si="16"/>
        <v>29717.463935647585</v>
      </c>
      <c r="N33" s="554">
        <f t="shared" si="16"/>
        <v>29746.320382412985</v>
      </c>
      <c r="O33" s="187">
        <f t="shared" si="16"/>
        <v>33923.861369552353</v>
      </c>
      <c r="P33" s="157"/>
      <c r="Q33" s="157"/>
      <c r="R33" s="7"/>
      <c r="S33" s="7"/>
      <c r="T33" s="7"/>
      <c r="U33" s="7"/>
      <c r="V33" s="7"/>
      <c r="W33" s="7"/>
      <c r="X33" s="7"/>
      <c r="Y33" s="7"/>
      <c r="Z33" s="7"/>
      <c r="AA33" s="7"/>
      <c r="AB33" s="7"/>
      <c r="AC33" s="7"/>
      <c r="AD33" s="7"/>
      <c r="AE33" s="7"/>
      <c r="AF33" s="7"/>
      <c r="AG33" s="7"/>
      <c r="AH33" s="7"/>
      <c r="AI33" s="7"/>
      <c r="AJ33" s="7"/>
      <c r="AK33" s="7"/>
      <c r="AL33" s="7"/>
      <c r="AM33" s="7"/>
      <c r="AN33" s="7"/>
      <c r="AO33" s="172"/>
    </row>
    <row r="34" spans="1:41" x14ac:dyDescent="0.8">
      <c r="A34" s="22" t="s">
        <v>361</v>
      </c>
      <c r="B34" s="157"/>
      <c r="C34" s="157"/>
      <c r="D34" s="157"/>
      <c r="E34" s="157"/>
      <c r="F34" s="187">
        <f>1/$B$5*F$6</f>
        <v>2666.7000000000003</v>
      </c>
      <c r="G34" s="187">
        <f t="shared" ref="G34:O34" si="17">1/$B$5*G$6</f>
        <v>2998.6000000000004</v>
      </c>
      <c r="H34" s="554">
        <f t="shared" si="17"/>
        <v>2850.4535747997866</v>
      </c>
      <c r="I34" s="187">
        <f t="shared" si="17"/>
        <v>3224.6931336486068</v>
      </c>
      <c r="J34" s="187">
        <f t="shared" si="17"/>
        <v>3284.0742594537583</v>
      </c>
      <c r="K34" s="187">
        <f t="shared" si="17"/>
        <v>3501.3316347430941</v>
      </c>
      <c r="L34" s="187">
        <f t="shared" si="17"/>
        <v>3482.6458541259462</v>
      </c>
      <c r="M34" s="187">
        <f t="shared" si="17"/>
        <v>3714.6829919559482</v>
      </c>
      <c r="N34" s="554">
        <f t="shared" si="17"/>
        <v>3305.1467091569984</v>
      </c>
      <c r="O34" s="187">
        <f t="shared" si="17"/>
        <v>3392.3861369552355</v>
      </c>
      <c r="P34" s="157"/>
      <c r="Q34" s="157"/>
      <c r="R34" s="7"/>
      <c r="S34" s="7"/>
      <c r="T34" s="7"/>
      <c r="U34" s="7"/>
      <c r="V34" s="7"/>
      <c r="W34" s="7"/>
      <c r="X34" s="7"/>
      <c r="Y34" s="7"/>
      <c r="Z34" s="7"/>
      <c r="AA34" s="7"/>
      <c r="AB34" s="7"/>
      <c r="AC34" s="7"/>
      <c r="AD34" s="7"/>
      <c r="AE34" s="7"/>
      <c r="AF34" s="7"/>
      <c r="AG34" s="7"/>
      <c r="AH34" s="7"/>
      <c r="AI34" s="7"/>
      <c r="AJ34" s="7"/>
      <c r="AK34" s="7"/>
      <c r="AL34" s="7"/>
      <c r="AM34" s="7"/>
      <c r="AN34" s="7"/>
      <c r="AO34" s="172"/>
    </row>
    <row r="35" spans="1:41" x14ac:dyDescent="0.8">
      <c r="A35" s="22" t="s">
        <v>498</v>
      </c>
      <c r="B35" s="157"/>
      <c r="C35" s="157"/>
      <c r="D35" s="157"/>
      <c r="E35" s="157"/>
      <c r="F35" s="157"/>
      <c r="G35" s="550"/>
      <c r="H35" s="203"/>
      <c r="I35" s="157"/>
      <c r="J35" s="157"/>
      <c r="K35" s="157"/>
      <c r="L35" s="157"/>
      <c r="M35" s="157"/>
      <c r="N35" s="203"/>
      <c r="O35" s="157">
        <f>SUM(F33:O33)</f>
        <v>185308.56103121565</v>
      </c>
      <c r="P35" s="157"/>
      <c r="Q35" s="15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22" t="s">
        <v>497</v>
      </c>
      <c r="B36" s="157"/>
      <c r="C36" s="157"/>
      <c r="D36" s="157"/>
      <c r="E36" s="157"/>
      <c r="F36" s="157"/>
      <c r="G36" s="157"/>
      <c r="H36" s="203"/>
      <c r="I36" s="157"/>
      <c r="J36" s="157"/>
      <c r="K36" s="157"/>
      <c r="L36" s="157"/>
      <c r="M36" s="157"/>
      <c r="N36" s="203"/>
      <c r="O36" s="157">
        <f>SUM(F34:O34)</f>
        <v>32420.714294839378</v>
      </c>
      <c r="P36" s="157"/>
      <c r="Q36" s="15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2"/>
      <c r="B37" s="157"/>
      <c r="C37" s="157"/>
      <c r="D37" s="157"/>
      <c r="E37" s="157"/>
      <c r="F37" s="157"/>
      <c r="G37" s="157"/>
      <c r="H37" s="203"/>
      <c r="I37" s="157"/>
      <c r="J37" s="157"/>
      <c r="K37" s="157"/>
      <c r="L37" s="157"/>
      <c r="M37" s="157"/>
      <c r="N37" s="203"/>
      <c r="O37" s="157"/>
      <c r="P37" s="157"/>
      <c r="Q37" s="15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2" t="s">
        <v>495</v>
      </c>
      <c r="B38" s="157"/>
      <c r="C38" s="157"/>
      <c r="D38" s="157"/>
      <c r="E38" s="157"/>
      <c r="F38" s="157"/>
      <c r="G38" s="189">
        <f t="shared" ref="G38:P38" si="18">F32</f>
        <v>9.9999999999999978E-2</v>
      </c>
      <c r="H38" s="211">
        <f t="shared" si="18"/>
        <v>0.19999999999999996</v>
      </c>
      <c r="I38" s="189">
        <f t="shared" si="18"/>
        <v>0.30000000000000004</v>
      </c>
      <c r="J38" s="189">
        <f t="shared" si="18"/>
        <v>0.4</v>
      </c>
      <c r="K38" s="189">
        <f t="shared" si="18"/>
        <v>0.5</v>
      </c>
      <c r="L38" s="189">
        <f t="shared" si="18"/>
        <v>0.6</v>
      </c>
      <c r="M38" s="189">
        <f t="shared" si="18"/>
        <v>0.7</v>
      </c>
      <c r="N38" s="211">
        <f t="shared" si="18"/>
        <v>0.8</v>
      </c>
      <c r="O38" s="189">
        <f t="shared" si="18"/>
        <v>0.9</v>
      </c>
      <c r="P38" s="189">
        <f t="shared" si="18"/>
        <v>1</v>
      </c>
      <c r="Q38" s="157"/>
      <c r="R38" s="7"/>
      <c r="S38" s="7"/>
      <c r="T38" s="7"/>
      <c r="U38" s="7"/>
      <c r="V38" s="7"/>
      <c r="W38" s="7"/>
      <c r="X38" s="7"/>
      <c r="Y38" s="7"/>
      <c r="Z38" s="7"/>
      <c r="AA38" s="7"/>
      <c r="AB38" s="7"/>
      <c r="AC38" s="7"/>
      <c r="AD38" s="7"/>
      <c r="AE38" s="7"/>
      <c r="AF38" s="7"/>
      <c r="AG38" s="7"/>
      <c r="AH38" s="7"/>
      <c r="AI38" s="7"/>
      <c r="AJ38" s="7"/>
      <c r="AK38" s="7"/>
      <c r="AL38" s="7"/>
      <c r="AM38" s="7"/>
      <c r="AN38" s="7"/>
      <c r="AO38" s="172"/>
    </row>
    <row r="39" spans="1:41" x14ac:dyDescent="0.8">
      <c r="A39" s="22" t="s">
        <v>496</v>
      </c>
      <c r="B39" s="157"/>
      <c r="C39" s="157"/>
      <c r="D39" s="157"/>
      <c r="E39" s="157"/>
      <c r="F39" s="157"/>
      <c r="G39" s="187">
        <f>G38*G$6</f>
        <v>2998.5999999999995</v>
      </c>
      <c r="H39" s="554">
        <f t="shared" ref="H39:P39" si="19">H38*H$6</f>
        <v>5700.9071495995713</v>
      </c>
      <c r="I39" s="187">
        <f t="shared" si="19"/>
        <v>9674.0794009458223</v>
      </c>
      <c r="J39" s="187">
        <f t="shared" si="19"/>
        <v>13136.297037815033</v>
      </c>
      <c r="K39" s="187">
        <f t="shared" si="19"/>
        <v>17506.65817371547</v>
      </c>
      <c r="L39" s="187">
        <f t="shared" si="19"/>
        <v>20895.875124755676</v>
      </c>
      <c r="M39" s="187">
        <f t="shared" si="19"/>
        <v>26002.780943691636</v>
      </c>
      <c r="N39" s="554">
        <f t="shared" si="19"/>
        <v>26441.173673255988</v>
      </c>
      <c r="O39" s="187">
        <f t="shared" si="19"/>
        <v>30531.475232597117</v>
      </c>
      <c r="P39" s="187">
        <f t="shared" si="19"/>
        <v>31499.706474774404</v>
      </c>
      <c r="Q39" s="15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22" t="s">
        <v>361</v>
      </c>
      <c r="B40" s="157"/>
      <c r="C40" s="157"/>
      <c r="D40" s="157"/>
      <c r="E40" s="157"/>
      <c r="F40" s="157"/>
      <c r="G40" s="187">
        <f>1/$B$5*G$6</f>
        <v>2998.6000000000004</v>
      </c>
      <c r="H40" s="554">
        <f t="shared" ref="H40:P40" si="20">1/$B$5*H$6</f>
        <v>2850.4535747997866</v>
      </c>
      <c r="I40" s="187">
        <f t="shared" si="20"/>
        <v>3224.6931336486068</v>
      </c>
      <c r="J40" s="187">
        <f t="shared" si="20"/>
        <v>3284.0742594537583</v>
      </c>
      <c r="K40" s="187">
        <f t="shared" si="20"/>
        <v>3501.3316347430941</v>
      </c>
      <c r="L40" s="187">
        <f t="shared" si="20"/>
        <v>3482.6458541259462</v>
      </c>
      <c r="M40" s="187">
        <f t="shared" si="20"/>
        <v>3714.6829919559482</v>
      </c>
      <c r="N40" s="554">
        <f t="shared" si="20"/>
        <v>3305.1467091569984</v>
      </c>
      <c r="O40" s="187">
        <f t="shared" si="20"/>
        <v>3392.3861369552355</v>
      </c>
      <c r="P40" s="187">
        <f t="shared" si="20"/>
        <v>3149.9706474774407</v>
      </c>
      <c r="Q40" s="157"/>
      <c r="R40" s="7"/>
      <c r="S40" s="7"/>
      <c r="T40" s="7"/>
      <c r="U40" s="7"/>
      <c r="V40" s="7"/>
      <c r="W40" s="7"/>
      <c r="X40" s="7"/>
      <c r="Y40" s="7"/>
      <c r="Z40" s="7"/>
      <c r="AA40" s="7"/>
      <c r="AB40" s="7"/>
      <c r="AC40" s="7"/>
      <c r="AD40" s="7"/>
      <c r="AE40" s="7"/>
      <c r="AF40" s="7"/>
      <c r="AG40" s="7"/>
      <c r="AH40" s="7"/>
      <c r="AI40" s="7"/>
      <c r="AJ40" s="7"/>
      <c r="AK40" s="7"/>
      <c r="AL40" s="7"/>
      <c r="AM40" s="7"/>
      <c r="AN40" s="7"/>
      <c r="AO40" s="172"/>
    </row>
    <row r="41" spans="1:41" x14ac:dyDescent="0.8">
      <c r="A41" s="22" t="s">
        <v>498</v>
      </c>
      <c r="B41" s="157"/>
      <c r="C41" s="157"/>
      <c r="D41" s="157"/>
      <c r="E41" s="157"/>
      <c r="F41" s="157"/>
      <c r="G41" s="157"/>
      <c r="H41" s="203"/>
      <c r="I41" s="157"/>
      <c r="J41" s="157"/>
      <c r="K41" s="157"/>
      <c r="L41" s="157"/>
      <c r="M41" s="157"/>
      <c r="N41" s="203"/>
      <c r="O41" s="157"/>
      <c r="P41" s="157">
        <f>SUM(G39:P39)</f>
        <v>184387.55321115072</v>
      </c>
      <c r="Q41" s="157"/>
      <c r="R41" s="7"/>
      <c r="S41" s="7"/>
      <c r="T41" s="7"/>
      <c r="U41" s="7"/>
      <c r="V41" s="7"/>
      <c r="W41" s="7"/>
      <c r="X41" s="7"/>
      <c r="Y41" s="7"/>
      <c r="Z41" s="7"/>
      <c r="AA41" s="7"/>
      <c r="AB41" s="7"/>
      <c r="AC41" s="7"/>
      <c r="AD41" s="7"/>
      <c r="AE41" s="7"/>
      <c r="AF41" s="7"/>
      <c r="AG41" s="7"/>
      <c r="AH41" s="7"/>
      <c r="AI41" s="7"/>
      <c r="AJ41" s="7"/>
      <c r="AK41" s="7"/>
      <c r="AL41" s="7"/>
      <c r="AM41" s="7"/>
      <c r="AN41" s="7"/>
      <c r="AO41" s="172"/>
    </row>
    <row r="42" spans="1:41" x14ac:dyDescent="0.8">
      <c r="A42" s="22" t="s">
        <v>497</v>
      </c>
      <c r="B42" s="157"/>
      <c r="C42" s="157"/>
      <c r="D42" s="157"/>
      <c r="E42" s="157"/>
      <c r="F42" s="157"/>
      <c r="G42" s="157"/>
      <c r="H42" s="203"/>
      <c r="I42" s="157"/>
      <c r="J42" s="157"/>
      <c r="K42" s="157"/>
      <c r="L42" s="157"/>
      <c r="M42" s="157"/>
      <c r="N42" s="203"/>
      <c r="O42" s="157"/>
      <c r="P42" s="157">
        <f>SUM(G40:P40)</f>
        <v>32903.98494231682</v>
      </c>
      <c r="Q42" s="157"/>
      <c r="R42" s="7"/>
      <c r="S42" s="7"/>
      <c r="T42" s="7"/>
      <c r="U42" s="7"/>
      <c r="V42" s="7"/>
      <c r="W42" s="7"/>
      <c r="X42" s="7"/>
      <c r="Y42" s="7"/>
      <c r="Z42" s="7"/>
      <c r="AA42" s="7"/>
      <c r="AB42" s="7"/>
      <c r="AC42" s="7"/>
      <c r="AD42" s="7"/>
      <c r="AE42" s="7"/>
      <c r="AF42" s="7"/>
      <c r="AG42" s="7"/>
      <c r="AH42" s="7"/>
      <c r="AI42" s="7"/>
      <c r="AJ42" s="7"/>
      <c r="AK42" s="7"/>
      <c r="AL42" s="7"/>
      <c r="AM42" s="7"/>
      <c r="AN42" s="7"/>
      <c r="AO42" s="172"/>
    </row>
    <row r="43" spans="1:41" x14ac:dyDescent="0.8">
      <c r="A43" s="22"/>
      <c r="B43" s="157"/>
      <c r="C43" s="157"/>
      <c r="D43" s="157"/>
      <c r="E43" s="157"/>
      <c r="F43" s="157"/>
      <c r="G43" s="157"/>
      <c r="H43" s="203"/>
      <c r="I43" s="157"/>
      <c r="J43" s="157"/>
      <c r="K43" s="157"/>
      <c r="L43" s="157"/>
      <c r="M43" s="157"/>
      <c r="N43" s="203"/>
      <c r="O43" s="157"/>
      <c r="P43" s="157"/>
      <c r="Q43" s="157"/>
      <c r="R43" s="7"/>
      <c r="S43" s="7"/>
      <c r="T43" s="7"/>
      <c r="U43" s="7"/>
      <c r="V43" s="7"/>
      <c r="W43" s="7"/>
      <c r="X43" s="7"/>
      <c r="Y43" s="7"/>
      <c r="Z43" s="7"/>
      <c r="AA43" s="7"/>
      <c r="AB43" s="7"/>
      <c r="AC43" s="7"/>
      <c r="AD43" s="7"/>
      <c r="AE43" s="7"/>
      <c r="AF43" s="7"/>
      <c r="AG43" s="7"/>
      <c r="AH43" s="7"/>
      <c r="AI43" s="7"/>
      <c r="AJ43" s="7"/>
      <c r="AK43" s="7"/>
      <c r="AL43" s="7"/>
      <c r="AM43" s="7"/>
      <c r="AN43" s="7"/>
      <c r="AO43" s="172"/>
    </row>
    <row r="44" spans="1:41" x14ac:dyDescent="0.8">
      <c r="A44" s="22" t="s">
        <v>495</v>
      </c>
      <c r="B44" s="157"/>
      <c r="C44" s="157"/>
      <c r="D44" s="157"/>
      <c r="E44" s="157"/>
      <c r="F44" s="157"/>
      <c r="G44" s="157"/>
      <c r="H44" s="211">
        <f t="shared" ref="H44:Q44" si="21">1-H5/$B$5</f>
        <v>9.9999999999999978E-2</v>
      </c>
      <c r="I44" s="189">
        <f t="shared" si="21"/>
        <v>0.19999999999999996</v>
      </c>
      <c r="J44" s="189">
        <f t="shared" si="21"/>
        <v>0.30000000000000004</v>
      </c>
      <c r="K44" s="189">
        <f t="shared" si="21"/>
        <v>0.4</v>
      </c>
      <c r="L44" s="189">
        <f t="shared" si="21"/>
        <v>0.5</v>
      </c>
      <c r="M44" s="189">
        <f t="shared" si="21"/>
        <v>0.6</v>
      </c>
      <c r="N44" s="211">
        <f t="shared" si="21"/>
        <v>0.7</v>
      </c>
      <c r="O44" s="189">
        <f t="shared" si="21"/>
        <v>0.8</v>
      </c>
      <c r="P44" s="189">
        <f t="shared" si="21"/>
        <v>0.9</v>
      </c>
      <c r="Q44" s="189">
        <f t="shared" si="21"/>
        <v>1</v>
      </c>
      <c r="R44" s="334"/>
      <c r="S44" s="7"/>
      <c r="T44" s="7"/>
      <c r="U44" s="7"/>
      <c r="V44" s="7"/>
      <c r="W44" s="7"/>
      <c r="X44" s="7"/>
      <c r="Y44" s="7"/>
      <c r="Z44" s="7"/>
      <c r="AA44" s="7"/>
      <c r="AB44" s="7"/>
      <c r="AC44" s="7"/>
      <c r="AD44" s="7"/>
      <c r="AE44" s="7"/>
      <c r="AF44" s="7"/>
      <c r="AG44" s="7"/>
      <c r="AH44" s="7"/>
      <c r="AI44" s="7"/>
      <c r="AJ44" s="7"/>
      <c r="AK44" s="7"/>
      <c r="AL44" s="7"/>
      <c r="AM44" s="7"/>
      <c r="AN44" s="7"/>
      <c r="AO44" s="172"/>
    </row>
    <row r="45" spans="1:41" x14ac:dyDescent="0.8">
      <c r="A45" s="22" t="s">
        <v>496</v>
      </c>
      <c r="B45" s="157"/>
      <c r="C45" s="157"/>
      <c r="D45" s="157"/>
      <c r="E45" s="157"/>
      <c r="F45" s="157"/>
      <c r="G45" s="157"/>
      <c r="H45" s="554">
        <f t="shared" ref="H45:Q45" si="22">H44*H6</f>
        <v>2850.4535747997857</v>
      </c>
      <c r="I45" s="157">
        <f t="shared" si="22"/>
        <v>6449.3862672972118</v>
      </c>
      <c r="J45" s="157">
        <f t="shared" si="22"/>
        <v>9852.2227783612761</v>
      </c>
      <c r="K45" s="157">
        <f t="shared" si="22"/>
        <v>14005.326538972377</v>
      </c>
      <c r="L45" s="157">
        <f t="shared" si="22"/>
        <v>17413.22927062973</v>
      </c>
      <c r="M45" s="157">
        <f t="shared" si="22"/>
        <v>22288.097951735686</v>
      </c>
      <c r="N45" s="203">
        <f t="shared" si="22"/>
        <v>23136.026964098986</v>
      </c>
      <c r="O45" s="157">
        <f t="shared" si="22"/>
        <v>27139.089095641884</v>
      </c>
      <c r="P45" s="157">
        <f t="shared" si="22"/>
        <v>28349.735827296965</v>
      </c>
      <c r="Q45" s="157">
        <f t="shared" si="22"/>
        <v>32107.501980202855</v>
      </c>
      <c r="R45" s="334"/>
      <c r="S45" s="7"/>
      <c r="T45" s="7"/>
      <c r="U45" s="7"/>
      <c r="V45" s="7"/>
      <c r="W45" s="7"/>
      <c r="X45" s="7"/>
      <c r="Y45" s="7"/>
      <c r="Z45" s="7"/>
      <c r="AA45" s="7"/>
      <c r="AB45" s="7"/>
      <c r="AC45" s="7"/>
      <c r="AD45" s="7"/>
      <c r="AE45" s="7"/>
      <c r="AF45" s="7"/>
      <c r="AG45" s="7"/>
      <c r="AH45" s="7"/>
      <c r="AI45" s="7"/>
      <c r="AJ45" s="7"/>
      <c r="AK45" s="7"/>
      <c r="AL45" s="7"/>
      <c r="AM45" s="7"/>
      <c r="AN45" s="7"/>
      <c r="AO45" s="172"/>
    </row>
    <row r="46" spans="1:41" x14ac:dyDescent="0.8">
      <c r="A46" s="22" t="s">
        <v>361</v>
      </c>
      <c r="B46" s="157"/>
      <c r="C46" s="157"/>
      <c r="D46" s="157"/>
      <c r="E46" s="157"/>
      <c r="F46" s="157"/>
      <c r="G46" s="157"/>
      <c r="H46" s="203">
        <f t="shared" ref="H46:Q46" si="23">1/$B$5*H6</f>
        <v>2850.4535747997866</v>
      </c>
      <c r="I46" s="157">
        <f t="shared" si="23"/>
        <v>3224.6931336486068</v>
      </c>
      <c r="J46" s="157">
        <f t="shared" si="23"/>
        <v>3284.0742594537583</v>
      </c>
      <c r="K46" s="157">
        <f t="shared" si="23"/>
        <v>3501.3316347430941</v>
      </c>
      <c r="L46" s="157">
        <f t="shared" si="23"/>
        <v>3482.6458541259462</v>
      </c>
      <c r="M46" s="157">
        <f t="shared" si="23"/>
        <v>3714.6829919559482</v>
      </c>
      <c r="N46" s="203">
        <f t="shared" si="23"/>
        <v>3305.1467091569984</v>
      </c>
      <c r="O46" s="157">
        <f t="shared" si="23"/>
        <v>3392.3861369552355</v>
      </c>
      <c r="P46" s="157">
        <f t="shared" si="23"/>
        <v>3149.9706474774407</v>
      </c>
      <c r="Q46" s="157">
        <f t="shared" si="23"/>
        <v>3210.7501980202856</v>
      </c>
      <c r="R46" s="7"/>
      <c r="S46" s="7"/>
      <c r="T46" s="7"/>
      <c r="U46" s="7"/>
      <c r="V46" s="7"/>
      <c r="W46" s="7"/>
      <c r="X46" s="7"/>
      <c r="Y46" s="7"/>
      <c r="Z46" s="7"/>
      <c r="AA46" s="7"/>
      <c r="AB46" s="7"/>
      <c r="AC46" s="7"/>
      <c r="AD46" s="7"/>
      <c r="AE46" s="7"/>
      <c r="AF46" s="7"/>
      <c r="AG46" s="7"/>
      <c r="AH46" s="7"/>
      <c r="AI46" s="7"/>
      <c r="AJ46" s="7"/>
      <c r="AK46" s="7"/>
      <c r="AL46" s="7"/>
      <c r="AM46" s="7"/>
      <c r="AN46" s="7"/>
      <c r="AO46" s="172"/>
    </row>
    <row r="47" spans="1:41" x14ac:dyDescent="0.8">
      <c r="A47" s="22" t="s">
        <v>498</v>
      </c>
      <c r="B47" s="157"/>
      <c r="C47" s="157"/>
      <c r="D47" s="157"/>
      <c r="E47" s="157"/>
      <c r="F47" s="157"/>
      <c r="G47" s="157"/>
      <c r="H47" s="203"/>
      <c r="I47" s="157"/>
      <c r="J47" s="157"/>
      <c r="K47" s="157"/>
      <c r="L47" s="157"/>
      <c r="M47" s="157"/>
      <c r="N47" s="203"/>
      <c r="O47" s="157"/>
      <c r="P47" s="157"/>
      <c r="Q47" s="157">
        <f>SUM(H45:Q45)</f>
        <v>183591.07024903677</v>
      </c>
      <c r="R47" s="7"/>
      <c r="S47" s="7"/>
      <c r="T47" s="7"/>
      <c r="U47" s="7"/>
      <c r="V47" s="7"/>
      <c r="W47" s="7"/>
      <c r="X47" s="7"/>
      <c r="Y47" s="7"/>
      <c r="Z47" s="7"/>
      <c r="AA47" s="7"/>
      <c r="AB47" s="7"/>
      <c r="AC47" s="7"/>
      <c r="AD47" s="7"/>
      <c r="AE47" s="7"/>
      <c r="AF47" s="7"/>
      <c r="AG47" s="7"/>
      <c r="AH47" s="7"/>
      <c r="AI47" s="7"/>
      <c r="AJ47" s="7"/>
      <c r="AK47" s="7"/>
      <c r="AL47" s="7"/>
      <c r="AM47" s="7"/>
      <c r="AN47" s="7"/>
      <c r="AO47" s="172"/>
    </row>
    <row r="48" spans="1:41" x14ac:dyDescent="0.8">
      <c r="A48" s="22" t="s">
        <v>497</v>
      </c>
      <c r="B48" s="157"/>
      <c r="C48" s="157"/>
      <c r="D48" s="157"/>
      <c r="E48" s="157"/>
      <c r="F48" s="157"/>
      <c r="G48" s="157"/>
      <c r="H48" s="203"/>
      <c r="I48" s="157"/>
      <c r="J48" s="157"/>
      <c r="K48" s="157"/>
      <c r="L48" s="157"/>
      <c r="M48" s="157"/>
      <c r="N48" s="203"/>
      <c r="O48" s="157"/>
      <c r="P48" s="157"/>
      <c r="Q48" s="157">
        <f>SUM(H46:Q46)</f>
        <v>33116.135140337101</v>
      </c>
      <c r="R48" s="7"/>
      <c r="S48" s="7"/>
      <c r="T48" s="7"/>
      <c r="U48" s="7"/>
      <c r="V48" s="7"/>
      <c r="W48" s="7"/>
      <c r="X48" s="7"/>
      <c r="Y48" s="7"/>
      <c r="Z48" s="7"/>
      <c r="AA48" s="7"/>
      <c r="AB48" s="7"/>
      <c r="AC48" s="7"/>
      <c r="AD48" s="7"/>
      <c r="AE48" s="7"/>
      <c r="AF48" s="7"/>
      <c r="AG48" s="7"/>
      <c r="AH48" s="7"/>
      <c r="AI48" s="7"/>
      <c r="AJ48" s="7"/>
      <c r="AK48" s="7"/>
      <c r="AL48" s="7"/>
      <c r="AM48" s="7"/>
      <c r="AN48" s="7"/>
      <c r="AO48" s="172"/>
    </row>
    <row r="49" spans="1:41" x14ac:dyDescent="0.8">
      <c r="A49" s="22"/>
      <c r="B49" s="7"/>
      <c r="C49" s="7"/>
      <c r="D49" s="7"/>
      <c r="E49" s="7"/>
      <c r="F49" s="7"/>
      <c r="G49" s="7"/>
      <c r="H49" s="131"/>
      <c r="I49" s="7"/>
      <c r="J49" s="7"/>
      <c r="K49" s="7"/>
      <c r="L49" s="7"/>
      <c r="M49" s="7"/>
      <c r="N49" s="131"/>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172"/>
    </row>
    <row r="50" spans="1:41" x14ac:dyDescent="0.8">
      <c r="A50" s="22" t="s">
        <v>495</v>
      </c>
      <c r="B50" s="7"/>
      <c r="C50" s="7"/>
      <c r="D50" s="7"/>
      <c r="E50" s="7"/>
      <c r="F50" s="7"/>
      <c r="G50" s="7"/>
      <c r="H50" s="131"/>
      <c r="I50" s="213">
        <f t="shared" ref="I50:R50" si="24">H44</f>
        <v>9.9999999999999978E-2</v>
      </c>
      <c r="J50" s="213">
        <f t="shared" si="24"/>
        <v>0.19999999999999996</v>
      </c>
      <c r="K50" s="213">
        <f t="shared" si="24"/>
        <v>0.30000000000000004</v>
      </c>
      <c r="L50" s="213">
        <f t="shared" si="24"/>
        <v>0.4</v>
      </c>
      <c r="M50" s="213">
        <f t="shared" si="24"/>
        <v>0.5</v>
      </c>
      <c r="N50" s="212">
        <f t="shared" si="24"/>
        <v>0.6</v>
      </c>
      <c r="O50" s="213">
        <f t="shared" si="24"/>
        <v>0.7</v>
      </c>
      <c r="P50" s="213">
        <f t="shared" si="24"/>
        <v>0.8</v>
      </c>
      <c r="Q50" s="213">
        <f t="shared" si="24"/>
        <v>0.9</v>
      </c>
      <c r="R50" s="213">
        <f t="shared" si="24"/>
        <v>1</v>
      </c>
      <c r="S50" s="7"/>
      <c r="T50" s="7"/>
      <c r="U50" s="7"/>
      <c r="V50" s="7"/>
      <c r="W50" s="7"/>
      <c r="X50" s="7"/>
      <c r="Y50" s="7"/>
      <c r="Z50" s="7"/>
      <c r="AA50" s="7"/>
      <c r="AB50" s="7"/>
      <c r="AC50" s="7"/>
      <c r="AD50" s="7"/>
      <c r="AE50" s="7"/>
      <c r="AF50" s="7"/>
      <c r="AG50" s="7"/>
      <c r="AH50" s="7"/>
      <c r="AI50" s="7"/>
      <c r="AJ50" s="7"/>
      <c r="AK50" s="7"/>
      <c r="AL50" s="7"/>
      <c r="AM50" s="7"/>
      <c r="AN50" s="7"/>
      <c r="AO50" s="172"/>
    </row>
    <row r="51" spans="1:41" x14ac:dyDescent="0.8">
      <c r="A51" s="22" t="s">
        <v>496</v>
      </c>
      <c r="B51" s="7"/>
      <c r="C51" s="7"/>
      <c r="D51" s="7"/>
      <c r="E51" s="7"/>
      <c r="F51" s="7"/>
      <c r="G51" s="7"/>
      <c r="H51" s="131"/>
      <c r="I51" s="550">
        <f t="shared" ref="I51:R51" si="25">I50*I6</f>
        <v>3224.6931336486059</v>
      </c>
      <c r="J51" s="550">
        <f t="shared" si="25"/>
        <v>6568.1485189075147</v>
      </c>
      <c r="K51" s="550">
        <f t="shared" si="25"/>
        <v>10503.994904229283</v>
      </c>
      <c r="L51" s="550">
        <f t="shared" si="25"/>
        <v>13930.583416503785</v>
      </c>
      <c r="M51" s="550">
        <f t="shared" si="25"/>
        <v>18573.41495977974</v>
      </c>
      <c r="N51" s="555">
        <f t="shared" si="25"/>
        <v>19830.880254941989</v>
      </c>
      <c r="O51" s="550">
        <f t="shared" si="25"/>
        <v>23746.702958686645</v>
      </c>
      <c r="P51" s="550">
        <f t="shared" si="25"/>
        <v>25199.765179819526</v>
      </c>
      <c r="Q51" s="550">
        <f t="shared" si="25"/>
        <v>28896.751782182571</v>
      </c>
      <c r="R51" s="550">
        <f t="shared" si="25"/>
        <v>29663.028403070006</v>
      </c>
      <c r="S51" s="7"/>
      <c r="T51" s="7"/>
      <c r="U51" s="7"/>
      <c r="V51" s="7"/>
      <c r="W51" s="7"/>
      <c r="X51" s="7"/>
      <c r="Y51" s="7"/>
      <c r="Z51" s="7"/>
      <c r="AA51" s="7"/>
      <c r="AB51" s="7"/>
      <c r="AC51" s="7"/>
      <c r="AD51" s="7"/>
      <c r="AE51" s="7"/>
      <c r="AF51" s="7"/>
      <c r="AG51" s="7"/>
      <c r="AH51" s="7"/>
      <c r="AI51" s="7"/>
      <c r="AJ51" s="7"/>
      <c r="AK51" s="7"/>
      <c r="AL51" s="7"/>
      <c r="AM51" s="7"/>
      <c r="AN51" s="7"/>
      <c r="AO51" s="172"/>
    </row>
    <row r="52" spans="1:41" x14ac:dyDescent="0.8">
      <c r="A52" s="22" t="s">
        <v>361</v>
      </c>
      <c r="B52" s="7"/>
      <c r="C52" s="7"/>
      <c r="D52" s="7"/>
      <c r="E52" s="7"/>
      <c r="F52" s="7"/>
      <c r="G52" s="7"/>
      <c r="H52" s="131"/>
      <c r="I52" s="157">
        <f t="shared" ref="I52:R52" si="26">1/$B$5*I6</f>
        <v>3224.6931336486068</v>
      </c>
      <c r="J52" s="157">
        <f t="shared" si="26"/>
        <v>3284.0742594537583</v>
      </c>
      <c r="K52" s="157">
        <f t="shared" si="26"/>
        <v>3501.3316347430941</v>
      </c>
      <c r="L52" s="157">
        <f t="shared" si="26"/>
        <v>3482.6458541259462</v>
      </c>
      <c r="M52" s="157">
        <f t="shared" si="26"/>
        <v>3714.6829919559482</v>
      </c>
      <c r="N52" s="203">
        <f t="shared" si="26"/>
        <v>3305.1467091569984</v>
      </c>
      <c r="O52" s="157">
        <f t="shared" si="26"/>
        <v>3392.3861369552355</v>
      </c>
      <c r="P52" s="157">
        <f t="shared" si="26"/>
        <v>3149.9706474774407</v>
      </c>
      <c r="Q52" s="157">
        <f t="shared" si="26"/>
        <v>3210.7501980202856</v>
      </c>
      <c r="R52" s="157">
        <f t="shared" si="26"/>
        <v>2966.3028403070007</v>
      </c>
      <c r="S52" s="7"/>
      <c r="T52" s="7"/>
      <c r="U52" s="7"/>
      <c r="V52" s="7"/>
      <c r="W52" s="7"/>
      <c r="X52" s="7"/>
      <c r="Y52" s="7"/>
      <c r="Z52" s="7"/>
      <c r="AA52" s="7"/>
      <c r="AB52" s="7"/>
      <c r="AC52" s="7"/>
      <c r="AD52" s="7"/>
      <c r="AE52" s="7"/>
      <c r="AF52" s="7"/>
      <c r="AG52" s="7"/>
      <c r="AH52" s="7"/>
      <c r="AI52" s="7"/>
      <c r="AJ52" s="7"/>
      <c r="AK52" s="7"/>
      <c r="AL52" s="7"/>
      <c r="AM52" s="7"/>
      <c r="AN52" s="7"/>
      <c r="AO52" s="172"/>
    </row>
    <row r="53" spans="1:41" x14ac:dyDescent="0.8">
      <c r="A53" s="22" t="s">
        <v>498</v>
      </c>
      <c r="B53" s="550"/>
      <c r="C53" s="7"/>
      <c r="D53" s="7"/>
      <c r="E53" s="7"/>
      <c r="F53" s="7"/>
      <c r="G53" s="7"/>
      <c r="H53" s="131"/>
      <c r="I53" s="7"/>
      <c r="J53" s="7"/>
      <c r="K53" s="7"/>
      <c r="L53" s="7"/>
      <c r="M53" s="7"/>
      <c r="N53" s="131"/>
      <c r="O53" s="7"/>
      <c r="P53" s="7"/>
      <c r="Q53" s="7"/>
      <c r="R53" s="550">
        <f>SUM(I51:R51)</f>
        <v>180137.96351176966</v>
      </c>
      <c r="S53" s="7"/>
      <c r="T53" s="7"/>
      <c r="U53" s="7"/>
      <c r="V53" s="7"/>
      <c r="W53" s="7"/>
      <c r="X53" s="7"/>
      <c r="Y53" s="7"/>
      <c r="Z53" s="7"/>
      <c r="AA53" s="7"/>
      <c r="AB53" s="7"/>
      <c r="AC53" s="7"/>
      <c r="AD53" s="7"/>
      <c r="AE53" s="7"/>
      <c r="AF53" s="7"/>
      <c r="AG53" s="7"/>
      <c r="AH53" s="7"/>
      <c r="AI53" s="7"/>
      <c r="AJ53" s="7"/>
      <c r="AK53" s="7"/>
      <c r="AL53" s="7"/>
      <c r="AM53" s="7"/>
      <c r="AN53" s="7"/>
      <c r="AO53" s="172"/>
    </row>
    <row r="54" spans="1:41" x14ac:dyDescent="0.8">
      <c r="A54" s="22" t="s">
        <v>497</v>
      </c>
      <c r="B54" s="158"/>
      <c r="C54" s="7"/>
      <c r="D54" s="7"/>
      <c r="E54" s="7"/>
      <c r="F54" s="7"/>
      <c r="G54" s="7"/>
      <c r="H54" s="131"/>
      <c r="I54" s="7"/>
      <c r="J54" s="7"/>
      <c r="K54" s="7"/>
      <c r="L54" s="7"/>
      <c r="M54" s="7"/>
      <c r="N54" s="131"/>
      <c r="O54" s="7"/>
      <c r="P54" s="7"/>
      <c r="Q54" s="7"/>
      <c r="R54" s="158">
        <f>SUM(I52:R52)</f>
        <v>33231.984405844312</v>
      </c>
      <c r="S54" s="7"/>
      <c r="T54" s="7"/>
      <c r="U54" s="7"/>
      <c r="V54" s="7"/>
      <c r="W54" s="7"/>
      <c r="X54" s="7"/>
      <c r="Y54" s="7"/>
      <c r="Z54" s="7"/>
      <c r="AA54" s="7"/>
      <c r="AB54" s="7"/>
      <c r="AC54" s="7"/>
      <c r="AD54" s="7"/>
      <c r="AE54" s="7"/>
      <c r="AF54" s="7"/>
      <c r="AG54" s="7"/>
      <c r="AH54" s="7"/>
      <c r="AI54" s="7"/>
      <c r="AJ54" s="7"/>
      <c r="AK54" s="7"/>
      <c r="AL54" s="7"/>
      <c r="AM54" s="7"/>
      <c r="AN54" s="7"/>
      <c r="AO54" s="172"/>
    </row>
    <row r="55" spans="1:41" x14ac:dyDescent="0.8">
      <c r="A55" s="22"/>
      <c r="B55" s="7"/>
      <c r="C55" s="7"/>
      <c r="D55" s="7"/>
      <c r="E55" s="7"/>
      <c r="F55" s="7"/>
      <c r="G55" s="7"/>
      <c r="H55" s="131"/>
      <c r="I55" s="7"/>
      <c r="J55" s="7"/>
      <c r="K55" s="7"/>
      <c r="L55" s="7"/>
      <c r="M55" s="7"/>
      <c r="N55" s="13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172"/>
    </row>
    <row r="56" spans="1:41" x14ac:dyDescent="0.8">
      <c r="A56" s="22" t="s">
        <v>495</v>
      </c>
      <c r="B56" s="7"/>
      <c r="C56" s="7"/>
      <c r="D56" s="7"/>
      <c r="E56" s="7"/>
      <c r="F56" s="7"/>
      <c r="G56" s="7"/>
      <c r="H56" s="131"/>
      <c r="I56" s="7"/>
      <c r="J56" s="213">
        <f t="shared" ref="J56:S56" si="27">I50</f>
        <v>9.9999999999999978E-2</v>
      </c>
      <c r="K56" s="213">
        <f t="shared" si="27"/>
        <v>0.19999999999999996</v>
      </c>
      <c r="L56" s="213">
        <f t="shared" si="27"/>
        <v>0.30000000000000004</v>
      </c>
      <c r="M56" s="213">
        <f t="shared" si="27"/>
        <v>0.4</v>
      </c>
      <c r="N56" s="212">
        <f t="shared" si="27"/>
        <v>0.5</v>
      </c>
      <c r="O56" s="213">
        <f t="shared" si="27"/>
        <v>0.6</v>
      </c>
      <c r="P56" s="213">
        <f t="shared" si="27"/>
        <v>0.7</v>
      </c>
      <c r="Q56" s="213">
        <f t="shared" si="27"/>
        <v>0.8</v>
      </c>
      <c r="R56" s="213">
        <f t="shared" si="27"/>
        <v>0.9</v>
      </c>
      <c r="S56" s="213">
        <f t="shared" si="27"/>
        <v>1</v>
      </c>
      <c r="T56" s="7"/>
      <c r="U56" s="7"/>
      <c r="V56" s="7"/>
      <c r="W56" s="7"/>
      <c r="X56" s="7"/>
      <c r="Y56" s="7"/>
      <c r="Z56" s="7"/>
      <c r="AA56" s="7"/>
      <c r="AB56" s="7"/>
      <c r="AC56" s="7"/>
      <c r="AD56" s="7"/>
      <c r="AE56" s="7"/>
      <c r="AF56" s="7"/>
      <c r="AG56" s="7"/>
      <c r="AH56" s="7"/>
      <c r="AI56" s="7"/>
      <c r="AJ56" s="7"/>
      <c r="AK56" s="7"/>
      <c r="AL56" s="7"/>
      <c r="AM56" s="7"/>
      <c r="AN56" s="7"/>
      <c r="AO56" s="172"/>
    </row>
    <row r="57" spans="1:41" x14ac:dyDescent="0.8">
      <c r="A57" s="22" t="s">
        <v>496</v>
      </c>
      <c r="B57" s="7"/>
      <c r="C57" s="7"/>
      <c r="D57" s="7"/>
      <c r="E57" s="7"/>
      <c r="F57" s="7"/>
      <c r="G57" s="7"/>
      <c r="H57" s="131"/>
      <c r="I57" s="7"/>
      <c r="J57" s="550">
        <f t="shared" ref="J57:S57" si="28">J56*J6</f>
        <v>3284.0742594537573</v>
      </c>
      <c r="K57" s="550">
        <f t="shared" si="28"/>
        <v>7002.6632694861864</v>
      </c>
      <c r="L57" s="550">
        <f t="shared" si="28"/>
        <v>10447.93756237784</v>
      </c>
      <c r="M57" s="550">
        <f t="shared" si="28"/>
        <v>14858.731967823793</v>
      </c>
      <c r="N57" s="555">
        <f t="shared" si="28"/>
        <v>16525.733545784991</v>
      </c>
      <c r="O57" s="550">
        <f t="shared" si="28"/>
        <v>20354.316821731412</v>
      </c>
      <c r="P57" s="550">
        <f t="shared" si="28"/>
        <v>22049.794532342083</v>
      </c>
      <c r="Q57" s="550">
        <f t="shared" si="28"/>
        <v>25686.001584162284</v>
      </c>
      <c r="R57" s="550">
        <f t="shared" si="28"/>
        <v>26696.725562763007</v>
      </c>
      <c r="S57" s="550">
        <f t="shared" si="28"/>
        <v>30066.623774536507</v>
      </c>
      <c r="T57" s="7"/>
      <c r="U57" s="7"/>
      <c r="V57" s="7"/>
      <c r="W57" s="7"/>
      <c r="X57" s="7"/>
      <c r="Y57" s="7"/>
      <c r="Z57" s="7"/>
      <c r="AA57" s="7"/>
      <c r="AB57" s="7"/>
      <c r="AC57" s="7"/>
      <c r="AD57" s="7"/>
      <c r="AE57" s="7"/>
      <c r="AF57" s="7"/>
      <c r="AG57" s="7"/>
      <c r="AH57" s="7"/>
      <c r="AI57" s="7"/>
      <c r="AJ57" s="7"/>
      <c r="AK57" s="7"/>
      <c r="AL57" s="7"/>
      <c r="AM57" s="7"/>
      <c r="AN57" s="7"/>
      <c r="AO57" s="172"/>
    </row>
    <row r="58" spans="1:41" x14ac:dyDescent="0.8">
      <c r="A58" s="22" t="s">
        <v>361</v>
      </c>
      <c r="B58" s="7"/>
      <c r="C58" s="7"/>
      <c r="D58" s="7"/>
      <c r="E58" s="7"/>
      <c r="F58" s="7"/>
      <c r="G58" s="7"/>
      <c r="H58" s="131"/>
      <c r="I58" s="7"/>
      <c r="J58" s="157">
        <f t="shared" ref="J58:S58" si="29">1/$B$5*J6</f>
        <v>3284.0742594537583</v>
      </c>
      <c r="K58" s="157">
        <f t="shared" si="29"/>
        <v>3501.3316347430941</v>
      </c>
      <c r="L58" s="157">
        <f t="shared" si="29"/>
        <v>3482.6458541259462</v>
      </c>
      <c r="M58" s="157">
        <f t="shared" si="29"/>
        <v>3714.6829919559482</v>
      </c>
      <c r="N58" s="203">
        <f t="shared" si="29"/>
        <v>3305.1467091569984</v>
      </c>
      <c r="O58" s="157">
        <f t="shared" si="29"/>
        <v>3392.3861369552355</v>
      </c>
      <c r="P58" s="157">
        <f t="shared" si="29"/>
        <v>3149.9706474774407</v>
      </c>
      <c r="Q58" s="157">
        <f t="shared" si="29"/>
        <v>3210.7501980202856</v>
      </c>
      <c r="R58" s="157">
        <f t="shared" si="29"/>
        <v>2966.3028403070007</v>
      </c>
      <c r="S58" s="157">
        <f t="shared" si="29"/>
        <v>3006.6623774536511</v>
      </c>
      <c r="T58" s="7"/>
      <c r="U58" s="7"/>
      <c r="V58" s="7"/>
      <c r="W58" s="7"/>
      <c r="X58" s="7"/>
      <c r="Y58" s="7"/>
      <c r="Z58" s="7"/>
      <c r="AA58" s="7"/>
      <c r="AB58" s="7"/>
      <c r="AC58" s="7"/>
      <c r="AD58" s="7"/>
      <c r="AE58" s="7"/>
      <c r="AF58" s="7"/>
      <c r="AG58" s="7"/>
      <c r="AH58" s="7"/>
      <c r="AI58" s="7"/>
      <c r="AJ58" s="7"/>
      <c r="AK58" s="7"/>
      <c r="AL58" s="7"/>
      <c r="AM58" s="7"/>
      <c r="AN58" s="7"/>
      <c r="AO58" s="172"/>
    </row>
    <row r="59" spans="1:41" x14ac:dyDescent="0.8">
      <c r="A59" s="22" t="s">
        <v>498</v>
      </c>
      <c r="B59" s="7"/>
      <c r="C59" s="7"/>
      <c r="D59" s="7"/>
      <c r="E59" s="7"/>
      <c r="F59" s="7"/>
      <c r="G59" s="7"/>
      <c r="H59" s="131"/>
      <c r="I59" s="7"/>
      <c r="J59" s="7"/>
      <c r="K59" s="7"/>
      <c r="L59" s="7"/>
      <c r="M59" s="7"/>
      <c r="N59" s="131"/>
      <c r="O59" s="7"/>
      <c r="P59" s="7"/>
      <c r="Q59" s="7"/>
      <c r="R59" s="7"/>
      <c r="S59" s="550">
        <f>SUM(J57:S57)</f>
        <v>176972.60288046187</v>
      </c>
      <c r="T59" s="7"/>
      <c r="U59" s="7"/>
      <c r="V59" s="7"/>
      <c r="W59" s="7"/>
      <c r="X59" s="7"/>
      <c r="Y59" s="7"/>
      <c r="Z59" s="7"/>
      <c r="AA59" s="7"/>
      <c r="AB59" s="7"/>
      <c r="AC59" s="7"/>
      <c r="AD59" s="7"/>
      <c r="AE59" s="7"/>
      <c r="AF59" s="7"/>
      <c r="AG59" s="7"/>
      <c r="AH59" s="7"/>
      <c r="AI59" s="7"/>
      <c r="AJ59" s="7"/>
      <c r="AK59" s="7"/>
      <c r="AL59" s="7"/>
      <c r="AM59" s="7"/>
      <c r="AN59" s="7"/>
      <c r="AO59" s="172"/>
    </row>
    <row r="60" spans="1:41" x14ac:dyDescent="0.8">
      <c r="A60" s="22" t="s">
        <v>497</v>
      </c>
      <c r="B60" s="7"/>
      <c r="C60" s="7"/>
      <c r="D60" s="7"/>
      <c r="E60" s="7"/>
      <c r="F60" s="7"/>
      <c r="G60" s="7"/>
      <c r="H60" s="131"/>
      <c r="I60" s="7"/>
      <c r="J60" s="7"/>
      <c r="K60" s="7"/>
      <c r="L60" s="7"/>
      <c r="M60" s="7"/>
      <c r="N60" s="131"/>
      <c r="O60" s="7"/>
      <c r="P60" s="7"/>
      <c r="Q60" s="7"/>
      <c r="R60" s="7"/>
      <c r="S60" s="158">
        <f>SUM(J58:S58)</f>
        <v>33013.95364964936</v>
      </c>
      <c r="T60" s="7"/>
      <c r="U60" s="7"/>
      <c r="V60" s="7"/>
      <c r="W60" s="7"/>
      <c r="X60" s="7"/>
      <c r="Y60" s="7"/>
      <c r="Z60" s="7"/>
      <c r="AA60" s="7"/>
      <c r="AB60" s="7"/>
      <c r="AC60" s="7"/>
      <c r="AD60" s="7"/>
      <c r="AE60" s="7"/>
      <c r="AF60" s="7"/>
      <c r="AG60" s="7"/>
      <c r="AH60" s="7"/>
      <c r="AI60" s="7"/>
      <c r="AJ60" s="7"/>
      <c r="AK60" s="7"/>
      <c r="AL60" s="7"/>
      <c r="AM60" s="7"/>
      <c r="AN60" s="7"/>
      <c r="AO60" s="172"/>
    </row>
    <row r="61" spans="1:41" x14ac:dyDescent="0.8">
      <c r="A61" s="22"/>
      <c r="B61" s="7"/>
      <c r="C61" s="7"/>
      <c r="D61" s="7"/>
      <c r="E61" s="7"/>
      <c r="F61" s="7"/>
      <c r="G61" s="7"/>
      <c r="H61" s="131"/>
      <c r="I61" s="7"/>
      <c r="J61" s="7"/>
      <c r="K61" s="7"/>
      <c r="L61" s="7"/>
      <c r="M61" s="7"/>
      <c r="N61" s="13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172"/>
    </row>
    <row r="62" spans="1:41" x14ac:dyDescent="0.8">
      <c r="A62" s="22" t="s">
        <v>495</v>
      </c>
      <c r="B62" s="7"/>
      <c r="C62" s="7"/>
      <c r="D62" s="7"/>
      <c r="E62" s="7"/>
      <c r="F62" s="7"/>
      <c r="G62" s="7"/>
      <c r="H62" s="131"/>
      <c r="I62" s="7"/>
      <c r="J62" s="7"/>
      <c r="K62" s="213">
        <f t="shared" ref="K62:T62" si="30">J56</f>
        <v>9.9999999999999978E-2</v>
      </c>
      <c r="L62" s="213">
        <f t="shared" si="30"/>
        <v>0.19999999999999996</v>
      </c>
      <c r="M62" s="213">
        <f t="shared" si="30"/>
        <v>0.30000000000000004</v>
      </c>
      <c r="N62" s="212">
        <f t="shared" si="30"/>
        <v>0.4</v>
      </c>
      <c r="O62" s="213">
        <f t="shared" si="30"/>
        <v>0.5</v>
      </c>
      <c r="P62" s="213">
        <f t="shared" si="30"/>
        <v>0.6</v>
      </c>
      <c r="Q62" s="213">
        <f t="shared" si="30"/>
        <v>0.7</v>
      </c>
      <c r="R62" s="213">
        <f t="shared" si="30"/>
        <v>0.8</v>
      </c>
      <c r="S62" s="213">
        <f t="shared" si="30"/>
        <v>0.9</v>
      </c>
      <c r="T62" s="213">
        <f t="shared" si="30"/>
        <v>1</v>
      </c>
      <c r="U62" s="7"/>
      <c r="V62" s="7"/>
      <c r="W62" s="7"/>
      <c r="X62" s="7"/>
      <c r="Y62" s="7"/>
      <c r="Z62" s="7"/>
      <c r="AA62" s="7"/>
      <c r="AB62" s="7"/>
      <c r="AC62" s="7"/>
      <c r="AD62" s="7"/>
      <c r="AE62" s="7"/>
      <c r="AF62" s="7"/>
      <c r="AG62" s="7"/>
      <c r="AH62" s="7"/>
      <c r="AI62" s="7"/>
      <c r="AJ62" s="7"/>
      <c r="AK62" s="7"/>
      <c r="AL62" s="7"/>
      <c r="AM62" s="7"/>
      <c r="AN62" s="7"/>
      <c r="AO62" s="172"/>
    </row>
    <row r="63" spans="1:41" x14ac:dyDescent="0.8">
      <c r="A63" s="22" t="s">
        <v>496</v>
      </c>
      <c r="B63" s="7"/>
      <c r="C63" s="7"/>
      <c r="D63" s="7"/>
      <c r="E63" s="7"/>
      <c r="F63" s="7"/>
      <c r="G63" s="7"/>
      <c r="H63" s="131"/>
      <c r="I63" s="7"/>
      <c r="J63" s="7"/>
      <c r="K63" s="550">
        <f>K62*K$6</f>
        <v>3501.3316347430932</v>
      </c>
      <c r="L63" s="550">
        <f t="shared" ref="L63:M63" si="31">L62*L$6</f>
        <v>6965.2917082518907</v>
      </c>
      <c r="M63" s="550">
        <f t="shared" si="31"/>
        <v>11144.048975867847</v>
      </c>
      <c r="N63" s="555">
        <f t="shared" ref="N63:T63" si="32">N62*N6</f>
        <v>13220.586836627994</v>
      </c>
      <c r="O63" s="550">
        <f t="shared" si="32"/>
        <v>16961.930684776176</v>
      </c>
      <c r="P63" s="550">
        <f t="shared" si="32"/>
        <v>18899.823884864643</v>
      </c>
      <c r="Q63" s="550">
        <f t="shared" si="32"/>
        <v>22475.251386141998</v>
      </c>
      <c r="R63" s="550">
        <f t="shared" si="32"/>
        <v>23730.422722456005</v>
      </c>
      <c r="S63" s="550">
        <f t="shared" si="32"/>
        <v>27059.961397082858</v>
      </c>
      <c r="T63" s="550">
        <f t="shared" si="32"/>
        <v>28357.001724823087</v>
      </c>
      <c r="U63" s="7"/>
      <c r="V63" s="7"/>
      <c r="W63" s="7"/>
      <c r="X63" s="7"/>
      <c r="Y63" s="7"/>
      <c r="Z63" s="7"/>
      <c r="AA63" s="7"/>
      <c r="AB63" s="7"/>
      <c r="AC63" s="7"/>
      <c r="AD63" s="7"/>
      <c r="AE63" s="7"/>
      <c r="AF63" s="7"/>
      <c r="AG63" s="7"/>
      <c r="AH63" s="7"/>
      <c r="AI63" s="7"/>
      <c r="AJ63" s="7"/>
      <c r="AK63" s="7"/>
      <c r="AL63" s="7"/>
      <c r="AM63" s="7"/>
      <c r="AN63" s="7"/>
      <c r="AO63" s="172"/>
    </row>
    <row r="64" spans="1:41" x14ac:dyDescent="0.8">
      <c r="A64" s="22" t="s">
        <v>361</v>
      </c>
      <c r="B64" s="7"/>
      <c r="C64" s="7"/>
      <c r="D64" s="7"/>
      <c r="E64" s="7"/>
      <c r="F64" s="7"/>
      <c r="G64" s="7"/>
      <c r="H64" s="131"/>
      <c r="I64" s="7"/>
      <c r="J64" s="7"/>
      <c r="K64" s="157">
        <f>1/$B$5*K$6</f>
        <v>3501.3316347430941</v>
      </c>
      <c r="L64" s="157">
        <f t="shared" ref="L64:T64" si="33">1/$B$5*L$6</f>
        <v>3482.6458541259462</v>
      </c>
      <c r="M64" s="157">
        <f t="shared" si="33"/>
        <v>3714.6829919559482</v>
      </c>
      <c r="N64" s="203">
        <f t="shared" si="33"/>
        <v>3305.1467091569984</v>
      </c>
      <c r="O64" s="157">
        <f t="shared" si="33"/>
        <v>3392.3861369552355</v>
      </c>
      <c r="P64" s="157">
        <f t="shared" si="33"/>
        <v>3149.9706474774407</v>
      </c>
      <c r="Q64" s="157">
        <f t="shared" si="33"/>
        <v>3210.7501980202856</v>
      </c>
      <c r="R64" s="157">
        <f t="shared" si="33"/>
        <v>2966.3028403070007</v>
      </c>
      <c r="S64" s="157">
        <f t="shared" si="33"/>
        <v>3006.6623774536511</v>
      </c>
      <c r="T64" s="157">
        <f t="shared" si="33"/>
        <v>2835.700172482309</v>
      </c>
      <c r="U64" s="7"/>
      <c r="V64" s="7"/>
      <c r="W64" s="7"/>
      <c r="X64" s="7"/>
      <c r="Y64" s="7"/>
      <c r="Z64" s="7"/>
      <c r="AA64" s="7"/>
      <c r="AB64" s="7"/>
      <c r="AC64" s="7"/>
      <c r="AD64" s="7"/>
      <c r="AE64" s="7"/>
      <c r="AF64" s="7"/>
      <c r="AG64" s="7"/>
      <c r="AH64" s="7"/>
      <c r="AI64" s="7"/>
      <c r="AJ64" s="7"/>
      <c r="AK64" s="7"/>
      <c r="AL64" s="7"/>
      <c r="AM64" s="7"/>
      <c r="AN64" s="7"/>
      <c r="AO64" s="172"/>
    </row>
    <row r="65" spans="1:41" x14ac:dyDescent="0.8">
      <c r="A65" s="22" t="s">
        <v>498</v>
      </c>
      <c r="B65" s="7"/>
      <c r="C65" s="7"/>
      <c r="D65" s="7"/>
      <c r="E65" s="7"/>
      <c r="F65" s="7"/>
      <c r="G65" s="7"/>
      <c r="H65" s="131"/>
      <c r="I65" s="7"/>
      <c r="J65" s="7"/>
      <c r="K65" s="7"/>
      <c r="L65" s="7"/>
      <c r="M65" s="7"/>
      <c r="N65" s="131"/>
      <c r="O65" s="7"/>
      <c r="P65" s="7"/>
      <c r="Q65" s="7"/>
      <c r="R65" s="7"/>
      <c r="S65" s="7"/>
      <c r="T65" s="550">
        <f>SUM(K63:T63)</f>
        <v>172315.65095563559</v>
      </c>
      <c r="U65" s="7"/>
      <c r="V65" s="7"/>
      <c r="W65" s="7"/>
      <c r="X65" s="7"/>
      <c r="Y65" s="7"/>
      <c r="Z65" s="7"/>
      <c r="AA65" s="7"/>
      <c r="AB65" s="7"/>
      <c r="AC65" s="7"/>
      <c r="AD65" s="7"/>
      <c r="AE65" s="7"/>
      <c r="AF65" s="7"/>
      <c r="AG65" s="7"/>
      <c r="AH65" s="7"/>
      <c r="AI65" s="7"/>
      <c r="AJ65" s="7"/>
      <c r="AK65" s="7"/>
      <c r="AL65" s="7"/>
      <c r="AM65" s="7"/>
      <c r="AN65" s="7"/>
      <c r="AO65" s="172"/>
    </row>
    <row r="66" spans="1:41" x14ac:dyDescent="0.8">
      <c r="A66" s="22" t="s">
        <v>497</v>
      </c>
      <c r="B66" s="7"/>
      <c r="C66" s="7"/>
      <c r="D66" s="7"/>
      <c r="E66" s="7"/>
      <c r="F66" s="7"/>
      <c r="G66" s="7"/>
      <c r="H66" s="131"/>
      <c r="I66" s="7"/>
      <c r="J66" s="7"/>
      <c r="K66" s="7"/>
      <c r="L66" s="7"/>
      <c r="M66" s="7"/>
      <c r="N66" s="131"/>
      <c r="O66" s="7"/>
      <c r="P66" s="7"/>
      <c r="Q66" s="7"/>
      <c r="R66" s="7"/>
      <c r="S66" s="7"/>
      <c r="T66" s="158">
        <f>SUM(K64:T64)</f>
        <v>32565.579562677911</v>
      </c>
      <c r="U66" s="7"/>
      <c r="V66" s="7"/>
      <c r="W66" s="7"/>
      <c r="X66" s="7"/>
      <c r="Y66" s="7"/>
      <c r="Z66" s="7"/>
      <c r="AA66" s="7"/>
      <c r="AB66" s="7"/>
      <c r="AC66" s="7"/>
      <c r="AD66" s="7"/>
      <c r="AE66" s="7"/>
      <c r="AF66" s="7"/>
      <c r="AG66" s="7"/>
      <c r="AH66" s="7"/>
      <c r="AI66" s="7"/>
      <c r="AJ66" s="7"/>
      <c r="AK66" s="7"/>
      <c r="AL66" s="7"/>
      <c r="AM66" s="7"/>
      <c r="AN66" s="7"/>
      <c r="AO66" s="172"/>
    </row>
    <row r="67" spans="1:41" x14ac:dyDescent="0.8">
      <c r="A67" s="22"/>
      <c r="B67" s="7"/>
      <c r="C67" s="7"/>
      <c r="D67" s="7"/>
      <c r="E67" s="7"/>
      <c r="F67" s="7"/>
      <c r="G67" s="7"/>
      <c r="H67" s="131"/>
      <c r="I67" s="7"/>
      <c r="J67" s="7"/>
      <c r="K67" s="7"/>
      <c r="L67" s="7"/>
      <c r="M67" s="7"/>
      <c r="N67" s="13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172"/>
    </row>
    <row r="68" spans="1:41" x14ac:dyDescent="0.8">
      <c r="A68" s="22" t="s">
        <v>495</v>
      </c>
      <c r="B68" s="7"/>
      <c r="C68" s="7"/>
      <c r="D68" s="7"/>
      <c r="E68" s="7"/>
      <c r="F68" s="7"/>
      <c r="G68" s="7"/>
      <c r="H68" s="131"/>
      <c r="I68" s="7"/>
      <c r="J68" s="7"/>
      <c r="K68" s="7"/>
      <c r="L68" s="213">
        <f t="shared" ref="L68:U68" si="34">K62</f>
        <v>9.9999999999999978E-2</v>
      </c>
      <c r="M68" s="213">
        <f t="shared" si="34"/>
        <v>0.19999999999999996</v>
      </c>
      <c r="N68" s="212">
        <f t="shared" si="34"/>
        <v>0.30000000000000004</v>
      </c>
      <c r="O68" s="213">
        <f t="shared" si="34"/>
        <v>0.4</v>
      </c>
      <c r="P68" s="213">
        <f t="shared" si="34"/>
        <v>0.5</v>
      </c>
      <c r="Q68" s="213">
        <f t="shared" si="34"/>
        <v>0.6</v>
      </c>
      <c r="R68" s="213">
        <f t="shared" si="34"/>
        <v>0.7</v>
      </c>
      <c r="S68" s="213">
        <f t="shared" si="34"/>
        <v>0.8</v>
      </c>
      <c r="T68" s="213">
        <f t="shared" si="34"/>
        <v>0.9</v>
      </c>
      <c r="U68" s="213">
        <f t="shared" si="34"/>
        <v>1</v>
      </c>
      <c r="V68" s="7"/>
      <c r="W68" s="7"/>
      <c r="X68" s="7"/>
      <c r="Y68" s="7"/>
      <c r="Z68" s="7"/>
      <c r="AA68" s="7"/>
      <c r="AB68" s="7"/>
      <c r="AC68" s="7"/>
      <c r="AD68" s="7"/>
      <c r="AE68" s="7"/>
      <c r="AF68" s="7"/>
      <c r="AG68" s="7"/>
      <c r="AH68" s="7"/>
      <c r="AI68" s="7"/>
      <c r="AJ68" s="7"/>
      <c r="AK68" s="7"/>
      <c r="AL68" s="7"/>
      <c r="AM68" s="7"/>
      <c r="AN68" s="7"/>
      <c r="AO68" s="172"/>
    </row>
    <row r="69" spans="1:41" x14ac:dyDescent="0.8">
      <c r="A69" s="22" t="s">
        <v>496</v>
      </c>
      <c r="B69" s="7"/>
      <c r="C69" s="7"/>
      <c r="D69" s="7"/>
      <c r="E69" s="7"/>
      <c r="F69" s="7"/>
      <c r="G69" s="7"/>
      <c r="H69" s="131"/>
      <c r="I69" s="7"/>
      <c r="J69" s="7"/>
      <c r="K69" s="7"/>
      <c r="L69" s="550">
        <f>L68*L$6</f>
        <v>3482.6458541259453</v>
      </c>
      <c r="M69" s="550">
        <f t="shared" ref="M69:U69" si="35">M68*M$6</f>
        <v>7429.3659839118945</v>
      </c>
      <c r="N69" s="555">
        <f t="shared" si="35"/>
        <v>9915.4401274709962</v>
      </c>
      <c r="O69" s="550">
        <f t="shared" si="35"/>
        <v>13569.544547820942</v>
      </c>
      <c r="P69" s="550">
        <f t="shared" si="35"/>
        <v>15749.853237387202</v>
      </c>
      <c r="Q69" s="550">
        <f t="shared" si="35"/>
        <v>19264.501188121711</v>
      </c>
      <c r="R69" s="550">
        <f t="shared" si="35"/>
        <v>20764.119882149003</v>
      </c>
      <c r="S69" s="550">
        <f t="shared" si="35"/>
        <v>24053.299019629208</v>
      </c>
      <c r="T69" s="550">
        <f t="shared" si="35"/>
        <v>25521.301552340778</v>
      </c>
      <c r="U69" s="550">
        <f t="shared" si="35"/>
        <v>28623.395940834896</v>
      </c>
      <c r="V69" s="7"/>
      <c r="W69" s="7"/>
      <c r="X69" s="7"/>
      <c r="Y69" s="7"/>
      <c r="Z69" s="7"/>
      <c r="AA69" s="7"/>
      <c r="AB69" s="7"/>
      <c r="AC69" s="7"/>
      <c r="AD69" s="7"/>
      <c r="AE69" s="7"/>
      <c r="AF69" s="7"/>
      <c r="AG69" s="7"/>
      <c r="AH69" s="7"/>
      <c r="AI69" s="7"/>
      <c r="AJ69" s="7"/>
      <c r="AK69" s="7"/>
      <c r="AL69" s="7"/>
      <c r="AM69" s="7"/>
      <c r="AN69" s="7"/>
      <c r="AO69" s="172"/>
    </row>
    <row r="70" spans="1:41" x14ac:dyDescent="0.8">
      <c r="A70" s="22" t="s">
        <v>361</v>
      </c>
      <c r="B70" s="7"/>
      <c r="C70" s="7"/>
      <c r="D70" s="7"/>
      <c r="E70" s="7"/>
      <c r="F70" s="7"/>
      <c r="G70" s="7"/>
      <c r="H70" s="131"/>
      <c r="I70" s="7"/>
      <c r="J70" s="7"/>
      <c r="K70" s="7"/>
      <c r="L70" s="157">
        <f>1/$B$5*L$6</f>
        <v>3482.6458541259462</v>
      </c>
      <c r="M70" s="157">
        <f t="shared" ref="M70:U70" si="36">1/$B$5*M$6</f>
        <v>3714.6829919559482</v>
      </c>
      <c r="N70" s="203">
        <f t="shared" si="36"/>
        <v>3305.1467091569984</v>
      </c>
      <c r="O70" s="157">
        <f t="shared" si="36"/>
        <v>3392.3861369552355</v>
      </c>
      <c r="P70" s="157">
        <f t="shared" si="36"/>
        <v>3149.9706474774407</v>
      </c>
      <c r="Q70" s="157">
        <f t="shared" si="36"/>
        <v>3210.7501980202856</v>
      </c>
      <c r="R70" s="157">
        <f t="shared" si="36"/>
        <v>2966.3028403070007</v>
      </c>
      <c r="S70" s="157">
        <f t="shared" si="36"/>
        <v>3006.6623774536511</v>
      </c>
      <c r="T70" s="157">
        <f t="shared" si="36"/>
        <v>2835.700172482309</v>
      </c>
      <c r="U70" s="157">
        <f t="shared" si="36"/>
        <v>2862.3395940834898</v>
      </c>
      <c r="V70" s="7"/>
      <c r="W70" s="7"/>
      <c r="X70" s="7"/>
      <c r="Y70" s="7"/>
      <c r="Z70" s="7"/>
      <c r="AA70" s="7"/>
      <c r="AB70" s="7"/>
      <c r="AC70" s="7"/>
      <c r="AD70" s="7"/>
      <c r="AE70" s="7"/>
      <c r="AF70" s="7"/>
      <c r="AG70" s="7"/>
      <c r="AH70" s="7"/>
      <c r="AI70" s="7"/>
      <c r="AJ70" s="7"/>
      <c r="AK70" s="7"/>
      <c r="AL70" s="7"/>
      <c r="AM70" s="7"/>
      <c r="AN70" s="7"/>
      <c r="AO70" s="172"/>
    </row>
    <row r="71" spans="1:41" x14ac:dyDescent="0.8">
      <c r="A71" s="22" t="s">
        <v>498</v>
      </c>
      <c r="B71" s="7"/>
      <c r="C71" s="7"/>
      <c r="D71" s="7"/>
      <c r="E71" s="7"/>
      <c r="F71" s="7"/>
      <c r="G71" s="7"/>
      <c r="H71" s="131"/>
      <c r="I71" s="7"/>
      <c r="J71" s="7"/>
      <c r="K71" s="7"/>
      <c r="L71" s="7"/>
      <c r="M71" s="7"/>
      <c r="N71" s="131"/>
      <c r="O71" s="7"/>
      <c r="P71" s="7"/>
      <c r="Q71" s="7"/>
      <c r="R71" s="7"/>
      <c r="S71" s="7"/>
      <c r="T71" s="7"/>
      <c r="U71" s="550">
        <f>SUM(L69:U69)</f>
        <v>168373.46733379256</v>
      </c>
      <c r="V71" s="7"/>
      <c r="W71" s="7"/>
      <c r="X71" s="7"/>
      <c r="Y71" s="7"/>
      <c r="Z71" s="7"/>
      <c r="AA71" s="7"/>
      <c r="AB71" s="7"/>
      <c r="AC71" s="7"/>
      <c r="AD71" s="7"/>
      <c r="AE71" s="7"/>
      <c r="AF71" s="7"/>
      <c r="AG71" s="7"/>
      <c r="AH71" s="7"/>
      <c r="AI71" s="7"/>
      <c r="AJ71" s="7"/>
      <c r="AK71" s="7"/>
      <c r="AL71" s="7"/>
      <c r="AM71" s="7"/>
      <c r="AN71" s="7"/>
      <c r="AO71" s="172"/>
    </row>
    <row r="72" spans="1:41" x14ac:dyDescent="0.8">
      <c r="A72" s="22" t="s">
        <v>497</v>
      </c>
      <c r="B72" s="7"/>
      <c r="C72" s="7"/>
      <c r="D72" s="7"/>
      <c r="E72" s="7"/>
      <c r="F72" s="7"/>
      <c r="G72" s="7"/>
      <c r="H72" s="131"/>
      <c r="I72" s="7"/>
      <c r="J72" s="7"/>
      <c r="K72" s="7"/>
      <c r="L72" s="7"/>
      <c r="M72" s="7"/>
      <c r="N72" s="131"/>
      <c r="O72" s="7"/>
      <c r="P72" s="7"/>
      <c r="Q72" s="7"/>
      <c r="R72" s="7"/>
      <c r="S72" s="7"/>
      <c r="T72" s="7"/>
      <c r="U72" s="158">
        <f>SUM(L70:U70)</f>
        <v>31926.587522018304</v>
      </c>
      <c r="V72" s="7"/>
      <c r="W72" s="7"/>
      <c r="X72" s="7"/>
      <c r="Y72" s="7"/>
      <c r="Z72" s="7"/>
      <c r="AA72" s="7"/>
      <c r="AB72" s="7"/>
      <c r="AC72" s="7"/>
      <c r="AD72" s="7"/>
      <c r="AE72" s="7"/>
      <c r="AF72" s="7"/>
      <c r="AG72" s="7"/>
      <c r="AH72" s="7"/>
      <c r="AI72" s="7"/>
      <c r="AJ72" s="7"/>
      <c r="AK72" s="7"/>
      <c r="AL72" s="7"/>
      <c r="AM72" s="7"/>
      <c r="AN72" s="7"/>
      <c r="AO72" s="172"/>
    </row>
    <row r="73" spans="1:41" x14ac:dyDescent="0.8">
      <c r="A73" s="22"/>
      <c r="B73" s="7"/>
      <c r="C73" s="7"/>
      <c r="D73" s="7"/>
      <c r="E73" s="7"/>
      <c r="F73" s="7"/>
      <c r="G73" s="7"/>
      <c r="H73" s="131"/>
      <c r="I73" s="7"/>
      <c r="J73" s="7"/>
      <c r="K73" s="7"/>
      <c r="L73" s="7"/>
      <c r="M73" s="213"/>
      <c r="N73" s="13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172"/>
    </row>
    <row r="74" spans="1:41" x14ac:dyDescent="0.8">
      <c r="A74" s="22" t="s">
        <v>495</v>
      </c>
      <c r="B74" s="7"/>
      <c r="C74" s="7"/>
      <c r="D74" s="7"/>
      <c r="E74" s="7"/>
      <c r="F74" s="7"/>
      <c r="G74" s="7"/>
      <c r="H74" s="131"/>
      <c r="I74" s="7"/>
      <c r="J74" s="7"/>
      <c r="K74" s="7"/>
      <c r="L74" s="7"/>
      <c r="M74" s="213">
        <f t="shared" ref="M74:V74" si="37">L68</f>
        <v>9.9999999999999978E-2</v>
      </c>
      <c r="N74" s="212">
        <f t="shared" si="37"/>
        <v>0.19999999999999996</v>
      </c>
      <c r="O74" s="213">
        <f t="shared" si="37"/>
        <v>0.30000000000000004</v>
      </c>
      <c r="P74" s="213">
        <f t="shared" si="37"/>
        <v>0.4</v>
      </c>
      <c r="Q74" s="213">
        <f t="shared" si="37"/>
        <v>0.5</v>
      </c>
      <c r="R74" s="213">
        <f t="shared" si="37"/>
        <v>0.6</v>
      </c>
      <c r="S74" s="213">
        <f t="shared" si="37"/>
        <v>0.7</v>
      </c>
      <c r="T74" s="213">
        <f t="shared" si="37"/>
        <v>0.8</v>
      </c>
      <c r="U74" s="213">
        <f t="shared" si="37"/>
        <v>0.9</v>
      </c>
      <c r="V74" s="213">
        <f t="shared" si="37"/>
        <v>1</v>
      </c>
      <c r="W74" s="7"/>
      <c r="X74" s="7"/>
      <c r="Y74" s="7"/>
      <c r="Z74" s="7"/>
      <c r="AA74" s="7"/>
      <c r="AB74" s="7"/>
      <c r="AC74" s="7"/>
      <c r="AD74" s="7"/>
      <c r="AE74" s="7"/>
      <c r="AF74" s="7"/>
      <c r="AG74" s="7"/>
      <c r="AH74" s="7"/>
      <c r="AI74" s="7"/>
      <c r="AJ74" s="7"/>
      <c r="AK74" s="7"/>
      <c r="AL74" s="7"/>
      <c r="AM74" s="7"/>
      <c r="AN74" s="7"/>
      <c r="AO74" s="172"/>
    </row>
    <row r="75" spans="1:41" x14ac:dyDescent="0.8">
      <c r="A75" s="22" t="s">
        <v>496</v>
      </c>
      <c r="B75" s="7"/>
      <c r="C75" s="7"/>
      <c r="D75" s="7"/>
      <c r="E75" s="7"/>
      <c r="F75" s="7"/>
      <c r="G75" s="7"/>
      <c r="H75" s="131"/>
      <c r="I75" s="7"/>
      <c r="J75" s="7"/>
      <c r="K75" s="7"/>
      <c r="L75" s="7"/>
      <c r="M75" s="550">
        <f>M74*M$6</f>
        <v>3714.6829919559473</v>
      </c>
      <c r="N75" s="555">
        <f t="shared" ref="N75:V75" si="38">N74*N$6</f>
        <v>6610.2934183139951</v>
      </c>
      <c r="O75" s="550">
        <f t="shared" si="38"/>
        <v>10177.158410865708</v>
      </c>
      <c r="P75" s="550">
        <f t="shared" si="38"/>
        <v>12599.882589909763</v>
      </c>
      <c r="Q75" s="550">
        <f t="shared" si="38"/>
        <v>16053.750990101427</v>
      </c>
      <c r="R75" s="550">
        <f t="shared" si="38"/>
        <v>17797.817041842001</v>
      </c>
      <c r="S75" s="550">
        <f t="shared" si="38"/>
        <v>21046.636642175552</v>
      </c>
      <c r="T75" s="550">
        <f t="shared" si="38"/>
        <v>22685.601379858472</v>
      </c>
      <c r="U75" s="550">
        <f t="shared" si="38"/>
        <v>25761.056346751408</v>
      </c>
      <c r="V75" s="550">
        <f t="shared" si="38"/>
        <v>27358.440196781365</v>
      </c>
      <c r="W75" s="7"/>
      <c r="X75" s="7"/>
      <c r="Y75" s="7"/>
      <c r="Z75" s="7"/>
      <c r="AA75" s="7"/>
      <c r="AB75" s="7"/>
      <c r="AC75" s="7"/>
      <c r="AD75" s="7"/>
      <c r="AE75" s="7"/>
      <c r="AF75" s="7"/>
      <c r="AG75" s="7"/>
      <c r="AH75" s="7"/>
      <c r="AI75" s="7"/>
      <c r="AJ75" s="7"/>
      <c r="AK75" s="7"/>
      <c r="AL75" s="7"/>
      <c r="AM75" s="7"/>
      <c r="AN75" s="7"/>
      <c r="AO75" s="172"/>
    </row>
    <row r="76" spans="1:41" x14ac:dyDescent="0.8">
      <c r="A76" s="22" t="s">
        <v>361</v>
      </c>
      <c r="B76" s="7"/>
      <c r="C76" s="7"/>
      <c r="D76" s="7"/>
      <c r="E76" s="7"/>
      <c r="F76" s="7"/>
      <c r="G76" s="7"/>
      <c r="H76" s="131"/>
      <c r="I76" s="7"/>
      <c r="J76" s="7"/>
      <c r="K76" s="7"/>
      <c r="L76" s="7"/>
      <c r="M76" s="157">
        <f>1/$B$5*M$6</f>
        <v>3714.6829919559482</v>
      </c>
      <c r="N76" s="203">
        <f t="shared" ref="N76:V76" si="39">1/$B$5*N$6</f>
        <v>3305.1467091569984</v>
      </c>
      <c r="O76" s="157">
        <f t="shared" si="39"/>
        <v>3392.3861369552355</v>
      </c>
      <c r="P76" s="157">
        <f t="shared" si="39"/>
        <v>3149.9706474774407</v>
      </c>
      <c r="Q76" s="157">
        <f t="shared" si="39"/>
        <v>3210.7501980202856</v>
      </c>
      <c r="R76" s="157">
        <f t="shared" si="39"/>
        <v>2966.3028403070007</v>
      </c>
      <c r="S76" s="157">
        <f t="shared" si="39"/>
        <v>3006.6623774536511</v>
      </c>
      <c r="T76" s="157">
        <f t="shared" si="39"/>
        <v>2835.700172482309</v>
      </c>
      <c r="U76" s="157">
        <f t="shared" si="39"/>
        <v>2862.3395940834898</v>
      </c>
      <c r="V76" s="157">
        <f t="shared" si="39"/>
        <v>2735.8440196781366</v>
      </c>
      <c r="W76" s="7"/>
      <c r="X76" s="7"/>
      <c r="Y76" s="7"/>
      <c r="Z76" s="7"/>
      <c r="AA76" s="7"/>
      <c r="AB76" s="7"/>
      <c r="AC76" s="7"/>
      <c r="AD76" s="7"/>
      <c r="AE76" s="7"/>
      <c r="AF76" s="7"/>
      <c r="AG76" s="7"/>
      <c r="AH76" s="7"/>
      <c r="AI76" s="7"/>
      <c r="AJ76" s="7"/>
      <c r="AK76" s="7"/>
      <c r="AL76" s="7"/>
      <c r="AM76" s="7"/>
      <c r="AN76" s="7"/>
      <c r="AO76" s="172"/>
    </row>
    <row r="77" spans="1:41" x14ac:dyDescent="0.8">
      <c r="A77" s="22" t="s">
        <v>498</v>
      </c>
      <c r="B77" s="7"/>
      <c r="C77" s="7"/>
      <c r="D77" s="7"/>
      <c r="E77" s="7"/>
      <c r="F77" s="7"/>
      <c r="G77" s="7"/>
      <c r="H77" s="131"/>
      <c r="I77" s="7"/>
      <c r="J77" s="7"/>
      <c r="K77" s="7"/>
      <c r="L77" s="7"/>
      <c r="M77" s="7"/>
      <c r="N77" s="131"/>
      <c r="O77" s="7"/>
      <c r="P77" s="7"/>
      <c r="Q77" s="7"/>
      <c r="R77" s="7"/>
      <c r="S77" s="7"/>
      <c r="T77" s="7"/>
      <c r="U77" s="7"/>
      <c r="V77" s="550">
        <f>SUM(M75:V75)</f>
        <v>163805.32000855563</v>
      </c>
      <c r="W77" s="7"/>
      <c r="X77" s="7"/>
      <c r="Y77" s="7"/>
      <c r="Z77" s="7"/>
      <c r="AA77" s="7"/>
      <c r="AB77" s="7"/>
      <c r="AC77" s="7"/>
      <c r="AD77" s="7"/>
      <c r="AE77" s="7"/>
      <c r="AF77" s="7"/>
      <c r="AG77" s="7"/>
      <c r="AH77" s="7"/>
      <c r="AI77" s="7"/>
      <c r="AJ77" s="7"/>
      <c r="AK77" s="7"/>
      <c r="AL77" s="7"/>
      <c r="AM77" s="7"/>
      <c r="AN77" s="7"/>
      <c r="AO77" s="172"/>
    </row>
    <row r="78" spans="1:41" x14ac:dyDescent="0.8">
      <c r="A78" s="22" t="s">
        <v>497</v>
      </c>
      <c r="B78" s="7"/>
      <c r="C78" s="7"/>
      <c r="D78" s="7"/>
      <c r="E78" s="7"/>
      <c r="F78" s="7"/>
      <c r="G78" s="7"/>
      <c r="H78" s="131"/>
      <c r="I78" s="7"/>
      <c r="J78" s="7"/>
      <c r="K78" s="7"/>
      <c r="L78" s="7"/>
      <c r="M78" s="7"/>
      <c r="N78" s="131"/>
      <c r="O78" s="7"/>
      <c r="P78" s="7"/>
      <c r="Q78" s="7"/>
      <c r="R78" s="7"/>
      <c r="S78" s="7"/>
      <c r="T78" s="7"/>
      <c r="U78" s="7"/>
      <c r="V78" s="158">
        <f>SUM(M76:V76)</f>
        <v>31179.7856875705</v>
      </c>
      <c r="W78" s="7"/>
      <c r="X78" s="7"/>
      <c r="Y78" s="7"/>
      <c r="Z78" s="7"/>
      <c r="AA78" s="7"/>
      <c r="AB78" s="7"/>
      <c r="AC78" s="7"/>
      <c r="AD78" s="7"/>
      <c r="AE78" s="7"/>
      <c r="AF78" s="7"/>
      <c r="AG78" s="7"/>
      <c r="AH78" s="7"/>
      <c r="AI78" s="7"/>
      <c r="AJ78" s="7"/>
      <c r="AK78" s="7"/>
      <c r="AL78" s="7"/>
      <c r="AM78" s="7"/>
      <c r="AN78" s="7"/>
      <c r="AO78" s="172"/>
    </row>
    <row r="79" spans="1:41" x14ac:dyDescent="0.8">
      <c r="A79" s="22"/>
      <c r="B79" s="7"/>
      <c r="C79" s="7"/>
      <c r="D79" s="7"/>
      <c r="E79" s="7"/>
      <c r="F79" s="7"/>
      <c r="G79" s="7"/>
      <c r="H79" s="131"/>
      <c r="I79" s="7"/>
      <c r="J79" s="7"/>
      <c r="K79" s="7"/>
      <c r="L79" s="7"/>
      <c r="M79" s="7"/>
      <c r="N79" s="13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172"/>
    </row>
    <row r="80" spans="1:41" x14ac:dyDescent="0.8">
      <c r="A80" s="22" t="s">
        <v>495</v>
      </c>
      <c r="B80" s="7"/>
      <c r="C80" s="7"/>
      <c r="D80" s="7"/>
      <c r="E80" s="7"/>
      <c r="F80" s="7"/>
      <c r="G80" s="7"/>
      <c r="H80" s="131"/>
      <c r="I80" s="7"/>
      <c r="J80" s="7"/>
      <c r="K80" s="7"/>
      <c r="L80" s="7"/>
      <c r="M80" s="7"/>
      <c r="N80" s="212">
        <f t="shared" ref="N80:W80" si="40">M74</f>
        <v>9.9999999999999978E-2</v>
      </c>
      <c r="O80" s="213">
        <f t="shared" si="40"/>
        <v>0.19999999999999996</v>
      </c>
      <c r="P80" s="213">
        <f t="shared" si="40"/>
        <v>0.30000000000000004</v>
      </c>
      <c r="Q80" s="213">
        <f t="shared" si="40"/>
        <v>0.4</v>
      </c>
      <c r="R80" s="213">
        <f t="shared" si="40"/>
        <v>0.5</v>
      </c>
      <c r="S80" s="213">
        <f t="shared" si="40"/>
        <v>0.6</v>
      </c>
      <c r="T80" s="213">
        <f t="shared" si="40"/>
        <v>0.7</v>
      </c>
      <c r="U80" s="213">
        <f t="shared" si="40"/>
        <v>0.8</v>
      </c>
      <c r="V80" s="213">
        <f t="shared" si="40"/>
        <v>0.9</v>
      </c>
      <c r="W80" s="213">
        <f t="shared" si="40"/>
        <v>1</v>
      </c>
      <c r="X80" s="7"/>
      <c r="Y80" s="7"/>
      <c r="Z80" s="7"/>
      <c r="AA80" s="7"/>
      <c r="AB80" s="7"/>
      <c r="AC80" s="7"/>
      <c r="AD80" s="7"/>
      <c r="AE80" s="7"/>
      <c r="AF80" s="7"/>
      <c r="AG80" s="7"/>
      <c r="AH80" s="7"/>
      <c r="AI80" s="7"/>
      <c r="AJ80" s="7"/>
      <c r="AK80" s="7"/>
      <c r="AL80" s="7"/>
      <c r="AM80" s="7"/>
      <c r="AN80" s="7"/>
      <c r="AO80" s="172"/>
    </row>
    <row r="81" spans="1:41" x14ac:dyDescent="0.8">
      <c r="A81" s="22" t="s">
        <v>496</v>
      </c>
      <c r="B81" s="7"/>
      <c r="C81" s="7"/>
      <c r="D81" s="7"/>
      <c r="E81" s="7"/>
      <c r="F81" s="7"/>
      <c r="G81" s="7"/>
      <c r="H81" s="131"/>
      <c r="I81" s="7"/>
      <c r="J81" s="7"/>
      <c r="K81" s="7"/>
      <c r="L81" s="7"/>
      <c r="M81" s="7"/>
      <c r="N81" s="555">
        <f>N80*N$6</f>
        <v>3305.1467091569975</v>
      </c>
      <c r="O81" s="550">
        <f t="shared" ref="O81:W81" si="41">O80*O$6</f>
        <v>6784.7722739104693</v>
      </c>
      <c r="P81" s="550">
        <f t="shared" si="41"/>
        <v>9449.9119424323235</v>
      </c>
      <c r="Q81" s="550">
        <f t="shared" si="41"/>
        <v>12843.000792081142</v>
      </c>
      <c r="R81" s="550">
        <f t="shared" si="41"/>
        <v>14831.514201535003</v>
      </c>
      <c r="S81" s="550">
        <f t="shared" si="41"/>
        <v>18039.974264721903</v>
      </c>
      <c r="T81" s="550">
        <f t="shared" si="41"/>
        <v>19849.901207376159</v>
      </c>
      <c r="U81" s="550">
        <f t="shared" si="41"/>
        <v>22898.716752667919</v>
      </c>
      <c r="V81" s="550">
        <f t="shared" si="41"/>
        <v>24622.596177103227</v>
      </c>
      <c r="W81" s="550">
        <f t="shared" si="41"/>
        <v>27399.570241130972</v>
      </c>
      <c r="X81" s="7"/>
      <c r="Y81" s="7"/>
      <c r="Z81" s="7"/>
      <c r="AA81" s="7"/>
      <c r="AB81" s="7"/>
      <c r="AC81" s="7"/>
      <c r="AD81" s="7"/>
      <c r="AE81" s="7"/>
      <c r="AF81" s="7"/>
      <c r="AG81" s="7"/>
      <c r="AH81" s="7"/>
      <c r="AI81" s="7"/>
      <c r="AJ81" s="7"/>
      <c r="AK81" s="7"/>
      <c r="AL81" s="7"/>
      <c r="AM81" s="7"/>
      <c r="AN81" s="7"/>
      <c r="AO81" s="172"/>
    </row>
    <row r="82" spans="1:41" x14ac:dyDescent="0.8">
      <c r="A82" s="22" t="s">
        <v>361</v>
      </c>
      <c r="B82" s="7"/>
      <c r="C82" s="7"/>
      <c r="D82" s="7"/>
      <c r="E82" s="7"/>
      <c r="F82" s="7"/>
      <c r="G82" s="7"/>
      <c r="H82" s="131"/>
      <c r="I82" s="7"/>
      <c r="J82" s="7"/>
      <c r="K82" s="7"/>
      <c r="L82" s="7"/>
      <c r="M82" s="7"/>
      <c r="N82" s="203">
        <f>1/$B$5*N$6</f>
        <v>3305.1467091569984</v>
      </c>
      <c r="O82" s="157">
        <f t="shared" ref="O82:W82" si="42">1/$B$5*O$6</f>
        <v>3392.3861369552355</v>
      </c>
      <c r="P82" s="157">
        <f t="shared" si="42"/>
        <v>3149.9706474774407</v>
      </c>
      <c r="Q82" s="157">
        <f t="shared" si="42"/>
        <v>3210.7501980202856</v>
      </c>
      <c r="R82" s="157">
        <f t="shared" si="42"/>
        <v>2966.3028403070007</v>
      </c>
      <c r="S82" s="157">
        <f t="shared" si="42"/>
        <v>3006.6623774536511</v>
      </c>
      <c r="T82" s="157">
        <f t="shared" si="42"/>
        <v>2835.700172482309</v>
      </c>
      <c r="U82" s="157">
        <f t="shared" si="42"/>
        <v>2862.3395940834898</v>
      </c>
      <c r="V82" s="157">
        <f t="shared" si="42"/>
        <v>2735.8440196781366</v>
      </c>
      <c r="W82" s="157">
        <f t="shared" si="42"/>
        <v>2739.9570241130973</v>
      </c>
      <c r="X82" s="7"/>
      <c r="Y82" s="7"/>
      <c r="Z82" s="7"/>
      <c r="AA82" s="7"/>
      <c r="AB82" s="7"/>
      <c r="AC82" s="7"/>
      <c r="AD82" s="7"/>
      <c r="AE82" s="7"/>
      <c r="AF82" s="7"/>
      <c r="AG82" s="7"/>
      <c r="AH82" s="7"/>
      <c r="AI82" s="7"/>
      <c r="AJ82" s="7"/>
      <c r="AK82" s="7"/>
      <c r="AL82" s="7"/>
      <c r="AM82" s="7"/>
      <c r="AN82" s="7"/>
      <c r="AO82" s="172"/>
    </row>
    <row r="83" spans="1:41" x14ac:dyDescent="0.8">
      <c r="A83" s="22" t="s">
        <v>498</v>
      </c>
      <c r="B83" s="7"/>
      <c r="C83" s="7"/>
      <c r="D83" s="7"/>
      <c r="E83" s="7"/>
      <c r="F83" s="7"/>
      <c r="G83" s="7"/>
      <c r="H83" s="131"/>
      <c r="I83" s="7"/>
      <c r="J83" s="7"/>
      <c r="K83" s="7"/>
      <c r="L83" s="7"/>
      <c r="M83" s="7"/>
      <c r="N83" s="131"/>
      <c r="O83" s="7"/>
      <c r="P83" s="7"/>
      <c r="Q83" s="7"/>
      <c r="R83" s="7"/>
      <c r="S83" s="7"/>
      <c r="T83" s="7"/>
      <c r="U83" s="7"/>
      <c r="V83" s="7"/>
      <c r="W83" s="550">
        <f>SUM(N81:W81)</f>
        <v>160025.10456211612</v>
      </c>
      <c r="X83" s="7"/>
      <c r="Y83" s="7"/>
      <c r="Z83" s="7"/>
      <c r="AA83" s="7"/>
      <c r="AB83" s="7"/>
      <c r="AC83" s="7"/>
      <c r="AD83" s="7"/>
      <c r="AE83" s="7"/>
      <c r="AF83" s="7"/>
      <c r="AG83" s="7"/>
      <c r="AH83" s="7"/>
      <c r="AI83" s="7"/>
      <c r="AJ83" s="7"/>
      <c r="AK83" s="7"/>
      <c r="AL83" s="7"/>
      <c r="AM83" s="7"/>
      <c r="AN83" s="7"/>
      <c r="AO83" s="172"/>
    </row>
    <row r="84" spans="1:41" x14ac:dyDescent="0.8">
      <c r="A84" s="22" t="s">
        <v>497</v>
      </c>
      <c r="B84" s="7"/>
      <c r="C84" s="7"/>
      <c r="D84" s="7"/>
      <c r="E84" s="7"/>
      <c r="F84" s="7"/>
      <c r="G84" s="7"/>
      <c r="H84" s="131"/>
      <c r="I84" s="7"/>
      <c r="J84" s="7"/>
      <c r="K84" s="7"/>
      <c r="L84" s="7"/>
      <c r="M84" s="7"/>
      <c r="N84" s="131"/>
      <c r="O84" s="7"/>
      <c r="P84" s="7"/>
      <c r="Q84" s="7"/>
      <c r="R84" s="7"/>
      <c r="S84" s="7"/>
      <c r="T84" s="7"/>
      <c r="U84" s="7"/>
      <c r="V84" s="7"/>
      <c r="W84" s="158">
        <f>SUM(N82:W82)</f>
        <v>30205.059719727644</v>
      </c>
      <c r="X84" s="7"/>
      <c r="Y84" s="7"/>
      <c r="Z84" s="7"/>
      <c r="AA84" s="7"/>
      <c r="AB84" s="7"/>
      <c r="AC84" s="7"/>
      <c r="AD84" s="7"/>
      <c r="AE84" s="7"/>
      <c r="AF84" s="7"/>
      <c r="AG84" s="7"/>
      <c r="AH84" s="7"/>
      <c r="AI84" s="7"/>
      <c r="AJ84" s="7"/>
      <c r="AK84" s="7"/>
      <c r="AL84" s="7"/>
      <c r="AM84" s="7"/>
      <c r="AN84" s="7"/>
      <c r="AO84" s="172"/>
    </row>
    <row r="85" spans="1:41" x14ac:dyDescent="0.8">
      <c r="A85" s="22"/>
      <c r="B85" s="7"/>
      <c r="C85" s="7"/>
      <c r="D85" s="7"/>
      <c r="E85" s="7"/>
      <c r="F85" s="7"/>
      <c r="G85" s="7"/>
      <c r="H85" s="131"/>
      <c r="I85" s="7"/>
      <c r="J85" s="7"/>
      <c r="K85" s="7"/>
      <c r="L85" s="7"/>
      <c r="M85" s="7"/>
      <c r="N85" s="13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172"/>
    </row>
    <row r="86" spans="1:41" x14ac:dyDescent="0.8">
      <c r="A86" s="22" t="s">
        <v>495</v>
      </c>
      <c r="B86" s="7"/>
      <c r="C86" s="7"/>
      <c r="D86" s="7"/>
      <c r="E86" s="7"/>
      <c r="F86" s="7"/>
      <c r="G86" s="7"/>
      <c r="H86" s="131"/>
      <c r="I86" s="7"/>
      <c r="J86" s="7"/>
      <c r="K86" s="7"/>
      <c r="L86" s="7"/>
      <c r="M86" s="7"/>
      <c r="N86" s="131"/>
      <c r="O86" s="213">
        <f t="shared" ref="O86:X86" si="43">N80</f>
        <v>9.9999999999999978E-2</v>
      </c>
      <c r="P86" s="213">
        <f t="shared" si="43"/>
        <v>0.19999999999999996</v>
      </c>
      <c r="Q86" s="213">
        <f t="shared" si="43"/>
        <v>0.30000000000000004</v>
      </c>
      <c r="R86" s="213">
        <f t="shared" si="43"/>
        <v>0.4</v>
      </c>
      <c r="S86" s="213">
        <f t="shared" si="43"/>
        <v>0.5</v>
      </c>
      <c r="T86" s="213">
        <f t="shared" si="43"/>
        <v>0.6</v>
      </c>
      <c r="U86" s="213">
        <f t="shared" si="43"/>
        <v>0.7</v>
      </c>
      <c r="V86" s="213">
        <f t="shared" si="43"/>
        <v>0.8</v>
      </c>
      <c r="W86" s="213">
        <f t="shared" si="43"/>
        <v>0.9</v>
      </c>
      <c r="X86" s="213">
        <f t="shared" si="43"/>
        <v>1</v>
      </c>
      <c r="Y86" s="7"/>
      <c r="Z86" s="7"/>
      <c r="AA86" s="7"/>
      <c r="AB86" s="7"/>
      <c r="AC86" s="7"/>
      <c r="AD86" s="7"/>
      <c r="AE86" s="7"/>
      <c r="AF86" s="7"/>
      <c r="AG86" s="7"/>
      <c r="AH86" s="7"/>
      <c r="AI86" s="7"/>
      <c r="AJ86" s="7"/>
      <c r="AK86" s="7"/>
      <c r="AL86" s="7"/>
      <c r="AM86" s="7"/>
      <c r="AN86" s="7"/>
      <c r="AO86" s="172"/>
    </row>
    <row r="87" spans="1:41" x14ac:dyDescent="0.8">
      <c r="A87" s="22" t="s">
        <v>496</v>
      </c>
      <c r="B87" s="7"/>
      <c r="C87" s="7"/>
      <c r="D87" s="7"/>
      <c r="E87" s="7"/>
      <c r="F87" s="7"/>
      <c r="G87" s="7"/>
      <c r="H87" s="131"/>
      <c r="I87" s="7"/>
      <c r="J87" s="7"/>
      <c r="K87" s="7"/>
      <c r="L87" s="7"/>
      <c r="M87" s="7"/>
      <c r="N87" s="131"/>
      <c r="O87" s="550">
        <f>O86*O$6</f>
        <v>3392.3861369552346</v>
      </c>
      <c r="P87" s="550">
        <f t="shared" ref="P87:X87" si="44">P86*P$6</f>
        <v>6299.9412949548796</v>
      </c>
      <c r="Q87" s="550">
        <f t="shared" si="44"/>
        <v>9632.2505940608571</v>
      </c>
      <c r="R87" s="550">
        <f t="shared" si="44"/>
        <v>11865.211361228003</v>
      </c>
      <c r="S87" s="550">
        <f t="shared" si="44"/>
        <v>15033.311887268253</v>
      </c>
      <c r="T87" s="550">
        <f t="shared" si="44"/>
        <v>17014.201034893853</v>
      </c>
      <c r="U87" s="550">
        <f t="shared" si="44"/>
        <v>20036.377158584426</v>
      </c>
      <c r="V87" s="550">
        <f t="shared" si="44"/>
        <v>21886.752157425093</v>
      </c>
      <c r="W87" s="550">
        <f t="shared" si="44"/>
        <v>24659.613217017875</v>
      </c>
      <c r="X87" s="550">
        <f t="shared" si="44"/>
        <v>26424.999239471148</v>
      </c>
      <c r="Y87" s="7"/>
      <c r="Z87" s="7"/>
      <c r="AA87" s="7"/>
      <c r="AB87" s="7"/>
      <c r="AC87" s="7"/>
      <c r="AD87" s="7"/>
      <c r="AE87" s="7"/>
      <c r="AF87" s="7"/>
      <c r="AG87" s="7"/>
      <c r="AH87" s="7"/>
      <c r="AI87" s="7"/>
      <c r="AJ87" s="7"/>
      <c r="AK87" s="7"/>
      <c r="AL87" s="7"/>
      <c r="AM87" s="7"/>
      <c r="AN87" s="7"/>
      <c r="AO87" s="172"/>
    </row>
    <row r="88" spans="1:41" x14ac:dyDescent="0.8">
      <c r="A88" s="22" t="s">
        <v>361</v>
      </c>
      <c r="B88" s="7"/>
      <c r="C88" s="7"/>
      <c r="D88" s="7"/>
      <c r="E88" s="7"/>
      <c r="F88" s="7"/>
      <c r="G88" s="7"/>
      <c r="H88" s="131"/>
      <c r="I88" s="7"/>
      <c r="J88" s="7"/>
      <c r="K88" s="7"/>
      <c r="L88" s="7"/>
      <c r="M88" s="7"/>
      <c r="N88" s="131"/>
      <c r="O88" s="157">
        <f>1/$B$5*O$6</f>
        <v>3392.3861369552355</v>
      </c>
      <c r="P88" s="157">
        <f t="shared" ref="P88:X88" si="45">1/$B$5*P$6</f>
        <v>3149.9706474774407</v>
      </c>
      <c r="Q88" s="157">
        <f t="shared" si="45"/>
        <v>3210.7501980202856</v>
      </c>
      <c r="R88" s="157">
        <f t="shared" si="45"/>
        <v>2966.3028403070007</v>
      </c>
      <c r="S88" s="157">
        <f t="shared" si="45"/>
        <v>3006.6623774536511</v>
      </c>
      <c r="T88" s="157">
        <f t="shared" si="45"/>
        <v>2835.700172482309</v>
      </c>
      <c r="U88" s="157">
        <f t="shared" si="45"/>
        <v>2862.3395940834898</v>
      </c>
      <c r="V88" s="157">
        <f t="shared" si="45"/>
        <v>2735.8440196781366</v>
      </c>
      <c r="W88" s="157">
        <f t="shared" si="45"/>
        <v>2739.9570241130973</v>
      </c>
      <c r="X88" s="157">
        <f t="shared" si="45"/>
        <v>2642.4999239471149</v>
      </c>
      <c r="Y88" s="7"/>
      <c r="Z88" s="7"/>
      <c r="AA88" s="7"/>
      <c r="AB88" s="7"/>
      <c r="AC88" s="7"/>
      <c r="AD88" s="7"/>
      <c r="AE88" s="7"/>
      <c r="AF88" s="7"/>
      <c r="AG88" s="7"/>
      <c r="AH88" s="7"/>
      <c r="AI88" s="7"/>
      <c r="AJ88" s="7"/>
      <c r="AK88" s="7"/>
      <c r="AL88" s="7"/>
      <c r="AM88" s="7"/>
      <c r="AN88" s="7"/>
      <c r="AO88" s="172"/>
    </row>
    <row r="89" spans="1:41" x14ac:dyDescent="0.8">
      <c r="A89" s="22" t="s">
        <v>498</v>
      </c>
      <c r="B89" s="7"/>
      <c r="C89" s="7"/>
      <c r="D89" s="7"/>
      <c r="E89" s="7"/>
      <c r="F89" s="7"/>
      <c r="G89" s="7"/>
      <c r="H89" s="131"/>
      <c r="I89" s="7"/>
      <c r="J89" s="7"/>
      <c r="K89" s="7"/>
      <c r="L89" s="7"/>
      <c r="M89" s="7"/>
      <c r="N89" s="131"/>
      <c r="O89" s="7"/>
      <c r="P89" s="7"/>
      <c r="Q89" s="7"/>
      <c r="R89" s="7"/>
      <c r="S89" s="7"/>
      <c r="T89" s="7"/>
      <c r="U89" s="7"/>
      <c r="V89" s="7"/>
      <c r="W89" s="7"/>
      <c r="X89" s="550">
        <f>SUM(O87:X87)</f>
        <v>156245.04408185964</v>
      </c>
      <c r="Y89" s="7"/>
      <c r="Z89" s="7"/>
      <c r="AA89" s="7"/>
      <c r="AB89" s="7"/>
      <c r="AC89" s="7"/>
      <c r="AD89" s="7"/>
      <c r="AE89" s="7"/>
      <c r="AF89" s="7"/>
      <c r="AG89" s="7"/>
      <c r="AH89" s="7"/>
      <c r="AI89" s="7"/>
      <c r="AJ89" s="7"/>
      <c r="AK89" s="7"/>
      <c r="AL89" s="7"/>
      <c r="AM89" s="7"/>
      <c r="AN89" s="7"/>
      <c r="AO89" s="172"/>
    </row>
    <row r="90" spans="1:41" x14ac:dyDescent="0.8">
      <c r="A90" s="22" t="s">
        <v>497</v>
      </c>
      <c r="B90" s="7"/>
      <c r="C90" s="7"/>
      <c r="D90" s="7"/>
      <c r="E90" s="7"/>
      <c r="F90" s="7"/>
      <c r="G90" s="7"/>
      <c r="H90" s="131"/>
      <c r="I90" s="7"/>
      <c r="J90" s="7"/>
      <c r="K90" s="7"/>
      <c r="L90" s="7"/>
      <c r="M90" s="7"/>
      <c r="N90" s="131"/>
      <c r="O90" s="7"/>
      <c r="P90" s="7"/>
      <c r="Q90" s="7"/>
      <c r="R90" s="7"/>
      <c r="S90" s="7"/>
      <c r="T90" s="7"/>
      <c r="U90" s="7"/>
      <c r="V90" s="7"/>
      <c r="W90" s="7"/>
      <c r="X90" s="158">
        <f>SUM(O88:X88)</f>
        <v>29542.412934517761</v>
      </c>
      <c r="Y90" s="7"/>
      <c r="Z90" s="7"/>
      <c r="AA90" s="7"/>
      <c r="AB90" s="7"/>
      <c r="AC90" s="7"/>
      <c r="AD90" s="7"/>
      <c r="AE90" s="7"/>
      <c r="AF90" s="7"/>
      <c r="AG90" s="7"/>
      <c r="AH90" s="7"/>
      <c r="AI90" s="7"/>
      <c r="AJ90" s="7"/>
      <c r="AK90" s="7"/>
      <c r="AL90" s="7"/>
      <c r="AM90" s="7"/>
      <c r="AN90" s="7"/>
      <c r="AO90" s="172"/>
    </row>
    <row r="91" spans="1:41" x14ac:dyDescent="0.8">
      <c r="A91" s="22"/>
      <c r="B91" s="7"/>
      <c r="C91" s="7"/>
      <c r="D91" s="7"/>
      <c r="E91" s="7"/>
      <c r="F91" s="7"/>
      <c r="G91" s="7"/>
      <c r="H91" s="131"/>
      <c r="I91" s="7"/>
      <c r="J91" s="7"/>
      <c r="K91" s="7"/>
      <c r="L91" s="7"/>
      <c r="M91" s="7"/>
      <c r="N91" s="13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172"/>
    </row>
    <row r="92" spans="1:41" x14ac:dyDescent="0.8">
      <c r="A92" s="22" t="s">
        <v>495</v>
      </c>
      <c r="B92" s="7"/>
      <c r="C92" s="7"/>
      <c r="D92" s="7"/>
      <c r="E92" s="7"/>
      <c r="F92" s="7"/>
      <c r="G92" s="7"/>
      <c r="H92" s="131"/>
      <c r="I92" s="7"/>
      <c r="J92" s="7"/>
      <c r="K92" s="7"/>
      <c r="L92" s="7"/>
      <c r="M92" s="7"/>
      <c r="N92" s="131"/>
      <c r="O92" s="7"/>
      <c r="P92" s="213">
        <f t="shared" ref="P92:Y92" si="46">O86</f>
        <v>9.9999999999999978E-2</v>
      </c>
      <c r="Q92" s="213">
        <f t="shared" si="46"/>
        <v>0.19999999999999996</v>
      </c>
      <c r="R92" s="213">
        <f t="shared" si="46"/>
        <v>0.30000000000000004</v>
      </c>
      <c r="S92" s="213">
        <f t="shared" si="46"/>
        <v>0.4</v>
      </c>
      <c r="T92" s="213">
        <f t="shared" si="46"/>
        <v>0.5</v>
      </c>
      <c r="U92" s="213">
        <f t="shared" si="46"/>
        <v>0.6</v>
      </c>
      <c r="V92" s="213">
        <f t="shared" si="46"/>
        <v>0.7</v>
      </c>
      <c r="W92" s="213">
        <f t="shared" si="46"/>
        <v>0.8</v>
      </c>
      <c r="X92" s="213">
        <f t="shared" si="46"/>
        <v>0.9</v>
      </c>
      <c r="Y92" s="213">
        <f t="shared" si="46"/>
        <v>1</v>
      </c>
      <c r="Z92" s="7"/>
      <c r="AA92" s="7"/>
      <c r="AB92" s="7"/>
      <c r="AC92" s="7"/>
      <c r="AD92" s="7"/>
      <c r="AE92" s="7"/>
      <c r="AF92" s="7"/>
      <c r="AG92" s="7"/>
      <c r="AH92" s="7"/>
      <c r="AI92" s="7"/>
      <c r="AJ92" s="7"/>
      <c r="AK92" s="7"/>
      <c r="AL92" s="7"/>
      <c r="AM92" s="7"/>
      <c r="AN92" s="7"/>
      <c r="AO92" s="172"/>
    </row>
    <row r="93" spans="1:41" x14ac:dyDescent="0.8">
      <c r="A93" s="22" t="s">
        <v>496</v>
      </c>
      <c r="B93" s="7"/>
      <c r="C93" s="7"/>
      <c r="D93" s="7"/>
      <c r="E93" s="7"/>
      <c r="F93" s="7"/>
      <c r="G93" s="7"/>
      <c r="H93" s="131"/>
      <c r="I93" s="7"/>
      <c r="J93" s="7"/>
      <c r="K93" s="7"/>
      <c r="L93" s="7"/>
      <c r="M93" s="7"/>
      <c r="N93" s="131"/>
      <c r="O93" s="7"/>
      <c r="P93" s="550">
        <f>P92*P$6</f>
        <v>3149.9706474774398</v>
      </c>
      <c r="Q93" s="550">
        <f t="shared" ref="Q93:Y93" si="47">Q92*Q$6</f>
        <v>6421.5003960405693</v>
      </c>
      <c r="R93" s="550">
        <f t="shared" si="47"/>
        <v>8898.9085209210025</v>
      </c>
      <c r="S93" s="550">
        <f t="shared" si="47"/>
        <v>12026.649509814604</v>
      </c>
      <c r="T93" s="550">
        <f t="shared" si="47"/>
        <v>14178.500862411543</v>
      </c>
      <c r="U93" s="550">
        <f t="shared" si="47"/>
        <v>17174.037564500937</v>
      </c>
      <c r="V93" s="550">
        <f t="shared" si="47"/>
        <v>19150.908137746956</v>
      </c>
      <c r="W93" s="550">
        <f t="shared" si="47"/>
        <v>21919.656192904778</v>
      </c>
      <c r="X93" s="550">
        <f t="shared" si="47"/>
        <v>23782.499315524034</v>
      </c>
      <c r="Y93" s="550">
        <f t="shared" si="47"/>
        <v>25653.53733892435</v>
      </c>
      <c r="Z93" s="7"/>
      <c r="AA93" s="7"/>
      <c r="AB93" s="7"/>
      <c r="AC93" s="7"/>
      <c r="AD93" s="7"/>
      <c r="AE93" s="7"/>
      <c r="AF93" s="7"/>
      <c r="AG93" s="7"/>
      <c r="AH93" s="7"/>
      <c r="AI93" s="7"/>
      <c r="AJ93" s="7"/>
      <c r="AK93" s="7"/>
      <c r="AL93" s="7"/>
      <c r="AM93" s="7"/>
      <c r="AN93" s="7"/>
      <c r="AO93" s="172"/>
    </row>
    <row r="94" spans="1:41" x14ac:dyDescent="0.8">
      <c r="A94" s="22" t="s">
        <v>361</v>
      </c>
      <c r="B94" s="7"/>
      <c r="C94" s="7"/>
      <c r="D94" s="7"/>
      <c r="E94" s="7"/>
      <c r="F94" s="7"/>
      <c r="G94" s="7"/>
      <c r="H94" s="131"/>
      <c r="I94" s="7"/>
      <c r="J94" s="7"/>
      <c r="K94" s="7"/>
      <c r="L94" s="7"/>
      <c r="M94" s="7"/>
      <c r="N94" s="131"/>
      <c r="O94" s="7"/>
      <c r="P94" s="157">
        <f>1/$B$5*P$6</f>
        <v>3149.9706474774407</v>
      </c>
      <c r="Q94" s="157">
        <f t="shared" ref="Q94:Y94" si="48">1/$B$5*Q$6</f>
        <v>3210.7501980202856</v>
      </c>
      <c r="R94" s="157">
        <f t="shared" si="48"/>
        <v>2966.3028403070007</v>
      </c>
      <c r="S94" s="157">
        <f t="shared" si="48"/>
        <v>3006.6623774536511</v>
      </c>
      <c r="T94" s="157">
        <f t="shared" si="48"/>
        <v>2835.700172482309</v>
      </c>
      <c r="U94" s="157">
        <f t="shared" si="48"/>
        <v>2862.3395940834898</v>
      </c>
      <c r="V94" s="157">
        <f t="shared" si="48"/>
        <v>2735.8440196781366</v>
      </c>
      <c r="W94" s="157">
        <f t="shared" si="48"/>
        <v>2739.9570241130973</v>
      </c>
      <c r="X94" s="157">
        <f t="shared" si="48"/>
        <v>2642.4999239471149</v>
      </c>
      <c r="Y94" s="157">
        <f t="shared" si="48"/>
        <v>2565.3537338924352</v>
      </c>
      <c r="Z94" s="7"/>
      <c r="AA94" s="7"/>
      <c r="AB94" s="7"/>
      <c r="AC94" s="7"/>
      <c r="AD94" s="7"/>
      <c r="AE94" s="7"/>
      <c r="AF94" s="7"/>
      <c r="AG94" s="7"/>
      <c r="AH94" s="7"/>
      <c r="AI94" s="7"/>
      <c r="AJ94" s="7"/>
      <c r="AK94" s="7"/>
      <c r="AL94" s="7"/>
      <c r="AM94" s="7"/>
      <c r="AN94" s="7"/>
      <c r="AO94" s="172"/>
    </row>
    <row r="95" spans="1:41" x14ac:dyDescent="0.8">
      <c r="A95" s="22" t="s">
        <v>498</v>
      </c>
      <c r="B95" s="7"/>
      <c r="C95" s="7"/>
      <c r="D95" s="7"/>
      <c r="E95" s="7"/>
      <c r="F95" s="7"/>
      <c r="G95" s="7"/>
      <c r="H95" s="131"/>
      <c r="I95" s="7"/>
      <c r="J95" s="7"/>
      <c r="K95" s="7"/>
      <c r="L95" s="7"/>
      <c r="M95" s="7"/>
      <c r="N95" s="131"/>
      <c r="O95" s="7"/>
      <c r="P95" s="7"/>
      <c r="Q95" s="7"/>
      <c r="R95" s="7"/>
      <c r="S95" s="7"/>
      <c r="T95" s="7"/>
      <c r="U95" s="7"/>
      <c r="V95" s="7"/>
      <c r="W95" s="7"/>
      <c r="X95" s="7"/>
      <c r="Y95" s="550">
        <f>SUM(P93:Y93)</f>
        <v>152356.16848626622</v>
      </c>
      <c r="Z95" s="7"/>
      <c r="AA95" s="7"/>
      <c r="AB95" s="7"/>
      <c r="AC95" s="7"/>
      <c r="AD95" s="7"/>
      <c r="AE95" s="7"/>
      <c r="AF95" s="7"/>
      <c r="AG95" s="7"/>
      <c r="AH95" s="7"/>
      <c r="AI95" s="7"/>
      <c r="AJ95" s="7"/>
      <c r="AK95" s="7"/>
      <c r="AL95" s="7"/>
      <c r="AM95" s="7"/>
      <c r="AN95" s="7"/>
      <c r="AO95" s="172"/>
    </row>
    <row r="96" spans="1:41" x14ac:dyDescent="0.8">
      <c r="A96" s="22" t="s">
        <v>497</v>
      </c>
      <c r="B96" s="7"/>
      <c r="C96" s="7"/>
      <c r="D96" s="7"/>
      <c r="E96" s="7"/>
      <c r="F96" s="7"/>
      <c r="G96" s="7"/>
      <c r="H96" s="131"/>
      <c r="I96" s="7"/>
      <c r="J96" s="7"/>
      <c r="K96" s="7"/>
      <c r="L96" s="7"/>
      <c r="M96" s="7"/>
      <c r="N96" s="131"/>
      <c r="O96" s="7"/>
      <c r="P96" s="7"/>
      <c r="Q96" s="7"/>
      <c r="R96" s="7"/>
      <c r="S96" s="7"/>
      <c r="T96" s="7"/>
      <c r="U96" s="7"/>
      <c r="V96" s="7"/>
      <c r="W96" s="7"/>
      <c r="X96" s="7"/>
      <c r="Y96" s="158">
        <f>SUM(P94:Y94)</f>
        <v>28715.380531454961</v>
      </c>
      <c r="Z96" s="7"/>
      <c r="AA96" s="7"/>
      <c r="AB96" s="7"/>
      <c r="AC96" s="7"/>
      <c r="AD96" s="7"/>
      <c r="AE96" s="7"/>
      <c r="AF96" s="7"/>
      <c r="AG96" s="7"/>
      <c r="AH96" s="7"/>
      <c r="AI96" s="7"/>
      <c r="AJ96" s="7"/>
      <c r="AK96" s="7"/>
      <c r="AL96" s="7"/>
      <c r="AM96" s="7"/>
      <c r="AN96" s="7"/>
      <c r="AO96" s="172"/>
    </row>
    <row r="97" spans="1:41" x14ac:dyDescent="0.8">
      <c r="A97" s="22"/>
      <c r="B97" s="7"/>
      <c r="C97" s="7"/>
      <c r="D97" s="7"/>
      <c r="E97" s="7"/>
      <c r="F97" s="7"/>
      <c r="G97" s="7"/>
      <c r="H97" s="131"/>
      <c r="I97" s="7"/>
      <c r="J97" s="7"/>
      <c r="K97" s="7"/>
      <c r="L97" s="7"/>
      <c r="M97" s="7"/>
      <c r="N97" s="13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172"/>
    </row>
    <row r="98" spans="1:41" x14ac:dyDescent="0.8">
      <c r="A98" s="22" t="s">
        <v>495</v>
      </c>
      <c r="B98" s="7"/>
      <c r="C98" s="7"/>
      <c r="D98" s="7"/>
      <c r="E98" s="7"/>
      <c r="F98" s="7"/>
      <c r="G98" s="7"/>
      <c r="H98" s="131"/>
      <c r="I98" s="7"/>
      <c r="J98" s="7"/>
      <c r="K98" s="7"/>
      <c r="L98" s="7"/>
      <c r="M98" s="7"/>
      <c r="N98" s="131"/>
      <c r="O98" s="7"/>
      <c r="P98" s="7"/>
      <c r="Q98" s="213">
        <f t="shared" ref="Q98:Z98" si="49">P92</f>
        <v>9.9999999999999978E-2</v>
      </c>
      <c r="R98" s="213">
        <f t="shared" si="49"/>
        <v>0.19999999999999996</v>
      </c>
      <c r="S98" s="213">
        <f t="shared" si="49"/>
        <v>0.30000000000000004</v>
      </c>
      <c r="T98" s="213">
        <f t="shared" si="49"/>
        <v>0.4</v>
      </c>
      <c r="U98" s="213">
        <f t="shared" si="49"/>
        <v>0.5</v>
      </c>
      <c r="V98" s="213">
        <f t="shared" si="49"/>
        <v>0.6</v>
      </c>
      <c r="W98" s="213">
        <f t="shared" si="49"/>
        <v>0.7</v>
      </c>
      <c r="X98" s="213">
        <f t="shared" si="49"/>
        <v>0.8</v>
      </c>
      <c r="Y98" s="213">
        <f t="shared" si="49"/>
        <v>0.9</v>
      </c>
      <c r="Z98" s="213">
        <f t="shared" si="49"/>
        <v>1</v>
      </c>
      <c r="AA98" s="7"/>
      <c r="AB98" s="7"/>
      <c r="AC98" s="7"/>
      <c r="AD98" s="7"/>
      <c r="AE98" s="7"/>
      <c r="AF98" s="7"/>
      <c r="AG98" s="7"/>
      <c r="AH98" s="7"/>
      <c r="AI98" s="7"/>
      <c r="AJ98" s="7"/>
      <c r="AK98" s="7"/>
      <c r="AL98" s="7"/>
      <c r="AM98" s="7"/>
      <c r="AN98" s="7"/>
      <c r="AO98" s="172"/>
    </row>
    <row r="99" spans="1:41" x14ac:dyDescent="0.8">
      <c r="A99" s="22" t="s">
        <v>496</v>
      </c>
      <c r="B99" s="7"/>
      <c r="C99" s="7"/>
      <c r="D99" s="7"/>
      <c r="E99" s="7"/>
      <c r="F99" s="7"/>
      <c r="G99" s="7"/>
      <c r="H99" s="131"/>
      <c r="I99" s="7"/>
      <c r="J99" s="7"/>
      <c r="K99" s="7"/>
      <c r="L99" s="7"/>
      <c r="M99" s="7"/>
      <c r="N99" s="131"/>
      <c r="O99" s="7"/>
      <c r="P99" s="7"/>
      <c r="Q99" s="550">
        <f>Q98*Q$6</f>
        <v>3210.7501980202846</v>
      </c>
      <c r="R99" s="550">
        <f t="shared" ref="R99:Z99" si="50">R98*R$6</f>
        <v>5932.6056806139995</v>
      </c>
      <c r="S99" s="550">
        <f t="shared" si="50"/>
        <v>9019.9871323609532</v>
      </c>
      <c r="T99" s="550">
        <f t="shared" si="50"/>
        <v>11342.800689929236</v>
      </c>
      <c r="U99" s="550">
        <f t="shared" si="50"/>
        <v>14311.697970417448</v>
      </c>
      <c r="V99" s="550">
        <f t="shared" si="50"/>
        <v>16415.064118068818</v>
      </c>
      <c r="W99" s="550">
        <f t="shared" si="50"/>
        <v>19179.699168791678</v>
      </c>
      <c r="X99" s="550">
        <f t="shared" si="50"/>
        <v>21139.999391576919</v>
      </c>
      <c r="Y99" s="550">
        <f t="shared" si="50"/>
        <v>23088.183605031914</v>
      </c>
      <c r="Z99" s="550">
        <f t="shared" si="50"/>
        <v>24733.845738928529</v>
      </c>
      <c r="AA99" s="7"/>
      <c r="AB99" s="7"/>
      <c r="AC99" s="7"/>
      <c r="AD99" s="7"/>
      <c r="AE99" s="7"/>
      <c r="AF99" s="7"/>
      <c r="AG99" s="7"/>
      <c r="AH99" s="7"/>
      <c r="AI99" s="7"/>
      <c r="AJ99" s="7"/>
      <c r="AK99" s="7"/>
      <c r="AL99" s="7"/>
      <c r="AM99" s="7"/>
      <c r="AN99" s="7"/>
      <c r="AO99" s="172"/>
    </row>
    <row r="100" spans="1:41" x14ac:dyDescent="0.8">
      <c r="A100" s="22" t="s">
        <v>361</v>
      </c>
      <c r="B100" s="7"/>
      <c r="C100" s="7"/>
      <c r="D100" s="7"/>
      <c r="E100" s="7"/>
      <c r="F100" s="7"/>
      <c r="G100" s="7"/>
      <c r="H100" s="131"/>
      <c r="I100" s="7"/>
      <c r="J100" s="7"/>
      <c r="K100" s="7"/>
      <c r="L100" s="7"/>
      <c r="M100" s="7"/>
      <c r="N100" s="131"/>
      <c r="O100" s="7"/>
      <c r="P100" s="7"/>
      <c r="Q100" s="157">
        <f>1/$B$5*Q$6</f>
        <v>3210.7501980202856</v>
      </c>
      <c r="R100" s="157">
        <f t="shared" ref="R100:Z100" si="51">1/$B$5*R$6</f>
        <v>2966.3028403070007</v>
      </c>
      <c r="S100" s="157">
        <f t="shared" si="51"/>
        <v>3006.6623774536511</v>
      </c>
      <c r="T100" s="157">
        <f t="shared" si="51"/>
        <v>2835.700172482309</v>
      </c>
      <c r="U100" s="157">
        <f t="shared" si="51"/>
        <v>2862.3395940834898</v>
      </c>
      <c r="V100" s="157">
        <f t="shared" si="51"/>
        <v>2735.8440196781366</v>
      </c>
      <c r="W100" s="157">
        <f t="shared" si="51"/>
        <v>2739.9570241130973</v>
      </c>
      <c r="X100" s="157">
        <f t="shared" si="51"/>
        <v>2642.4999239471149</v>
      </c>
      <c r="Y100" s="157">
        <f t="shared" si="51"/>
        <v>2565.3537338924352</v>
      </c>
      <c r="Z100" s="157">
        <f t="shared" si="51"/>
        <v>2473.384573892853</v>
      </c>
      <c r="AA100" s="7"/>
      <c r="AB100" s="7"/>
      <c r="AC100" s="7"/>
      <c r="AD100" s="7"/>
      <c r="AE100" s="7"/>
      <c r="AF100" s="7"/>
      <c r="AG100" s="7"/>
      <c r="AH100" s="7"/>
      <c r="AI100" s="7"/>
      <c r="AJ100" s="7"/>
      <c r="AK100" s="7"/>
      <c r="AL100" s="7"/>
      <c r="AM100" s="7"/>
      <c r="AN100" s="7"/>
      <c r="AO100" s="172"/>
    </row>
    <row r="101" spans="1:41" x14ac:dyDescent="0.8">
      <c r="A101" s="22" t="s">
        <v>498</v>
      </c>
      <c r="B101" s="7"/>
      <c r="C101" s="7"/>
      <c r="D101" s="7"/>
      <c r="E101" s="7"/>
      <c r="F101" s="7"/>
      <c r="G101" s="7"/>
      <c r="H101" s="131"/>
      <c r="I101" s="7"/>
      <c r="J101" s="7"/>
      <c r="K101" s="7"/>
      <c r="L101" s="7"/>
      <c r="M101" s="7"/>
      <c r="N101" s="131"/>
      <c r="O101" s="7"/>
      <c r="P101" s="7"/>
      <c r="Q101" s="7"/>
      <c r="R101" s="7"/>
      <c r="S101" s="7"/>
      <c r="T101" s="7"/>
      <c r="U101" s="7"/>
      <c r="V101" s="7"/>
      <c r="W101" s="7"/>
      <c r="X101" s="7"/>
      <c r="Y101" s="7"/>
      <c r="Z101" s="550">
        <f>SUM(Q99:Z99)</f>
        <v>148374.63369373977</v>
      </c>
      <c r="AA101" s="7"/>
      <c r="AB101" s="7"/>
      <c r="AC101" s="7"/>
      <c r="AD101" s="7"/>
      <c r="AE101" s="7"/>
      <c r="AF101" s="7"/>
      <c r="AG101" s="7"/>
      <c r="AH101" s="7"/>
      <c r="AI101" s="7"/>
      <c r="AJ101" s="7"/>
      <c r="AK101" s="7"/>
      <c r="AL101" s="7"/>
      <c r="AM101" s="7"/>
      <c r="AN101" s="7"/>
      <c r="AO101" s="172"/>
    </row>
    <row r="102" spans="1:41" x14ac:dyDescent="0.8">
      <c r="A102" s="22" t="s">
        <v>497</v>
      </c>
      <c r="B102" s="7"/>
      <c r="C102" s="7"/>
      <c r="D102" s="7"/>
      <c r="E102" s="7"/>
      <c r="F102" s="7"/>
      <c r="G102" s="7"/>
      <c r="H102" s="131"/>
      <c r="I102" s="7"/>
      <c r="J102" s="7"/>
      <c r="K102" s="7"/>
      <c r="L102" s="7"/>
      <c r="M102" s="7"/>
      <c r="N102" s="131"/>
      <c r="O102" s="7"/>
      <c r="P102" s="7"/>
      <c r="Q102" s="7"/>
      <c r="R102" s="7"/>
      <c r="S102" s="7"/>
      <c r="T102" s="7"/>
      <c r="U102" s="7"/>
      <c r="V102" s="7"/>
      <c r="W102" s="7"/>
      <c r="X102" s="7"/>
      <c r="Y102" s="7"/>
      <c r="Z102" s="158">
        <f>SUM(Q100:Z100)</f>
        <v>28038.794457870375</v>
      </c>
      <c r="AA102" s="7"/>
      <c r="AB102" s="7"/>
      <c r="AC102" s="7"/>
      <c r="AD102" s="7"/>
      <c r="AE102" s="7"/>
      <c r="AF102" s="7"/>
      <c r="AG102" s="7"/>
      <c r="AH102" s="7"/>
      <c r="AI102" s="7"/>
      <c r="AJ102" s="7"/>
      <c r="AK102" s="7"/>
      <c r="AL102" s="7"/>
      <c r="AM102" s="7"/>
      <c r="AN102" s="7"/>
      <c r="AO102" s="172"/>
    </row>
    <row r="103" spans="1:41" x14ac:dyDescent="0.8">
      <c r="A103" s="22"/>
      <c r="B103" s="7"/>
      <c r="C103" s="7"/>
      <c r="D103" s="7"/>
      <c r="E103" s="7"/>
      <c r="F103" s="7"/>
      <c r="G103" s="7"/>
      <c r="H103" s="131"/>
      <c r="I103" s="7"/>
      <c r="J103" s="7"/>
      <c r="K103" s="7"/>
      <c r="L103" s="7"/>
      <c r="M103" s="7"/>
      <c r="N103" s="13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172"/>
    </row>
    <row r="104" spans="1:41" x14ac:dyDescent="0.8">
      <c r="A104" s="22" t="s">
        <v>495</v>
      </c>
      <c r="B104" s="7"/>
      <c r="C104" s="7"/>
      <c r="D104" s="7"/>
      <c r="E104" s="7"/>
      <c r="F104" s="7"/>
      <c r="G104" s="7"/>
      <c r="H104" s="131"/>
      <c r="I104" s="7"/>
      <c r="J104" s="7"/>
      <c r="K104" s="7"/>
      <c r="L104" s="7"/>
      <c r="M104" s="7"/>
      <c r="N104" s="131"/>
      <c r="O104" s="7"/>
      <c r="P104" s="7"/>
      <c r="Q104" s="7"/>
      <c r="R104" s="213">
        <f t="shared" ref="R104:AA104" si="52">Q98</f>
        <v>9.9999999999999978E-2</v>
      </c>
      <c r="S104" s="213">
        <f t="shared" si="52"/>
        <v>0.19999999999999996</v>
      </c>
      <c r="T104" s="213">
        <f t="shared" si="52"/>
        <v>0.30000000000000004</v>
      </c>
      <c r="U104" s="213">
        <f t="shared" si="52"/>
        <v>0.4</v>
      </c>
      <c r="V104" s="213">
        <f t="shared" si="52"/>
        <v>0.5</v>
      </c>
      <c r="W104" s="213">
        <f t="shared" si="52"/>
        <v>0.6</v>
      </c>
      <c r="X104" s="213">
        <f t="shared" si="52"/>
        <v>0.7</v>
      </c>
      <c r="Y104" s="213">
        <f t="shared" si="52"/>
        <v>0.8</v>
      </c>
      <c r="Z104" s="213">
        <f t="shared" si="52"/>
        <v>0.9</v>
      </c>
      <c r="AA104" s="213">
        <f t="shared" si="52"/>
        <v>1</v>
      </c>
      <c r="AB104" s="7"/>
      <c r="AC104" s="7"/>
      <c r="AD104" s="7"/>
      <c r="AE104" s="7"/>
      <c r="AF104" s="7"/>
      <c r="AG104" s="7"/>
      <c r="AH104" s="7"/>
      <c r="AI104" s="7"/>
      <c r="AJ104" s="7"/>
      <c r="AK104" s="7"/>
      <c r="AL104" s="7"/>
      <c r="AM104" s="7"/>
      <c r="AN104" s="7"/>
      <c r="AO104" s="172"/>
    </row>
    <row r="105" spans="1:41" x14ac:dyDescent="0.8">
      <c r="A105" s="22" t="s">
        <v>496</v>
      </c>
      <c r="B105" s="7"/>
      <c r="C105" s="7"/>
      <c r="D105" s="7"/>
      <c r="E105" s="7"/>
      <c r="F105" s="7"/>
      <c r="G105" s="7"/>
      <c r="H105" s="131"/>
      <c r="I105" s="7"/>
      <c r="J105" s="7"/>
      <c r="K105" s="7"/>
      <c r="L105" s="7"/>
      <c r="M105" s="7"/>
      <c r="N105" s="131"/>
      <c r="O105" s="7"/>
      <c r="P105" s="7"/>
      <c r="Q105" s="7"/>
      <c r="R105" s="550">
        <f>R104*R$6</f>
        <v>2966.3028403069998</v>
      </c>
      <c r="S105" s="550">
        <f t="shared" ref="S105:AA105" si="53">S104*S$6</f>
        <v>6013.3247549073003</v>
      </c>
      <c r="T105" s="550">
        <f t="shared" si="53"/>
        <v>8507.1005174469265</v>
      </c>
      <c r="U105" s="550">
        <f t="shared" si="53"/>
        <v>11449.358376333959</v>
      </c>
      <c r="V105" s="550">
        <f t="shared" si="53"/>
        <v>13679.220098390682</v>
      </c>
      <c r="W105" s="550">
        <f t="shared" si="53"/>
        <v>16439.742144678581</v>
      </c>
      <c r="X105" s="550">
        <f t="shared" si="53"/>
        <v>18497.499467629801</v>
      </c>
      <c r="Y105" s="550">
        <f t="shared" si="53"/>
        <v>20522.829871139482</v>
      </c>
      <c r="Z105" s="550">
        <f t="shared" si="53"/>
        <v>22260.461165035675</v>
      </c>
      <c r="AA105" s="550">
        <f t="shared" si="53"/>
        <v>24000.666713072656</v>
      </c>
      <c r="AB105" s="7"/>
      <c r="AC105" s="7"/>
      <c r="AD105" s="7"/>
      <c r="AE105" s="7"/>
      <c r="AF105" s="7"/>
      <c r="AG105" s="7"/>
      <c r="AH105" s="7"/>
      <c r="AI105" s="7"/>
      <c r="AJ105" s="7"/>
      <c r="AK105" s="7"/>
      <c r="AL105" s="7"/>
      <c r="AM105" s="7"/>
      <c r="AN105" s="7"/>
      <c r="AO105" s="172"/>
    </row>
    <row r="106" spans="1:41" x14ac:dyDescent="0.8">
      <c r="A106" s="22" t="s">
        <v>361</v>
      </c>
      <c r="B106" s="7"/>
      <c r="C106" s="7"/>
      <c r="D106" s="7"/>
      <c r="E106" s="7"/>
      <c r="F106" s="7"/>
      <c r="G106" s="7"/>
      <c r="H106" s="131"/>
      <c r="I106" s="7"/>
      <c r="J106" s="7"/>
      <c r="K106" s="7"/>
      <c r="L106" s="7"/>
      <c r="M106" s="7"/>
      <c r="N106" s="131"/>
      <c r="O106" s="7"/>
      <c r="P106" s="7"/>
      <c r="Q106" s="7"/>
      <c r="R106" s="157">
        <f>1/$B$5*R$6</f>
        <v>2966.3028403070007</v>
      </c>
      <c r="S106" s="157">
        <f t="shared" ref="S106:AA106" si="54">1/$B$5*S$6</f>
        <v>3006.6623774536511</v>
      </c>
      <c r="T106" s="157">
        <f t="shared" si="54"/>
        <v>2835.700172482309</v>
      </c>
      <c r="U106" s="157">
        <f t="shared" si="54"/>
        <v>2862.3395940834898</v>
      </c>
      <c r="V106" s="157">
        <f t="shared" si="54"/>
        <v>2735.8440196781366</v>
      </c>
      <c r="W106" s="157">
        <f t="shared" si="54"/>
        <v>2739.9570241130973</v>
      </c>
      <c r="X106" s="157">
        <f t="shared" si="54"/>
        <v>2642.4999239471149</v>
      </c>
      <c r="Y106" s="157">
        <f t="shared" si="54"/>
        <v>2565.3537338924352</v>
      </c>
      <c r="Z106" s="157">
        <f t="shared" si="54"/>
        <v>2473.384573892853</v>
      </c>
      <c r="AA106" s="157">
        <f t="shared" si="54"/>
        <v>2400.0666713072656</v>
      </c>
      <c r="AB106" s="7"/>
      <c r="AC106" s="7"/>
      <c r="AD106" s="7"/>
      <c r="AE106" s="7"/>
      <c r="AF106" s="7"/>
      <c r="AG106" s="7"/>
      <c r="AH106" s="7"/>
      <c r="AI106" s="7"/>
      <c r="AJ106" s="7"/>
      <c r="AK106" s="7"/>
      <c r="AL106" s="7"/>
      <c r="AM106" s="7"/>
      <c r="AN106" s="7"/>
      <c r="AO106" s="172"/>
    </row>
    <row r="107" spans="1:41" x14ac:dyDescent="0.8">
      <c r="A107" s="22" t="s">
        <v>498</v>
      </c>
      <c r="B107" s="7"/>
      <c r="C107" s="7"/>
      <c r="D107" s="7"/>
      <c r="E107" s="7"/>
      <c r="F107" s="7"/>
      <c r="G107" s="7"/>
      <c r="H107" s="131"/>
      <c r="I107" s="7"/>
      <c r="J107" s="7"/>
      <c r="K107" s="7"/>
      <c r="L107" s="7"/>
      <c r="M107" s="7"/>
      <c r="N107" s="131"/>
      <c r="O107" s="7"/>
      <c r="P107" s="7"/>
      <c r="Q107" s="7"/>
      <c r="R107" s="7"/>
      <c r="S107" s="7"/>
      <c r="T107" s="7"/>
      <c r="U107" s="7"/>
      <c r="V107" s="7"/>
      <c r="W107" s="7"/>
      <c r="X107" s="7"/>
      <c r="Y107" s="7"/>
      <c r="Z107" s="7"/>
      <c r="AA107" s="550">
        <f>SUM(R105:AA105)</f>
        <v>144336.50594894207</v>
      </c>
      <c r="AB107" s="7"/>
      <c r="AC107" s="7"/>
      <c r="AD107" s="7"/>
      <c r="AE107" s="7"/>
      <c r="AF107" s="7"/>
      <c r="AG107" s="7"/>
      <c r="AH107" s="7"/>
      <c r="AI107" s="7"/>
      <c r="AJ107" s="7"/>
      <c r="AK107" s="7"/>
      <c r="AL107" s="7"/>
      <c r="AM107" s="7"/>
      <c r="AN107" s="7"/>
      <c r="AO107" s="172"/>
    </row>
    <row r="108" spans="1:41" x14ac:dyDescent="0.8">
      <c r="A108" s="22" t="s">
        <v>497</v>
      </c>
      <c r="B108" s="7"/>
      <c r="C108" s="7"/>
      <c r="D108" s="7"/>
      <c r="E108" s="7"/>
      <c r="F108" s="7"/>
      <c r="G108" s="7"/>
      <c r="H108" s="131"/>
      <c r="I108" s="7"/>
      <c r="J108" s="7"/>
      <c r="K108" s="7"/>
      <c r="L108" s="7"/>
      <c r="M108" s="7"/>
      <c r="N108" s="131"/>
      <c r="O108" s="7"/>
      <c r="P108" s="7"/>
      <c r="Q108" s="7"/>
      <c r="R108" s="7"/>
      <c r="S108" s="7"/>
      <c r="T108" s="7"/>
      <c r="U108" s="7"/>
      <c r="V108" s="7"/>
      <c r="W108" s="7"/>
      <c r="X108" s="7"/>
      <c r="Y108" s="7"/>
      <c r="Z108" s="7"/>
      <c r="AA108" s="158">
        <f>SUM(R106:AA106)</f>
        <v>27228.110931157353</v>
      </c>
      <c r="AB108" s="7"/>
      <c r="AC108" s="7"/>
      <c r="AD108" s="7"/>
      <c r="AE108" s="7"/>
      <c r="AF108" s="7"/>
      <c r="AG108" s="7"/>
      <c r="AH108" s="7"/>
      <c r="AI108" s="7"/>
      <c r="AJ108" s="7"/>
      <c r="AK108" s="7"/>
      <c r="AL108" s="7"/>
      <c r="AM108" s="7"/>
      <c r="AN108" s="7"/>
      <c r="AO108" s="172"/>
    </row>
    <row r="109" spans="1:41" x14ac:dyDescent="0.8">
      <c r="A109" s="22"/>
      <c r="B109" s="7"/>
      <c r="C109" s="7"/>
      <c r="D109" s="7"/>
      <c r="E109" s="7"/>
      <c r="F109" s="7"/>
      <c r="G109" s="7"/>
      <c r="H109" s="131"/>
      <c r="I109" s="7"/>
      <c r="J109" s="7"/>
      <c r="K109" s="7"/>
      <c r="L109" s="7"/>
      <c r="M109" s="7"/>
      <c r="N109" s="13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172"/>
    </row>
    <row r="110" spans="1:41" x14ac:dyDescent="0.8">
      <c r="A110" s="22" t="s">
        <v>495</v>
      </c>
      <c r="B110" s="7"/>
      <c r="C110" s="7"/>
      <c r="D110" s="7"/>
      <c r="E110" s="7"/>
      <c r="F110" s="7"/>
      <c r="G110" s="7"/>
      <c r="H110" s="131"/>
      <c r="I110" s="7"/>
      <c r="J110" s="7"/>
      <c r="K110" s="7"/>
      <c r="L110" s="7"/>
      <c r="M110" s="7"/>
      <c r="N110" s="131"/>
      <c r="O110" s="7"/>
      <c r="P110" s="7"/>
      <c r="Q110" s="7"/>
      <c r="R110" s="7"/>
      <c r="S110" s="213">
        <f t="shared" ref="S110:AB110" si="55">R104</f>
        <v>9.9999999999999978E-2</v>
      </c>
      <c r="T110" s="213">
        <f t="shared" si="55"/>
        <v>0.19999999999999996</v>
      </c>
      <c r="U110" s="213">
        <f t="shared" si="55"/>
        <v>0.30000000000000004</v>
      </c>
      <c r="V110" s="213">
        <f t="shared" si="55"/>
        <v>0.4</v>
      </c>
      <c r="W110" s="213">
        <f t="shared" si="55"/>
        <v>0.5</v>
      </c>
      <c r="X110" s="213">
        <f t="shared" si="55"/>
        <v>0.6</v>
      </c>
      <c r="Y110" s="213">
        <f t="shared" si="55"/>
        <v>0.7</v>
      </c>
      <c r="Z110" s="213">
        <f t="shared" si="55"/>
        <v>0.8</v>
      </c>
      <c r="AA110" s="213">
        <f t="shared" si="55"/>
        <v>0.9</v>
      </c>
      <c r="AB110" s="213">
        <f t="shared" si="55"/>
        <v>1</v>
      </c>
      <c r="AC110" s="7"/>
      <c r="AD110" s="7"/>
      <c r="AE110" s="7"/>
      <c r="AF110" s="7"/>
      <c r="AG110" s="7"/>
      <c r="AH110" s="7"/>
      <c r="AI110" s="7"/>
      <c r="AJ110" s="7"/>
      <c r="AK110" s="7"/>
      <c r="AL110" s="7"/>
      <c r="AM110" s="7"/>
      <c r="AN110" s="7"/>
      <c r="AO110" s="172"/>
    </row>
    <row r="111" spans="1:41" x14ac:dyDescent="0.8">
      <c r="A111" s="22" t="s">
        <v>496</v>
      </c>
      <c r="B111" s="7"/>
      <c r="C111" s="7"/>
      <c r="D111" s="7"/>
      <c r="E111" s="7"/>
      <c r="F111" s="7"/>
      <c r="G111" s="7"/>
      <c r="H111" s="131"/>
      <c r="I111" s="7"/>
      <c r="J111" s="7"/>
      <c r="K111" s="7"/>
      <c r="L111" s="7"/>
      <c r="M111" s="7"/>
      <c r="N111" s="131"/>
      <c r="O111" s="7"/>
      <c r="P111" s="7"/>
      <c r="Q111" s="7"/>
      <c r="R111" s="7"/>
      <c r="S111" s="550">
        <f>S110*S$6</f>
        <v>3006.6623774536502</v>
      </c>
      <c r="T111" s="550">
        <f t="shared" ref="T111:AB111" si="56">T110*T$6</f>
        <v>5671.4003449646161</v>
      </c>
      <c r="U111" s="550">
        <f t="shared" si="56"/>
        <v>8587.0187822504704</v>
      </c>
      <c r="V111" s="550">
        <f t="shared" si="56"/>
        <v>10943.376078712547</v>
      </c>
      <c r="W111" s="550">
        <f t="shared" si="56"/>
        <v>13699.785120565486</v>
      </c>
      <c r="X111" s="550">
        <f t="shared" si="56"/>
        <v>15854.999543682688</v>
      </c>
      <c r="Y111" s="550">
        <f t="shared" si="56"/>
        <v>17957.476137247046</v>
      </c>
      <c r="Z111" s="550">
        <f t="shared" si="56"/>
        <v>19787.076591142824</v>
      </c>
      <c r="AA111" s="550">
        <f t="shared" si="56"/>
        <v>21600.600041765392</v>
      </c>
      <c r="AB111" s="550">
        <f t="shared" si="56"/>
        <v>23181.140530598193</v>
      </c>
      <c r="AC111" s="7"/>
      <c r="AD111" s="7"/>
      <c r="AE111" s="7"/>
      <c r="AF111" s="7"/>
      <c r="AG111" s="7"/>
      <c r="AH111" s="7"/>
      <c r="AI111" s="7"/>
      <c r="AJ111" s="7"/>
      <c r="AK111" s="7"/>
      <c r="AL111" s="7"/>
      <c r="AM111" s="7"/>
      <c r="AN111" s="7"/>
      <c r="AO111" s="172"/>
    </row>
    <row r="112" spans="1:41" x14ac:dyDescent="0.8">
      <c r="A112" s="22" t="s">
        <v>361</v>
      </c>
      <c r="B112" s="7"/>
      <c r="C112" s="7"/>
      <c r="D112" s="7"/>
      <c r="E112" s="7"/>
      <c r="F112" s="7"/>
      <c r="G112" s="7"/>
      <c r="H112" s="131"/>
      <c r="I112" s="7"/>
      <c r="J112" s="7"/>
      <c r="K112" s="7"/>
      <c r="L112" s="7"/>
      <c r="M112" s="7"/>
      <c r="N112" s="131"/>
      <c r="O112" s="7"/>
      <c r="P112" s="7"/>
      <c r="Q112" s="7"/>
      <c r="R112" s="7"/>
      <c r="S112" s="157">
        <f>1/$B$5*S$6</f>
        <v>3006.6623774536511</v>
      </c>
      <c r="T112" s="157">
        <f t="shared" ref="T112:AB112" si="57">1/$B$5*T$6</f>
        <v>2835.700172482309</v>
      </c>
      <c r="U112" s="157">
        <f t="shared" si="57"/>
        <v>2862.3395940834898</v>
      </c>
      <c r="V112" s="157">
        <f t="shared" si="57"/>
        <v>2735.8440196781366</v>
      </c>
      <c r="W112" s="157">
        <f t="shared" si="57"/>
        <v>2739.9570241130973</v>
      </c>
      <c r="X112" s="157">
        <f t="shared" si="57"/>
        <v>2642.4999239471149</v>
      </c>
      <c r="Y112" s="157">
        <f t="shared" si="57"/>
        <v>2565.3537338924352</v>
      </c>
      <c r="Z112" s="157">
        <f t="shared" si="57"/>
        <v>2473.384573892853</v>
      </c>
      <c r="AA112" s="157">
        <f t="shared" si="57"/>
        <v>2400.0666713072656</v>
      </c>
      <c r="AB112" s="157">
        <f t="shared" si="57"/>
        <v>2318.1140530598195</v>
      </c>
      <c r="AC112" s="7"/>
      <c r="AD112" s="7"/>
      <c r="AE112" s="7"/>
      <c r="AF112" s="7"/>
      <c r="AG112" s="7"/>
      <c r="AH112" s="7"/>
      <c r="AI112" s="7"/>
      <c r="AJ112" s="7"/>
      <c r="AK112" s="7"/>
      <c r="AL112" s="7"/>
      <c r="AM112" s="7"/>
      <c r="AN112" s="7"/>
      <c r="AO112" s="172"/>
    </row>
    <row r="113" spans="1:41" x14ac:dyDescent="0.8">
      <c r="A113" s="22" t="s">
        <v>498</v>
      </c>
      <c r="B113" s="7"/>
      <c r="C113" s="7"/>
      <c r="D113" s="7"/>
      <c r="E113" s="7"/>
      <c r="F113" s="7"/>
      <c r="G113" s="7"/>
      <c r="H113" s="131"/>
      <c r="I113" s="7"/>
      <c r="J113" s="7"/>
      <c r="K113" s="7"/>
      <c r="L113" s="7"/>
      <c r="M113" s="7"/>
      <c r="N113" s="131"/>
      <c r="O113" s="7"/>
      <c r="P113" s="7"/>
      <c r="Q113" s="7"/>
      <c r="R113" s="7"/>
      <c r="S113" s="7"/>
      <c r="T113" s="7"/>
      <c r="U113" s="7"/>
      <c r="V113" s="7"/>
      <c r="W113" s="7"/>
      <c r="X113" s="7"/>
      <c r="Y113" s="7"/>
      <c r="Z113" s="7"/>
      <c r="AA113" s="7"/>
      <c r="AB113" s="550">
        <f>SUM(S111:AB111)</f>
        <v>140289.53554838293</v>
      </c>
      <c r="AC113" s="7"/>
      <c r="AD113" s="7"/>
      <c r="AE113" s="7"/>
      <c r="AF113" s="7"/>
      <c r="AG113" s="7"/>
      <c r="AH113" s="7"/>
      <c r="AI113" s="7"/>
      <c r="AJ113" s="7"/>
      <c r="AK113" s="7"/>
      <c r="AL113" s="7"/>
      <c r="AM113" s="7"/>
      <c r="AN113" s="7"/>
      <c r="AO113" s="172"/>
    </row>
    <row r="114" spans="1:41" x14ac:dyDescent="0.8">
      <c r="A114" s="22" t="s">
        <v>497</v>
      </c>
      <c r="B114" s="7"/>
      <c r="C114" s="7"/>
      <c r="D114" s="7"/>
      <c r="E114" s="7"/>
      <c r="F114" s="7"/>
      <c r="G114" s="7"/>
      <c r="H114" s="131"/>
      <c r="I114" s="7"/>
      <c r="J114" s="7"/>
      <c r="K114" s="7"/>
      <c r="L114" s="7"/>
      <c r="M114" s="7"/>
      <c r="N114" s="131"/>
      <c r="O114" s="7"/>
      <c r="P114" s="7"/>
      <c r="Q114" s="7"/>
      <c r="R114" s="7"/>
      <c r="S114" s="7"/>
      <c r="T114" s="7"/>
      <c r="U114" s="7"/>
      <c r="V114" s="7"/>
      <c r="W114" s="7"/>
      <c r="X114" s="7"/>
      <c r="Y114" s="7"/>
      <c r="Z114" s="7"/>
      <c r="AA114" s="7"/>
      <c r="AB114" s="158">
        <f>SUM(S112:AB112)</f>
        <v>26579.922143910175</v>
      </c>
      <c r="AC114" s="7"/>
      <c r="AD114" s="7"/>
      <c r="AE114" s="7"/>
      <c r="AF114" s="7"/>
      <c r="AG114" s="7"/>
      <c r="AH114" s="7"/>
      <c r="AI114" s="7"/>
      <c r="AJ114" s="7"/>
      <c r="AK114" s="7"/>
      <c r="AL114" s="7"/>
      <c r="AM114" s="7"/>
      <c r="AN114" s="7"/>
      <c r="AO114" s="172"/>
    </row>
    <row r="115" spans="1:41" x14ac:dyDescent="0.8">
      <c r="A115" s="22"/>
      <c r="B115" s="7"/>
      <c r="C115" s="7"/>
      <c r="D115" s="7"/>
      <c r="E115" s="7"/>
      <c r="F115" s="7"/>
      <c r="G115" s="7"/>
      <c r="H115" s="131"/>
      <c r="I115" s="7"/>
      <c r="J115" s="7"/>
      <c r="K115" s="7"/>
      <c r="L115" s="7"/>
      <c r="M115" s="7"/>
      <c r="N115" s="13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172"/>
    </row>
    <row r="116" spans="1:41" x14ac:dyDescent="0.8">
      <c r="A116" s="22" t="s">
        <v>495</v>
      </c>
      <c r="B116" s="7"/>
      <c r="C116" s="7"/>
      <c r="D116" s="7"/>
      <c r="E116" s="7"/>
      <c r="F116" s="7"/>
      <c r="G116" s="7"/>
      <c r="H116" s="131"/>
      <c r="I116" s="7"/>
      <c r="J116" s="7"/>
      <c r="K116" s="7"/>
      <c r="L116" s="7"/>
      <c r="M116" s="7"/>
      <c r="N116" s="131"/>
      <c r="O116" s="7"/>
      <c r="P116" s="7"/>
      <c r="Q116" s="7"/>
      <c r="R116" s="7"/>
      <c r="S116" s="7"/>
      <c r="T116" s="213">
        <f t="shared" ref="T116:AC116" si="58">S110</f>
        <v>9.9999999999999978E-2</v>
      </c>
      <c r="U116" s="213">
        <f t="shared" si="58"/>
        <v>0.19999999999999996</v>
      </c>
      <c r="V116" s="213">
        <f t="shared" si="58"/>
        <v>0.30000000000000004</v>
      </c>
      <c r="W116" s="213">
        <f t="shared" si="58"/>
        <v>0.4</v>
      </c>
      <c r="X116" s="213">
        <f t="shared" si="58"/>
        <v>0.5</v>
      </c>
      <c r="Y116" s="213">
        <f t="shared" si="58"/>
        <v>0.6</v>
      </c>
      <c r="Z116" s="213">
        <f t="shared" si="58"/>
        <v>0.7</v>
      </c>
      <c r="AA116" s="213">
        <f t="shared" si="58"/>
        <v>0.8</v>
      </c>
      <c r="AB116" s="213">
        <f t="shared" si="58"/>
        <v>0.9</v>
      </c>
      <c r="AC116" s="213">
        <f t="shared" si="58"/>
        <v>1</v>
      </c>
      <c r="AD116" s="7"/>
      <c r="AE116" s="7"/>
      <c r="AF116" s="7"/>
      <c r="AG116" s="7"/>
      <c r="AH116" s="7"/>
      <c r="AI116" s="7"/>
      <c r="AJ116" s="7"/>
      <c r="AK116" s="7"/>
      <c r="AL116" s="7"/>
      <c r="AM116" s="7"/>
      <c r="AN116" s="7"/>
      <c r="AO116" s="172"/>
    </row>
    <row r="117" spans="1:41" x14ac:dyDescent="0.8">
      <c r="A117" s="22" t="s">
        <v>496</v>
      </c>
      <c r="B117" s="7"/>
      <c r="C117" s="7"/>
      <c r="D117" s="7"/>
      <c r="E117" s="7"/>
      <c r="F117" s="7"/>
      <c r="G117" s="7"/>
      <c r="H117" s="131"/>
      <c r="I117" s="7"/>
      <c r="J117" s="7"/>
      <c r="K117" s="7"/>
      <c r="L117" s="7"/>
      <c r="M117" s="7"/>
      <c r="N117" s="131"/>
      <c r="O117" s="7"/>
      <c r="P117" s="7"/>
      <c r="Q117" s="7"/>
      <c r="R117" s="7"/>
      <c r="S117" s="7"/>
      <c r="T117" s="550">
        <f>T116*T$6</f>
        <v>2835.7001724823081</v>
      </c>
      <c r="U117" s="550">
        <f t="shared" ref="U117:AC117" si="59">U116*U$6</f>
        <v>5724.6791881669778</v>
      </c>
      <c r="V117" s="550">
        <f t="shared" si="59"/>
        <v>8207.5320590344108</v>
      </c>
      <c r="W117" s="550">
        <f t="shared" si="59"/>
        <v>10959.828096452389</v>
      </c>
      <c r="X117" s="550">
        <f t="shared" si="59"/>
        <v>13212.499619735574</v>
      </c>
      <c r="Y117" s="550">
        <f t="shared" si="59"/>
        <v>15392.12240335461</v>
      </c>
      <c r="Z117" s="550">
        <f t="shared" si="59"/>
        <v>17313.69201724997</v>
      </c>
      <c r="AA117" s="550">
        <f t="shared" si="59"/>
        <v>19200.533370458124</v>
      </c>
      <c r="AB117" s="550">
        <f t="shared" si="59"/>
        <v>20863.026477538373</v>
      </c>
      <c r="AC117" s="550">
        <f t="shared" si="59"/>
        <v>22492.87315579777</v>
      </c>
      <c r="AD117" s="7"/>
      <c r="AE117" s="7"/>
      <c r="AF117" s="7"/>
      <c r="AG117" s="7"/>
      <c r="AH117" s="7"/>
      <c r="AI117" s="7"/>
      <c r="AJ117" s="7"/>
      <c r="AK117" s="7"/>
      <c r="AL117" s="7"/>
      <c r="AM117" s="7"/>
      <c r="AN117" s="7"/>
      <c r="AO117" s="172"/>
    </row>
    <row r="118" spans="1:41" x14ac:dyDescent="0.8">
      <c r="A118" s="22" t="s">
        <v>361</v>
      </c>
      <c r="B118" s="7"/>
      <c r="C118" s="7"/>
      <c r="D118" s="7"/>
      <c r="E118" s="7"/>
      <c r="F118" s="7"/>
      <c r="G118" s="7"/>
      <c r="H118" s="131"/>
      <c r="I118" s="7"/>
      <c r="J118" s="7"/>
      <c r="K118" s="7"/>
      <c r="L118" s="7"/>
      <c r="M118" s="7"/>
      <c r="N118" s="131"/>
      <c r="O118" s="7"/>
      <c r="P118" s="7"/>
      <c r="Q118" s="7"/>
      <c r="R118" s="7"/>
      <c r="S118" s="7"/>
      <c r="T118" s="157">
        <f>1/$B$5*T$6</f>
        <v>2835.700172482309</v>
      </c>
      <c r="U118" s="157">
        <f t="shared" ref="U118:AC118" si="60">1/$B$5*U$6</f>
        <v>2862.3395940834898</v>
      </c>
      <c r="V118" s="157">
        <f t="shared" si="60"/>
        <v>2735.8440196781366</v>
      </c>
      <c r="W118" s="157">
        <f t="shared" si="60"/>
        <v>2739.9570241130973</v>
      </c>
      <c r="X118" s="157">
        <f t="shared" si="60"/>
        <v>2642.4999239471149</v>
      </c>
      <c r="Y118" s="157">
        <f t="shared" si="60"/>
        <v>2565.3537338924352</v>
      </c>
      <c r="Z118" s="157">
        <f t="shared" si="60"/>
        <v>2473.384573892853</v>
      </c>
      <c r="AA118" s="157">
        <f t="shared" si="60"/>
        <v>2400.0666713072656</v>
      </c>
      <c r="AB118" s="157">
        <f t="shared" si="60"/>
        <v>2318.1140530598195</v>
      </c>
      <c r="AC118" s="157">
        <f t="shared" si="60"/>
        <v>2249.287315579777</v>
      </c>
      <c r="AD118" s="7"/>
      <c r="AE118" s="7"/>
      <c r="AF118" s="7"/>
      <c r="AG118" s="7"/>
      <c r="AH118" s="7"/>
      <c r="AI118" s="7"/>
      <c r="AJ118" s="7"/>
      <c r="AK118" s="7"/>
      <c r="AL118" s="7"/>
      <c r="AM118" s="7"/>
      <c r="AN118" s="7"/>
      <c r="AO118" s="172"/>
    </row>
    <row r="119" spans="1:41" x14ac:dyDescent="0.8">
      <c r="A119" s="22" t="s">
        <v>498</v>
      </c>
      <c r="B119" s="7"/>
      <c r="C119" s="7"/>
      <c r="D119" s="7"/>
      <c r="E119" s="7"/>
      <c r="F119" s="7"/>
      <c r="G119" s="7"/>
      <c r="H119" s="131"/>
      <c r="I119" s="7"/>
      <c r="J119" s="7"/>
      <c r="K119" s="7"/>
      <c r="L119" s="7"/>
      <c r="M119" s="7"/>
      <c r="N119" s="131"/>
      <c r="O119" s="7"/>
      <c r="P119" s="7"/>
      <c r="Q119" s="7"/>
      <c r="R119" s="7"/>
      <c r="S119" s="7"/>
      <c r="T119" s="7"/>
      <c r="U119" s="7"/>
      <c r="V119" s="7"/>
      <c r="W119" s="7"/>
      <c r="X119" s="7"/>
      <c r="Y119" s="7"/>
      <c r="Z119" s="7"/>
      <c r="AA119" s="7"/>
      <c r="AB119" s="7"/>
      <c r="AC119" s="550">
        <f>SUM(T117:AC117)</f>
        <v>136202.48656027051</v>
      </c>
      <c r="AD119" s="7"/>
      <c r="AE119" s="7"/>
      <c r="AF119" s="7"/>
      <c r="AG119" s="7"/>
      <c r="AH119" s="7"/>
      <c r="AI119" s="7"/>
      <c r="AJ119" s="7"/>
      <c r="AK119" s="7"/>
      <c r="AL119" s="7"/>
      <c r="AM119" s="7"/>
      <c r="AN119" s="7"/>
      <c r="AO119" s="172"/>
    </row>
    <row r="120" spans="1:41" x14ac:dyDescent="0.8">
      <c r="A120" s="22" t="s">
        <v>497</v>
      </c>
      <c r="B120" s="7"/>
      <c r="C120" s="7"/>
      <c r="D120" s="7"/>
      <c r="E120" s="7"/>
      <c r="F120" s="7"/>
      <c r="G120" s="7"/>
      <c r="H120" s="131"/>
      <c r="I120" s="7"/>
      <c r="J120" s="7"/>
      <c r="K120" s="7"/>
      <c r="L120" s="7"/>
      <c r="M120" s="7"/>
      <c r="N120" s="131"/>
      <c r="O120" s="7"/>
      <c r="P120" s="7"/>
      <c r="Q120" s="7"/>
      <c r="R120" s="7"/>
      <c r="S120" s="7"/>
      <c r="T120" s="7"/>
      <c r="U120" s="7"/>
      <c r="V120" s="7"/>
      <c r="W120" s="7"/>
      <c r="X120" s="7"/>
      <c r="Y120" s="7"/>
      <c r="Z120" s="7"/>
      <c r="AA120" s="7"/>
      <c r="AB120" s="7"/>
      <c r="AC120" s="158">
        <f>SUM(T118:AC118)</f>
        <v>25822.547082036297</v>
      </c>
      <c r="AD120" s="7"/>
      <c r="AE120" s="7"/>
      <c r="AF120" s="7"/>
      <c r="AG120" s="7"/>
      <c r="AH120" s="7"/>
      <c r="AI120" s="7"/>
      <c r="AJ120" s="7"/>
      <c r="AK120" s="7"/>
      <c r="AL120" s="7"/>
      <c r="AM120" s="7"/>
      <c r="AN120" s="7"/>
      <c r="AO120" s="172"/>
    </row>
    <row r="121" spans="1:41" x14ac:dyDescent="0.8">
      <c r="A121" s="22"/>
      <c r="B121" s="7"/>
      <c r="C121" s="7"/>
      <c r="D121" s="7"/>
      <c r="E121" s="7"/>
      <c r="F121" s="7"/>
      <c r="G121" s="7"/>
      <c r="H121" s="131"/>
      <c r="I121" s="7"/>
      <c r="J121" s="7"/>
      <c r="K121" s="7"/>
      <c r="L121" s="7"/>
      <c r="M121" s="7"/>
      <c r="N121" s="13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172"/>
    </row>
    <row r="122" spans="1:41" x14ac:dyDescent="0.8">
      <c r="A122" s="22" t="s">
        <v>495</v>
      </c>
      <c r="B122" s="7"/>
      <c r="C122" s="7"/>
      <c r="D122" s="7"/>
      <c r="E122" s="7"/>
      <c r="F122" s="7"/>
      <c r="G122" s="7"/>
      <c r="H122" s="131"/>
      <c r="I122" s="7"/>
      <c r="J122" s="7"/>
      <c r="K122" s="7"/>
      <c r="L122" s="7"/>
      <c r="M122" s="7"/>
      <c r="N122" s="131"/>
      <c r="O122" s="7"/>
      <c r="P122" s="7"/>
      <c r="Q122" s="7"/>
      <c r="R122" s="7"/>
      <c r="S122" s="7"/>
      <c r="T122" s="7"/>
      <c r="U122" s="213">
        <f t="shared" ref="U122:AD122" si="61">T116</f>
        <v>9.9999999999999978E-2</v>
      </c>
      <c r="V122" s="213">
        <f t="shared" si="61"/>
        <v>0.19999999999999996</v>
      </c>
      <c r="W122" s="213">
        <f t="shared" si="61"/>
        <v>0.30000000000000004</v>
      </c>
      <c r="X122" s="213">
        <f t="shared" si="61"/>
        <v>0.4</v>
      </c>
      <c r="Y122" s="213">
        <f t="shared" si="61"/>
        <v>0.5</v>
      </c>
      <c r="Z122" s="213">
        <f t="shared" si="61"/>
        <v>0.6</v>
      </c>
      <c r="AA122" s="213">
        <f t="shared" si="61"/>
        <v>0.7</v>
      </c>
      <c r="AB122" s="213">
        <f t="shared" si="61"/>
        <v>0.8</v>
      </c>
      <c r="AC122" s="213">
        <f t="shared" si="61"/>
        <v>0.9</v>
      </c>
      <c r="AD122" s="213">
        <f t="shared" si="61"/>
        <v>1</v>
      </c>
      <c r="AE122" s="7"/>
      <c r="AF122" s="7"/>
      <c r="AG122" s="7"/>
      <c r="AH122" s="7"/>
      <c r="AI122" s="7"/>
      <c r="AJ122" s="7"/>
      <c r="AK122" s="7"/>
      <c r="AL122" s="7"/>
      <c r="AM122" s="7"/>
      <c r="AN122" s="7"/>
      <c r="AO122" s="172"/>
    </row>
    <row r="123" spans="1:41" x14ac:dyDescent="0.8">
      <c r="A123" s="22" t="s">
        <v>496</v>
      </c>
      <c r="B123" s="7"/>
      <c r="C123" s="7"/>
      <c r="D123" s="7"/>
      <c r="E123" s="7"/>
      <c r="F123" s="7"/>
      <c r="G123" s="7"/>
      <c r="H123" s="131"/>
      <c r="I123" s="7"/>
      <c r="J123" s="7"/>
      <c r="K123" s="7"/>
      <c r="L123" s="7"/>
      <c r="M123" s="7"/>
      <c r="N123" s="131"/>
      <c r="O123" s="7"/>
      <c r="P123" s="7"/>
      <c r="Q123" s="7"/>
      <c r="R123" s="7"/>
      <c r="S123" s="7"/>
      <c r="T123" s="7"/>
      <c r="U123" s="550">
        <f>U122*U$6</f>
        <v>2862.3395940834889</v>
      </c>
      <c r="V123" s="550">
        <f t="shared" ref="V123:AD123" si="62">V122*V$6</f>
        <v>5471.6880393562715</v>
      </c>
      <c r="W123" s="550">
        <f t="shared" si="62"/>
        <v>8219.8710723392924</v>
      </c>
      <c r="X123" s="550">
        <f t="shared" si="62"/>
        <v>10569.99969578846</v>
      </c>
      <c r="Y123" s="550">
        <f t="shared" si="62"/>
        <v>12826.768669462175</v>
      </c>
      <c r="Z123" s="550">
        <f t="shared" si="62"/>
        <v>14840.307443357116</v>
      </c>
      <c r="AA123" s="550">
        <f t="shared" si="62"/>
        <v>16800.46669915086</v>
      </c>
      <c r="AB123" s="550">
        <f t="shared" si="62"/>
        <v>18544.912424478556</v>
      </c>
      <c r="AC123" s="550">
        <f t="shared" si="62"/>
        <v>20243.585840217995</v>
      </c>
      <c r="AD123" s="550">
        <f t="shared" si="62"/>
        <v>21757.714813945291</v>
      </c>
      <c r="AE123" s="7"/>
      <c r="AF123" s="7"/>
      <c r="AG123" s="7"/>
      <c r="AH123" s="7"/>
      <c r="AI123" s="7"/>
      <c r="AJ123" s="7"/>
      <c r="AK123" s="7"/>
      <c r="AL123" s="7"/>
      <c r="AM123" s="7"/>
      <c r="AN123" s="7"/>
      <c r="AO123" s="172"/>
    </row>
    <row r="124" spans="1:41" x14ac:dyDescent="0.8">
      <c r="A124" s="22" t="s">
        <v>361</v>
      </c>
      <c r="B124" s="7"/>
      <c r="C124" s="7"/>
      <c r="D124" s="7"/>
      <c r="E124" s="7"/>
      <c r="F124" s="7"/>
      <c r="G124" s="7"/>
      <c r="H124" s="131"/>
      <c r="I124" s="7"/>
      <c r="J124" s="7"/>
      <c r="K124" s="7"/>
      <c r="L124" s="7"/>
      <c r="M124" s="7"/>
      <c r="N124" s="131"/>
      <c r="O124" s="7"/>
      <c r="P124" s="7"/>
      <c r="Q124" s="7"/>
      <c r="R124" s="7"/>
      <c r="S124" s="7"/>
      <c r="T124" s="7"/>
      <c r="U124" s="157">
        <f>1/$B$5*U$6</f>
        <v>2862.3395940834898</v>
      </c>
      <c r="V124" s="157">
        <f t="shared" ref="V124:AD124" si="63">1/$B$5*V$6</f>
        <v>2735.8440196781366</v>
      </c>
      <c r="W124" s="157">
        <f t="shared" si="63"/>
        <v>2739.9570241130973</v>
      </c>
      <c r="X124" s="157">
        <f t="shared" si="63"/>
        <v>2642.4999239471149</v>
      </c>
      <c r="Y124" s="157">
        <f t="shared" si="63"/>
        <v>2565.3537338924352</v>
      </c>
      <c r="Z124" s="157">
        <f t="shared" si="63"/>
        <v>2473.384573892853</v>
      </c>
      <c r="AA124" s="157">
        <f t="shared" si="63"/>
        <v>2400.0666713072656</v>
      </c>
      <c r="AB124" s="157">
        <f t="shared" si="63"/>
        <v>2318.1140530598195</v>
      </c>
      <c r="AC124" s="157">
        <f t="shared" si="63"/>
        <v>2249.287315579777</v>
      </c>
      <c r="AD124" s="157">
        <f t="shared" si="63"/>
        <v>2175.771481394529</v>
      </c>
      <c r="AE124" s="7"/>
      <c r="AF124" s="7"/>
      <c r="AG124" s="7"/>
      <c r="AH124" s="7"/>
      <c r="AI124" s="7"/>
      <c r="AJ124" s="7"/>
      <c r="AK124" s="7"/>
      <c r="AL124" s="7"/>
      <c r="AM124" s="7"/>
      <c r="AN124" s="7"/>
      <c r="AO124" s="172"/>
    </row>
    <row r="125" spans="1:41" x14ac:dyDescent="0.8">
      <c r="A125" s="22" t="s">
        <v>498</v>
      </c>
      <c r="B125" s="7"/>
      <c r="C125" s="7"/>
      <c r="D125" s="7"/>
      <c r="E125" s="7"/>
      <c r="F125" s="7"/>
      <c r="G125" s="7"/>
      <c r="H125" s="131"/>
      <c r="I125" s="7"/>
      <c r="J125" s="7"/>
      <c r="K125" s="7"/>
      <c r="L125" s="7"/>
      <c r="M125" s="7"/>
      <c r="N125" s="131"/>
      <c r="O125" s="7"/>
      <c r="P125" s="7"/>
      <c r="Q125" s="7"/>
      <c r="R125" s="7"/>
      <c r="S125" s="7"/>
      <c r="T125" s="7"/>
      <c r="U125" s="7"/>
      <c r="V125" s="7"/>
      <c r="W125" s="7"/>
      <c r="X125" s="7"/>
      <c r="Y125" s="7"/>
      <c r="Z125" s="7"/>
      <c r="AA125" s="7"/>
      <c r="AB125" s="7"/>
      <c r="AC125" s="7"/>
      <c r="AD125" s="550">
        <f>SUM(U123:AD123)</f>
        <v>132137.6542921795</v>
      </c>
      <c r="AE125" s="7"/>
      <c r="AF125" s="7"/>
      <c r="AG125" s="7"/>
      <c r="AH125" s="7"/>
      <c r="AI125" s="7"/>
      <c r="AJ125" s="7"/>
      <c r="AK125" s="7"/>
      <c r="AL125" s="7"/>
      <c r="AM125" s="7"/>
      <c r="AN125" s="7"/>
      <c r="AO125" s="172"/>
    </row>
    <row r="126" spans="1:41" x14ac:dyDescent="0.8">
      <c r="A126" s="22" t="s">
        <v>497</v>
      </c>
      <c r="B126" s="7"/>
      <c r="C126" s="7"/>
      <c r="D126" s="7"/>
      <c r="E126" s="7"/>
      <c r="F126" s="7"/>
      <c r="G126" s="7"/>
      <c r="H126" s="131"/>
      <c r="I126" s="7"/>
      <c r="J126" s="7"/>
      <c r="K126" s="7"/>
      <c r="L126" s="7"/>
      <c r="M126" s="7"/>
      <c r="N126" s="131"/>
      <c r="O126" s="7"/>
      <c r="P126" s="7"/>
      <c r="Q126" s="7"/>
      <c r="R126" s="7"/>
      <c r="S126" s="7"/>
      <c r="T126" s="7"/>
      <c r="U126" s="7"/>
      <c r="V126" s="7"/>
      <c r="W126" s="7"/>
      <c r="X126" s="7"/>
      <c r="Y126" s="7"/>
      <c r="Z126" s="7"/>
      <c r="AA126" s="7"/>
      <c r="AB126" s="7"/>
      <c r="AC126" s="7"/>
      <c r="AD126" s="158">
        <f>SUM(U124:AD124)</f>
        <v>25162.618390948519</v>
      </c>
      <c r="AE126" s="7"/>
      <c r="AF126" s="7"/>
      <c r="AG126" s="7"/>
      <c r="AH126" s="7"/>
      <c r="AI126" s="7"/>
      <c r="AJ126" s="7"/>
      <c r="AK126" s="7"/>
      <c r="AL126" s="7"/>
      <c r="AM126" s="7"/>
      <c r="AN126" s="7"/>
      <c r="AO126" s="172"/>
    </row>
    <row r="127" spans="1:41" x14ac:dyDescent="0.8">
      <c r="A127" s="22"/>
      <c r="B127" s="7"/>
      <c r="C127" s="7"/>
      <c r="D127" s="7"/>
      <c r="E127" s="7"/>
      <c r="F127" s="7"/>
      <c r="G127" s="7"/>
      <c r="H127" s="131"/>
      <c r="I127" s="7"/>
      <c r="J127" s="7"/>
      <c r="K127" s="7"/>
      <c r="L127" s="7"/>
      <c r="M127" s="7"/>
      <c r="N127" s="13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172"/>
    </row>
    <row r="128" spans="1:41" x14ac:dyDescent="0.8">
      <c r="A128" s="22" t="s">
        <v>495</v>
      </c>
      <c r="B128" s="7"/>
      <c r="C128" s="7"/>
      <c r="D128" s="7"/>
      <c r="E128" s="7"/>
      <c r="F128" s="7"/>
      <c r="G128" s="7"/>
      <c r="H128" s="131"/>
      <c r="I128" s="7"/>
      <c r="J128" s="7"/>
      <c r="K128" s="7"/>
      <c r="L128" s="7"/>
      <c r="M128" s="7"/>
      <c r="N128" s="131"/>
      <c r="O128" s="7"/>
      <c r="P128" s="7"/>
      <c r="Q128" s="7"/>
      <c r="R128" s="7"/>
      <c r="S128" s="7"/>
      <c r="T128" s="7"/>
      <c r="U128" s="7"/>
      <c r="V128" s="213">
        <f t="shared" ref="V128:AE128" si="64">U122</f>
        <v>9.9999999999999978E-2</v>
      </c>
      <c r="W128" s="213">
        <f t="shared" si="64"/>
        <v>0.19999999999999996</v>
      </c>
      <c r="X128" s="213">
        <f t="shared" si="64"/>
        <v>0.30000000000000004</v>
      </c>
      <c r="Y128" s="213">
        <f t="shared" si="64"/>
        <v>0.4</v>
      </c>
      <c r="Z128" s="213">
        <f t="shared" si="64"/>
        <v>0.5</v>
      </c>
      <c r="AA128" s="213">
        <f t="shared" si="64"/>
        <v>0.6</v>
      </c>
      <c r="AB128" s="213">
        <f t="shared" si="64"/>
        <v>0.7</v>
      </c>
      <c r="AC128" s="213">
        <f t="shared" si="64"/>
        <v>0.8</v>
      </c>
      <c r="AD128" s="213">
        <f t="shared" si="64"/>
        <v>0.9</v>
      </c>
      <c r="AE128" s="213">
        <f t="shared" si="64"/>
        <v>1</v>
      </c>
      <c r="AF128" s="7"/>
      <c r="AG128" s="7"/>
      <c r="AH128" s="7"/>
      <c r="AI128" s="7"/>
      <c r="AJ128" s="7"/>
      <c r="AK128" s="7"/>
      <c r="AL128" s="7"/>
      <c r="AM128" s="7"/>
      <c r="AN128" s="7"/>
      <c r="AO128" s="172"/>
    </row>
    <row r="129" spans="1:41" x14ac:dyDescent="0.8">
      <c r="A129" s="22" t="s">
        <v>496</v>
      </c>
      <c r="B129" s="7"/>
      <c r="C129" s="7"/>
      <c r="D129" s="7"/>
      <c r="E129" s="7"/>
      <c r="F129" s="7"/>
      <c r="G129" s="7"/>
      <c r="H129" s="131"/>
      <c r="I129" s="7"/>
      <c r="J129" s="7"/>
      <c r="K129" s="7"/>
      <c r="L129" s="7"/>
      <c r="M129" s="7"/>
      <c r="N129" s="131"/>
      <c r="O129" s="7"/>
      <c r="P129" s="7"/>
      <c r="Q129" s="7"/>
      <c r="R129" s="7"/>
      <c r="S129" s="7"/>
      <c r="T129" s="7"/>
      <c r="U129" s="7"/>
      <c r="V129" s="550">
        <f>V128*V$6</f>
        <v>2735.8440196781357</v>
      </c>
      <c r="W129" s="550">
        <f>W128*W$6</f>
        <v>5479.9140482261928</v>
      </c>
      <c r="X129" s="550">
        <f t="shared" ref="X129:AE129" si="65">X128*X$6</f>
        <v>7927.4997718413451</v>
      </c>
      <c r="Y129" s="550">
        <f t="shared" si="65"/>
        <v>10261.414935569741</v>
      </c>
      <c r="Z129" s="550">
        <f t="shared" si="65"/>
        <v>12366.922869464264</v>
      </c>
      <c r="AA129" s="550">
        <f t="shared" si="65"/>
        <v>14400.400027843594</v>
      </c>
      <c r="AB129" s="550">
        <f t="shared" si="65"/>
        <v>16226.798371418734</v>
      </c>
      <c r="AC129" s="550">
        <f t="shared" si="65"/>
        <v>17994.298524638216</v>
      </c>
      <c r="AD129" s="550">
        <f t="shared" si="65"/>
        <v>19581.943332550763</v>
      </c>
      <c r="AE129" s="550">
        <f t="shared" si="65"/>
        <v>21116.909171350282</v>
      </c>
      <c r="AF129" s="7"/>
      <c r="AG129" s="7"/>
      <c r="AH129" s="7"/>
      <c r="AI129" s="7"/>
      <c r="AJ129" s="7"/>
      <c r="AK129" s="7"/>
      <c r="AL129" s="7"/>
      <c r="AM129" s="7"/>
      <c r="AN129" s="7"/>
      <c r="AO129" s="172"/>
    </row>
    <row r="130" spans="1:41" x14ac:dyDescent="0.8">
      <c r="A130" s="22" t="s">
        <v>361</v>
      </c>
      <c r="B130" s="7"/>
      <c r="C130" s="7"/>
      <c r="D130" s="7"/>
      <c r="E130" s="7"/>
      <c r="F130" s="7"/>
      <c r="G130" s="7"/>
      <c r="H130" s="131"/>
      <c r="I130" s="7"/>
      <c r="J130" s="7"/>
      <c r="K130" s="7"/>
      <c r="L130" s="7"/>
      <c r="M130" s="7"/>
      <c r="N130" s="131"/>
      <c r="O130" s="7"/>
      <c r="P130" s="7"/>
      <c r="Q130" s="7"/>
      <c r="R130" s="7"/>
      <c r="S130" s="7"/>
      <c r="T130" s="7"/>
      <c r="U130" s="7"/>
      <c r="V130" s="157">
        <f>1/$B$5*V$6</f>
        <v>2735.8440196781366</v>
      </c>
      <c r="W130" s="157">
        <f t="shared" ref="W130:AE130" si="66">1/$B$5*W$6</f>
        <v>2739.9570241130973</v>
      </c>
      <c r="X130" s="157">
        <f t="shared" si="66"/>
        <v>2642.4999239471149</v>
      </c>
      <c r="Y130" s="157">
        <f t="shared" si="66"/>
        <v>2565.3537338924352</v>
      </c>
      <c r="Z130" s="157">
        <f t="shared" si="66"/>
        <v>2473.384573892853</v>
      </c>
      <c r="AA130" s="157">
        <f t="shared" si="66"/>
        <v>2400.0666713072656</v>
      </c>
      <c r="AB130" s="157">
        <f t="shared" si="66"/>
        <v>2318.1140530598195</v>
      </c>
      <c r="AC130" s="157">
        <f t="shared" si="66"/>
        <v>2249.287315579777</v>
      </c>
      <c r="AD130" s="157">
        <f t="shared" si="66"/>
        <v>2175.771481394529</v>
      </c>
      <c r="AE130" s="157">
        <f t="shared" si="66"/>
        <v>2111.6909171350285</v>
      </c>
      <c r="AF130" s="7"/>
      <c r="AG130" s="7"/>
      <c r="AH130" s="7"/>
      <c r="AI130" s="7"/>
      <c r="AJ130" s="7"/>
      <c r="AK130" s="7"/>
      <c r="AL130" s="7"/>
      <c r="AM130" s="7"/>
      <c r="AN130" s="7"/>
      <c r="AO130" s="172"/>
    </row>
    <row r="131" spans="1:41" x14ac:dyDescent="0.8">
      <c r="A131" s="22" t="s">
        <v>498</v>
      </c>
      <c r="B131" s="7"/>
      <c r="C131" s="7"/>
      <c r="D131" s="7"/>
      <c r="E131" s="7"/>
      <c r="F131" s="7"/>
      <c r="G131" s="7"/>
      <c r="H131" s="131"/>
      <c r="I131" s="7"/>
      <c r="J131" s="7"/>
      <c r="K131" s="7"/>
      <c r="L131" s="7"/>
      <c r="M131" s="7"/>
      <c r="N131" s="131"/>
      <c r="O131" s="7"/>
      <c r="P131" s="7"/>
      <c r="Q131" s="7"/>
      <c r="R131" s="7"/>
      <c r="S131" s="7"/>
      <c r="T131" s="7"/>
      <c r="U131" s="7"/>
      <c r="V131" s="7"/>
      <c r="W131" s="7"/>
      <c r="X131" s="7"/>
      <c r="Y131" s="7"/>
      <c r="Z131" s="7"/>
      <c r="AA131" s="7"/>
      <c r="AB131" s="7"/>
      <c r="AC131" s="7"/>
      <c r="AD131" s="7"/>
      <c r="AE131" s="550">
        <f>SUM(V129:AE129)</f>
        <v>128091.94507258128</v>
      </c>
      <c r="AF131" s="7"/>
      <c r="AG131" s="7"/>
      <c r="AH131" s="7"/>
      <c r="AI131" s="7"/>
      <c r="AJ131" s="7"/>
      <c r="AK131" s="7"/>
      <c r="AL131" s="7"/>
      <c r="AM131" s="7"/>
      <c r="AN131" s="7"/>
      <c r="AO131" s="172"/>
    </row>
    <row r="132" spans="1:41" x14ac:dyDescent="0.8">
      <c r="A132" s="22" t="s">
        <v>497</v>
      </c>
      <c r="B132" s="7"/>
      <c r="C132" s="7"/>
      <c r="D132" s="7"/>
      <c r="E132" s="7"/>
      <c r="F132" s="7"/>
      <c r="G132" s="7"/>
      <c r="H132" s="131"/>
      <c r="I132" s="7"/>
      <c r="J132" s="7"/>
      <c r="K132" s="7"/>
      <c r="L132" s="7"/>
      <c r="M132" s="7"/>
      <c r="N132" s="131"/>
      <c r="O132" s="7"/>
      <c r="P132" s="7"/>
      <c r="Q132" s="7"/>
      <c r="R132" s="7"/>
      <c r="S132" s="7"/>
      <c r="T132" s="7"/>
      <c r="U132" s="7"/>
      <c r="V132" s="7"/>
      <c r="W132" s="7"/>
      <c r="X132" s="7"/>
      <c r="Y132" s="7"/>
      <c r="Z132" s="7"/>
      <c r="AA132" s="7"/>
      <c r="AB132" s="7"/>
      <c r="AC132" s="7"/>
      <c r="AD132" s="7"/>
      <c r="AE132" s="158">
        <f>SUM(V130:AE130)</f>
        <v>24411.969714000057</v>
      </c>
      <c r="AF132" s="7"/>
      <c r="AG132" s="7"/>
      <c r="AH132" s="7"/>
      <c r="AI132" s="7"/>
      <c r="AJ132" s="7"/>
      <c r="AK132" s="7"/>
      <c r="AL132" s="7"/>
      <c r="AM132" s="7"/>
      <c r="AN132" s="7"/>
      <c r="AO132" s="172"/>
    </row>
    <row r="133" spans="1:41" x14ac:dyDescent="0.8">
      <c r="A133" s="22"/>
      <c r="B133" s="7"/>
      <c r="C133" s="7"/>
      <c r="D133" s="7"/>
      <c r="E133" s="7"/>
      <c r="F133" s="7"/>
      <c r="G133" s="7"/>
      <c r="H133" s="131"/>
      <c r="I133" s="7"/>
      <c r="J133" s="7"/>
      <c r="K133" s="7"/>
      <c r="L133" s="7"/>
      <c r="M133" s="7"/>
      <c r="N133" s="13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172"/>
    </row>
    <row r="134" spans="1:41" x14ac:dyDescent="0.8">
      <c r="A134" s="22" t="s">
        <v>495</v>
      </c>
      <c r="B134" s="7"/>
      <c r="C134" s="7"/>
      <c r="D134" s="7"/>
      <c r="E134" s="7"/>
      <c r="F134" s="7"/>
      <c r="G134" s="7"/>
      <c r="H134" s="131"/>
      <c r="I134" s="7"/>
      <c r="J134" s="7"/>
      <c r="K134" s="7"/>
      <c r="L134" s="7"/>
      <c r="M134" s="7"/>
      <c r="N134" s="131"/>
      <c r="O134" s="7"/>
      <c r="P134" s="7"/>
      <c r="Q134" s="7"/>
      <c r="R134" s="7"/>
      <c r="S134" s="7"/>
      <c r="T134" s="7"/>
      <c r="U134" s="7"/>
      <c r="V134" s="7"/>
      <c r="W134" s="213">
        <f t="shared" ref="W134:AF134" si="67">V128</f>
        <v>9.9999999999999978E-2</v>
      </c>
      <c r="X134" s="213">
        <f t="shared" si="67"/>
        <v>0.19999999999999996</v>
      </c>
      <c r="Y134" s="213">
        <f t="shared" si="67"/>
        <v>0.30000000000000004</v>
      </c>
      <c r="Z134" s="213">
        <f t="shared" si="67"/>
        <v>0.4</v>
      </c>
      <c r="AA134" s="213">
        <f t="shared" si="67"/>
        <v>0.5</v>
      </c>
      <c r="AB134" s="213">
        <f t="shared" si="67"/>
        <v>0.6</v>
      </c>
      <c r="AC134" s="213">
        <f t="shared" si="67"/>
        <v>0.7</v>
      </c>
      <c r="AD134" s="213">
        <f t="shared" si="67"/>
        <v>0.8</v>
      </c>
      <c r="AE134" s="213">
        <f t="shared" si="67"/>
        <v>0.9</v>
      </c>
      <c r="AF134" s="213">
        <f t="shared" si="67"/>
        <v>1</v>
      </c>
      <c r="AG134" s="7"/>
      <c r="AH134" s="7"/>
      <c r="AI134" s="7"/>
      <c r="AJ134" s="7"/>
      <c r="AK134" s="7"/>
      <c r="AL134" s="7"/>
      <c r="AM134" s="7"/>
      <c r="AN134" s="7"/>
      <c r="AO134" s="172"/>
    </row>
    <row r="135" spans="1:41" x14ac:dyDescent="0.8">
      <c r="A135" s="22" t="s">
        <v>496</v>
      </c>
      <c r="B135" s="7"/>
      <c r="C135" s="7"/>
      <c r="D135" s="7"/>
      <c r="E135" s="7"/>
      <c r="F135" s="7"/>
      <c r="G135" s="7"/>
      <c r="H135" s="131"/>
      <c r="I135" s="7"/>
      <c r="J135" s="7"/>
      <c r="K135" s="7"/>
      <c r="L135" s="7"/>
      <c r="M135" s="7"/>
      <c r="N135" s="131"/>
      <c r="O135" s="7"/>
      <c r="P135" s="7"/>
      <c r="Q135" s="7"/>
      <c r="R135" s="7"/>
      <c r="S135" s="7"/>
      <c r="T135" s="7"/>
      <c r="U135" s="7"/>
      <c r="V135" s="7"/>
      <c r="W135" s="550">
        <f>W134*W$6</f>
        <v>2739.9570241130964</v>
      </c>
      <c r="X135" s="550">
        <f t="shared" ref="X135:AF135" si="68">X134*X$6</f>
        <v>5284.9998478942289</v>
      </c>
      <c r="Y135" s="550">
        <f t="shared" si="68"/>
        <v>7696.0612016773066</v>
      </c>
      <c r="Z135" s="550">
        <f t="shared" si="68"/>
        <v>9893.5382955714122</v>
      </c>
      <c r="AA135" s="550">
        <f t="shared" si="68"/>
        <v>12000.333356536328</v>
      </c>
      <c r="AB135" s="550">
        <f t="shared" si="68"/>
        <v>13908.684318358915</v>
      </c>
      <c r="AC135" s="550">
        <f t="shared" si="68"/>
        <v>15745.011209058437</v>
      </c>
      <c r="AD135" s="550">
        <f t="shared" si="68"/>
        <v>17406.171851156232</v>
      </c>
      <c r="AE135" s="550">
        <f t="shared" si="68"/>
        <v>19005.218254215255</v>
      </c>
      <c r="AF135" s="550">
        <f t="shared" si="68"/>
        <v>20454.079584912903</v>
      </c>
      <c r="AG135" s="7"/>
      <c r="AH135" s="7"/>
      <c r="AI135" s="7"/>
      <c r="AJ135" s="7"/>
      <c r="AK135" s="7"/>
      <c r="AL135" s="7"/>
      <c r="AM135" s="7"/>
      <c r="AN135" s="7"/>
      <c r="AO135" s="172"/>
    </row>
    <row r="136" spans="1:41" x14ac:dyDescent="0.8">
      <c r="A136" s="22" t="s">
        <v>361</v>
      </c>
      <c r="B136" s="7"/>
      <c r="C136" s="7"/>
      <c r="D136" s="7"/>
      <c r="E136" s="7"/>
      <c r="F136" s="7"/>
      <c r="G136" s="7"/>
      <c r="H136" s="131"/>
      <c r="I136" s="7"/>
      <c r="J136" s="7"/>
      <c r="K136" s="7"/>
      <c r="L136" s="7"/>
      <c r="M136" s="7"/>
      <c r="N136" s="131"/>
      <c r="O136" s="7"/>
      <c r="P136" s="7"/>
      <c r="Q136" s="7"/>
      <c r="R136" s="7"/>
      <c r="S136" s="7"/>
      <c r="T136" s="7"/>
      <c r="U136" s="7"/>
      <c r="V136" s="7"/>
      <c r="W136" s="157">
        <f>1/$B$5*W$6</f>
        <v>2739.9570241130973</v>
      </c>
      <c r="X136" s="157">
        <f t="shared" ref="X136:AF136" si="69">1/$B$5*X$6</f>
        <v>2642.4999239471149</v>
      </c>
      <c r="Y136" s="157">
        <f t="shared" si="69"/>
        <v>2565.3537338924352</v>
      </c>
      <c r="Z136" s="157">
        <f t="shared" si="69"/>
        <v>2473.384573892853</v>
      </c>
      <c r="AA136" s="157">
        <f t="shared" si="69"/>
        <v>2400.0666713072656</v>
      </c>
      <c r="AB136" s="157">
        <f t="shared" si="69"/>
        <v>2318.1140530598195</v>
      </c>
      <c r="AC136" s="157">
        <f t="shared" si="69"/>
        <v>2249.287315579777</v>
      </c>
      <c r="AD136" s="157">
        <f t="shared" si="69"/>
        <v>2175.771481394529</v>
      </c>
      <c r="AE136" s="157">
        <f t="shared" si="69"/>
        <v>2111.6909171350285</v>
      </c>
      <c r="AF136" s="157">
        <f t="shared" si="69"/>
        <v>2045.4079584912904</v>
      </c>
      <c r="AG136" s="7"/>
      <c r="AH136" s="7"/>
      <c r="AI136" s="7"/>
      <c r="AJ136" s="7"/>
      <c r="AK136" s="7"/>
      <c r="AL136" s="7"/>
      <c r="AM136" s="7"/>
      <c r="AN136" s="7"/>
      <c r="AO136" s="172"/>
    </row>
    <row r="137" spans="1:41" x14ac:dyDescent="0.8">
      <c r="A137" s="22" t="s">
        <v>498</v>
      </c>
      <c r="B137" s="7"/>
      <c r="C137" s="7"/>
      <c r="D137" s="7"/>
      <c r="E137" s="7"/>
      <c r="F137" s="7"/>
      <c r="G137" s="7"/>
      <c r="H137" s="131"/>
      <c r="I137" s="7"/>
      <c r="J137" s="7"/>
      <c r="K137" s="7"/>
      <c r="L137" s="7"/>
      <c r="M137" s="7"/>
      <c r="N137" s="131"/>
      <c r="O137" s="7"/>
      <c r="P137" s="7"/>
      <c r="Q137" s="7"/>
      <c r="R137" s="7"/>
      <c r="S137" s="7"/>
      <c r="T137" s="7"/>
      <c r="U137" s="7"/>
      <c r="V137" s="7"/>
      <c r="W137" s="7"/>
      <c r="X137" s="7"/>
      <c r="Y137" s="7"/>
      <c r="Z137" s="7"/>
      <c r="AA137" s="7"/>
      <c r="AB137" s="7"/>
      <c r="AC137" s="7"/>
      <c r="AD137" s="7"/>
      <c r="AE137" s="7"/>
      <c r="AF137" s="550">
        <f>SUM(W135:AF135)</f>
        <v>124134.05494349412</v>
      </c>
      <c r="AG137" s="7"/>
      <c r="AH137" s="7"/>
      <c r="AI137" s="7"/>
      <c r="AJ137" s="7"/>
      <c r="AK137" s="7"/>
      <c r="AL137" s="7"/>
      <c r="AM137" s="7"/>
      <c r="AN137" s="7"/>
      <c r="AO137" s="172"/>
    </row>
    <row r="138" spans="1:41" x14ac:dyDescent="0.8">
      <c r="A138" s="22" t="s">
        <v>497</v>
      </c>
      <c r="B138" s="7"/>
      <c r="C138" s="7"/>
      <c r="D138" s="7"/>
      <c r="E138" s="7"/>
      <c r="F138" s="7"/>
      <c r="G138" s="7"/>
      <c r="H138" s="131"/>
      <c r="I138" s="7"/>
      <c r="J138" s="7"/>
      <c r="K138" s="7"/>
      <c r="L138" s="7"/>
      <c r="M138" s="7"/>
      <c r="N138" s="131"/>
      <c r="O138" s="7"/>
      <c r="P138" s="7"/>
      <c r="Q138" s="7"/>
      <c r="R138" s="7"/>
      <c r="S138" s="7"/>
      <c r="T138" s="7"/>
      <c r="U138" s="7"/>
      <c r="V138" s="7"/>
      <c r="W138" s="7"/>
      <c r="X138" s="7"/>
      <c r="Y138" s="7"/>
      <c r="Z138" s="7"/>
      <c r="AA138" s="7"/>
      <c r="AB138" s="7"/>
      <c r="AC138" s="7"/>
      <c r="AD138" s="7"/>
      <c r="AE138" s="7"/>
      <c r="AF138" s="158">
        <f>SUM(W136:AF136)</f>
        <v>23721.53365281321</v>
      </c>
      <c r="AG138" s="7"/>
      <c r="AH138" s="7"/>
      <c r="AI138" s="7"/>
      <c r="AJ138" s="7"/>
      <c r="AK138" s="7"/>
      <c r="AL138" s="7"/>
      <c r="AM138" s="7"/>
      <c r="AN138" s="7"/>
      <c r="AO138" s="172"/>
    </row>
    <row r="139" spans="1:41" x14ac:dyDescent="0.8">
      <c r="A139" s="22"/>
      <c r="B139" s="7"/>
      <c r="C139" s="7"/>
      <c r="D139" s="7"/>
      <c r="E139" s="7"/>
      <c r="F139" s="7"/>
      <c r="G139" s="7"/>
      <c r="H139" s="131"/>
      <c r="I139" s="7"/>
      <c r="J139" s="7"/>
      <c r="K139" s="7"/>
      <c r="L139" s="7"/>
      <c r="M139" s="7"/>
      <c r="N139" s="13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172"/>
    </row>
    <row r="140" spans="1:41" x14ac:dyDescent="0.8">
      <c r="A140" s="22" t="s">
        <v>495</v>
      </c>
      <c r="B140" s="7"/>
      <c r="C140" s="7"/>
      <c r="D140" s="7"/>
      <c r="E140" s="7"/>
      <c r="F140" s="7"/>
      <c r="G140" s="7"/>
      <c r="H140" s="131"/>
      <c r="I140" s="7"/>
      <c r="J140" s="7"/>
      <c r="K140" s="7"/>
      <c r="L140" s="7"/>
      <c r="M140" s="7"/>
      <c r="N140" s="131"/>
      <c r="O140" s="7"/>
      <c r="P140" s="7"/>
      <c r="Q140" s="7"/>
      <c r="R140" s="7"/>
      <c r="S140" s="7"/>
      <c r="T140" s="7"/>
      <c r="U140" s="7"/>
      <c r="V140" s="7"/>
      <c r="W140" s="7"/>
      <c r="X140" s="213">
        <f t="shared" ref="X140:AG140" si="70">W134</f>
        <v>9.9999999999999978E-2</v>
      </c>
      <c r="Y140" s="213">
        <f t="shared" si="70"/>
        <v>0.19999999999999996</v>
      </c>
      <c r="Z140" s="213">
        <f t="shared" si="70"/>
        <v>0.30000000000000004</v>
      </c>
      <c r="AA140" s="213">
        <f t="shared" si="70"/>
        <v>0.4</v>
      </c>
      <c r="AB140" s="213">
        <f t="shared" si="70"/>
        <v>0.5</v>
      </c>
      <c r="AC140" s="213">
        <f t="shared" si="70"/>
        <v>0.6</v>
      </c>
      <c r="AD140" s="213">
        <f t="shared" si="70"/>
        <v>0.7</v>
      </c>
      <c r="AE140" s="213">
        <f t="shared" si="70"/>
        <v>0.8</v>
      </c>
      <c r="AF140" s="213">
        <f t="shared" si="70"/>
        <v>0.9</v>
      </c>
      <c r="AG140" s="213">
        <f t="shared" si="70"/>
        <v>1</v>
      </c>
      <c r="AH140" s="7"/>
      <c r="AI140" s="7"/>
      <c r="AJ140" s="7"/>
      <c r="AK140" s="7"/>
      <c r="AL140" s="7"/>
      <c r="AM140" s="7"/>
      <c r="AN140" s="7"/>
      <c r="AO140" s="172"/>
    </row>
    <row r="141" spans="1:41" x14ac:dyDescent="0.8">
      <c r="A141" s="22" t="s">
        <v>496</v>
      </c>
      <c r="B141" s="7"/>
      <c r="C141" s="7"/>
      <c r="D141" s="7"/>
      <c r="E141" s="7"/>
      <c r="F141" s="7"/>
      <c r="G141" s="7"/>
      <c r="H141" s="131"/>
      <c r="I141" s="7"/>
      <c r="J141" s="7"/>
      <c r="K141" s="7"/>
      <c r="L141" s="7"/>
      <c r="M141" s="7"/>
      <c r="N141" s="131"/>
      <c r="O141" s="7"/>
      <c r="P141" s="7"/>
      <c r="Q141" s="7"/>
      <c r="R141" s="7"/>
      <c r="S141" s="7"/>
      <c r="T141" s="7"/>
      <c r="U141" s="7"/>
      <c r="V141" s="7"/>
      <c r="W141" s="7"/>
      <c r="X141" s="550">
        <f>X140*X$6</f>
        <v>2642.4999239471144</v>
      </c>
      <c r="Y141" s="550">
        <f t="shared" ref="Y141:AG141" si="71">Y140*Y$6</f>
        <v>5130.7074677848686</v>
      </c>
      <c r="Z141" s="550">
        <f t="shared" si="71"/>
        <v>7420.15372167856</v>
      </c>
      <c r="AA141" s="550">
        <f t="shared" si="71"/>
        <v>9600.2666852290622</v>
      </c>
      <c r="AB141" s="550">
        <f t="shared" si="71"/>
        <v>11590.570265299097</v>
      </c>
      <c r="AC141" s="550">
        <f t="shared" si="71"/>
        <v>13495.723893478662</v>
      </c>
      <c r="AD141" s="550">
        <f t="shared" si="71"/>
        <v>15230.400369761703</v>
      </c>
      <c r="AE141" s="550">
        <f t="shared" si="71"/>
        <v>16893.527337080228</v>
      </c>
      <c r="AF141" s="550">
        <f t="shared" si="71"/>
        <v>18408.671626421612</v>
      </c>
      <c r="AG141" s="550">
        <f t="shared" si="71"/>
        <v>19860.755181137032</v>
      </c>
      <c r="AH141" s="7"/>
      <c r="AI141" s="7"/>
      <c r="AJ141" s="7"/>
      <c r="AK141" s="7"/>
      <c r="AL141" s="7"/>
      <c r="AM141" s="7"/>
      <c r="AN141" s="7"/>
      <c r="AO141" s="172"/>
    </row>
    <row r="142" spans="1:41" x14ac:dyDescent="0.8">
      <c r="A142" s="22" t="s">
        <v>361</v>
      </c>
      <c r="B142" s="7"/>
      <c r="C142" s="7"/>
      <c r="D142" s="7"/>
      <c r="E142" s="7"/>
      <c r="F142" s="7"/>
      <c r="G142" s="7"/>
      <c r="H142" s="131"/>
      <c r="I142" s="7"/>
      <c r="J142" s="7"/>
      <c r="K142" s="7"/>
      <c r="L142" s="7"/>
      <c r="M142" s="7"/>
      <c r="N142" s="131"/>
      <c r="O142" s="7"/>
      <c r="P142" s="7"/>
      <c r="Q142" s="7"/>
      <c r="R142" s="7"/>
      <c r="S142" s="7"/>
      <c r="T142" s="7"/>
      <c r="U142" s="7"/>
      <c r="V142" s="7"/>
      <c r="W142" s="7"/>
      <c r="X142" s="157">
        <f>1/$B$5*X$6</f>
        <v>2642.4999239471149</v>
      </c>
      <c r="Y142" s="157">
        <f t="shared" ref="Y142:AG142" si="72">1/$B$5*Y$6</f>
        <v>2565.3537338924352</v>
      </c>
      <c r="Z142" s="157">
        <f t="shared" si="72"/>
        <v>2473.384573892853</v>
      </c>
      <c r="AA142" s="157">
        <f t="shared" si="72"/>
        <v>2400.0666713072656</v>
      </c>
      <c r="AB142" s="157">
        <f t="shared" si="72"/>
        <v>2318.1140530598195</v>
      </c>
      <c r="AC142" s="157">
        <f t="shared" si="72"/>
        <v>2249.287315579777</v>
      </c>
      <c r="AD142" s="157">
        <f t="shared" si="72"/>
        <v>2175.771481394529</v>
      </c>
      <c r="AE142" s="157">
        <f t="shared" si="72"/>
        <v>2111.6909171350285</v>
      </c>
      <c r="AF142" s="157">
        <f t="shared" si="72"/>
        <v>2045.4079584912904</v>
      </c>
      <c r="AG142" s="157">
        <f t="shared" si="72"/>
        <v>1986.0755181137033</v>
      </c>
      <c r="AH142" s="7"/>
      <c r="AI142" s="7"/>
      <c r="AJ142" s="7"/>
      <c r="AK142" s="7"/>
      <c r="AL142" s="7"/>
      <c r="AM142" s="7"/>
      <c r="AN142" s="7"/>
      <c r="AO142" s="172"/>
    </row>
    <row r="143" spans="1:41" x14ac:dyDescent="0.8">
      <c r="A143" s="22" t="s">
        <v>498</v>
      </c>
      <c r="B143" s="7"/>
      <c r="C143" s="7"/>
      <c r="D143" s="7"/>
      <c r="E143" s="7"/>
      <c r="F143" s="7"/>
      <c r="G143" s="7"/>
      <c r="H143" s="131"/>
      <c r="I143" s="7"/>
      <c r="J143" s="7"/>
      <c r="K143" s="7"/>
      <c r="L143" s="7"/>
      <c r="M143" s="7"/>
      <c r="N143" s="131"/>
      <c r="O143" s="7"/>
      <c r="P143" s="7"/>
      <c r="Q143" s="7"/>
      <c r="R143" s="7"/>
      <c r="S143" s="7"/>
      <c r="T143" s="7"/>
      <c r="U143" s="7"/>
      <c r="V143" s="7"/>
      <c r="W143" s="7"/>
      <c r="X143" s="7"/>
      <c r="Y143" s="7"/>
      <c r="Z143" s="7"/>
      <c r="AA143" s="7"/>
      <c r="AB143" s="7"/>
      <c r="AC143" s="7"/>
      <c r="AD143" s="7"/>
      <c r="AE143" s="7"/>
      <c r="AF143" s="7"/>
      <c r="AG143" s="550">
        <f>SUM(X141:AG141)</f>
        <v>120273.27647181794</v>
      </c>
      <c r="AH143" s="7"/>
      <c r="AI143" s="7"/>
      <c r="AJ143" s="7"/>
      <c r="AK143" s="7"/>
      <c r="AL143" s="7"/>
      <c r="AM143" s="7"/>
      <c r="AN143" s="7"/>
      <c r="AO143" s="172"/>
    </row>
    <row r="144" spans="1:41" x14ac:dyDescent="0.8">
      <c r="A144" s="22" t="s">
        <v>497</v>
      </c>
      <c r="B144" s="7"/>
      <c r="C144" s="7"/>
      <c r="D144" s="7"/>
      <c r="E144" s="7"/>
      <c r="F144" s="7"/>
      <c r="G144" s="7"/>
      <c r="H144" s="131"/>
      <c r="I144" s="7"/>
      <c r="J144" s="7"/>
      <c r="K144" s="7"/>
      <c r="L144" s="7"/>
      <c r="M144" s="7"/>
      <c r="N144" s="131"/>
      <c r="O144" s="7"/>
      <c r="P144" s="7"/>
      <c r="Q144" s="7"/>
      <c r="R144" s="7"/>
      <c r="S144" s="7"/>
      <c r="T144" s="7"/>
      <c r="U144" s="7"/>
      <c r="V144" s="7"/>
      <c r="W144" s="7"/>
      <c r="X144" s="7"/>
      <c r="Y144" s="7"/>
      <c r="Z144" s="7"/>
      <c r="AA144" s="7"/>
      <c r="AB144" s="7"/>
      <c r="AC144" s="7"/>
      <c r="AD144" s="7"/>
      <c r="AE144" s="7"/>
      <c r="AF144" s="7"/>
      <c r="AG144" s="158">
        <f>SUM(X142:AG142)</f>
        <v>22967.652146813816</v>
      </c>
      <c r="AH144" s="7"/>
      <c r="AI144" s="7"/>
      <c r="AJ144" s="7"/>
      <c r="AK144" s="7"/>
      <c r="AL144" s="7"/>
      <c r="AM144" s="7"/>
      <c r="AN144" s="7"/>
      <c r="AO144" s="172"/>
    </row>
    <row r="145" spans="1:41" x14ac:dyDescent="0.8">
      <c r="A145" s="22"/>
      <c r="B145" s="7"/>
      <c r="C145" s="7"/>
      <c r="D145" s="7"/>
      <c r="E145" s="7"/>
      <c r="F145" s="7"/>
      <c r="G145" s="7"/>
      <c r="H145" s="131"/>
      <c r="I145" s="7"/>
      <c r="J145" s="7"/>
      <c r="K145" s="7"/>
      <c r="L145" s="7"/>
      <c r="M145" s="7"/>
      <c r="N145" s="13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172"/>
    </row>
    <row r="146" spans="1:41" x14ac:dyDescent="0.8">
      <c r="A146" s="22" t="s">
        <v>495</v>
      </c>
      <c r="B146" s="7"/>
      <c r="C146" s="7"/>
      <c r="D146" s="7"/>
      <c r="E146" s="7"/>
      <c r="F146" s="7"/>
      <c r="G146" s="7"/>
      <c r="H146" s="131"/>
      <c r="I146" s="7"/>
      <c r="J146" s="7"/>
      <c r="K146" s="7"/>
      <c r="L146" s="7"/>
      <c r="M146" s="7"/>
      <c r="N146" s="131"/>
      <c r="O146" s="7"/>
      <c r="P146" s="7"/>
      <c r="Q146" s="7"/>
      <c r="R146" s="7"/>
      <c r="S146" s="7"/>
      <c r="T146" s="7"/>
      <c r="U146" s="7"/>
      <c r="V146" s="7"/>
      <c r="W146" s="7"/>
      <c r="X146" s="7"/>
      <c r="Y146" s="213">
        <f t="shared" ref="Y146:AH146" si="73">X140</f>
        <v>9.9999999999999978E-2</v>
      </c>
      <c r="Z146" s="213">
        <f t="shared" si="73"/>
        <v>0.19999999999999996</v>
      </c>
      <c r="AA146" s="213">
        <f t="shared" si="73"/>
        <v>0.30000000000000004</v>
      </c>
      <c r="AB146" s="213">
        <f t="shared" si="73"/>
        <v>0.4</v>
      </c>
      <c r="AC146" s="213">
        <f t="shared" si="73"/>
        <v>0.5</v>
      </c>
      <c r="AD146" s="213">
        <f t="shared" si="73"/>
        <v>0.6</v>
      </c>
      <c r="AE146" s="213">
        <f t="shared" si="73"/>
        <v>0.7</v>
      </c>
      <c r="AF146" s="213">
        <f t="shared" si="73"/>
        <v>0.8</v>
      </c>
      <c r="AG146" s="213">
        <f t="shared" si="73"/>
        <v>0.9</v>
      </c>
      <c r="AH146" s="213">
        <f t="shared" si="73"/>
        <v>1</v>
      </c>
      <c r="AI146" s="7"/>
      <c r="AJ146" s="7"/>
      <c r="AK146" s="7"/>
      <c r="AL146" s="7"/>
      <c r="AM146" s="7"/>
      <c r="AN146" s="7"/>
      <c r="AO146" s="172"/>
    </row>
    <row r="147" spans="1:41" x14ac:dyDescent="0.8">
      <c r="A147" s="22" t="s">
        <v>496</v>
      </c>
      <c r="B147" s="7"/>
      <c r="C147" s="7"/>
      <c r="D147" s="7"/>
      <c r="E147" s="7"/>
      <c r="F147" s="7"/>
      <c r="G147" s="7"/>
      <c r="H147" s="131"/>
      <c r="I147" s="7"/>
      <c r="J147" s="7"/>
      <c r="K147" s="7"/>
      <c r="L147" s="7"/>
      <c r="M147" s="7"/>
      <c r="N147" s="131"/>
      <c r="O147" s="7"/>
      <c r="P147" s="7"/>
      <c r="Q147" s="7"/>
      <c r="R147" s="7"/>
      <c r="S147" s="7"/>
      <c r="T147" s="7"/>
      <c r="U147" s="7"/>
      <c r="V147" s="7"/>
      <c r="W147" s="7"/>
      <c r="X147" s="7"/>
      <c r="Y147" s="550">
        <f>Y146*Y$6</f>
        <v>2565.3537338924343</v>
      </c>
      <c r="Z147" s="550">
        <f t="shared" ref="Z147:AH147" si="74">Z146*Z$6</f>
        <v>4946.7691477857043</v>
      </c>
      <c r="AA147" s="550">
        <f t="shared" si="74"/>
        <v>7200.200013921798</v>
      </c>
      <c r="AB147" s="550">
        <f t="shared" si="74"/>
        <v>9272.4562122392781</v>
      </c>
      <c r="AC147" s="550">
        <f t="shared" si="74"/>
        <v>11246.436577898885</v>
      </c>
      <c r="AD147" s="550">
        <f t="shared" si="74"/>
        <v>13054.628888367175</v>
      </c>
      <c r="AE147" s="550">
        <f t="shared" si="74"/>
        <v>14781.836419945197</v>
      </c>
      <c r="AF147" s="550">
        <f t="shared" si="74"/>
        <v>16363.263667930323</v>
      </c>
      <c r="AG147" s="550">
        <f t="shared" si="74"/>
        <v>17874.679663023329</v>
      </c>
      <c r="AH147" s="550">
        <f t="shared" si="74"/>
        <v>19292.486259362264</v>
      </c>
      <c r="AI147" s="7"/>
      <c r="AJ147" s="7"/>
      <c r="AK147" s="7"/>
      <c r="AL147" s="7"/>
      <c r="AM147" s="7"/>
      <c r="AN147" s="7"/>
      <c r="AO147" s="172"/>
    </row>
    <row r="148" spans="1:41" x14ac:dyDescent="0.8">
      <c r="A148" s="22" t="s">
        <v>361</v>
      </c>
      <c r="B148" s="7"/>
      <c r="C148" s="7"/>
      <c r="D148" s="7"/>
      <c r="E148" s="7"/>
      <c r="F148" s="7"/>
      <c r="G148" s="7"/>
      <c r="H148" s="131"/>
      <c r="I148" s="7"/>
      <c r="J148" s="7"/>
      <c r="K148" s="7"/>
      <c r="L148" s="7"/>
      <c r="M148" s="7"/>
      <c r="N148" s="131"/>
      <c r="O148" s="7"/>
      <c r="P148" s="7"/>
      <c r="Q148" s="7"/>
      <c r="R148" s="7"/>
      <c r="S148" s="7"/>
      <c r="T148" s="7"/>
      <c r="U148" s="7"/>
      <c r="V148" s="7"/>
      <c r="W148" s="7"/>
      <c r="X148" s="7"/>
      <c r="Y148" s="157">
        <f>1/$B$5*Y$6</f>
        <v>2565.3537338924352</v>
      </c>
      <c r="Z148" s="157">
        <f t="shared" ref="Z148:AH148" si="75">1/$B$5*Z$6</f>
        <v>2473.384573892853</v>
      </c>
      <c r="AA148" s="157">
        <f t="shared" si="75"/>
        <v>2400.0666713072656</v>
      </c>
      <c r="AB148" s="157">
        <f t="shared" si="75"/>
        <v>2318.1140530598195</v>
      </c>
      <c r="AC148" s="157">
        <f t="shared" si="75"/>
        <v>2249.287315579777</v>
      </c>
      <c r="AD148" s="157">
        <f t="shared" si="75"/>
        <v>2175.771481394529</v>
      </c>
      <c r="AE148" s="157">
        <f t="shared" si="75"/>
        <v>2111.6909171350285</v>
      </c>
      <c r="AF148" s="157">
        <f t="shared" si="75"/>
        <v>2045.4079584912904</v>
      </c>
      <c r="AG148" s="157">
        <f t="shared" si="75"/>
        <v>1986.0755181137033</v>
      </c>
      <c r="AH148" s="157">
        <f t="shared" si="75"/>
        <v>1929.2486259362265</v>
      </c>
      <c r="AI148" s="7"/>
      <c r="AJ148" s="7"/>
      <c r="AK148" s="7"/>
      <c r="AL148" s="7"/>
      <c r="AM148" s="7"/>
      <c r="AN148" s="7"/>
      <c r="AO148" s="172"/>
    </row>
    <row r="149" spans="1:41" x14ac:dyDescent="0.8">
      <c r="A149" s="22" t="s">
        <v>498</v>
      </c>
      <c r="B149" s="7"/>
      <c r="C149" s="7"/>
      <c r="D149" s="7"/>
      <c r="E149" s="7"/>
      <c r="F149" s="7"/>
      <c r="G149" s="7"/>
      <c r="H149" s="131"/>
      <c r="I149" s="7"/>
      <c r="J149" s="7"/>
      <c r="K149" s="7"/>
      <c r="L149" s="7"/>
      <c r="M149" s="7"/>
      <c r="N149" s="131"/>
      <c r="O149" s="7"/>
      <c r="P149" s="7"/>
      <c r="Q149" s="7"/>
      <c r="R149" s="7"/>
      <c r="S149" s="7"/>
      <c r="T149" s="7"/>
      <c r="U149" s="7"/>
      <c r="V149" s="7"/>
      <c r="W149" s="7"/>
      <c r="X149" s="7"/>
      <c r="Y149" s="7"/>
      <c r="Z149" s="7"/>
      <c r="AA149" s="7"/>
      <c r="AB149" s="7"/>
      <c r="AC149" s="7"/>
      <c r="AD149" s="7"/>
      <c r="AE149" s="7"/>
      <c r="AF149" s="7"/>
      <c r="AG149" s="7"/>
      <c r="AH149" s="550">
        <f>SUM(Y147:AH147)</f>
        <v>116598.11058436638</v>
      </c>
      <c r="AI149" s="7"/>
      <c r="AJ149" s="7"/>
      <c r="AK149" s="7"/>
      <c r="AL149" s="7"/>
      <c r="AM149" s="7"/>
      <c r="AN149" s="7"/>
      <c r="AO149" s="172"/>
    </row>
    <row r="150" spans="1:41" x14ac:dyDescent="0.8">
      <c r="A150" s="22" t="s">
        <v>497</v>
      </c>
      <c r="B150" s="7"/>
      <c r="C150" s="7"/>
      <c r="D150" s="7"/>
      <c r="E150" s="7"/>
      <c r="F150" s="7"/>
      <c r="G150" s="7"/>
      <c r="H150" s="131"/>
      <c r="I150" s="7"/>
      <c r="J150" s="7"/>
      <c r="K150" s="7"/>
      <c r="L150" s="7"/>
      <c r="M150" s="7"/>
      <c r="N150" s="131"/>
      <c r="O150" s="7"/>
      <c r="P150" s="7"/>
      <c r="Q150" s="7"/>
      <c r="R150" s="7"/>
      <c r="S150" s="7"/>
      <c r="T150" s="7"/>
      <c r="U150" s="7"/>
      <c r="V150" s="7"/>
      <c r="W150" s="7"/>
      <c r="X150" s="7"/>
      <c r="Y150" s="7"/>
      <c r="Z150" s="7"/>
      <c r="AA150" s="7"/>
      <c r="AB150" s="7"/>
      <c r="AC150" s="7"/>
      <c r="AD150" s="7"/>
      <c r="AE150" s="7"/>
      <c r="AF150" s="7"/>
      <c r="AG150" s="7"/>
      <c r="AH150" s="158">
        <f>SUM(Y148:AH148)</f>
        <v>22254.400848802929</v>
      </c>
      <c r="AI150" s="7"/>
      <c r="AJ150" s="7"/>
      <c r="AK150" s="7"/>
      <c r="AL150" s="7"/>
      <c r="AM150" s="7"/>
      <c r="AN150" s="7"/>
      <c r="AO150" s="172"/>
    </row>
    <row r="151" spans="1:41" x14ac:dyDescent="0.8">
      <c r="A151" s="22"/>
      <c r="B151" s="7"/>
      <c r="C151" s="7"/>
      <c r="D151" s="7"/>
      <c r="E151" s="7"/>
      <c r="F151" s="7"/>
      <c r="G151" s="7"/>
      <c r="H151" s="131"/>
      <c r="I151" s="7"/>
      <c r="J151" s="7"/>
      <c r="K151" s="7"/>
      <c r="L151" s="7"/>
      <c r="M151" s="7"/>
      <c r="N151" s="13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172"/>
    </row>
    <row r="152" spans="1:41" x14ac:dyDescent="0.8">
      <c r="A152" s="22" t="s">
        <v>495</v>
      </c>
      <c r="B152" s="7"/>
      <c r="C152" s="7"/>
      <c r="D152" s="7"/>
      <c r="E152" s="7"/>
      <c r="F152" s="7"/>
      <c r="G152" s="7"/>
      <c r="H152" s="131"/>
      <c r="I152" s="7"/>
      <c r="J152" s="7"/>
      <c r="K152" s="7"/>
      <c r="L152" s="7"/>
      <c r="M152" s="7"/>
      <c r="N152" s="131"/>
      <c r="O152" s="7"/>
      <c r="P152" s="7"/>
      <c r="Q152" s="7"/>
      <c r="R152" s="7"/>
      <c r="S152" s="7"/>
      <c r="T152" s="7"/>
      <c r="U152" s="7"/>
      <c r="V152" s="7"/>
      <c r="W152" s="7"/>
      <c r="X152" s="7"/>
      <c r="Y152" s="7"/>
      <c r="Z152" s="213">
        <f t="shared" ref="Z152:AI152" si="76">Y146</f>
        <v>9.9999999999999978E-2</v>
      </c>
      <c r="AA152" s="213">
        <f t="shared" si="76"/>
        <v>0.19999999999999996</v>
      </c>
      <c r="AB152" s="213">
        <f t="shared" si="76"/>
        <v>0.30000000000000004</v>
      </c>
      <c r="AC152" s="213">
        <f t="shared" si="76"/>
        <v>0.4</v>
      </c>
      <c r="AD152" s="213">
        <f t="shared" si="76"/>
        <v>0.5</v>
      </c>
      <c r="AE152" s="213">
        <f t="shared" si="76"/>
        <v>0.6</v>
      </c>
      <c r="AF152" s="213">
        <f t="shared" si="76"/>
        <v>0.7</v>
      </c>
      <c r="AG152" s="213">
        <f t="shared" si="76"/>
        <v>0.8</v>
      </c>
      <c r="AH152" s="213">
        <f t="shared" si="76"/>
        <v>0.9</v>
      </c>
      <c r="AI152" s="213">
        <f t="shared" si="76"/>
        <v>1</v>
      </c>
      <c r="AJ152" s="7"/>
      <c r="AK152" s="7"/>
      <c r="AL152" s="7"/>
      <c r="AM152" s="7"/>
      <c r="AN152" s="7"/>
      <c r="AO152" s="172"/>
    </row>
    <row r="153" spans="1:41" x14ac:dyDescent="0.8">
      <c r="A153" s="22" t="s">
        <v>496</v>
      </c>
      <c r="B153" s="7"/>
      <c r="C153" s="7"/>
      <c r="D153" s="7"/>
      <c r="E153" s="7"/>
      <c r="F153" s="7"/>
      <c r="G153" s="7"/>
      <c r="H153" s="131"/>
      <c r="I153" s="7"/>
      <c r="J153" s="7"/>
      <c r="K153" s="7"/>
      <c r="L153" s="7"/>
      <c r="M153" s="7"/>
      <c r="N153" s="131"/>
      <c r="O153" s="7"/>
      <c r="P153" s="7"/>
      <c r="Q153" s="7"/>
      <c r="R153" s="7"/>
      <c r="S153" s="7"/>
      <c r="T153" s="7"/>
      <c r="U153" s="7"/>
      <c r="V153" s="7"/>
      <c r="W153" s="7"/>
      <c r="X153" s="7"/>
      <c r="Y153" s="7"/>
      <c r="Z153" s="550">
        <f>Z152*Z$6</f>
        <v>2473.3845738928521</v>
      </c>
      <c r="AA153" s="550">
        <f t="shared" ref="AA153:AI153" si="77">AA152*AA$6</f>
        <v>4800.1333426145302</v>
      </c>
      <c r="AB153" s="550">
        <f t="shared" si="77"/>
        <v>6954.3421591794595</v>
      </c>
      <c r="AC153" s="550">
        <f t="shared" si="77"/>
        <v>8997.1492623191079</v>
      </c>
      <c r="AD153" s="550">
        <f t="shared" si="77"/>
        <v>10878.857406972646</v>
      </c>
      <c r="AE153" s="550">
        <f t="shared" si="77"/>
        <v>12670.145502810168</v>
      </c>
      <c r="AF153" s="550">
        <f t="shared" si="77"/>
        <v>14317.855709439031</v>
      </c>
      <c r="AG153" s="550">
        <f t="shared" si="77"/>
        <v>15888.604144909626</v>
      </c>
      <c r="AH153" s="550">
        <f t="shared" si="77"/>
        <v>17363.237633426037</v>
      </c>
      <c r="AI153" s="550">
        <f t="shared" si="77"/>
        <v>18751.3409781796</v>
      </c>
      <c r="AJ153" s="7"/>
      <c r="AK153" s="7"/>
      <c r="AL153" s="7"/>
      <c r="AM153" s="7"/>
      <c r="AN153" s="7"/>
      <c r="AO153" s="172"/>
    </row>
    <row r="154" spans="1:41" x14ac:dyDescent="0.8">
      <c r="A154" s="22" t="s">
        <v>361</v>
      </c>
      <c r="B154" s="7"/>
      <c r="C154" s="7"/>
      <c r="D154" s="7"/>
      <c r="E154" s="7"/>
      <c r="F154" s="7"/>
      <c r="G154" s="7"/>
      <c r="H154" s="131"/>
      <c r="I154" s="7"/>
      <c r="J154" s="7"/>
      <c r="K154" s="7"/>
      <c r="L154" s="7"/>
      <c r="M154" s="7"/>
      <c r="N154" s="131"/>
      <c r="O154" s="7"/>
      <c r="P154" s="7"/>
      <c r="Q154" s="7"/>
      <c r="R154" s="7"/>
      <c r="S154" s="7"/>
      <c r="T154" s="7"/>
      <c r="U154" s="7"/>
      <c r="V154" s="7"/>
      <c r="W154" s="7"/>
      <c r="X154" s="7"/>
      <c r="Y154" s="7"/>
      <c r="Z154" s="157">
        <f>1/$B$5*Z$6</f>
        <v>2473.384573892853</v>
      </c>
      <c r="AA154" s="157">
        <f t="shared" ref="AA154:AI154" si="78">1/$B$5*AA$6</f>
        <v>2400.0666713072656</v>
      </c>
      <c r="AB154" s="157">
        <f t="shared" si="78"/>
        <v>2318.1140530598195</v>
      </c>
      <c r="AC154" s="157">
        <f t="shared" si="78"/>
        <v>2249.287315579777</v>
      </c>
      <c r="AD154" s="157">
        <f t="shared" si="78"/>
        <v>2175.771481394529</v>
      </c>
      <c r="AE154" s="157">
        <f t="shared" si="78"/>
        <v>2111.6909171350285</v>
      </c>
      <c r="AF154" s="157">
        <f t="shared" si="78"/>
        <v>2045.4079584912904</v>
      </c>
      <c r="AG154" s="157">
        <f t="shared" si="78"/>
        <v>1986.0755181137033</v>
      </c>
      <c r="AH154" s="157">
        <f t="shared" si="78"/>
        <v>1929.2486259362265</v>
      </c>
      <c r="AI154" s="157">
        <f t="shared" si="78"/>
        <v>1875.1340978179601</v>
      </c>
      <c r="AJ154" s="7"/>
      <c r="AK154" s="7"/>
      <c r="AL154" s="7"/>
      <c r="AM154" s="7"/>
      <c r="AN154" s="7"/>
      <c r="AO154" s="172"/>
    </row>
    <row r="155" spans="1:41" x14ac:dyDescent="0.8">
      <c r="A155" s="22" t="s">
        <v>498</v>
      </c>
      <c r="B155" s="7"/>
      <c r="C155" s="7"/>
      <c r="D155" s="7"/>
      <c r="E155" s="7"/>
      <c r="F155" s="7"/>
      <c r="G155" s="7"/>
      <c r="H155" s="131"/>
      <c r="I155" s="7"/>
      <c r="J155" s="7"/>
      <c r="K155" s="7"/>
      <c r="L155" s="7"/>
      <c r="M155" s="7"/>
      <c r="N155" s="131"/>
      <c r="O155" s="7"/>
      <c r="P155" s="7"/>
      <c r="Q155" s="7"/>
      <c r="R155" s="7"/>
      <c r="S155" s="7"/>
      <c r="T155" s="7"/>
      <c r="U155" s="7"/>
      <c r="V155" s="7"/>
      <c r="W155" s="7"/>
      <c r="X155" s="7"/>
      <c r="Y155" s="7"/>
      <c r="Z155" s="7"/>
      <c r="AA155" s="7"/>
      <c r="AB155" s="7"/>
      <c r="AC155" s="7"/>
      <c r="AD155" s="7"/>
      <c r="AE155" s="7"/>
      <c r="AF155" s="7"/>
      <c r="AG155" s="7"/>
      <c r="AH155" s="7"/>
      <c r="AI155" s="550">
        <f>SUM(Z153:AI153)</f>
        <v>113095.05071374305</v>
      </c>
      <c r="AJ155" s="7"/>
      <c r="AK155" s="7"/>
      <c r="AL155" s="7"/>
      <c r="AM155" s="7"/>
      <c r="AN155" s="7"/>
      <c r="AO155" s="172"/>
    </row>
    <row r="156" spans="1:41" x14ac:dyDescent="0.8">
      <c r="A156" s="22" t="s">
        <v>497</v>
      </c>
      <c r="B156" s="7"/>
      <c r="C156" s="7"/>
      <c r="D156" s="7"/>
      <c r="E156" s="7"/>
      <c r="F156" s="7"/>
      <c r="G156" s="7"/>
      <c r="H156" s="131"/>
      <c r="I156" s="7"/>
      <c r="J156" s="7"/>
      <c r="K156" s="7"/>
      <c r="L156" s="7"/>
      <c r="M156" s="7"/>
      <c r="N156" s="131"/>
      <c r="O156" s="7"/>
      <c r="P156" s="7"/>
      <c r="Q156" s="7"/>
      <c r="R156" s="7"/>
      <c r="S156" s="7"/>
      <c r="T156" s="7"/>
      <c r="U156" s="7"/>
      <c r="V156" s="7"/>
      <c r="W156" s="7"/>
      <c r="X156" s="7"/>
      <c r="Y156" s="7"/>
      <c r="Z156" s="7"/>
      <c r="AA156" s="7"/>
      <c r="AB156" s="7"/>
      <c r="AC156" s="7"/>
      <c r="AD156" s="7"/>
      <c r="AE156" s="7"/>
      <c r="AF156" s="7"/>
      <c r="AG156" s="7"/>
      <c r="AH156" s="7"/>
      <c r="AI156" s="158">
        <f>SUM(Z154:AI154)</f>
        <v>21564.181212728454</v>
      </c>
      <c r="AJ156" s="7"/>
      <c r="AK156" s="7"/>
      <c r="AL156" s="7"/>
      <c r="AM156" s="7"/>
      <c r="AN156" s="7"/>
      <c r="AO156" s="172"/>
    </row>
    <row r="157" spans="1:41" x14ac:dyDescent="0.8">
      <c r="A157" s="22"/>
      <c r="B157" s="7"/>
      <c r="C157" s="7"/>
      <c r="D157" s="7"/>
      <c r="E157" s="7"/>
      <c r="F157" s="7"/>
      <c r="G157" s="7"/>
      <c r="H157" s="131"/>
      <c r="I157" s="7"/>
      <c r="J157" s="7"/>
      <c r="K157" s="7"/>
      <c r="L157" s="7"/>
      <c r="M157" s="7"/>
      <c r="N157" s="13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172"/>
    </row>
    <row r="158" spans="1:41" x14ac:dyDescent="0.8">
      <c r="A158" s="22" t="s">
        <v>495</v>
      </c>
      <c r="B158" s="7"/>
      <c r="C158" s="7"/>
      <c r="D158" s="7"/>
      <c r="E158" s="7"/>
      <c r="F158" s="7"/>
      <c r="G158" s="7"/>
      <c r="H158" s="131"/>
      <c r="I158" s="7"/>
      <c r="J158" s="7"/>
      <c r="K158" s="7"/>
      <c r="L158" s="7"/>
      <c r="M158" s="7"/>
      <c r="N158" s="131"/>
      <c r="O158" s="7"/>
      <c r="P158" s="7"/>
      <c r="Q158" s="7"/>
      <c r="R158" s="7"/>
      <c r="S158" s="7"/>
      <c r="T158" s="7"/>
      <c r="U158" s="7"/>
      <c r="V158" s="7"/>
      <c r="W158" s="7"/>
      <c r="X158" s="7"/>
      <c r="Y158" s="7"/>
      <c r="Z158" s="7"/>
      <c r="AA158" s="213">
        <f t="shared" ref="AA158:AJ158" si="79">Z152</f>
        <v>9.9999999999999978E-2</v>
      </c>
      <c r="AB158" s="213">
        <f t="shared" si="79"/>
        <v>0.19999999999999996</v>
      </c>
      <c r="AC158" s="213">
        <f t="shared" si="79"/>
        <v>0.30000000000000004</v>
      </c>
      <c r="AD158" s="213">
        <f t="shared" si="79"/>
        <v>0.4</v>
      </c>
      <c r="AE158" s="213">
        <f t="shared" si="79"/>
        <v>0.5</v>
      </c>
      <c r="AF158" s="213">
        <f t="shared" si="79"/>
        <v>0.6</v>
      </c>
      <c r="AG158" s="213">
        <f t="shared" si="79"/>
        <v>0.7</v>
      </c>
      <c r="AH158" s="213">
        <f t="shared" si="79"/>
        <v>0.8</v>
      </c>
      <c r="AI158" s="213">
        <f t="shared" si="79"/>
        <v>0.9</v>
      </c>
      <c r="AJ158" s="213">
        <f t="shared" si="79"/>
        <v>1</v>
      </c>
      <c r="AK158" s="7"/>
      <c r="AL158" s="7"/>
      <c r="AM158" s="7"/>
      <c r="AN158" s="7"/>
      <c r="AO158" s="172"/>
    </row>
    <row r="159" spans="1:41" x14ac:dyDescent="0.8">
      <c r="A159" s="22" t="s">
        <v>496</v>
      </c>
      <c r="B159" s="7"/>
      <c r="C159" s="7"/>
      <c r="D159" s="7"/>
      <c r="E159" s="7"/>
      <c r="F159" s="7"/>
      <c r="G159" s="7"/>
      <c r="H159" s="131"/>
      <c r="I159" s="7"/>
      <c r="J159" s="7"/>
      <c r="K159" s="7"/>
      <c r="L159" s="7"/>
      <c r="M159" s="7"/>
      <c r="N159" s="131"/>
      <c r="O159" s="7"/>
      <c r="P159" s="7"/>
      <c r="Q159" s="7"/>
      <c r="R159" s="7"/>
      <c r="S159" s="7"/>
      <c r="T159" s="7"/>
      <c r="U159" s="7"/>
      <c r="V159" s="7"/>
      <c r="W159" s="7"/>
      <c r="X159" s="7"/>
      <c r="Y159" s="7"/>
      <c r="Z159" s="7"/>
      <c r="AA159" s="550">
        <f>AA158*AA$6</f>
        <v>2400.0666713072651</v>
      </c>
      <c r="AB159" s="550">
        <f t="shared" ref="AB159:AJ159" si="80">AB158*AB$6</f>
        <v>4636.2281061196372</v>
      </c>
      <c r="AC159" s="550">
        <f t="shared" si="80"/>
        <v>6747.8619467393319</v>
      </c>
      <c r="AD159" s="550">
        <f t="shared" si="80"/>
        <v>8703.0859255781161</v>
      </c>
      <c r="AE159" s="550">
        <f t="shared" si="80"/>
        <v>10558.454585675141</v>
      </c>
      <c r="AF159" s="550">
        <f t="shared" si="80"/>
        <v>12272.447750947742</v>
      </c>
      <c r="AG159" s="550">
        <f t="shared" si="80"/>
        <v>13902.528626795922</v>
      </c>
      <c r="AH159" s="550">
        <f t="shared" si="80"/>
        <v>15433.989007489812</v>
      </c>
      <c r="AI159" s="550">
        <f t="shared" si="80"/>
        <v>16876.206880361642</v>
      </c>
      <c r="AJ159" s="550">
        <f t="shared" si="80"/>
        <v>18233.164352049374</v>
      </c>
      <c r="AK159" s="7"/>
      <c r="AL159" s="7"/>
      <c r="AM159" s="7"/>
      <c r="AN159" s="7"/>
      <c r="AO159" s="172"/>
    </row>
    <row r="160" spans="1:41" x14ac:dyDescent="0.8">
      <c r="A160" s="22" t="s">
        <v>361</v>
      </c>
      <c r="B160" s="7"/>
      <c r="C160" s="7"/>
      <c r="D160" s="7"/>
      <c r="E160" s="7"/>
      <c r="F160" s="7"/>
      <c r="G160" s="7"/>
      <c r="H160" s="131"/>
      <c r="I160" s="7"/>
      <c r="J160" s="7"/>
      <c r="K160" s="7"/>
      <c r="L160" s="7"/>
      <c r="M160" s="7"/>
      <c r="N160" s="131"/>
      <c r="O160" s="7"/>
      <c r="P160" s="7"/>
      <c r="Q160" s="7"/>
      <c r="R160" s="7"/>
      <c r="S160" s="7"/>
      <c r="T160" s="7"/>
      <c r="U160" s="7"/>
      <c r="V160" s="7"/>
      <c r="W160" s="7"/>
      <c r="X160" s="7"/>
      <c r="Y160" s="7"/>
      <c r="Z160" s="7"/>
      <c r="AA160" s="157">
        <f>1/$B$5*AA$6</f>
        <v>2400.0666713072656</v>
      </c>
      <c r="AB160" s="157">
        <f t="shared" ref="AB160:AJ160" si="81">1/$B$5*AB$6</f>
        <v>2318.1140530598195</v>
      </c>
      <c r="AC160" s="157">
        <f t="shared" si="81"/>
        <v>2249.287315579777</v>
      </c>
      <c r="AD160" s="157">
        <f t="shared" si="81"/>
        <v>2175.771481394529</v>
      </c>
      <c r="AE160" s="157">
        <f t="shared" si="81"/>
        <v>2111.6909171350285</v>
      </c>
      <c r="AF160" s="157">
        <f t="shared" si="81"/>
        <v>2045.4079584912904</v>
      </c>
      <c r="AG160" s="157">
        <f t="shared" si="81"/>
        <v>1986.0755181137033</v>
      </c>
      <c r="AH160" s="157">
        <f t="shared" si="81"/>
        <v>1929.2486259362265</v>
      </c>
      <c r="AI160" s="157">
        <f t="shared" si="81"/>
        <v>1875.1340978179601</v>
      </c>
      <c r="AJ160" s="157">
        <f t="shared" si="81"/>
        <v>1823.3164352049375</v>
      </c>
      <c r="AK160" s="7"/>
      <c r="AL160" s="7"/>
      <c r="AM160" s="7"/>
      <c r="AN160" s="7"/>
      <c r="AO160" s="172"/>
    </row>
    <row r="161" spans="1:41" x14ac:dyDescent="0.8">
      <c r="A161" s="22" t="s">
        <v>498</v>
      </c>
      <c r="B161" s="7"/>
      <c r="C161" s="7"/>
      <c r="D161" s="7"/>
      <c r="E161" s="7"/>
      <c r="F161" s="7"/>
      <c r="G161" s="7"/>
      <c r="H161" s="131"/>
      <c r="I161" s="7"/>
      <c r="J161" s="7"/>
      <c r="K161" s="7"/>
      <c r="L161" s="7"/>
      <c r="M161" s="7"/>
      <c r="N161" s="131"/>
      <c r="O161" s="7"/>
      <c r="P161" s="7"/>
      <c r="Q161" s="7"/>
      <c r="R161" s="7"/>
      <c r="S161" s="7"/>
      <c r="T161" s="7"/>
      <c r="U161" s="7"/>
      <c r="V161" s="7"/>
      <c r="W161" s="7"/>
      <c r="X161" s="7"/>
      <c r="Y161" s="7"/>
      <c r="Z161" s="7"/>
      <c r="AA161" s="7"/>
      <c r="AB161" s="7"/>
      <c r="AC161" s="7"/>
      <c r="AD161" s="7"/>
      <c r="AE161" s="7"/>
      <c r="AF161" s="7"/>
      <c r="AG161" s="7"/>
      <c r="AH161" s="7"/>
      <c r="AI161" s="7"/>
      <c r="AJ161" s="550">
        <f>SUM(AA159:AJ159)</f>
        <v>109764.033853064</v>
      </c>
      <c r="AK161" s="7"/>
      <c r="AL161" s="7"/>
      <c r="AM161" s="7"/>
      <c r="AN161" s="7"/>
      <c r="AO161" s="172"/>
    </row>
    <row r="162" spans="1:41" x14ac:dyDescent="0.8">
      <c r="A162" s="22" t="s">
        <v>497</v>
      </c>
      <c r="B162" s="7"/>
      <c r="C162" s="7"/>
      <c r="D162" s="7"/>
      <c r="E162" s="7"/>
      <c r="F162" s="7"/>
      <c r="G162" s="7"/>
      <c r="H162" s="131"/>
      <c r="I162" s="7"/>
      <c r="J162" s="7"/>
      <c r="K162" s="7"/>
      <c r="L162" s="7"/>
      <c r="M162" s="7"/>
      <c r="N162" s="131"/>
      <c r="O162" s="7"/>
      <c r="P162" s="7"/>
      <c r="Q162" s="7"/>
      <c r="R162" s="7"/>
      <c r="S162" s="7"/>
      <c r="T162" s="7"/>
      <c r="U162" s="7"/>
      <c r="V162" s="7"/>
      <c r="W162" s="7"/>
      <c r="X162" s="7"/>
      <c r="Y162" s="7"/>
      <c r="Z162" s="7"/>
      <c r="AA162" s="7"/>
      <c r="AB162" s="7"/>
      <c r="AC162" s="7"/>
      <c r="AD162" s="7"/>
      <c r="AE162" s="7"/>
      <c r="AF162" s="7"/>
      <c r="AG162" s="7"/>
      <c r="AH162" s="7"/>
      <c r="AI162" s="7"/>
      <c r="AJ162" s="158">
        <f>SUM(AA160:AJ160)</f>
        <v>20914.113074040539</v>
      </c>
      <c r="AK162" s="7"/>
      <c r="AL162" s="7"/>
      <c r="AM162" s="7"/>
      <c r="AN162" s="7"/>
      <c r="AO162" s="172"/>
    </row>
    <row r="163" spans="1:41" x14ac:dyDescent="0.8">
      <c r="A163" s="22"/>
      <c r="B163" s="7"/>
      <c r="C163" s="7"/>
      <c r="D163" s="7"/>
      <c r="E163" s="7"/>
      <c r="F163" s="7"/>
      <c r="G163" s="7"/>
      <c r="H163" s="131"/>
      <c r="I163" s="7"/>
      <c r="J163" s="7"/>
      <c r="K163" s="7"/>
      <c r="L163" s="7"/>
      <c r="M163" s="7"/>
      <c r="N163" s="13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172"/>
    </row>
    <row r="164" spans="1:41" x14ac:dyDescent="0.8">
      <c r="A164" s="22" t="s">
        <v>495</v>
      </c>
      <c r="B164" s="7"/>
      <c r="C164" s="7"/>
      <c r="D164" s="7"/>
      <c r="E164" s="7"/>
      <c r="F164" s="7"/>
      <c r="G164" s="7"/>
      <c r="H164" s="131"/>
      <c r="I164" s="7"/>
      <c r="J164" s="7"/>
      <c r="K164" s="7"/>
      <c r="L164" s="7"/>
      <c r="M164" s="7"/>
      <c r="N164" s="131"/>
      <c r="O164" s="7"/>
      <c r="P164" s="7"/>
      <c r="Q164" s="7"/>
      <c r="R164" s="7"/>
      <c r="S164" s="7"/>
      <c r="T164" s="7"/>
      <c r="U164" s="7"/>
      <c r="V164" s="7"/>
      <c r="W164" s="7"/>
      <c r="X164" s="7"/>
      <c r="Y164" s="7"/>
      <c r="Z164" s="7"/>
      <c r="AA164" s="7"/>
      <c r="AB164" s="213">
        <f t="shared" ref="AB164:AK164" si="82">AA158</f>
        <v>9.9999999999999978E-2</v>
      </c>
      <c r="AC164" s="213">
        <f t="shared" si="82"/>
        <v>0.19999999999999996</v>
      </c>
      <c r="AD164" s="213">
        <f t="shared" si="82"/>
        <v>0.30000000000000004</v>
      </c>
      <c r="AE164" s="213">
        <f t="shared" si="82"/>
        <v>0.4</v>
      </c>
      <c r="AF164" s="213">
        <f t="shared" si="82"/>
        <v>0.5</v>
      </c>
      <c r="AG164" s="213">
        <f t="shared" si="82"/>
        <v>0.6</v>
      </c>
      <c r="AH164" s="213">
        <f t="shared" si="82"/>
        <v>0.7</v>
      </c>
      <c r="AI164" s="213">
        <f t="shared" si="82"/>
        <v>0.8</v>
      </c>
      <c r="AJ164" s="213">
        <f t="shared" si="82"/>
        <v>0.9</v>
      </c>
      <c r="AK164" s="213">
        <f t="shared" si="82"/>
        <v>1</v>
      </c>
      <c r="AL164" s="7"/>
      <c r="AM164" s="7"/>
      <c r="AN164" s="7"/>
      <c r="AO164" s="172"/>
    </row>
    <row r="165" spans="1:41" x14ac:dyDescent="0.8">
      <c r="A165" s="22" t="s">
        <v>496</v>
      </c>
      <c r="B165" s="7"/>
      <c r="C165" s="7"/>
      <c r="D165" s="7"/>
      <c r="E165" s="7"/>
      <c r="F165" s="7"/>
      <c r="G165" s="7"/>
      <c r="H165" s="131"/>
      <c r="I165" s="7"/>
      <c r="J165" s="7"/>
      <c r="K165" s="7"/>
      <c r="L165" s="7"/>
      <c r="M165" s="7"/>
      <c r="N165" s="131"/>
      <c r="O165" s="7"/>
      <c r="P165" s="7"/>
      <c r="Q165" s="7"/>
      <c r="R165" s="7"/>
      <c r="S165" s="7"/>
      <c r="T165" s="7"/>
      <c r="U165" s="7"/>
      <c r="V165" s="7"/>
      <c r="W165" s="7"/>
      <c r="X165" s="7"/>
      <c r="Y165" s="7"/>
      <c r="Z165" s="7"/>
      <c r="AA165" s="7"/>
      <c r="AB165" s="550">
        <f>AB164*AB$6</f>
        <v>2318.1140530598186</v>
      </c>
      <c r="AC165" s="550">
        <f t="shared" ref="AC165:AK165" si="83">AC164*AC$6</f>
        <v>4498.5746311595531</v>
      </c>
      <c r="AD165" s="550">
        <f t="shared" si="83"/>
        <v>6527.3144441835884</v>
      </c>
      <c r="AE165" s="550">
        <f t="shared" si="83"/>
        <v>8446.7636685401139</v>
      </c>
      <c r="AF165" s="550">
        <f t="shared" si="83"/>
        <v>10227.039792456451</v>
      </c>
      <c r="AG165" s="550">
        <f t="shared" si="83"/>
        <v>11916.453108682219</v>
      </c>
      <c r="AH165" s="550">
        <f t="shared" si="83"/>
        <v>13504.740381553584</v>
      </c>
      <c r="AI165" s="550">
        <f t="shared" si="83"/>
        <v>15001.072782543681</v>
      </c>
      <c r="AJ165" s="550">
        <f t="shared" si="83"/>
        <v>16409.847916844439</v>
      </c>
      <c r="AK165" s="550">
        <f t="shared" si="83"/>
        <v>17739.233638648209</v>
      </c>
      <c r="AL165" s="7"/>
      <c r="AM165" s="7"/>
      <c r="AN165" s="7"/>
      <c r="AO165" s="172"/>
    </row>
    <row r="166" spans="1:41" x14ac:dyDescent="0.8">
      <c r="A166" s="22" t="s">
        <v>361</v>
      </c>
      <c r="B166" s="7"/>
      <c r="C166" s="7"/>
      <c r="D166" s="7"/>
      <c r="E166" s="7"/>
      <c r="F166" s="7"/>
      <c r="G166" s="7"/>
      <c r="H166" s="131"/>
      <c r="I166" s="7"/>
      <c r="J166" s="7"/>
      <c r="K166" s="7"/>
      <c r="L166" s="7"/>
      <c r="M166" s="7"/>
      <c r="N166" s="131"/>
      <c r="O166" s="7"/>
      <c r="P166" s="7"/>
      <c r="Q166" s="7"/>
      <c r="R166" s="7"/>
      <c r="S166" s="7"/>
      <c r="T166" s="7"/>
      <c r="U166" s="7"/>
      <c r="V166" s="7"/>
      <c r="W166" s="7"/>
      <c r="X166" s="7"/>
      <c r="Y166" s="7"/>
      <c r="Z166" s="7"/>
      <c r="AA166" s="7"/>
      <c r="AB166" s="157">
        <f>1/$B$5*AB$6</f>
        <v>2318.1140530598195</v>
      </c>
      <c r="AC166" s="157">
        <f t="shared" ref="AC166:AK166" si="84">1/$B$5*AC$6</f>
        <v>2249.287315579777</v>
      </c>
      <c r="AD166" s="157">
        <f t="shared" si="84"/>
        <v>2175.771481394529</v>
      </c>
      <c r="AE166" s="157">
        <f t="shared" si="84"/>
        <v>2111.6909171350285</v>
      </c>
      <c r="AF166" s="157">
        <f t="shared" si="84"/>
        <v>2045.4079584912904</v>
      </c>
      <c r="AG166" s="157">
        <f t="shared" si="84"/>
        <v>1986.0755181137033</v>
      </c>
      <c r="AH166" s="157">
        <f t="shared" si="84"/>
        <v>1929.2486259362265</v>
      </c>
      <c r="AI166" s="157">
        <f t="shared" si="84"/>
        <v>1875.1340978179601</v>
      </c>
      <c r="AJ166" s="157">
        <f t="shared" si="84"/>
        <v>1823.3164352049375</v>
      </c>
      <c r="AK166" s="157">
        <f t="shared" si="84"/>
        <v>1773.9233638648211</v>
      </c>
      <c r="AL166" s="7"/>
      <c r="AM166" s="7"/>
      <c r="AN166" s="7"/>
      <c r="AO166" s="172"/>
    </row>
    <row r="167" spans="1:41" x14ac:dyDescent="0.8">
      <c r="A167" s="22" t="s">
        <v>498</v>
      </c>
      <c r="B167" s="7"/>
      <c r="C167" s="7"/>
      <c r="D167" s="7"/>
      <c r="E167" s="7"/>
      <c r="F167" s="7"/>
      <c r="G167" s="7"/>
      <c r="H167" s="131"/>
      <c r="I167" s="7"/>
      <c r="J167" s="7"/>
      <c r="K167" s="7"/>
      <c r="L167" s="7"/>
      <c r="M167" s="7"/>
      <c r="N167" s="131"/>
      <c r="O167" s="7"/>
      <c r="P167" s="7"/>
      <c r="Q167" s="7"/>
      <c r="R167" s="7"/>
      <c r="S167" s="7"/>
      <c r="T167" s="7"/>
      <c r="U167" s="7"/>
      <c r="V167" s="7"/>
      <c r="W167" s="7"/>
      <c r="X167" s="7"/>
      <c r="Y167" s="7"/>
      <c r="Z167" s="7"/>
      <c r="AA167" s="7"/>
      <c r="AB167" s="7"/>
      <c r="AC167" s="7"/>
      <c r="AD167" s="7"/>
      <c r="AE167" s="7"/>
      <c r="AF167" s="7"/>
      <c r="AG167" s="7"/>
      <c r="AH167" s="7"/>
      <c r="AI167" s="7"/>
      <c r="AJ167" s="7"/>
      <c r="AK167" s="550">
        <f>SUM(AB165:AK165)</f>
        <v>106589.15441767164</v>
      </c>
      <c r="AL167" s="7"/>
      <c r="AM167" s="7"/>
      <c r="AN167" s="7"/>
      <c r="AO167" s="172"/>
    </row>
    <row r="168" spans="1:41" x14ac:dyDescent="0.8">
      <c r="A168" s="22" t="s">
        <v>497</v>
      </c>
      <c r="B168" s="7"/>
      <c r="C168" s="7"/>
      <c r="D168" s="7"/>
      <c r="E168" s="7"/>
      <c r="F168" s="7"/>
      <c r="G168" s="7"/>
      <c r="H168" s="131"/>
      <c r="I168" s="7"/>
      <c r="J168" s="7"/>
      <c r="K168" s="7"/>
      <c r="L168" s="7"/>
      <c r="M168" s="7"/>
      <c r="N168" s="131"/>
      <c r="O168" s="7"/>
      <c r="P168" s="7"/>
      <c r="Q168" s="7"/>
      <c r="R168" s="7"/>
      <c r="S168" s="7"/>
      <c r="T168" s="7"/>
      <c r="U168" s="7"/>
      <c r="V168" s="7"/>
      <c r="W168" s="7"/>
      <c r="X168" s="7"/>
      <c r="Y168" s="7"/>
      <c r="Z168" s="7"/>
      <c r="AA168" s="7"/>
      <c r="AB168" s="7"/>
      <c r="AC168" s="7"/>
      <c r="AD168" s="7"/>
      <c r="AE168" s="7"/>
      <c r="AF168" s="7"/>
      <c r="AG168" s="7"/>
      <c r="AH168" s="7"/>
      <c r="AI168" s="7"/>
      <c r="AJ168" s="7"/>
      <c r="AK168" s="158">
        <f>SUM(AB166:AK166)</f>
        <v>20287.969766598097</v>
      </c>
      <c r="AL168" s="7"/>
      <c r="AM168" s="7"/>
      <c r="AN168" s="7"/>
      <c r="AO168" s="172"/>
    </row>
    <row r="169" spans="1:41" x14ac:dyDescent="0.8">
      <c r="A169" s="22"/>
      <c r="B169" s="7"/>
      <c r="C169" s="7"/>
      <c r="D169" s="7"/>
      <c r="E169" s="7"/>
      <c r="F169" s="7"/>
      <c r="G169" s="7"/>
      <c r="H169" s="131"/>
      <c r="I169" s="7"/>
      <c r="J169" s="7"/>
      <c r="K169" s="7"/>
      <c r="L169" s="7"/>
      <c r="M169" s="7"/>
      <c r="N169" s="13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172"/>
    </row>
    <row r="170" spans="1:41" x14ac:dyDescent="0.8">
      <c r="A170" s="22" t="s">
        <v>495</v>
      </c>
      <c r="B170" s="7"/>
      <c r="C170" s="7"/>
      <c r="D170" s="7"/>
      <c r="E170" s="7"/>
      <c r="F170" s="7"/>
      <c r="G170" s="7"/>
      <c r="H170" s="131"/>
      <c r="I170" s="7"/>
      <c r="J170" s="7"/>
      <c r="K170" s="7"/>
      <c r="L170" s="7"/>
      <c r="M170" s="7"/>
      <c r="N170" s="131"/>
      <c r="O170" s="7"/>
      <c r="P170" s="7"/>
      <c r="Q170" s="7"/>
      <c r="R170" s="7"/>
      <c r="S170" s="7"/>
      <c r="T170" s="7"/>
      <c r="U170" s="7"/>
      <c r="V170" s="7"/>
      <c r="W170" s="7"/>
      <c r="X170" s="7"/>
      <c r="Y170" s="7"/>
      <c r="Z170" s="7"/>
      <c r="AA170" s="7"/>
      <c r="AB170" s="7"/>
      <c r="AC170" s="213">
        <f t="shared" ref="AC170:AL170" si="85">AB164</f>
        <v>9.9999999999999978E-2</v>
      </c>
      <c r="AD170" s="213">
        <f t="shared" si="85"/>
        <v>0.19999999999999996</v>
      </c>
      <c r="AE170" s="213">
        <f t="shared" si="85"/>
        <v>0.30000000000000004</v>
      </c>
      <c r="AF170" s="213">
        <f t="shared" si="85"/>
        <v>0.4</v>
      </c>
      <c r="AG170" s="213">
        <f t="shared" si="85"/>
        <v>0.5</v>
      </c>
      <c r="AH170" s="213">
        <f t="shared" si="85"/>
        <v>0.6</v>
      </c>
      <c r="AI170" s="213">
        <f t="shared" si="85"/>
        <v>0.7</v>
      </c>
      <c r="AJ170" s="213">
        <f t="shared" si="85"/>
        <v>0.8</v>
      </c>
      <c r="AK170" s="213">
        <f t="shared" si="85"/>
        <v>0.9</v>
      </c>
      <c r="AL170" s="213">
        <f t="shared" si="85"/>
        <v>1</v>
      </c>
      <c r="AM170" s="7"/>
      <c r="AN170" s="7"/>
      <c r="AO170" s="172"/>
    </row>
    <row r="171" spans="1:41" x14ac:dyDescent="0.8">
      <c r="A171" s="22" t="s">
        <v>496</v>
      </c>
      <c r="B171" s="7"/>
      <c r="C171" s="7"/>
      <c r="D171" s="7"/>
      <c r="E171" s="7"/>
      <c r="F171" s="7"/>
      <c r="G171" s="7"/>
      <c r="H171" s="131"/>
      <c r="I171" s="7"/>
      <c r="J171" s="7"/>
      <c r="K171" s="7"/>
      <c r="L171" s="7"/>
      <c r="M171" s="7"/>
      <c r="N171" s="131"/>
      <c r="O171" s="7"/>
      <c r="P171" s="7"/>
      <c r="Q171" s="7"/>
      <c r="R171" s="7"/>
      <c r="S171" s="7"/>
      <c r="T171" s="7"/>
      <c r="U171" s="7"/>
      <c r="V171" s="7"/>
      <c r="W171" s="7"/>
      <c r="X171" s="7"/>
      <c r="Y171" s="7"/>
      <c r="Z171" s="7"/>
      <c r="AA171" s="7"/>
      <c r="AB171" s="7"/>
      <c r="AC171" s="550">
        <f>AC170*AC$6</f>
        <v>2249.2873155797765</v>
      </c>
      <c r="AD171" s="550">
        <f t="shared" ref="AD171:AL171" si="86">AD170*AD$6</f>
        <v>4351.5429627890571</v>
      </c>
      <c r="AE171" s="550">
        <f t="shared" si="86"/>
        <v>6335.0727514050859</v>
      </c>
      <c r="AF171" s="550">
        <f t="shared" si="86"/>
        <v>8181.6318339651616</v>
      </c>
      <c r="AG171" s="550">
        <f t="shared" si="86"/>
        <v>9930.3775905685161</v>
      </c>
      <c r="AH171" s="550">
        <f t="shared" si="86"/>
        <v>11575.491755617359</v>
      </c>
      <c r="AI171" s="550">
        <f t="shared" si="86"/>
        <v>13125.938684725719</v>
      </c>
      <c r="AJ171" s="550">
        <f t="shared" si="86"/>
        <v>14586.5314816395</v>
      </c>
      <c r="AK171" s="550">
        <f t="shared" si="86"/>
        <v>15965.310274783389</v>
      </c>
      <c r="AL171" s="550">
        <f t="shared" si="86"/>
        <v>17266.451088990445</v>
      </c>
      <c r="AM171" s="7"/>
      <c r="AN171" s="7"/>
      <c r="AO171" s="172"/>
    </row>
    <row r="172" spans="1:41" x14ac:dyDescent="0.8">
      <c r="A172" s="22" t="s">
        <v>361</v>
      </c>
      <c r="B172" s="7"/>
      <c r="C172" s="7"/>
      <c r="D172" s="7"/>
      <c r="E172" s="7"/>
      <c r="F172" s="7"/>
      <c r="G172" s="7"/>
      <c r="H172" s="131"/>
      <c r="I172" s="7"/>
      <c r="J172" s="7"/>
      <c r="K172" s="7"/>
      <c r="L172" s="7"/>
      <c r="M172" s="7"/>
      <c r="N172" s="131"/>
      <c r="O172" s="7"/>
      <c r="P172" s="7"/>
      <c r="Q172" s="7"/>
      <c r="R172" s="7"/>
      <c r="S172" s="7"/>
      <c r="T172" s="7"/>
      <c r="U172" s="7"/>
      <c r="V172" s="7"/>
      <c r="W172" s="7"/>
      <c r="X172" s="7"/>
      <c r="Y172" s="7"/>
      <c r="Z172" s="7"/>
      <c r="AA172" s="7"/>
      <c r="AB172" s="7"/>
      <c r="AC172" s="157">
        <f>1/$B$5*AC$6</f>
        <v>2249.287315579777</v>
      </c>
      <c r="AD172" s="157">
        <f t="shared" ref="AD172:AL172" si="87">1/$B$5*AD$6</f>
        <v>2175.771481394529</v>
      </c>
      <c r="AE172" s="157">
        <f t="shared" si="87"/>
        <v>2111.6909171350285</v>
      </c>
      <c r="AF172" s="157">
        <f t="shared" si="87"/>
        <v>2045.4079584912904</v>
      </c>
      <c r="AG172" s="157">
        <f t="shared" si="87"/>
        <v>1986.0755181137033</v>
      </c>
      <c r="AH172" s="157">
        <f t="shared" si="87"/>
        <v>1929.2486259362265</v>
      </c>
      <c r="AI172" s="157">
        <f t="shared" si="87"/>
        <v>1875.1340978179601</v>
      </c>
      <c r="AJ172" s="157">
        <f t="shared" si="87"/>
        <v>1823.3164352049375</v>
      </c>
      <c r="AK172" s="157">
        <f t="shared" si="87"/>
        <v>1773.9233638648211</v>
      </c>
      <c r="AL172" s="157">
        <f t="shared" si="87"/>
        <v>1726.6451088990445</v>
      </c>
      <c r="AM172" s="7"/>
      <c r="AN172" s="7"/>
      <c r="AO172" s="172"/>
    </row>
    <row r="173" spans="1:41" x14ac:dyDescent="0.8">
      <c r="A173" s="22" t="s">
        <v>498</v>
      </c>
      <c r="B173" s="7"/>
      <c r="C173" s="7"/>
      <c r="D173" s="7"/>
      <c r="E173" s="7"/>
      <c r="F173" s="7"/>
      <c r="G173" s="7"/>
      <c r="H173" s="131"/>
      <c r="I173" s="7"/>
      <c r="J173" s="7"/>
      <c r="K173" s="7"/>
      <c r="L173" s="7"/>
      <c r="M173" s="7"/>
      <c r="N173" s="131"/>
      <c r="O173" s="7"/>
      <c r="P173" s="7"/>
      <c r="Q173" s="7"/>
      <c r="R173" s="7"/>
      <c r="S173" s="7"/>
      <c r="T173" s="7"/>
      <c r="U173" s="7"/>
      <c r="V173" s="7"/>
      <c r="W173" s="7"/>
      <c r="X173" s="7"/>
      <c r="Y173" s="7"/>
      <c r="Z173" s="7"/>
      <c r="AA173" s="7"/>
      <c r="AB173" s="7"/>
      <c r="AC173" s="7"/>
      <c r="AD173" s="7"/>
      <c r="AE173" s="7"/>
      <c r="AF173" s="7"/>
      <c r="AG173" s="7"/>
      <c r="AH173" s="7"/>
      <c r="AI173" s="7"/>
      <c r="AJ173" s="7"/>
      <c r="AK173" s="7"/>
      <c r="AL173" s="550">
        <f>SUM(AC171:AL171)</f>
        <v>103567.63574006401</v>
      </c>
      <c r="AM173" s="7"/>
      <c r="AN173" s="7"/>
      <c r="AO173" s="172"/>
    </row>
    <row r="174" spans="1:41" x14ac:dyDescent="0.8">
      <c r="A174" s="22" t="s">
        <v>497</v>
      </c>
      <c r="B174" s="7"/>
      <c r="C174" s="7"/>
      <c r="D174" s="7"/>
      <c r="E174" s="7"/>
      <c r="F174" s="7"/>
      <c r="G174" s="7"/>
      <c r="H174" s="131"/>
      <c r="I174" s="7"/>
      <c r="J174" s="7"/>
      <c r="K174" s="7"/>
      <c r="L174" s="7"/>
      <c r="M174" s="7"/>
      <c r="N174" s="131"/>
      <c r="O174" s="7"/>
      <c r="P174" s="7"/>
      <c r="Q174" s="7"/>
      <c r="R174" s="7"/>
      <c r="S174" s="7"/>
      <c r="T174" s="7"/>
      <c r="U174" s="7"/>
      <c r="V174" s="7"/>
      <c r="W174" s="7"/>
      <c r="X174" s="7"/>
      <c r="Y174" s="7"/>
      <c r="Z174" s="7"/>
      <c r="AA174" s="7"/>
      <c r="AB174" s="7"/>
      <c r="AC174" s="7"/>
      <c r="AD174" s="7"/>
      <c r="AE174" s="7"/>
      <c r="AF174" s="7"/>
      <c r="AG174" s="7"/>
      <c r="AH174" s="7"/>
      <c r="AI174" s="7"/>
      <c r="AJ174" s="7"/>
      <c r="AK174" s="7"/>
      <c r="AL174" s="158">
        <f>SUM(AC172:AL172)</f>
        <v>19696.500822437316</v>
      </c>
      <c r="AM174" s="7"/>
      <c r="AN174" s="7"/>
      <c r="AO174" s="172"/>
    </row>
    <row r="175" spans="1:41" x14ac:dyDescent="0.8">
      <c r="A175" s="22"/>
      <c r="B175" s="7"/>
      <c r="C175" s="7"/>
      <c r="D175" s="7"/>
      <c r="E175" s="7"/>
      <c r="F175" s="7"/>
      <c r="G175" s="7"/>
      <c r="H175" s="131"/>
      <c r="I175" s="7"/>
      <c r="J175" s="7"/>
      <c r="K175" s="7"/>
      <c r="L175" s="7"/>
      <c r="M175" s="7"/>
      <c r="N175" s="13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172"/>
    </row>
    <row r="176" spans="1:41" x14ac:dyDescent="0.8">
      <c r="A176" s="22" t="s">
        <v>495</v>
      </c>
      <c r="B176" s="7"/>
      <c r="C176" s="7"/>
      <c r="D176" s="7"/>
      <c r="E176" s="7"/>
      <c r="F176" s="7"/>
      <c r="G176" s="7"/>
      <c r="H176" s="131"/>
      <c r="I176" s="7"/>
      <c r="J176" s="7"/>
      <c r="K176" s="7"/>
      <c r="L176" s="7"/>
      <c r="M176" s="7"/>
      <c r="N176" s="131"/>
      <c r="O176" s="7"/>
      <c r="P176" s="7"/>
      <c r="Q176" s="7"/>
      <c r="R176" s="7"/>
      <c r="S176" s="7"/>
      <c r="T176" s="7"/>
      <c r="U176" s="7"/>
      <c r="V176" s="7"/>
      <c r="W176" s="7"/>
      <c r="X176" s="7"/>
      <c r="Y176" s="7"/>
      <c r="Z176" s="7"/>
      <c r="AA176" s="7"/>
      <c r="AB176" s="7"/>
      <c r="AC176" s="7"/>
      <c r="AD176" s="213">
        <f t="shared" ref="AD176:AM176" si="88">AC170</f>
        <v>9.9999999999999978E-2</v>
      </c>
      <c r="AE176" s="213">
        <f t="shared" si="88"/>
        <v>0.19999999999999996</v>
      </c>
      <c r="AF176" s="213">
        <f t="shared" si="88"/>
        <v>0.30000000000000004</v>
      </c>
      <c r="AG176" s="213">
        <f t="shared" si="88"/>
        <v>0.4</v>
      </c>
      <c r="AH176" s="213">
        <f t="shared" si="88"/>
        <v>0.5</v>
      </c>
      <c r="AI176" s="213">
        <f t="shared" si="88"/>
        <v>0.6</v>
      </c>
      <c r="AJ176" s="213">
        <f t="shared" si="88"/>
        <v>0.7</v>
      </c>
      <c r="AK176" s="213">
        <f t="shared" si="88"/>
        <v>0.8</v>
      </c>
      <c r="AL176" s="213">
        <f t="shared" si="88"/>
        <v>0.9</v>
      </c>
      <c r="AM176" s="213">
        <f t="shared" si="88"/>
        <v>1</v>
      </c>
      <c r="AN176" s="7"/>
      <c r="AO176" s="172"/>
    </row>
    <row r="177" spans="1:41" x14ac:dyDescent="0.8">
      <c r="A177" s="22" t="s">
        <v>496</v>
      </c>
      <c r="B177" s="7"/>
      <c r="C177" s="7"/>
      <c r="D177" s="7"/>
      <c r="E177" s="7"/>
      <c r="F177" s="7"/>
      <c r="G177" s="7"/>
      <c r="H177" s="131"/>
      <c r="I177" s="7"/>
      <c r="J177" s="7"/>
      <c r="K177" s="7"/>
      <c r="L177" s="7"/>
      <c r="M177" s="7"/>
      <c r="N177" s="131"/>
      <c r="O177" s="7"/>
      <c r="P177" s="7"/>
      <c r="Q177" s="7"/>
      <c r="R177" s="7"/>
      <c r="S177" s="7"/>
      <c r="T177" s="7"/>
      <c r="U177" s="7"/>
      <c r="V177" s="7"/>
      <c r="W177" s="7"/>
      <c r="X177" s="7"/>
      <c r="Y177" s="7"/>
      <c r="Z177" s="7"/>
      <c r="AA177" s="7"/>
      <c r="AB177" s="7"/>
      <c r="AC177" s="7"/>
      <c r="AD177" s="550">
        <f>AD176*AD$6</f>
        <v>2175.7714813945286</v>
      </c>
      <c r="AE177" s="550">
        <f t="shared" ref="AE177:AM177" si="89">AE176*AE$6</f>
        <v>4223.3818342700552</v>
      </c>
      <c r="AF177" s="550">
        <f t="shared" si="89"/>
        <v>6136.2238754738719</v>
      </c>
      <c r="AG177" s="550">
        <f t="shared" si="89"/>
        <v>7944.3020724548132</v>
      </c>
      <c r="AH177" s="550">
        <f t="shared" si="89"/>
        <v>9646.2431296811319</v>
      </c>
      <c r="AI177" s="550">
        <f t="shared" si="89"/>
        <v>11250.80458690776</v>
      </c>
      <c r="AJ177" s="550">
        <f t="shared" si="89"/>
        <v>12763.215046434561</v>
      </c>
      <c r="AK177" s="550">
        <f t="shared" si="89"/>
        <v>14191.386910918569</v>
      </c>
      <c r="AL177" s="550">
        <f t="shared" si="89"/>
        <v>15539.805980091402</v>
      </c>
      <c r="AM177" s="550">
        <f t="shared" si="89"/>
        <v>16815.426894631</v>
      </c>
      <c r="AN177" s="7"/>
      <c r="AO177" s="172"/>
    </row>
    <row r="178" spans="1:41" x14ac:dyDescent="0.8">
      <c r="A178" s="22" t="s">
        <v>361</v>
      </c>
      <c r="B178" s="7"/>
      <c r="C178" s="7"/>
      <c r="D178" s="7"/>
      <c r="E178" s="7"/>
      <c r="F178" s="7"/>
      <c r="G178" s="7"/>
      <c r="H178" s="131"/>
      <c r="I178" s="7"/>
      <c r="J178" s="7"/>
      <c r="K178" s="7"/>
      <c r="L178" s="7"/>
      <c r="M178" s="7"/>
      <c r="N178" s="131"/>
      <c r="O178" s="7"/>
      <c r="P178" s="7"/>
      <c r="Q178" s="7"/>
      <c r="R178" s="7"/>
      <c r="S178" s="7"/>
      <c r="T178" s="7"/>
      <c r="U178" s="7"/>
      <c r="V178" s="7"/>
      <c r="W178" s="7"/>
      <c r="X178" s="7"/>
      <c r="Y178" s="7"/>
      <c r="Z178" s="7"/>
      <c r="AA178" s="7"/>
      <c r="AB178" s="7"/>
      <c r="AC178" s="7"/>
      <c r="AD178" s="157">
        <f>1/$B$5*AD$6</f>
        <v>2175.771481394529</v>
      </c>
      <c r="AE178" s="157">
        <f t="shared" ref="AE178:AM178" si="90">1/$B$5*AE$6</f>
        <v>2111.6909171350285</v>
      </c>
      <c r="AF178" s="157">
        <f t="shared" si="90"/>
        <v>2045.4079584912904</v>
      </c>
      <c r="AG178" s="157">
        <f t="shared" si="90"/>
        <v>1986.0755181137033</v>
      </c>
      <c r="AH178" s="157">
        <f t="shared" si="90"/>
        <v>1929.2486259362265</v>
      </c>
      <c r="AI178" s="157">
        <f t="shared" si="90"/>
        <v>1875.1340978179601</v>
      </c>
      <c r="AJ178" s="157">
        <f t="shared" si="90"/>
        <v>1823.3164352049375</v>
      </c>
      <c r="AK178" s="157">
        <f t="shared" si="90"/>
        <v>1773.9233638648211</v>
      </c>
      <c r="AL178" s="157">
        <f t="shared" si="90"/>
        <v>1726.6451088990445</v>
      </c>
      <c r="AM178" s="157">
        <f t="shared" si="90"/>
        <v>1681.5426894631</v>
      </c>
      <c r="AN178" s="7"/>
      <c r="AO178" s="172"/>
    </row>
    <row r="179" spans="1:41" x14ac:dyDescent="0.8">
      <c r="A179" s="22" t="s">
        <v>498</v>
      </c>
      <c r="B179" s="7"/>
      <c r="C179" s="7"/>
      <c r="D179" s="7"/>
      <c r="E179" s="7"/>
      <c r="F179" s="7"/>
      <c r="G179" s="7"/>
      <c r="H179" s="131"/>
      <c r="I179" s="7"/>
      <c r="J179" s="7"/>
      <c r="K179" s="7"/>
      <c r="L179" s="7"/>
      <c r="M179" s="7"/>
      <c r="N179" s="13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550">
        <f>SUM(AD177:AM177)</f>
        <v>100686.5618122577</v>
      </c>
      <c r="AN179" s="7"/>
      <c r="AO179" s="172"/>
    </row>
    <row r="180" spans="1:41" x14ac:dyDescent="0.8">
      <c r="A180" s="22" t="s">
        <v>497</v>
      </c>
      <c r="B180" s="7"/>
      <c r="C180" s="7"/>
      <c r="D180" s="7"/>
      <c r="E180" s="7"/>
      <c r="F180" s="7"/>
      <c r="G180" s="7"/>
      <c r="H180" s="131"/>
      <c r="I180" s="7"/>
      <c r="J180" s="7"/>
      <c r="K180" s="7"/>
      <c r="L180" s="7"/>
      <c r="M180" s="7"/>
      <c r="N180" s="13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158">
        <f>SUM(AD178:AM178)</f>
        <v>19128.756196320639</v>
      </c>
      <c r="AN180" s="7"/>
      <c r="AO180" s="172"/>
    </row>
    <row r="181" spans="1:41" x14ac:dyDescent="0.8">
      <c r="A181" s="22"/>
      <c r="B181" s="7"/>
      <c r="C181" s="7"/>
      <c r="D181" s="7"/>
      <c r="E181" s="7"/>
      <c r="F181" s="7"/>
      <c r="G181" s="7"/>
      <c r="H181" s="131"/>
      <c r="I181" s="7"/>
      <c r="J181" s="7"/>
      <c r="K181" s="7"/>
      <c r="L181" s="7"/>
      <c r="M181" s="7"/>
      <c r="N181" s="13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172"/>
    </row>
    <row r="182" spans="1:41" x14ac:dyDescent="0.8">
      <c r="A182" s="22" t="s">
        <v>495</v>
      </c>
      <c r="B182" s="7"/>
      <c r="C182" s="7"/>
      <c r="D182" s="7"/>
      <c r="E182" s="7"/>
      <c r="F182" s="7"/>
      <c r="G182" s="7"/>
      <c r="H182" s="131"/>
      <c r="I182" s="7"/>
      <c r="J182" s="7"/>
      <c r="K182" s="7"/>
      <c r="L182" s="7"/>
      <c r="M182" s="7"/>
      <c r="N182" s="131"/>
      <c r="O182" s="7"/>
      <c r="P182" s="7"/>
      <c r="Q182" s="7"/>
      <c r="R182" s="7"/>
      <c r="S182" s="7"/>
      <c r="T182" s="7"/>
      <c r="U182" s="7"/>
      <c r="V182" s="7"/>
      <c r="W182" s="7"/>
      <c r="X182" s="7"/>
      <c r="Y182" s="7"/>
      <c r="Z182" s="7"/>
      <c r="AA182" s="7"/>
      <c r="AB182" s="7"/>
      <c r="AC182" s="7"/>
      <c r="AD182" s="7"/>
      <c r="AE182" s="213">
        <f t="shared" ref="AE182:AN182" si="91">AD176</f>
        <v>9.9999999999999978E-2</v>
      </c>
      <c r="AF182" s="213">
        <f t="shared" si="91"/>
        <v>0.19999999999999996</v>
      </c>
      <c r="AG182" s="213">
        <f t="shared" si="91"/>
        <v>0.30000000000000004</v>
      </c>
      <c r="AH182" s="213">
        <f t="shared" si="91"/>
        <v>0.4</v>
      </c>
      <c r="AI182" s="213">
        <f t="shared" si="91"/>
        <v>0.5</v>
      </c>
      <c r="AJ182" s="213">
        <f t="shared" si="91"/>
        <v>0.6</v>
      </c>
      <c r="AK182" s="213">
        <f t="shared" si="91"/>
        <v>0.7</v>
      </c>
      <c r="AL182" s="213">
        <f t="shared" si="91"/>
        <v>0.8</v>
      </c>
      <c r="AM182" s="213">
        <f t="shared" si="91"/>
        <v>0.9</v>
      </c>
      <c r="AN182" s="213">
        <f t="shared" si="91"/>
        <v>1</v>
      </c>
      <c r="AO182" s="172"/>
    </row>
    <row r="183" spans="1:41" x14ac:dyDescent="0.8">
      <c r="A183" s="22" t="s">
        <v>496</v>
      </c>
      <c r="B183" s="7"/>
      <c r="C183" s="7"/>
      <c r="D183" s="7"/>
      <c r="E183" s="7"/>
      <c r="F183" s="7"/>
      <c r="G183" s="7"/>
      <c r="H183" s="131"/>
      <c r="I183" s="7"/>
      <c r="J183" s="7"/>
      <c r="K183" s="7"/>
      <c r="L183" s="7"/>
      <c r="M183" s="7"/>
      <c r="N183" s="131"/>
      <c r="O183" s="7"/>
      <c r="P183" s="7"/>
      <c r="Q183" s="7"/>
      <c r="R183" s="7"/>
      <c r="S183" s="7"/>
      <c r="T183" s="7"/>
      <c r="U183" s="7"/>
      <c r="V183" s="7"/>
      <c r="W183" s="7"/>
      <c r="X183" s="7"/>
      <c r="Y183" s="7"/>
      <c r="Z183" s="7"/>
      <c r="AA183" s="7"/>
      <c r="AB183" s="7"/>
      <c r="AC183" s="7"/>
      <c r="AD183" s="7"/>
      <c r="AE183" s="550">
        <f>AE182*AE$6</f>
        <v>2111.6909171350276</v>
      </c>
      <c r="AF183" s="550">
        <f t="shared" ref="AF183:AN183" si="92">AF182*AF$6</f>
        <v>4090.8159169825794</v>
      </c>
      <c r="AG183" s="550">
        <f t="shared" si="92"/>
        <v>5958.2265543411104</v>
      </c>
      <c r="AH183" s="550">
        <f t="shared" si="92"/>
        <v>7716.9945037449061</v>
      </c>
      <c r="AI183" s="550">
        <f t="shared" si="92"/>
        <v>9375.6704890898</v>
      </c>
      <c r="AJ183" s="550">
        <f t="shared" si="92"/>
        <v>10939.898611229624</v>
      </c>
      <c r="AK183" s="550">
        <f t="shared" si="92"/>
        <v>12417.463547053745</v>
      </c>
      <c r="AL183" s="550">
        <f t="shared" si="92"/>
        <v>13813.160871192356</v>
      </c>
      <c r="AM183" s="550">
        <f t="shared" si="92"/>
        <v>15133.8842051679</v>
      </c>
      <c r="AN183" s="550">
        <f t="shared" si="92"/>
        <v>16383.808398389167</v>
      </c>
      <c r="AO183" s="172"/>
    </row>
    <row r="184" spans="1:41" x14ac:dyDescent="0.8">
      <c r="A184" s="22" t="s">
        <v>361</v>
      </c>
      <c r="B184" s="7"/>
      <c r="C184" s="7"/>
      <c r="D184" s="7"/>
      <c r="E184" s="7"/>
      <c r="F184" s="7"/>
      <c r="G184" s="7"/>
      <c r="H184" s="131"/>
      <c r="I184" s="7"/>
      <c r="J184" s="7"/>
      <c r="K184" s="7"/>
      <c r="L184" s="7"/>
      <c r="M184" s="7"/>
      <c r="N184" s="131"/>
      <c r="O184" s="7"/>
      <c r="P184" s="7"/>
      <c r="Q184" s="7"/>
      <c r="R184" s="7"/>
      <c r="S184" s="7"/>
      <c r="T184" s="7"/>
      <c r="U184" s="7"/>
      <c r="V184" s="7"/>
      <c r="W184" s="7"/>
      <c r="X184" s="7"/>
      <c r="Y184" s="7"/>
      <c r="Z184" s="7"/>
      <c r="AA184" s="7"/>
      <c r="AB184" s="7"/>
      <c r="AC184" s="7"/>
      <c r="AD184" s="7"/>
      <c r="AE184" s="157">
        <f>1/$B$5*AE$6</f>
        <v>2111.6909171350285</v>
      </c>
      <c r="AF184" s="157">
        <f t="shared" ref="AF184:AN184" si="93">1/$B$5*AF$6</f>
        <v>2045.4079584912904</v>
      </c>
      <c r="AG184" s="157">
        <f t="shared" si="93"/>
        <v>1986.0755181137033</v>
      </c>
      <c r="AH184" s="157">
        <f t="shared" si="93"/>
        <v>1929.2486259362265</v>
      </c>
      <c r="AI184" s="157">
        <f t="shared" si="93"/>
        <v>1875.1340978179601</v>
      </c>
      <c r="AJ184" s="157">
        <f t="shared" si="93"/>
        <v>1823.3164352049375</v>
      </c>
      <c r="AK184" s="157">
        <f t="shared" si="93"/>
        <v>1773.9233638648211</v>
      </c>
      <c r="AL184" s="157">
        <f t="shared" si="93"/>
        <v>1726.6451088990445</v>
      </c>
      <c r="AM184" s="157">
        <f t="shared" si="93"/>
        <v>1681.5426894631</v>
      </c>
      <c r="AN184" s="157">
        <f t="shared" si="93"/>
        <v>1638.3808398389167</v>
      </c>
      <c r="AO184" s="172"/>
    </row>
    <row r="185" spans="1:41" x14ac:dyDescent="0.8">
      <c r="A185" s="22" t="s">
        <v>498</v>
      </c>
      <c r="B185" s="7"/>
      <c r="C185" s="7"/>
      <c r="D185" s="7"/>
      <c r="E185" s="7"/>
      <c r="F185" s="7"/>
      <c r="G185" s="7"/>
      <c r="H185" s="131"/>
      <c r="I185" s="7"/>
      <c r="J185" s="7"/>
      <c r="K185" s="7"/>
      <c r="L185" s="7"/>
      <c r="M185" s="7"/>
      <c r="N185" s="13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550">
        <f>SUM(AE183:AN183)</f>
        <v>97941.614014326216</v>
      </c>
      <c r="AO185" s="172"/>
    </row>
    <row r="186" spans="1:41" x14ac:dyDescent="0.8">
      <c r="A186" s="22" t="s">
        <v>497</v>
      </c>
      <c r="B186" s="7"/>
      <c r="C186" s="7"/>
      <c r="D186" s="7"/>
      <c r="E186" s="7"/>
      <c r="F186" s="7"/>
      <c r="G186" s="7"/>
      <c r="H186" s="131"/>
      <c r="I186" s="7"/>
      <c r="J186" s="7"/>
      <c r="K186" s="7"/>
      <c r="L186" s="7"/>
      <c r="M186" s="7"/>
      <c r="N186" s="13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158">
        <f>SUM(AE184:AN184)</f>
        <v>18591.365554765027</v>
      </c>
      <c r="AO186" s="172"/>
    </row>
    <row r="187" spans="1:41" x14ac:dyDescent="0.8">
      <c r="A187" s="22"/>
      <c r="B187" s="7"/>
      <c r="C187" s="7"/>
      <c r="D187" s="7"/>
      <c r="E187" s="7"/>
      <c r="F187" s="7"/>
      <c r="G187" s="7"/>
      <c r="H187" s="131"/>
      <c r="I187" s="7"/>
      <c r="J187" s="7"/>
      <c r="K187" s="7"/>
      <c r="L187" s="7"/>
      <c r="M187" s="7"/>
      <c r="N187" s="13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172"/>
    </row>
    <row r="188" spans="1:41" x14ac:dyDescent="0.8">
      <c r="A188" s="22" t="s">
        <v>495</v>
      </c>
      <c r="B188" s="7"/>
      <c r="C188" s="7"/>
      <c r="D188" s="7"/>
      <c r="E188" s="7"/>
      <c r="F188" s="7"/>
      <c r="G188" s="7"/>
      <c r="H188" s="131"/>
      <c r="I188" s="7"/>
      <c r="J188" s="7"/>
      <c r="K188" s="7"/>
      <c r="L188" s="7"/>
      <c r="M188" s="7"/>
      <c r="N188" s="131"/>
      <c r="O188" s="7"/>
      <c r="P188" s="7"/>
      <c r="Q188" s="7"/>
      <c r="R188" s="7"/>
      <c r="S188" s="7"/>
      <c r="T188" s="7"/>
      <c r="U188" s="7"/>
      <c r="V188" s="7"/>
      <c r="W188" s="7"/>
      <c r="X188" s="7"/>
      <c r="Y188" s="7"/>
      <c r="Z188" s="7"/>
      <c r="AA188" s="7"/>
      <c r="AB188" s="7"/>
      <c r="AC188" s="7"/>
      <c r="AD188" s="7"/>
      <c r="AE188" s="7"/>
      <c r="AF188" s="213">
        <f t="shared" ref="AF188:AO188" si="94">AE182</f>
        <v>9.9999999999999978E-2</v>
      </c>
      <c r="AG188" s="213">
        <f t="shared" si="94"/>
        <v>0.19999999999999996</v>
      </c>
      <c r="AH188" s="213">
        <f t="shared" si="94"/>
        <v>0.30000000000000004</v>
      </c>
      <c r="AI188" s="213">
        <f t="shared" si="94"/>
        <v>0.4</v>
      </c>
      <c r="AJ188" s="213">
        <f t="shared" si="94"/>
        <v>0.5</v>
      </c>
      <c r="AK188" s="213">
        <f t="shared" si="94"/>
        <v>0.6</v>
      </c>
      <c r="AL188" s="213">
        <f t="shared" si="94"/>
        <v>0.7</v>
      </c>
      <c r="AM188" s="213">
        <f t="shared" si="94"/>
        <v>0.8</v>
      </c>
      <c r="AN188" s="213">
        <f t="shared" si="94"/>
        <v>0.9</v>
      </c>
      <c r="AO188" s="453">
        <f t="shared" si="94"/>
        <v>1</v>
      </c>
    </row>
    <row r="189" spans="1:41" x14ac:dyDescent="0.8">
      <c r="A189" s="22" t="s">
        <v>496</v>
      </c>
      <c r="B189" s="7"/>
      <c r="C189" s="7"/>
      <c r="D189" s="7"/>
      <c r="E189" s="7"/>
      <c r="F189" s="7"/>
      <c r="G189" s="7"/>
      <c r="H189" s="131"/>
      <c r="I189" s="7"/>
      <c r="J189" s="7"/>
      <c r="K189" s="7"/>
      <c r="L189" s="7"/>
      <c r="M189" s="7"/>
      <c r="N189" s="131"/>
      <c r="O189" s="7"/>
      <c r="P189" s="7"/>
      <c r="Q189" s="7"/>
      <c r="R189" s="7"/>
      <c r="S189" s="7"/>
      <c r="T189" s="7"/>
      <c r="U189" s="7"/>
      <c r="V189" s="7"/>
      <c r="W189" s="7"/>
      <c r="X189" s="7"/>
      <c r="Y189" s="7"/>
      <c r="Z189" s="7"/>
      <c r="AA189" s="7"/>
      <c r="AB189" s="7"/>
      <c r="AC189" s="7"/>
      <c r="AD189" s="7"/>
      <c r="AE189" s="7"/>
      <c r="AF189" s="550">
        <f>AF188*AF$6</f>
        <v>2045.4079584912897</v>
      </c>
      <c r="AG189" s="550">
        <f t="shared" ref="AG189:AO189" si="95">AG188*AG$6</f>
        <v>3972.1510362274057</v>
      </c>
      <c r="AH189" s="550">
        <f t="shared" si="95"/>
        <v>5787.7458778086802</v>
      </c>
      <c r="AI189" s="550">
        <f t="shared" si="95"/>
        <v>7500.5363912718403</v>
      </c>
      <c r="AJ189" s="550">
        <f t="shared" si="95"/>
        <v>9116.5821760246872</v>
      </c>
      <c r="AK189" s="550">
        <f t="shared" si="95"/>
        <v>10643.540183188925</v>
      </c>
      <c r="AL189" s="550">
        <f t="shared" si="95"/>
        <v>12086.515762293311</v>
      </c>
      <c r="AM189" s="550">
        <f t="shared" si="95"/>
        <v>13452.3415157048</v>
      </c>
      <c r="AN189" s="550">
        <f t="shared" si="95"/>
        <v>14745.427558550251</v>
      </c>
      <c r="AO189" s="551">
        <f t="shared" si="95"/>
        <v>15971.776784507494</v>
      </c>
    </row>
    <row r="190" spans="1:41" x14ac:dyDescent="0.8">
      <c r="A190" s="22" t="s">
        <v>361</v>
      </c>
      <c r="B190" s="7"/>
      <c r="C190" s="7"/>
      <c r="D190" s="7"/>
      <c r="E190" s="7"/>
      <c r="F190" s="7"/>
      <c r="G190" s="7"/>
      <c r="H190" s="131"/>
      <c r="I190" s="7"/>
      <c r="J190" s="7"/>
      <c r="K190" s="7"/>
      <c r="L190" s="7"/>
      <c r="M190" s="7"/>
      <c r="N190" s="131"/>
      <c r="O190" s="7"/>
      <c r="P190" s="7"/>
      <c r="Q190" s="7"/>
      <c r="R190" s="7"/>
      <c r="S190" s="7"/>
      <c r="T190" s="7"/>
      <c r="U190" s="7"/>
      <c r="V190" s="7"/>
      <c r="W190" s="7"/>
      <c r="X190" s="7"/>
      <c r="Y190" s="7"/>
      <c r="Z190" s="7"/>
      <c r="AA190" s="7"/>
      <c r="AB190" s="7"/>
      <c r="AC190" s="7"/>
      <c r="AD190" s="7"/>
      <c r="AE190" s="7"/>
      <c r="AF190" s="157">
        <f>1/$B$5*AF$6</f>
        <v>2045.4079584912904</v>
      </c>
      <c r="AG190" s="157">
        <f t="shared" ref="AG190:AO190" si="96">1/$B$5*AG$6</f>
        <v>1986.0755181137033</v>
      </c>
      <c r="AH190" s="157">
        <f t="shared" si="96"/>
        <v>1929.2486259362265</v>
      </c>
      <c r="AI190" s="157">
        <f t="shared" si="96"/>
        <v>1875.1340978179601</v>
      </c>
      <c r="AJ190" s="157">
        <f t="shared" si="96"/>
        <v>1823.3164352049375</v>
      </c>
      <c r="AK190" s="157">
        <f t="shared" si="96"/>
        <v>1773.9233638648211</v>
      </c>
      <c r="AL190" s="157">
        <f t="shared" si="96"/>
        <v>1726.6451088990445</v>
      </c>
      <c r="AM190" s="157">
        <f t="shared" si="96"/>
        <v>1681.5426894631</v>
      </c>
      <c r="AN190" s="157">
        <f t="shared" si="96"/>
        <v>1638.3808398389167</v>
      </c>
      <c r="AO190" s="315">
        <f t="shared" si="96"/>
        <v>1597.1776784507495</v>
      </c>
    </row>
    <row r="191" spans="1:41" x14ac:dyDescent="0.8">
      <c r="A191" s="22" t="s">
        <v>498</v>
      </c>
      <c r="B191" s="7"/>
      <c r="C191" s="7"/>
      <c r="D191" s="7"/>
      <c r="E191" s="7"/>
      <c r="F191" s="7"/>
      <c r="G191" s="7"/>
      <c r="H191" s="131"/>
      <c r="I191" s="7"/>
      <c r="J191" s="7"/>
      <c r="K191" s="7"/>
      <c r="L191" s="7"/>
      <c r="M191" s="7"/>
      <c r="N191" s="13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551">
        <f>SUM(AF189:AO189)</f>
        <v>95322.025244068689</v>
      </c>
    </row>
    <row r="192" spans="1:41" x14ac:dyDescent="0.8">
      <c r="A192" s="22" t="s">
        <v>497</v>
      </c>
      <c r="B192" s="7"/>
      <c r="C192" s="7"/>
      <c r="D192" s="7"/>
      <c r="E192" s="7"/>
      <c r="F192" s="7"/>
      <c r="G192" s="7"/>
      <c r="H192" s="131"/>
      <c r="I192" s="7"/>
      <c r="J192" s="7"/>
      <c r="K192" s="7"/>
      <c r="L192" s="7"/>
      <c r="M192" s="7"/>
      <c r="N192" s="13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533">
        <f>SUM(AF190:AO190)</f>
        <v>18076.852316080749</v>
      </c>
    </row>
    <row r="193" spans="1:41" x14ac:dyDescent="0.8">
      <c r="A193" s="22"/>
      <c r="B193" s="7"/>
      <c r="C193" s="7"/>
      <c r="D193" s="7"/>
      <c r="E193" s="7"/>
      <c r="F193" s="7"/>
      <c r="G193" s="7"/>
      <c r="H193" s="396"/>
      <c r="I193" s="7"/>
      <c r="J193" s="7"/>
      <c r="K193" s="7"/>
      <c r="L193" s="7"/>
      <c r="M193" s="7"/>
      <c r="N193" s="396"/>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172"/>
    </row>
    <row r="194" spans="1:41" x14ac:dyDescent="0.8">
      <c r="A194" s="552" t="s">
        <v>499</v>
      </c>
      <c r="B194" s="544"/>
      <c r="C194" s="544"/>
      <c r="D194" s="544"/>
      <c r="E194" s="544"/>
      <c r="F194" s="544"/>
      <c r="G194" s="544"/>
      <c r="H194" s="545">
        <f>H46+H40+H34+H28+H22+H16+H10</f>
        <v>19953.175023598506</v>
      </c>
      <c r="I194" s="545">
        <f>I46+I40+I34+I28+I22+I16+I10+I52</f>
        <v>25797.545069188855</v>
      </c>
      <c r="J194" s="545">
        <f>J46+J40+J34+J28+J22+J16+J10+J52+J58</f>
        <v>29556.668335083825</v>
      </c>
      <c r="K194" s="545">
        <f>K46+K40+K34+K28+K22+K16+K10+K52+K58+K64</f>
        <v>35013.316347430948</v>
      </c>
      <c r="L194" s="545">
        <f>L46+L40+L34+L28+L22+L16+L10+L52+L58+L64+L70</f>
        <v>34826.458541259461</v>
      </c>
      <c r="M194" s="545">
        <f>M46+M40+M34+M28+M22+M16+M10+M52+M58+M64+M70+M76</f>
        <v>37146.829919559481</v>
      </c>
      <c r="N194" s="545">
        <f>N46+N40+N34+N28+N22+N16+N10+N52+N58+N64+N70+N76+N82</f>
        <v>33051.467091569983</v>
      </c>
      <c r="O194" s="545">
        <f>O46+O40+O34+O28+O22+O16+O10+O52+O58+O64+O70+O76+O82+O88</f>
        <v>33923.861369552353</v>
      </c>
      <c r="P194" s="545">
        <f>P46+P40+P34+P28+P22+P16+P10+P52+P58+P64+P70+P76+P82+P88+P94</f>
        <v>31499.706474774401</v>
      </c>
      <c r="Q194" s="545">
        <f>Q46+Q40+Q34+Q28+Q22+Q16+Q10+Q52+Q58+Q64+Q70+Q76+Q82+Q88+Q94+Q100</f>
        <v>32107.501980202862</v>
      </c>
      <c r="R194" s="545">
        <f>R46+R40+R34+R28+R22+R16+R10+R52+R58+R64+R70+R76+R82+R88+R94+R100+R106</f>
        <v>29663.028403070013</v>
      </c>
      <c r="S194" s="545">
        <f>S46+S40+S34+S28+S22+S16+S10+S52+S58+S64+S70+S76+S82+S88+S94+S100+S106+S112</f>
        <v>30066.623774536507</v>
      </c>
      <c r="T194" s="545">
        <f>T46+T40+T34+T28+T22+T16+T10+T52+T58+T64+T70+T76+T82+T88+T94+T100+T106+T112+T118</f>
        <v>28357.001724823091</v>
      </c>
      <c r="U194" s="545">
        <f>U46+U40+U34+U28+U22+U16+U10+U52+U58+U64+U70+U76+U82+U88+U94+U100+U106+U112+U118+U124</f>
        <v>28623.395940834893</v>
      </c>
      <c r="V194" s="545">
        <f>V46+V40+V34+V28+V22+V16+V10+V52+V58+V64+V70+V76+V82+V88+V94+V100+V106+V112+V118+V124+V130</f>
        <v>27358.440196781372</v>
      </c>
      <c r="W194" s="545">
        <f>W46+W40+W34+W28+W22+W16+W10+W52+W58+W64+W70+W76+W82+W88+W94+W100+W106+W112+W118+W124+W130+W136</f>
        <v>27399.570241130972</v>
      </c>
      <c r="X194" s="545">
        <f>X46+X40+X34+X28+X22+X16+X10+X52+X58+X64+X70+X76+X82+X88+X94+X100+X106+X112+X118+X124+X130+X136+X142</f>
        <v>26424.999239471148</v>
      </c>
      <c r="Y194" s="545">
        <f>Y46+Y40+Y34+Y28+Y22+Y16+Y10+Y52+Y58+Y64+Y70+Y76+Y82+Y88+Y94+Y100+Y106+Y112+Y118+Y124+Y130+Y136+Y142+Y148</f>
        <v>25653.537338924358</v>
      </c>
      <c r="Z194" s="545">
        <f>Z46+Z40+Z34+Z28+Z22+Z16+Z10+Z52+Z58+Z64+Z70+Z76+Z82+Z88+Z94+Z100+Z106+Z112+Z118+Z124+Z130+Z136+Z142+Z148+Z154</f>
        <v>24733.845738928536</v>
      </c>
      <c r="AA194" s="545">
        <f>AA46+AA40+AA34+AA28+AA22+AA16+AA10+AA52+AA58+AA64+AA70+AA76+AA82+AA88+AA94+AA100+AA106+AA112+AA118+AA124+AA130+AA136+AA142+AA148+AA154+AA160</f>
        <v>24000.666713072653</v>
      </c>
      <c r="AB194" s="545">
        <f>AB46+AB40+AB34+AB28+AB22+AB16+AB10+AB52+AB58+AB64+AB70+AB76+AB82+AB88+AB94+AB100+AB106+AB112+AB118+AB124+AB130+AB136+AB142+AB148+AB154+AB160+AB166</f>
        <v>23181.140530598201</v>
      </c>
      <c r="AC194" s="545">
        <f>AC46+AC40+AC34+AC28+AC22+AC16+AC10+AC52+AC58+AC64+AC70+AC76+AC82+AC88+AC94+AC100+AC106+AC112+AC118+AC124+AC130+AC136+AC142+AC148+AC154+AC160+AC166+AC172</f>
        <v>22492.873155797774</v>
      </c>
      <c r="AD194" s="545">
        <f>AD46+AD40+AD34+AD28+AD22+AD16+AD10+AD52+AD58+AD64+AD70+AD76+AD82+AD88+AD94+AD100+AD106+AD112+AD118+AD124+AD130+AD136+AD142+AD148+AD154+AD160+AD166+AD172+AD178</f>
        <v>21757.714813945287</v>
      </c>
      <c r="AE194" s="545">
        <f>AE46+AE40+AE34+AE28+AE22+AE16+AE10+AE52+AE58+AE64+AE70+AE76+AE82+AE88+AE94+AE100+AE106+AE112+AE118+AE124+AE130+AE136+AE142+AE148+AE154+AE160+AE166+AE172+AE178+AE184</f>
        <v>21116.909171350282</v>
      </c>
      <c r="AF194" s="545">
        <f t="shared" ref="AF194:AO194" si="97">AF46+AF40+AF34+AF28+AF22+AF16+AF10+AF52+AF58+AF64+AF70+AF76+AF82+AF88+AF94+AF100+AF106+AF112+AF118+AF124+AF130+AF136+AF142+AF148+AF154+AF160+AF166+AF172+AF178+AF184+AF190</f>
        <v>20454.079584912903</v>
      </c>
      <c r="AG194" s="545">
        <f t="shared" si="97"/>
        <v>17874.679663023329</v>
      </c>
      <c r="AH194" s="545">
        <f t="shared" si="97"/>
        <v>15433.989007489812</v>
      </c>
      <c r="AI194" s="545">
        <f t="shared" si="97"/>
        <v>13125.938684725719</v>
      </c>
      <c r="AJ194" s="545">
        <f t="shared" si="97"/>
        <v>10939.898611229624</v>
      </c>
      <c r="AK194" s="545">
        <f t="shared" si="97"/>
        <v>8869.6168193241065</v>
      </c>
      <c r="AL194" s="545">
        <f t="shared" si="97"/>
        <v>6906.5804355961782</v>
      </c>
      <c r="AM194" s="545">
        <f t="shared" si="97"/>
        <v>5044.6280683893001</v>
      </c>
      <c r="AN194" s="545">
        <f t="shared" si="97"/>
        <v>3276.7616796778334</v>
      </c>
      <c r="AO194" s="553">
        <f t="shared" si="97"/>
        <v>1597.1776784507495</v>
      </c>
    </row>
    <row r="195" spans="1:41" ht="16.75" thickBot="1" x14ac:dyDescent="0.95">
      <c r="A195" s="296" t="s">
        <v>500</v>
      </c>
      <c r="B195" s="546"/>
      <c r="C195" s="546"/>
      <c r="D195" s="546"/>
      <c r="E195" s="546"/>
      <c r="F195" s="546"/>
      <c r="G195" s="546"/>
      <c r="H195" s="546"/>
      <c r="I195" s="546"/>
      <c r="J195" s="546"/>
      <c r="K195" s="547">
        <f>K11</f>
        <v>170993.10477530211</v>
      </c>
      <c r="L195" s="547">
        <f>L17</f>
        <v>175700.71071391634</v>
      </c>
      <c r="M195" s="547">
        <f>M23</f>
        <v>182063.7421767046</v>
      </c>
      <c r="N195" s="547">
        <f>N29</f>
        <v>183501.42781954748</v>
      </c>
      <c r="O195" s="547">
        <f>O35</f>
        <v>185308.56103121565</v>
      </c>
      <c r="P195" s="547">
        <f>P41</f>
        <v>184387.55321115072</v>
      </c>
      <c r="Q195" s="547">
        <f>Q47</f>
        <v>183591.07024903677</v>
      </c>
      <c r="R195" s="548">
        <f>R53</f>
        <v>180137.96351176966</v>
      </c>
      <c r="S195" s="548">
        <f>S59</f>
        <v>176972.60288046187</v>
      </c>
      <c r="T195" s="548">
        <f>T65</f>
        <v>172315.65095563559</v>
      </c>
      <c r="U195" s="548">
        <f>U71</f>
        <v>168373.46733379256</v>
      </c>
      <c r="V195" s="548">
        <f>V77</f>
        <v>163805.32000855563</v>
      </c>
      <c r="W195" s="548">
        <f>W83</f>
        <v>160025.10456211612</v>
      </c>
      <c r="X195" s="548">
        <f>X89</f>
        <v>156245.04408185964</v>
      </c>
      <c r="Y195" s="548">
        <f>Y95</f>
        <v>152356.16848626622</v>
      </c>
      <c r="Z195" s="548">
        <f>Z101</f>
        <v>148374.63369373977</v>
      </c>
      <c r="AA195" s="548">
        <f>AA107</f>
        <v>144336.50594894207</v>
      </c>
      <c r="AB195" s="548">
        <f>AB113</f>
        <v>140289.53554838293</v>
      </c>
      <c r="AC195" s="548">
        <f>AC119</f>
        <v>136202.48656027051</v>
      </c>
      <c r="AD195" s="548">
        <f>AD125</f>
        <v>132137.6542921795</v>
      </c>
      <c r="AE195" s="548">
        <f>AE131</f>
        <v>128091.94507258128</v>
      </c>
      <c r="AF195" s="548">
        <f>AF137</f>
        <v>124134.05494349412</v>
      </c>
      <c r="AG195" s="548">
        <f>AG143</f>
        <v>120273.27647181794</v>
      </c>
      <c r="AH195" s="548">
        <f>AH149:AH149</f>
        <v>116598.11058436638</v>
      </c>
      <c r="AI195" s="548">
        <f>AI155</f>
        <v>113095.05071374305</v>
      </c>
      <c r="AJ195" s="548">
        <f>AJ161</f>
        <v>109764.033853064</v>
      </c>
      <c r="AK195" s="548">
        <f>AK167</f>
        <v>106589.15441767164</v>
      </c>
      <c r="AL195" s="548">
        <f>AL173</f>
        <v>103567.63574006401</v>
      </c>
      <c r="AM195" s="548">
        <f>AM179</f>
        <v>100686.5618122577</v>
      </c>
      <c r="AN195" s="548">
        <f>AN185</f>
        <v>97941.614014326216</v>
      </c>
      <c r="AO195" s="549">
        <f>AO191</f>
        <v>95322.025244068689</v>
      </c>
    </row>
  </sheetData>
  <mergeCells count="6">
    <mergeCell ref="B1:G2"/>
    <mergeCell ref="H1:M2"/>
    <mergeCell ref="N1:AO2"/>
    <mergeCell ref="BI1:BN2"/>
    <mergeCell ref="BO1:CP2"/>
    <mergeCell ref="BA1:BH2"/>
  </mergeCells>
  <hyperlinks>
    <hyperlink ref="A1" location="'Cover Page '!A1" display="Back to cover page "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AQ147"/>
  <sheetViews>
    <sheetView showGridLines="0" zoomScale="85" zoomScaleNormal="85" zoomScalePageLayoutView="85" workbookViewId="0">
      <pane xSplit="1" ySplit="3" topLeftCell="F55" activePane="bottomRight" state="frozen"/>
      <selection pane="topRight" activeCell="B1" sqref="B1"/>
      <selection pane="bottomLeft" activeCell="A2" sqref="A2"/>
      <selection pane="bottomRight"/>
    </sheetView>
  </sheetViews>
  <sheetFormatPr defaultColWidth="11" defaultRowHeight="16" x14ac:dyDescent="0.8"/>
  <cols>
    <col min="1" max="1" width="30.6640625" bestFit="1" customWidth="1"/>
    <col min="2" max="2" width="22.5" bestFit="1" customWidth="1"/>
    <col min="3" max="3" width="20.83203125" bestFit="1" customWidth="1"/>
    <col min="4" max="5" width="12.33203125" bestFit="1" customWidth="1"/>
    <col min="6" max="6" width="5.1640625" bestFit="1" customWidth="1"/>
    <col min="7" max="7" width="12.33203125" bestFit="1" customWidth="1"/>
    <col min="8" max="8" width="12.33203125" style="7" bestFit="1" customWidth="1"/>
    <col min="9" max="9" width="10" bestFit="1" customWidth="1"/>
    <col min="10" max="42" width="9.5" bestFit="1" customWidth="1"/>
    <col min="43" max="43" width="3.1640625" bestFit="1" customWidth="1"/>
  </cols>
  <sheetData>
    <row r="1" spans="1:43"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3"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3" ht="16.75" thickBot="1" x14ac:dyDescent="0.95">
      <c r="A3" s="7"/>
      <c r="B3" s="379"/>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3" x14ac:dyDescent="0.8">
      <c r="H4"/>
    </row>
    <row r="5" spans="1:43" x14ac:dyDescent="0.8">
      <c r="A5" s="146" t="s">
        <v>355</v>
      </c>
      <c r="B5" s="482"/>
      <c r="C5" s="138"/>
      <c r="D5" s="138"/>
      <c r="E5" s="138"/>
      <c r="F5" s="138"/>
      <c r="G5" s="138"/>
      <c r="H5" s="138"/>
      <c r="I5" s="490">
        <f t="shared" ref="I5:AP5" si="0">-(I24+I26+I42+I44+I63+I65+I74)</f>
        <v>80812.5</v>
      </c>
      <c r="J5" s="139">
        <f t="shared" si="0"/>
        <v>25812.5</v>
      </c>
      <c r="K5" s="139">
        <f t="shared" si="0"/>
        <v>23807.042887339267</v>
      </c>
      <c r="L5" s="139">
        <f t="shared" si="0"/>
        <v>25982.808462878369</v>
      </c>
      <c r="M5" s="139">
        <f t="shared" si="0"/>
        <v>25615.399316814364</v>
      </c>
      <c r="N5" s="139">
        <f t="shared" si="0"/>
        <v>27192.194711853575</v>
      </c>
      <c r="O5" s="490">
        <f t="shared" si="0"/>
        <v>25153.194696022911</v>
      </c>
      <c r="P5" s="139">
        <f t="shared" si="0"/>
        <v>25942.489145165266</v>
      </c>
      <c r="Q5" s="139">
        <f t="shared" si="0"/>
        <v>23140.606926884895</v>
      </c>
      <c r="R5" s="139">
        <f t="shared" si="0"/>
        <v>23737.463937478096</v>
      </c>
      <c r="S5" s="139">
        <f t="shared" si="0"/>
        <v>22078.95484333513</v>
      </c>
      <c r="T5" s="139">
        <f t="shared" si="0"/>
        <v>22494.784036141165</v>
      </c>
      <c r="U5" s="139">
        <f t="shared" si="0"/>
        <v>21166.123718301969</v>
      </c>
      <c r="V5" s="139">
        <f t="shared" si="0"/>
        <v>20914.122407994051</v>
      </c>
      <c r="W5" s="139">
        <f t="shared" si="0"/>
        <v>19744.467893299028</v>
      </c>
      <c r="X5" s="139">
        <f t="shared" si="0"/>
        <v>19926.724081150074</v>
      </c>
      <c r="Y5" s="139">
        <f t="shared" si="0"/>
        <v>19061.292334308942</v>
      </c>
      <c r="Z5" s="139">
        <f t="shared" si="0"/>
        <v>19089.431853257702</v>
      </c>
      <c r="AA5" s="139">
        <f t="shared" si="0"/>
        <v>18422.669645684786</v>
      </c>
      <c r="AB5" s="139">
        <f t="shared" si="0"/>
        <v>17894.866500515353</v>
      </c>
      <c r="AC5" s="139">
        <f t="shared" si="0"/>
        <v>16921.900568115256</v>
      </c>
      <c r="AD5" s="139">
        <f t="shared" si="0"/>
        <v>16420.289023144964</v>
      </c>
      <c r="AE5" s="139">
        <f t="shared" si="0"/>
        <v>15859.602233101101</v>
      </c>
      <c r="AF5" s="139">
        <f t="shared" si="0"/>
        <v>15388.717430002343</v>
      </c>
      <c r="AG5" s="139">
        <f t="shared" si="0"/>
        <v>14885.751716786614</v>
      </c>
      <c r="AH5" s="139">
        <f t="shared" si="0"/>
        <v>14447.338318322934</v>
      </c>
      <c r="AI5" s="139">
        <f t="shared" si="0"/>
        <v>13993.857024969311</v>
      </c>
      <c r="AJ5" s="139">
        <f t="shared" si="0"/>
        <v>13587.928376779786</v>
      </c>
      <c r="AK5" s="139">
        <f t="shared" si="0"/>
        <v>13199.141679728153</v>
      </c>
      <c r="AL5" s="139">
        <f t="shared" si="0"/>
        <v>12828.9118845829</v>
      </c>
      <c r="AM5" s="139">
        <f t="shared" si="0"/>
        <v>12474.396317669001</v>
      </c>
      <c r="AN5" s="139">
        <f t="shared" si="0"/>
        <v>12136.468827219844</v>
      </c>
      <c r="AO5" s="139">
        <f t="shared" si="0"/>
        <v>11813.010058207754</v>
      </c>
      <c r="AP5" s="155">
        <f t="shared" si="0"/>
        <v>11504.437479106051</v>
      </c>
      <c r="AQ5" s="129"/>
    </row>
    <row r="6" spans="1:43" x14ac:dyDescent="0.8">
      <c r="A6" s="463" t="s">
        <v>356</v>
      </c>
      <c r="B6" s="480"/>
      <c r="C6" s="141"/>
      <c r="D6" s="141"/>
      <c r="E6" s="141"/>
      <c r="F6" s="141"/>
      <c r="G6" s="141"/>
      <c r="H6" s="141"/>
      <c r="I6" s="491">
        <f t="shared" ref="I6:AP6" si="1">I27+I45+I66+I75</f>
        <v>29327.5</v>
      </c>
      <c r="J6" s="142">
        <f t="shared" si="1"/>
        <v>26509.542887339267</v>
      </c>
      <c r="K6" s="142">
        <f t="shared" si="1"/>
        <v>27872.808462878369</v>
      </c>
      <c r="L6" s="142">
        <f t="shared" si="1"/>
        <v>26692.899316814364</v>
      </c>
      <c r="M6" s="142">
        <f t="shared" si="1"/>
        <v>26664.069711853575</v>
      </c>
      <c r="N6" s="142">
        <f t="shared" si="1"/>
        <v>28321.944696022911</v>
      </c>
      <c r="O6" s="491">
        <f t="shared" si="1"/>
        <v>28583.114145165266</v>
      </c>
      <c r="P6" s="142">
        <f t="shared" si="1"/>
        <v>25253.106926884895</v>
      </c>
      <c r="Q6" s="142">
        <f t="shared" si="1"/>
        <v>25321.838937478096</v>
      </c>
      <c r="R6" s="142">
        <f t="shared" si="1"/>
        <v>23135.20484333513</v>
      </c>
      <c r="S6" s="142">
        <f t="shared" si="1"/>
        <v>23022.909036141165</v>
      </c>
      <c r="T6" s="142">
        <f t="shared" si="1"/>
        <v>20822.373718301969</v>
      </c>
      <c r="U6" s="142">
        <f t="shared" si="1"/>
        <v>22976.622407994051</v>
      </c>
      <c r="V6" s="142">
        <f t="shared" si="1"/>
        <v>21463.217893299028</v>
      </c>
      <c r="W6" s="142">
        <f t="shared" si="1"/>
        <v>21301.724081150074</v>
      </c>
      <c r="X6" s="142">
        <f t="shared" si="1"/>
        <v>20092.542334308942</v>
      </c>
      <c r="Y6" s="142">
        <f t="shared" si="1"/>
        <v>19776.931853257702</v>
      </c>
      <c r="Z6" s="142">
        <f t="shared" si="1"/>
        <v>18766.419645684786</v>
      </c>
      <c r="AA6" s="142">
        <f t="shared" si="1"/>
        <v>17894.866500515353</v>
      </c>
      <c r="AB6" s="142">
        <f t="shared" si="1"/>
        <v>16921.900568115256</v>
      </c>
      <c r="AC6" s="142">
        <f t="shared" si="1"/>
        <v>16420.289023144964</v>
      </c>
      <c r="AD6" s="142">
        <f t="shared" si="1"/>
        <v>15859.602233101101</v>
      </c>
      <c r="AE6" s="142">
        <f t="shared" si="1"/>
        <v>15388.717430002343</v>
      </c>
      <c r="AF6" s="142">
        <f t="shared" si="1"/>
        <v>14885.751716786614</v>
      </c>
      <c r="AG6" s="142">
        <f t="shared" si="1"/>
        <v>14447.338318322934</v>
      </c>
      <c r="AH6" s="142">
        <f t="shared" si="1"/>
        <v>13993.857024969311</v>
      </c>
      <c r="AI6" s="142">
        <f t="shared" si="1"/>
        <v>13587.928376779786</v>
      </c>
      <c r="AJ6" s="142">
        <f t="shared" si="1"/>
        <v>13199.141679728153</v>
      </c>
      <c r="AK6" s="142">
        <f t="shared" si="1"/>
        <v>12828.9118845829</v>
      </c>
      <c r="AL6" s="142">
        <f t="shared" si="1"/>
        <v>12474.396317669001</v>
      </c>
      <c r="AM6" s="142">
        <f t="shared" si="1"/>
        <v>12136.468827219844</v>
      </c>
      <c r="AN6" s="142">
        <f t="shared" si="1"/>
        <v>11813.010058207754</v>
      </c>
      <c r="AO6" s="142">
        <f t="shared" si="1"/>
        <v>11504.437479106051</v>
      </c>
      <c r="AP6" s="150">
        <f t="shared" si="1"/>
        <v>11209.141496675453</v>
      </c>
      <c r="AQ6" s="129"/>
    </row>
    <row r="7" spans="1:43" x14ac:dyDescent="0.8">
      <c r="A7" s="463" t="s">
        <v>357</v>
      </c>
      <c r="B7" s="480"/>
      <c r="C7" s="141"/>
      <c r="D7" s="141"/>
      <c r="E7" s="141"/>
      <c r="F7" s="141"/>
      <c r="G7" s="141"/>
      <c r="H7" s="141"/>
      <c r="I7" s="491">
        <f>I80</f>
        <v>99993.5</v>
      </c>
      <c r="J7" s="142">
        <f>J80</f>
        <v>49699.389761539249</v>
      </c>
      <c r="K7" s="142">
        <f t="shared" ref="K7:AP7" si="2">K80</f>
        <v>58849.853891387596</v>
      </c>
      <c r="L7" s="142">
        <f t="shared" si="2"/>
        <v>55467.551657525008</v>
      </c>
      <c r="M7" s="142">
        <f t="shared" si="2"/>
        <v>58408.459775476178</v>
      </c>
      <c r="N7" s="142">
        <f t="shared" si="2"/>
        <v>53674.189863250562</v>
      </c>
      <c r="O7" s="491">
        <f t="shared" si="2"/>
        <v>58305.157709233157</v>
      </c>
      <c r="P7" s="142">
        <f t="shared" si="2"/>
        <v>48314.748794445259</v>
      </c>
      <c r="Q7" s="142">
        <f t="shared" si="2"/>
        <v>53076.652614726292</v>
      </c>
      <c r="R7" s="142">
        <f t="shared" si="2"/>
        <v>47033.409629033311</v>
      </c>
      <c r="S7" s="142">
        <f t="shared" si="2"/>
        <v>50057.462205412157</v>
      </c>
      <c r="T7" s="142">
        <f t="shared" si="2"/>
        <v>44149.59674228447</v>
      </c>
      <c r="U7" s="142">
        <f t="shared" si="2"/>
        <v>46385.020970097219</v>
      </c>
      <c r="V7" s="142">
        <f t="shared" si="2"/>
        <v>42795.988205256486</v>
      </c>
      <c r="W7" s="142">
        <f t="shared" si="2"/>
        <v>44564.154690065239</v>
      </c>
      <c r="X7" s="142">
        <f t="shared" si="2"/>
        <v>41539.903034690207</v>
      </c>
      <c r="Y7" s="142">
        <f t="shared" si="2"/>
        <v>42497.742282876854</v>
      </c>
      <c r="Z7" s="142">
        <f t="shared" si="2"/>
        <v>40280.019150020773</v>
      </c>
      <c r="AA7" s="142">
        <f t="shared" si="2"/>
        <v>39213.526075716698</v>
      </c>
      <c r="AB7" s="142">
        <f t="shared" si="2"/>
        <v>37675.044000240981</v>
      </c>
      <c r="AC7" s="142">
        <f t="shared" si="2"/>
        <v>37000.76537237774</v>
      </c>
      <c r="AD7" s="142">
        <f t="shared" si="2"/>
        <v>35661.134876226402</v>
      </c>
      <c r="AE7" s="142">
        <f t="shared" si="2"/>
        <v>34675.480801127196</v>
      </c>
      <c r="AF7" s="142">
        <f t="shared" si="2"/>
        <v>33494.674084361395</v>
      </c>
      <c r="AG7" s="142">
        <f t="shared" si="2"/>
        <v>32557.93193397795</v>
      </c>
      <c r="AH7" s="142">
        <f t="shared" si="2"/>
        <v>31507.155936487467</v>
      </c>
      <c r="AI7" s="142">
        <f t="shared" si="2"/>
        <v>30627.606193593983</v>
      </c>
      <c r="AJ7" s="142">
        <f t="shared" si="2"/>
        <v>29756.796341159494</v>
      </c>
      <c r="AK7" s="142">
        <f t="shared" si="2"/>
        <v>28929.78363683062</v>
      </c>
      <c r="AL7" s="142">
        <f t="shared" si="2"/>
        <v>28135.818060112601</v>
      </c>
      <c r="AM7" s="142">
        <f t="shared" si="2"/>
        <v>27380.611919088551</v>
      </c>
      <c r="AN7" s="142">
        <f t="shared" si="2"/>
        <v>26656.331605376818</v>
      </c>
      <c r="AO7" s="142">
        <f t="shared" si="2"/>
        <v>25966.467400728445</v>
      </c>
      <c r="AP7" s="150">
        <f t="shared" si="2"/>
        <v>25305.316085705588</v>
      </c>
      <c r="AQ7" s="129"/>
    </row>
    <row r="8" spans="1:43" x14ac:dyDescent="0.8">
      <c r="A8" s="464" t="s">
        <v>48</v>
      </c>
      <c r="B8" s="483"/>
      <c r="C8" s="143"/>
      <c r="D8" s="143"/>
      <c r="E8" s="143"/>
      <c r="F8" s="143"/>
      <c r="G8" s="143"/>
      <c r="H8" s="143"/>
      <c r="I8" s="492">
        <f t="shared" ref="I8:AP8" si="3">I29+I47+I68+I78</f>
        <v>1876.07964977041</v>
      </c>
      <c r="J8" s="144">
        <f t="shared" si="3"/>
        <v>838.73669921570274</v>
      </c>
      <c r="K8" s="144">
        <f t="shared" si="3"/>
        <v>927.39105572269409</v>
      </c>
      <c r="L8" s="144">
        <f t="shared" si="3"/>
        <v>1049.8489072575617</v>
      </c>
      <c r="M8" s="144">
        <f t="shared" si="3"/>
        <v>1144.2271859355301</v>
      </c>
      <c r="N8" s="144">
        <f t="shared" si="3"/>
        <v>1274.0647631415347</v>
      </c>
      <c r="O8" s="492">
        <f t="shared" si="3"/>
        <v>1111.3998661053115</v>
      </c>
      <c r="P8" s="144">
        <f t="shared" si="3"/>
        <v>1119.8641336110929</v>
      </c>
      <c r="Q8" s="144">
        <f t="shared" si="3"/>
        <v>1101.4898876006077</v>
      </c>
      <c r="R8" s="144">
        <f t="shared" si="3"/>
        <v>1088.3285621651637</v>
      </c>
      <c r="S8" s="144">
        <f t="shared" si="3"/>
        <v>1050.9611148136444</v>
      </c>
      <c r="T8" s="144">
        <f t="shared" si="3"/>
        <v>994.89541116770852</v>
      </c>
      <c r="U8" s="144">
        <f t="shared" si="3"/>
        <v>951.97404060055658</v>
      </c>
      <c r="V8" s="144">
        <f t="shared" si="3"/>
        <v>874.57526840373646</v>
      </c>
      <c r="W8" s="144">
        <f t="shared" si="3"/>
        <v>788.7989693736115</v>
      </c>
      <c r="X8" s="144">
        <f t="shared" si="3"/>
        <v>701.75027296149563</v>
      </c>
      <c r="Y8" s="144">
        <f t="shared" si="3"/>
        <v>608.04881792225956</v>
      </c>
      <c r="Z8" s="144">
        <f t="shared" si="3"/>
        <v>517.0804581104594</v>
      </c>
      <c r="AA8" s="144">
        <f t="shared" si="3"/>
        <v>422.27929891970871</v>
      </c>
      <c r="AB8" s="144">
        <f t="shared" si="3"/>
        <v>335.93802980177509</v>
      </c>
      <c r="AC8" s="144">
        <f t="shared" si="3"/>
        <v>262.47463367100448</v>
      </c>
      <c r="AD8" s="144">
        <f t="shared" si="3"/>
        <v>203.96216323286112</v>
      </c>
      <c r="AE8" s="144">
        <f t="shared" si="3"/>
        <v>159.04600882942867</v>
      </c>
      <c r="AF8" s="144">
        <f t="shared" si="3"/>
        <v>128.34663917404603</v>
      </c>
      <c r="AG8" s="144">
        <f t="shared" si="3"/>
        <v>111.60598499550267</v>
      </c>
      <c r="AH8" s="144">
        <f t="shared" si="3"/>
        <v>108.21252097676525</v>
      </c>
      <c r="AI8" s="144">
        <f t="shared" si="3"/>
        <v>116.93118190016983</v>
      </c>
      <c r="AJ8" s="144">
        <f t="shared" si="3"/>
        <v>136.33938165809093</v>
      </c>
      <c r="AK8" s="144">
        <f t="shared" si="3"/>
        <v>164.45960327361493</v>
      </c>
      <c r="AL8" s="144">
        <f t="shared" si="3"/>
        <v>159.88026220133159</v>
      </c>
      <c r="AM8" s="144">
        <f t="shared" si="3"/>
        <v>155.50502491276058</v>
      </c>
      <c r="AN8" s="144">
        <f t="shared" si="3"/>
        <v>151.32602160877317</v>
      </c>
      <c r="AO8" s="144">
        <f t="shared" si="3"/>
        <v>147.3324988311112</v>
      </c>
      <c r="AP8" s="154">
        <f t="shared" si="3"/>
        <v>143.51692407775414</v>
      </c>
      <c r="AQ8" s="129"/>
    </row>
    <row r="9" spans="1:43" x14ac:dyDescent="0.8">
      <c r="A9" s="129"/>
      <c r="B9" s="129"/>
      <c r="C9" s="129"/>
      <c r="D9" s="129"/>
      <c r="E9" s="129"/>
      <c r="F9" s="129"/>
      <c r="G9" s="129"/>
      <c r="H9" s="141"/>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row>
    <row r="10" spans="1:43" x14ac:dyDescent="0.8">
      <c r="A10" s="465" t="s">
        <v>358</v>
      </c>
      <c r="B10" s="484"/>
      <c r="C10" s="462"/>
      <c r="D10" s="462"/>
      <c r="E10" s="462"/>
      <c r="F10" s="462"/>
      <c r="G10" s="462"/>
      <c r="H10" s="462"/>
      <c r="I10" s="459">
        <f>'Balance Sheet '!G9</f>
        <v>155806</v>
      </c>
      <c r="J10" s="462">
        <f>'Balance Sheet '!H9</f>
        <v>52517.346874199982</v>
      </c>
      <c r="K10" s="462">
        <f>'Balance Sheet '!I9</f>
        <v>57486.588315848494</v>
      </c>
      <c r="L10" s="462">
        <f>'Balance Sheet '!J9</f>
        <v>56647.460803589012</v>
      </c>
      <c r="M10" s="462">
        <f>'Balance Sheet '!K9</f>
        <v>58437.289380436967</v>
      </c>
      <c r="N10" s="462">
        <f>'Balance Sheet '!L9</f>
        <v>56241.314879081227</v>
      </c>
      <c r="O10" s="459">
        <f>'Balance Sheet '!M9</f>
        <v>58043.988260090802</v>
      </c>
      <c r="P10" s="462">
        <f>'Balance Sheet '!N9</f>
        <v>51644.756012725622</v>
      </c>
      <c r="Q10" s="462">
        <f>'Balance Sheet '!O9</f>
        <v>53007.920604133084</v>
      </c>
      <c r="R10" s="462">
        <f>'Balance Sheet '!P9</f>
        <v>49220.043723176284</v>
      </c>
      <c r="S10" s="462">
        <f>'Balance Sheet '!Q9</f>
        <v>50169.758012606122</v>
      </c>
      <c r="T10" s="462">
        <f>'Balance Sheet '!R9</f>
        <v>46350.132060123666</v>
      </c>
      <c r="U10" s="462">
        <f>'Balance Sheet '!S9</f>
        <v>46980.77228040513</v>
      </c>
      <c r="V10" s="462">
        <f>'Balance Sheet '!T9</f>
        <v>44309.392719951502</v>
      </c>
      <c r="W10" s="462">
        <f>'Balance Sheet '!U9</f>
        <v>44725.648502214201</v>
      </c>
      <c r="X10" s="462">
        <f>'Balance Sheet '!V9</f>
        <v>42749.084781531346</v>
      </c>
      <c r="Y10" s="462">
        <f>'Balance Sheet '!W9</f>
        <v>42813.352763928095</v>
      </c>
      <c r="Z10" s="462">
        <f>'Balance Sheet '!X9</f>
        <v>41290.531357593696</v>
      </c>
      <c r="AA10" s="462">
        <f>'Balance Sheet '!Y9</f>
        <v>40085.079220886131</v>
      </c>
      <c r="AB10" s="462">
        <f>'Balance Sheet '!Z9</f>
        <v>38648.009932641078</v>
      </c>
      <c r="AC10" s="462">
        <f>'Balance Sheet '!AA9</f>
        <v>37502.376917348025</v>
      </c>
      <c r="AD10" s="462">
        <f>'Balance Sheet '!AB9</f>
        <v>36221.821666270262</v>
      </c>
      <c r="AE10" s="462">
        <f>'Balance Sheet '!AC9</f>
        <v>35146.365604225954</v>
      </c>
      <c r="AF10" s="462">
        <f>'Balance Sheet '!AD9</f>
        <v>33997.639797577125</v>
      </c>
      <c r="AG10" s="462">
        <f>'Balance Sheet '!AE9</f>
        <v>32996.345332441626</v>
      </c>
      <c r="AH10" s="462">
        <f>'Balance Sheet '!AF9</f>
        <v>31960.637229841086</v>
      </c>
      <c r="AI10" s="462">
        <f>'Balance Sheet '!AG9</f>
        <v>31033.534841783512</v>
      </c>
      <c r="AJ10" s="462">
        <f>'Balance Sheet '!AH9</f>
        <v>30145.583038211131</v>
      </c>
      <c r="AK10" s="462">
        <f>'Balance Sheet '!AI9</f>
        <v>29300.013431975869</v>
      </c>
      <c r="AL10" s="462">
        <f>'Balance Sheet '!AJ9</f>
        <v>28490.333627026499</v>
      </c>
      <c r="AM10" s="462">
        <f>'Balance Sheet '!AK9</f>
        <v>27718.539409537705</v>
      </c>
      <c r="AN10" s="462">
        <f>'Balance Sheet '!AL9</f>
        <v>26979.790374388904</v>
      </c>
      <c r="AO10" s="462">
        <f>'Balance Sheet '!AM9</f>
        <v>26275.039979830144</v>
      </c>
      <c r="AP10" s="460">
        <f>'Balance Sheet '!AN9</f>
        <v>25600.612068136186</v>
      </c>
      <c r="AQ10" s="129"/>
    </row>
    <row r="11" spans="1:43" x14ac:dyDescent="0.8">
      <c r="A11" s="480"/>
      <c r="B11" s="480"/>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29"/>
    </row>
    <row r="12" spans="1:43" x14ac:dyDescent="0.8">
      <c r="A12" s="480" t="s">
        <v>536</v>
      </c>
      <c r="B12" s="480"/>
      <c r="C12" s="145"/>
      <c r="D12" s="145"/>
      <c r="E12" s="145"/>
      <c r="F12" s="145"/>
      <c r="G12" s="145"/>
      <c r="H12" s="145"/>
      <c r="I12" s="1313">
        <f>(I5+I6)/'Balance Sheet '!H21</f>
        <v>0.35948844740177271</v>
      </c>
      <c r="J12" s="1313">
        <f>(J5+J6)/'Balance Sheet '!I21</f>
        <v>0.16566588026931378</v>
      </c>
      <c r="K12" s="1313">
        <f>(K5+K6)/'Balance Sheet '!J21</f>
        <v>0.1525944474807952</v>
      </c>
      <c r="L12" s="1313">
        <f>(L5+L6)/'Balance Sheet '!K21</f>
        <v>0.16216338348916692</v>
      </c>
      <c r="M12" s="1313">
        <f>(M5+M6)/'Balance Sheet '!L21</f>
        <v>0.14872230335744344</v>
      </c>
      <c r="N12" s="1313">
        <f>(N5+N6)/'Balance Sheet '!M21</f>
        <v>0.16151168872647501</v>
      </c>
      <c r="O12" s="1313">
        <f>(O5+O6)/'Balance Sheet '!N21</f>
        <v>0.15736980371486275</v>
      </c>
      <c r="P12" s="1313">
        <f>(P5+P6)/'Balance Sheet '!O21</f>
        <v>0.14980984357731678</v>
      </c>
      <c r="Q12" s="1313">
        <f>(Q5+Q6)/'Balance Sheet '!P21</f>
        <v>0.14204076037934613</v>
      </c>
      <c r="R12" s="1313">
        <f>(R5+R6)/'Balance Sheet '!Q21</f>
        <v>0.13651882365695198</v>
      </c>
      <c r="S12" s="1313">
        <f>(S5+S6)/'Balance Sheet '!R21</f>
        <v>0.13476955486663675</v>
      </c>
      <c r="T12" s="1313">
        <f>(T5+T6)/'Balance Sheet '!S21</f>
        <v>0.132053633678027</v>
      </c>
      <c r="U12" s="1313">
        <f>(U5+U6)/'Balance Sheet '!T21</f>
        <v>0.13850300990874087</v>
      </c>
      <c r="V12" s="1313">
        <f>(V5+V6)/'Balance Sheet '!U21</f>
        <v>0.13619424520140844</v>
      </c>
      <c r="W12" s="1313">
        <f>(W5+W6)/'Balance Sheet '!V21</f>
        <v>0.13598295714013792</v>
      </c>
      <c r="X12" s="1313">
        <f>(X5+X6)/'Balance Sheet '!W21</f>
        <v>0.13629238865138396</v>
      </c>
      <c r="Y12" s="1313">
        <f>(Y5+Y6)/'Balance Sheet '!X21</f>
        <v>0.13672316957687264</v>
      </c>
      <c r="Z12" s="1313">
        <f>(Z5+Z6)/'Balance Sheet '!Y21</f>
        <v>0.13767886662388898</v>
      </c>
      <c r="AA12" s="1313">
        <f>(AA5+AA6)/'Balance Sheet '!Z21</f>
        <v>0.13662732975797257</v>
      </c>
      <c r="AB12" s="1313">
        <f>(AB5+AB6)/'Balance Sheet '!AA21</f>
        <v>0.137780267661887</v>
      </c>
      <c r="AC12" s="1313">
        <f>(AC5+AC6)/'Balance Sheet '!AB21</f>
        <v>0.13786232082766339</v>
      </c>
      <c r="AD12" s="1313">
        <f>(AD5+AD6)/'Balance Sheet '!AC21</f>
        <v>0.13830898945050235</v>
      </c>
      <c r="AE12" s="1313">
        <f>(AE5+AE6)/'Balance Sheet '!AD21</f>
        <v>0.13792526081336176</v>
      </c>
      <c r="AF12" s="1313">
        <f>(AF5+AF6)/'Balance Sheet '!AE21</f>
        <v>0.13685316618622345</v>
      </c>
      <c r="AG12" s="1313">
        <f>(AG5+AG6)/'Balance Sheet '!AF21</f>
        <v>0.13526714061651735</v>
      </c>
      <c r="AH12" s="1313">
        <f>(AH5+AH6)/'Balance Sheet '!AG21</f>
        <v>0.13323354507744656</v>
      </c>
      <c r="AI12" s="1313">
        <f>(AI5+AI6)/'Balance Sheet '!AH21</f>
        <v>0.130834696570994</v>
      </c>
      <c r="AJ12" s="1313">
        <f>(AJ5+AJ6)/'Balance Sheet '!AI21</f>
        <v>0.12856944799902159</v>
      </c>
      <c r="AK12" s="1313">
        <f>(AK5+AK6)/'Balance Sheet '!AJ21</f>
        <v>0.12639049789316276</v>
      </c>
      <c r="AL12" s="1313">
        <f>(AL5+AL6)/'Balance Sheet '!AK21</f>
        <v>0.12429410931711174</v>
      </c>
      <c r="AM12" s="1313">
        <f>(AM5+AM6)/'Balance Sheet '!AL21</f>
        <v>0.1222793331048696</v>
      </c>
      <c r="AN12" s="1313">
        <f>(AN5+AN6)/'Balance Sheet '!AM21</f>
        <v>0.12034359035965619</v>
      </c>
      <c r="AO12" s="1313">
        <f>(AO5+AO6)/'Balance Sheet '!AN21</f>
        <v>0.11848555655960236</v>
      </c>
      <c r="AP12" s="1313">
        <f>(AP5+AP6)/'Balance Sheet '!AO21</f>
        <v>0.11670292090888124</v>
      </c>
      <c r="AQ12" s="129"/>
    </row>
    <row r="13" spans="1:43" x14ac:dyDescent="0.8">
      <c r="A13" s="480"/>
      <c r="B13" s="480"/>
      <c r="C13" s="145"/>
      <c r="D13" s="145"/>
      <c r="E13" s="145"/>
      <c r="F13" s="145"/>
      <c r="G13" s="145"/>
      <c r="H13" s="145"/>
      <c r="I13" s="145"/>
      <c r="J13" s="151">
        <f>(J12-I12)/I12</f>
        <v>-0.53916215815368973</v>
      </c>
      <c r="K13" s="151">
        <f t="shared" ref="K13:AP13" si="4">(K12-J12)/J12</f>
        <v>-7.8902383322800557E-2</v>
      </c>
      <c r="L13" s="151">
        <f t="shared" si="4"/>
        <v>6.270828438614072E-2</v>
      </c>
      <c r="M13" s="151">
        <f t="shared" si="4"/>
        <v>-8.2886036554740472E-2</v>
      </c>
      <c r="N13" s="151">
        <f t="shared" si="4"/>
        <v>8.5995073235876365E-2</v>
      </c>
      <c r="O13" s="151">
        <f t="shared" si="4"/>
        <v>-2.5644490775071145E-2</v>
      </c>
      <c r="P13" s="151">
        <f t="shared" si="4"/>
        <v>-4.8039458390910991E-2</v>
      </c>
      <c r="Q13" s="151">
        <f t="shared" si="4"/>
        <v>-5.1859630932469605E-2</v>
      </c>
      <c r="R13" s="151">
        <f t="shared" si="4"/>
        <v>-3.8875719248804327E-2</v>
      </c>
      <c r="S13" s="151">
        <f t="shared" si="4"/>
        <v>-1.2813388977851406E-2</v>
      </c>
      <c r="T13" s="151">
        <f t="shared" si="4"/>
        <v>-2.0152334785830003E-2</v>
      </c>
      <c r="U13" s="151">
        <f t="shared" si="4"/>
        <v>4.883906675706276E-2</v>
      </c>
      <c r="V13" s="151">
        <f t="shared" si="4"/>
        <v>-1.6669419017346049E-2</v>
      </c>
      <c r="W13" s="151">
        <f t="shared" si="4"/>
        <v>-1.5513729009479127E-3</v>
      </c>
      <c r="X13" s="151">
        <f t="shared" si="4"/>
        <v>2.2755168570658324E-3</v>
      </c>
      <c r="Y13" s="151">
        <f t="shared" si="4"/>
        <v>3.1607115390027548E-3</v>
      </c>
      <c r="Z13" s="151">
        <f t="shared" si="4"/>
        <v>6.9900152986067197E-3</v>
      </c>
      <c r="AA13" s="151">
        <f t="shared" si="4"/>
        <v>-7.6376054778908176E-3</v>
      </c>
      <c r="AB13" s="151">
        <f t="shared" si="4"/>
        <v>8.4385598837128633E-3</v>
      </c>
      <c r="AC13" s="151">
        <f t="shared" si="4"/>
        <v>5.9553640857883811E-4</v>
      </c>
      <c r="AD13" s="151">
        <f t="shared" si="4"/>
        <v>3.239961580200889E-3</v>
      </c>
      <c r="AE13" s="151">
        <f t="shared" si="4"/>
        <v>-2.7744301991152781E-3</v>
      </c>
      <c r="AF13" s="151">
        <f t="shared" si="4"/>
        <v>-7.7730114180392983E-3</v>
      </c>
      <c r="AG13" s="151">
        <f t="shared" si="4"/>
        <v>-1.1589250098517388E-2</v>
      </c>
      <c r="AH13" s="151">
        <f t="shared" si="4"/>
        <v>-1.503392124504232E-2</v>
      </c>
      <c r="AI13" s="151">
        <f t="shared" si="4"/>
        <v>-1.8004838834380206E-2</v>
      </c>
      <c r="AJ13" s="151">
        <f t="shared" si="4"/>
        <v>-1.7313821420017847E-2</v>
      </c>
      <c r="AK13" s="151">
        <f t="shared" si="4"/>
        <v>-1.6947650781509276E-2</v>
      </c>
      <c r="AL13" s="151">
        <f t="shared" si="4"/>
        <v>-1.6586599554525717E-2</v>
      </c>
      <c r="AM13" s="151">
        <f t="shared" si="4"/>
        <v>-1.6209748179632832E-2</v>
      </c>
      <c r="AN13" s="151">
        <f t="shared" si="4"/>
        <v>-1.583049805769934E-2</v>
      </c>
      <c r="AO13" s="151">
        <f t="shared" si="4"/>
        <v>-1.5439408069021034E-2</v>
      </c>
      <c r="AP13" s="151">
        <f t="shared" si="4"/>
        <v>-1.5045172614135401E-2</v>
      </c>
      <c r="AQ13" s="129"/>
    </row>
    <row r="14" spans="1:43" ht="21.75" thickBot="1" x14ac:dyDescent="1.1499999999999999">
      <c r="A14" s="481" t="s">
        <v>520</v>
      </c>
      <c r="B14" s="481"/>
      <c r="C14" s="26"/>
      <c r="D14" s="26"/>
      <c r="E14" s="26"/>
      <c r="F14" s="26"/>
      <c r="G14" s="26"/>
      <c r="H14" s="145"/>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129"/>
    </row>
    <row r="15" spans="1:43" ht="21" x14ac:dyDescent="1">
      <c r="A15" s="501" t="s">
        <v>521</v>
      </c>
      <c r="B15" s="502"/>
      <c r="C15" s="479"/>
      <c r="D15" s="479"/>
      <c r="E15" s="479"/>
      <c r="F15" s="479"/>
      <c r="G15" s="479"/>
      <c r="H15" s="479"/>
      <c r="I15" s="479"/>
      <c r="J15" s="479"/>
      <c r="K15" s="479"/>
      <c r="L15" s="479"/>
      <c r="M15" s="479"/>
      <c r="N15" s="479"/>
      <c r="O15" s="479"/>
      <c r="P15" s="479"/>
      <c r="Q15" s="479"/>
      <c r="R15" s="479"/>
      <c r="S15" s="479"/>
      <c r="T15" s="479"/>
      <c r="U15" s="479"/>
      <c r="V15" s="479"/>
      <c r="W15" s="479"/>
      <c r="X15" s="479"/>
      <c r="Y15" s="479"/>
      <c r="Z15" s="479"/>
      <c r="AA15" s="479"/>
      <c r="AB15" s="479"/>
      <c r="AC15" s="479"/>
      <c r="AD15" s="479"/>
      <c r="AE15" s="479"/>
      <c r="AF15" s="479"/>
      <c r="AG15" s="479"/>
      <c r="AH15" s="479"/>
      <c r="AI15" s="479"/>
      <c r="AJ15" s="479"/>
      <c r="AK15" s="479"/>
      <c r="AL15" s="479"/>
      <c r="AM15" s="479"/>
      <c r="AN15" s="479"/>
      <c r="AO15" s="479"/>
      <c r="AP15" s="503"/>
      <c r="AQ15" s="129"/>
    </row>
    <row r="16" spans="1:43" ht="21.75" thickBot="1" x14ac:dyDescent="1.1499999999999999">
      <c r="A16" s="504"/>
      <c r="B16" s="498"/>
      <c r="C16" s="147"/>
      <c r="D16" s="147"/>
      <c r="E16" s="147"/>
      <c r="F16" s="147"/>
      <c r="G16" s="147"/>
      <c r="H16" s="148"/>
      <c r="I16" s="147"/>
      <c r="J16" s="147"/>
      <c r="K16" s="147"/>
      <c r="L16" s="147"/>
      <c r="M16" s="147"/>
      <c r="N16" s="148"/>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505"/>
      <c r="AQ16" s="129"/>
    </row>
    <row r="17" spans="1:43" x14ac:dyDescent="0.8">
      <c r="A17" s="22"/>
      <c r="B17" s="466" t="s">
        <v>361</v>
      </c>
      <c r="C17" s="467">
        <f>'Forecast Drivers '!F50/8</f>
        <v>812.5</v>
      </c>
      <c r="D17" s="468" t="s">
        <v>362</v>
      </c>
      <c r="E17" s="469">
        <v>2022</v>
      </c>
      <c r="F17" s="145"/>
      <c r="G17" s="145"/>
      <c r="H17" s="149"/>
      <c r="I17" s="145"/>
      <c r="J17" s="145"/>
      <c r="K17" s="145"/>
      <c r="L17" s="145"/>
      <c r="M17" s="145"/>
      <c r="N17" s="149"/>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471"/>
      <c r="AQ17" s="129"/>
    </row>
    <row r="18" spans="1:43" ht="21" x14ac:dyDescent="1">
      <c r="A18" s="506"/>
      <c r="B18" s="470"/>
      <c r="C18" s="145"/>
      <c r="D18" s="145"/>
      <c r="E18" s="471"/>
      <c r="F18" s="145"/>
      <c r="G18" s="145"/>
      <c r="H18" s="149"/>
      <c r="I18" s="145"/>
      <c r="J18" s="145"/>
      <c r="K18" s="145"/>
      <c r="L18" s="145"/>
      <c r="M18" s="145"/>
      <c r="N18" s="149"/>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471"/>
      <c r="AQ18" s="129"/>
    </row>
    <row r="19" spans="1:43" ht="21" x14ac:dyDescent="1">
      <c r="A19" s="506"/>
      <c r="B19" s="472" t="s">
        <v>365</v>
      </c>
      <c r="C19" s="461">
        <v>0</v>
      </c>
      <c r="D19" s="145"/>
      <c r="E19" s="471"/>
      <c r="F19" s="145"/>
      <c r="G19" s="145"/>
      <c r="H19" s="149"/>
      <c r="I19" s="145"/>
      <c r="J19" s="145"/>
      <c r="K19" s="145"/>
      <c r="L19" s="145"/>
      <c r="M19" s="145"/>
      <c r="N19" s="149"/>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471"/>
      <c r="AQ19" s="129"/>
    </row>
    <row r="20" spans="1:43" ht="21" x14ac:dyDescent="1">
      <c r="A20" s="506"/>
      <c r="B20" s="473"/>
      <c r="C20" s="141"/>
      <c r="D20" s="141"/>
      <c r="E20" s="474"/>
      <c r="F20" s="145"/>
      <c r="G20" s="145"/>
      <c r="H20" s="149"/>
      <c r="I20" s="145"/>
      <c r="J20" s="145"/>
      <c r="K20" s="145"/>
      <c r="L20" s="145"/>
      <c r="M20" s="145"/>
      <c r="N20" s="149"/>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471"/>
      <c r="AQ20" s="129"/>
    </row>
    <row r="21" spans="1:43" ht="21.75" thickBot="1" x14ac:dyDescent="1.1499999999999999">
      <c r="A21" s="506"/>
      <c r="B21" s="475" t="s">
        <v>368</v>
      </c>
      <c r="C21" s="476">
        <f>'Forecast Drivers '!F51</f>
        <v>1.7500000000000002E-2</v>
      </c>
      <c r="D21" s="477"/>
      <c r="E21" s="478"/>
      <c r="F21" s="145"/>
      <c r="G21" s="145"/>
      <c r="H21" s="149"/>
      <c r="I21" s="145"/>
      <c r="J21" s="145"/>
      <c r="K21" s="145"/>
      <c r="L21" s="145"/>
      <c r="M21" s="145"/>
      <c r="N21" s="149"/>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471"/>
      <c r="AQ21" s="129"/>
    </row>
    <row r="22" spans="1:43" x14ac:dyDescent="0.8">
      <c r="A22" s="507" t="str">
        <f>"Bank loan at " &amp; TEXT(C21,"0.00%")</f>
        <v>Bank loan at 1.75%</v>
      </c>
      <c r="B22" s="480"/>
      <c r="C22" s="145"/>
      <c r="D22" s="145"/>
      <c r="E22" s="145"/>
      <c r="F22" s="145"/>
      <c r="G22" s="145"/>
      <c r="H22" s="145"/>
      <c r="I22" s="493"/>
      <c r="J22" s="145"/>
      <c r="K22" s="145"/>
      <c r="L22" s="145"/>
      <c r="M22" s="145"/>
      <c r="N22" s="145"/>
      <c r="O22" s="493"/>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471"/>
      <c r="AQ22" s="129"/>
    </row>
    <row r="23" spans="1:43" x14ac:dyDescent="0.8">
      <c r="A23" s="508" t="s">
        <v>359</v>
      </c>
      <c r="B23" s="7"/>
      <c r="C23" s="7"/>
      <c r="D23" s="7"/>
      <c r="E23" s="7"/>
      <c r="F23" s="7"/>
      <c r="G23" s="7"/>
      <c r="H23" s="145"/>
      <c r="I23" s="493">
        <f>H27</f>
        <v>5140</v>
      </c>
      <c r="J23" s="145">
        <f t="shared" ref="J23:AP23" si="5">I27</f>
        <v>4327.5</v>
      </c>
      <c r="K23" s="145">
        <f t="shared" si="5"/>
        <v>3515</v>
      </c>
      <c r="L23" s="145">
        <f t="shared" si="5"/>
        <v>2702.5</v>
      </c>
      <c r="M23" s="145">
        <f t="shared" si="5"/>
        <v>1890</v>
      </c>
      <c r="N23" s="145">
        <f t="shared" si="5"/>
        <v>1077.5</v>
      </c>
      <c r="O23" s="493">
        <f t="shared" si="5"/>
        <v>0</v>
      </c>
      <c r="P23" s="145">
        <f t="shared" si="5"/>
        <v>0</v>
      </c>
      <c r="Q23" s="145">
        <f t="shared" si="5"/>
        <v>0</v>
      </c>
      <c r="R23" s="145">
        <f t="shared" si="5"/>
        <v>0</v>
      </c>
      <c r="S23" s="145">
        <f t="shared" si="5"/>
        <v>0</v>
      </c>
      <c r="T23" s="145">
        <f t="shared" si="5"/>
        <v>0</v>
      </c>
      <c r="U23" s="145">
        <f t="shared" si="5"/>
        <v>0</v>
      </c>
      <c r="V23" s="145">
        <f t="shared" si="5"/>
        <v>0</v>
      </c>
      <c r="W23" s="145">
        <f t="shared" si="5"/>
        <v>0</v>
      </c>
      <c r="X23" s="145">
        <f t="shared" si="5"/>
        <v>0</v>
      </c>
      <c r="Y23" s="145">
        <f t="shared" si="5"/>
        <v>0</v>
      </c>
      <c r="Z23" s="145">
        <f t="shared" si="5"/>
        <v>0</v>
      </c>
      <c r="AA23" s="145">
        <f t="shared" si="5"/>
        <v>0</v>
      </c>
      <c r="AB23" s="145">
        <f t="shared" si="5"/>
        <v>0</v>
      </c>
      <c r="AC23" s="145">
        <f t="shared" si="5"/>
        <v>0</v>
      </c>
      <c r="AD23" s="145">
        <f t="shared" si="5"/>
        <v>0</v>
      </c>
      <c r="AE23" s="145">
        <f t="shared" si="5"/>
        <v>0</v>
      </c>
      <c r="AF23" s="145">
        <f t="shared" si="5"/>
        <v>0</v>
      </c>
      <c r="AG23" s="145">
        <f t="shared" si="5"/>
        <v>0</v>
      </c>
      <c r="AH23" s="145">
        <f t="shared" si="5"/>
        <v>0</v>
      </c>
      <c r="AI23" s="145">
        <f t="shared" si="5"/>
        <v>0</v>
      </c>
      <c r="AJ23" s="145">
        <f t="shared" si="5"/>
        <v>0</v>
      </c>
      <c r="AK23" s="145">
        <f t="shared" si="5"/>
        <v>0</v>
      </c>
      <c r="AL23" s="145">
        <f t="shared" si="5"/>
        <v>0</v>
      </c>
      <c r="AM23" s="145">
        <f t="shared" si="5"/>
        <v>0</v>
      </c>
      <c r="AN23" s="145">
        <f t="shared" si="5"/>
        <v>0</v>
      </c>
      <c r="AO23" s="145">
        <f t="shared" si="5"/>
        <v>0</v>
      </c>
      <c r="AP23" s="471">
        <f t="shared" si="5"/>
        <v>0</v>
      </c>
      <c r="AQ23" s="129"/>
    </row>
    <row r="24" spans="1:43" x14ac:dyDescent="0.8">
      <c r="A24" s="509" t="s">
        <v>360</v>
      </c>
      <c r="B24" s="7"/>
      <c r="C24" s="7"/>
      <c r="D24" s="7"/>
      <c r="E24" s="7"/>
      <c r="F24" s="7"/>
      <c r="G24" s="7"/>
      <c r="H24" s="145"/>
      <c r="I24" s="493">
        <f t="shared" ref="I24:AP24" si="6">IF(I3=$E$17,-I23,-MIN($C$17,I23))</f>
        <v>-812.5</v>
      </c>
      <c r="J24" s="145">
        <f t="shared" si="6"/>
        <v>-812.5</v>
      </c>
      <c r="K24" s="145">
        <f t="shared" si="6"/>
        <v>-812.5</v>
      </c>
      <c r="L24" s="145">
        <f t="shared" si="6"/>
        <v>-812.5</v>
      </c>
      <c r="M24" s="145">
        <f t="shared" si="6"/>
        <v>-812.5</v>
      </c>
      <c r="N24" s="145">
        <f t="shared" si="6"/>
        <v>-1077.5</v>
      </c>
      <c r="O24" s="493">
        <f t="shared" si="6"/>
        <v>0</v>
      </c>
      <c r="P24" s="145">
        <f t="shared" si="6"/>
        <v>0</v>
      </c>
      <c r="Q24" s="145">
        <f t="shared" si="6"/>
        <v>0</v>
      </c>
      <c r="R24" s="145">
        <f t="shared" si="6"/>
        <v>0</v>
      </c>
      <c r="S24" s="145">
        <f t="shared" si="6"/>
        <v>0</v>
      </c>
      <c r="T24" s="145">
        <f t="shared" si="6"/>
        <v>0</v>
      </c>
      <c r="U24" s="145">
        <f t="shared" si="6"/>
        <v>0</v>
      </c>
      <c r="V24" s="145">
        <f t="shared" si="6"/>
        <v>0</v>
      </c>
      <c r="W24" s="145">
        <f t="shared" si="6"/>
        <v>0</v>
      </c>
      <c r="X24" s="145">
        <f t="shared" si="6"/>
        <v>0</v>
      </c>
      <c r="Y24" s="145">
        <f t="shared" si="6"/>
        <v>0</v>
      </c>
      <c r="Z24" s="145">
        <f t="shared" si="6"/>
        <v>0</v>
      </c>
      <c r="AA24" s="145">
        <f t="shared" si="6"/>
        <v>0</v>
      </c>
      <c r="AB24" s="145">
        <f t="shared" si="6"/>
        <v>0</v>
      </c>
      <c r="AC24" s="145">
        <f t="shared" si="6"/>
        <v>0</v>
      </c>
      <c r="AD24" s="145">
        <f t="shared" si="6"/>
        <v>0</v>
      </c>
      <c r="AE24" s="145">
        <f t="shared" si="6"/>
        <v>0</v>
      </c>
      <c r="AF24" s="145">
        <f t="shared" si="6"/>
        <v>0</v>
      </c>
      <c r="AG24" s="145">
        <f t="shared" si="6"/>
        <v>0</v>
      </c>
      <c r="AH24" s="145">
        <f t="shared" si="6"/>
        <v>0</v>
      </c>
      <c r="AI24" s="145">
        <f t="shared" si="6"/>
        <v>0</v>
      </c>
      <c r="AJ24" s="145">
        <f t="shared" si="6"/>
        <v>0</v>
      </c>
      <c r="AK24" s="145">
        <f t="shared" si="6"/>
        <v>0</v>
      </c>
      <c r="AL24" s="145">
        <f t="shared" si="6"/>
        <v>0</v>
      </c>
      <c r="AM24" s="145">
        <f t="shared" si="6"/>
        <v>0</v>
      </c>
      <c r="AN24" s="145">
        <f t="shared" si="6"/>
        <v>0</v>
      </c>
      <c r="AO24" s="145">
        <f t="shared" si="6"/>
        <v>0</v>
      </c>
      <c r="AP24" s="471">
        <f t="shared" si="6"/>
        <v>0</v>
      </c>
      <c r="AQ24" s="129"/>
    </row>
    <row r="25" spans="1:43" x14ac:dyDescent="0.8">
      <c r="A25" s="509" t="s">
        <v>363</v>
      </c>
      <c r="B25" s="7"/>
      <c r="C25" s="7"/>
      <c r="D25" s="7"/>
      <c r="E25" s="7"/>
      <c r="F25" s="7"/>
      <c r="G25" s="7"/>
      <c r="H25" s="145"/>
      <c r="I25" s="493">
        <v>0</v>
      </c>
      <c r="J25" s="145">
        <v>0</v>
      </c>
      <c r="K25" s="145">
        <v>0</v>
      </c>
      <c r="L25" s="145">
        <v>0</v>
      </c>
      <c r="M25" s="145">
        <v>0</v>
      </c>
      <c r="N25" s="145">
        <v>0</v>
      </c>
      <c r="O25" s="493">
        <v>0</v>
      </c>
      <c r="P25" s="145">
        <v>0</v>
      </c>
      <c r="Q25" s="145">
        <v>0</v>
      </c>
      <c r="R25" s="145">
        <v>0</v>
      </c>
      <c r="S25" s="145">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471">
        <v>0</v>
      </c>
      <c r="AQ25" s="129"/>
    </row>
    <row r="26" spans="1:43" x14ac:dyDescent="0.8">
      <c r="A26" s="509" t="s">
        <v>364</v>
      </c>
      <c r="B26" s="7"/>
      <c r="C26" s="7"/>
      <c r="D26" s="7"/>
      <c r="E26" s="7"/>
      <c r="F26" s="7"/>
      <c r="G26" s="7"/>
      <c r="H26" s="145"/>
      <c r="I26" s="493">
        <f t="shared" ref="I26:AP26" si="7">-IF(I10&gt;0,$C$19*MIN(I23+I24+I25,I10))</f>
        <v>0</v>
      </c>
      <c r="J26" s="145">
        <f t="shared" si="7"/>
        <v>0</v>
      </c>
      <c r="K26" s="145">
        <f t="shared" si="7"/>
        <v>0</v>
      </c>
      <c r="L26" s="145">
        <f t="shared" si="7"/>
        <v>0</v>
      </c>
      <c r="M26" s="145">
        <f t="shared" si="7"/>
        <v>0</v>
      </c>
      <c r="N26" s="145">
        <f t="shared" si="7"/>
        <v>0</v>
      </c>
      <c r="O26" s="493">
        <f t="shared" si="7"/>
        <v>0</v>
      </c>
      <c r="P26" s="145">
        <f t="shared" si="7"/>
        <v>0</v>
      </c>
      <c r="Q26" s="145">
        <f t="shared" si="7"/>
        <v>0</v>
      </c>
      <c r="R26" s="145">
        <f t="shared" si="7"/>
        <v>0</v>
      </c>
      <c r="S26" s="145">
        <f t="shared" si="7"/>
        <v>0</v>
      </c>
      <c r="T26" s="145">
        <f t="shared" si="7"/>
        <v>0</v>
      </c>
      <c r="U26" s="145">
        <f t="shared" si="7"/>
        <v>0</v>
      </c>
      <c r="V26" s="145">
        <f t="shared" si="7"/>
        <v>0</v>
      </c>
      <c r="W26" s="145">
        <f t="shared" si="7"/>
        <v>0</v>
      </c>
      <c r="X26" s="145">
        <f t="shared" si="7"/>
        <v>0</v>
      </c>
      <c r="Y26" s="145">
        <f t="shared" si="7"/>
        <v>0</v>
      </c>
      <c r="Z26" s="145">
        <f t="shared" si="7"/>
        <v>0</v>
      </c>
      <c r="AA26" s="145">
        <f t="shared" si="7"/>
        <v>0</v>
      </c>
      <c r="AB26" s="145">
        <f t="shared" si="7"/>
        <v>0</v>
      </c>
      <c r="AC26" s="145">
        <f t="shared" si="7"/>
        <v>0</v>
      </c>
      <c r="AD26" s="145">
        <f t="shared" si="7"/>
        <v>0</v>
      </c>
      <c r="AE26" s="145">
        <f t="shared" si="7"/>
        <v>0</v>
      </c>
      <c r="AF26" s="145">
        <f t="shared" si="7"/>
        <v>0</v>
      </c>
      <c r="AG26" s="145">
        <f t="shared" si="7"/>
        <v>0</v>
      </c>
      <c r="AH26" s="145">
        <f t="shared" si="7"/>
        <v>0</v>
      </c>
      <c r="AI26" s="145">
        <f t="shared" si="7"/>
        <v>0</v>
      </c>
      <c r="AJ26" s="145">
        <f t="shared" si="7"/>
        <v>0</v>
      </c>
      <c r="AK26" s="145">
        <f t="shared" si="7"/>
        <v>0</v>
      </c>
      <c r="AL26" s="145">
        <f t="shared" si="7"/>
        <v>0</v>
      </c>
      <c r="AM26" s="145">
        <f t="shared" si="7"/>
        <v>0</v>
      </c>
      <c r="AN26" s="145">
        <f t="shared" si="7"/>
        <v>0</v>
      </c>
      <c r="AO26" s="145">
        <f t="shared" si="7"/>
        <v>0</v>
      </c>
      <c r="AP26" s="471">
        <f t="shared" si="7"/>
        <v>0</v>
      </c>
      <c r="AQ26" s="129"/>
    </row>
    <row r="27" spans="1:43" x14ac:dyDescent="0.8">
      <c r="A27" s="508" t="s">
        <v>366</v>
      </c>
      <c r="B27" s="7"/>
      <c r="C27" s="7"/>
      <c r="D27" s="7"/>
      <c r="E27" s="7"/>
      <c r="F27" s="7"/>
      <c r="G27" s="7"/>
      <c r="H27" s="145">
        <v>5140</v>
      </c>
      <c r="I27" s="491">
        <f>SUM(I23:I26)</f>
        <v>4327.5</v>
      </c>
      <c r="J27" s="142">
        <f t="shared" ref="J27:AP27" si="8">SUM(J23:J26)</f>
        <v>3515</v>
      </c>
      <c r="K27" s="142">
        <f t="shared" si="8"/>
        <v>2702.5</v>
      </c>
      <c r="L27" s="142">
        <f t="shared" si="8"/>
        <v>1890</v>
      </c>
      <c r="M27" s="142">
        <f t="shared" si="8"/>
        <v>1077.5</v>
      </c>
      <c r="N27" s="142">
        <f t="shared" si="8"/>
        <v>0</v>
      </c>
      <c r="O27" s="491">
        <f t="shared" si="8"/>
        <v>0</v>
      </c>
      <c r="P27" s="142">
        <f t="shared" si="8"/>
        <v>0</v>
      </c>
      <c r="Q27" s="142">
        <f t="shared" si="8"/>
        <v>0</v>
      </c>
      <c r="R27" s="142">
        <f t="shared" si="8"/>
        <v>0</v>
      </c>
      <c r="S27" s="142">
        <f t="shared" si="8"/>
        <v>0</v>
      </c>
      <c r="T27" s="142">
        <f t="shared" si="8"/>
        <v>0</v>
      </c>
      <c r="U27" s="142">
        <f t="shared" si="8"/>
        <v>0</v>
      </c>
      <c r="V27" s="142">
        <f t="shared" si="8"/>
        <v>0</v>
      </c>
      <c r="W27" s="142">
        <f t="shared" si="8"/>
        <v>0</v>
      </c>
      <c r="X27" s="142">
        <f t="shared" si="8"/>
        <v>0</v>
      </c>
      <c r="Y27" s="142">
        <f t="shared" si="8"/>
        <v>0</v>
      </c>
      <c r="Z27" s="142">
        <f t="shared" si="8"/>
        <v>0</v>
      </c>
      <c r="AA27" s="142">
        <f t="shared" si="8"/>
        <v>0</v>
      </c>
      <c r="AB27" s="142">
        <f t="shared" si="8"/>
        <v>0</v>
      </c>
      <c r="AC27" s="142">
        <f t="shared" si="8"/>
        <v>0</v>
      </c>
      <c r="AD27" s="142">
        <f t="shared" si="8"/>
        <v>0</v>
      </c>
      <c r="AE27" s="142">
        <f t="shared" si="8"/>
        <v>0</v>
      </c>
      <c r="AF27" s="142">
        <f t="shared" si="8"/>
        <v>0</v>
      </c>
      <c r="AG27" s="142">
        <f t="shared" si="8"/>
        <v>0</v>
      </c>
      <c r="AH27" s="142">
        <f t="shared" si="8"/>
        <v>0</v>
      </c>
      <c r="AI27" s="142">
        <f t="shared" si="8"/>
        <v>0</v>
      </c>
      <c r="AJ27" s="142">
        <f t="shared" si="8"/>
        <v>0</v>
      </c>
      <c r="AK27" s="142">
        <f t="shared" si="8"/>
        <v>0</v>
      </c>
      <c r="AL27" s="142">
        <f t="shared" si="8"/>
        <v>0</v>
      </c>
      <c r="AM27" s="142">
        <f t="shared" si="8"/>
        <v>0</v>
      </c>
      <c r="AN27" s="142">
        <f t="shared" si="8"/>
        <v>0</v>
      </c>
      <c r="AO27" s="142">
        <f t="shared" si="8"/>
        <v>0</v>
      </c>
      <c r="AP27" s="510">
        <f t="shared" si="8"/>
        <v>0</v>
      </c>
      <c r="AQ27" s="129"/>
    </row>
    <row r="28" spans="1:43" x14ac:dyDescent="0.8">
      <c r="A28" s="508" t="s">
        <v>367</v>
      </c>
      <c r="B28" s="7"/>
      <c r="C28" s="7"/>
      <c r="D28" s="7"/>
      <c r="E28" s="7"/>
      <c r="F28" s="7"/>
      <c r="G28" s="7"/>
      <c r="H28" s="141"/>
      <c r="I28" s="491">
        <f>AVERAGE(I27,I23)</f>
        <v>4733.75</v>
      </c>
      <c r="J28" s="142">
        <f t="shared" ref="J28:AP28" si="9">AVERAGE(J27,J23)</f>
        <v>3921.25</v>
      </c>
      <c r="K28" s="142">
        <f t="shared" si="9"/>
        <v>3108.75</v>
      </c>
      <c r="L28" s="142">
        <f t="shared" si="9"/>
        <v>2296.25</v>
      </c>
      <c r="M28" s="142">
        <f t="shared" si="9"/>
        <v>1483.75</v>
      </c>
      <c r="N28" s="142">
        <f t="shared" si="9"/>
        <v>538.75</v>
      </c>
      <c r="O28" s="491">
        <f t="shared" si="9"/>
        <v>0</v>
      </c>
      <c r="P28" s="142">
        <f t="shared" si="9"/>
        <v>0</v>
      </c>
      <c r="Q28" s="142">
        <f t="shared" si="9"/>
        <v>0</v>
      </c>
      <c r="R28" s="142">
        <f t="shared" si="9"/>
        <v>0</v>
      </c>
      <c r="S28" s="142">
        <f t="shared" si="9"/>
        <v>0</v>
      </c>
      <c r="T28" s="142">
        <f t="shared" si="9"/>
        <v>0</v>
      </c>
      <c r="U28" s="142">
        <f t="shared" si="9"/>
        <v>0</v>
      </c>
      <c r="V28" s="142">
        <f t="shared" si="9"/>
        <v>0</v>
      </c>
      <c r="W28" s="142">
        <f t="shared" si="9"/>
        <v>0</v>
      </c>
      <c r="X28" s="142">
        <f t="shared" si="9"/>
        <v>0</v>
      </c>
      <c r="Y28" s="142">
        <f t="shared" si="9"/>
        <v>0</v>
      </c>
      <c r="Z28" s="142">
        <f t="shared" si="9"/>
        <v>0</v>
      </c>
      <c r="AA28" s="142">
        <f t="shared" si="9"/>
        <v>0</v>
      </c>
      <c r="AB28" s="142">
        <f t="shared" si="9"/>
        <v>0</v>
      </c>
      <c r="AC28" s="142">
        <f t="shared" si="9"/>
        <v>0</v>
      </c>
      <c r="AD28" s="142">
        <f t="shared" si="9"/>
        <v>0</v>
      </c>
      <c r="AE28" s="142">
        <f t="shared" si="9"/>
        <v>0</v>
      </c>
      <c r="AF28" s="142">
        <f t="shared" si="9"/>
        <v>0</v>
      </c>
      <c r="AG28" s="142">
        <f t="shared" si="9"/>
        <v>0</v>
      </c>
      <c r="AH28" s="142">
        <f t="shared" si="9"/>
        <v>0</v>
      </c>
      <c r="AI28" s="142">
        <f t="shared" si="9"/>
        <v>0</v>
      </c>
      <c r="AJ28" s="142">
        <f t="shared" si="9"/>
        <v>0</v>
      </c>
      <c r="AK28" s="142">
        <f t="shared" si="9"/>
        <v>0</v>
      </c>
      <c r="AL28" s="142">
        <f t="shared" si="9"/>
        <v>0</v>
      </c>
      <c r="AM28" s="142">
        <f t="shared" si="9"/>
        <v>0</v>
      </c>
      <c r="AN28" s="142">
        <f t="shared" si="9"/>
        <v>0</v>
      </c>
      <c r="AO28" s="142">
        <f t="shared" si="9"/>
        <v>0</v>
      </c>
      <c r="AP28" s="510">
        <f t="shared" si="9"/>
        <v>0</v>
      </c>
      <c r="AQ28" s="129"/>
    </row>
    <row r="29" spans="1:43" x14ac:dyDescent="0.8">
      <c r="A29" s="511" t="s">
        <v>349</v>
      </c>
      <c r="B29" s="486"/>
      <c r="C29" s="7"/>
      <c r="D29" s="7"/>
      <c r="E29" s="7"/>
      <c r="F29" s="7"/>
      <c r="G29" s="7"/>
      <c r="H29" s="141"/>
      <c r="I29" s="494">
        <f t="shared" ref="I29:AP29" si="10">I28*$C$21</f>
        <v>82.840625000000003</v>
      </c>
      <c r="J29" s="152">
        <f t="shared" si="10"/>
        <v>68.621875000000003</v>
      </c>
      <c r="K29" s="152">
        <f t="shared" si="10"/>
        <v>54.403125000000003</v>
      </c>
      <c r="L29" s="152">
        <f t="shared" si="10"/>
        <v>40.184375000000003</v>
      </c>
      <c r="M29" s="152">
        <f t="shared" si="10"/>
        <v>25.965625000000003</v>
      </c>
      <c r="N29" s="152">
        <f t="shared" si="10"/>
        <v>9.4281250000000014</v>
      </c>
      <c r="O29" s="494">
        <f t="shared" si="10"/>
        <v>0</v>
      </c>
      <c r="P29" s="152">
        <f t="shared" si="10"/>
        <v>0</v>
      </c>
      <c r="Q29" s="152">
        <f t="shared" si="10"/>
        <v>0</v>
      </c>
      <c r="R29" s="152">
        <f t="shared" si="10"/>
        <v>0</v>
      </c>
      <c r="S29" s="152">
        <f t="shared" si="10"/>
        <v>0</v>
      </c>
      <c r="T29" s="152">
        <f t="shared" si="10"/>
        <v>0</v>
      </c>
      <c r="U29" s="152">
        <f t="shared" si="10"/>
        <v>0</v>
      </c>
      <c r="V29" s="152">
        <f t="shared" si="10"/>
        <v>0</v>
      </c>
      <c r="W29" s="152">
        <f t="shared" si="10"/>
        <v>0</v>
      </c>
      <c r="X29" s="152">
        <f t="shared" si="10"/>
        <v>0</v>
      </c>
      <c r="Y29" s="152">
        <f t="shared" si="10"/>
        <v>0</v>
      </c>
      <c r="Z29" s="152">
        <f t="shared" si="10"/>
        <v>0</v>
      </c>
      <c r="AA29" s="152">
        <f t="shared" si="10"/>
        <v>0</v>
      </c>
      <c r="AB29" s="152">
        <f t="shared" si="10"/>
        <v>0</v>
      </c>
      <c r="AC29" s="152">
        <f t="shared" si="10"/>
        <v>0</v>
      </c>
      <c r="AD29" s="152">
        <f t="shared" si="10"/>
        <v>0</v>
      </c>
      <c r="AE29" s="152">
        <f t="shared" si="10"/>
        <v>0</v>
      </c>
      <c r="AF29" s="152">
        <f t="shared" si="10"/>
        <v>0</v>
      </c>
      <c r="AG29" s="152">
        <f t="shared" si="10"/>
        <v>0</v>
      </c>
      <c r="AH29" s="152">
        <f t="shared" si="10"/>
        <v>0</v>
      </c>
      <c r="AI29" s="152">
        <f t="shared" si="10"/>
        <v>0</v>
      </c>
      <c r="AJ29" s="152">
        <f t="shared" si="10"/>
        <v>0</v>
      </c>
      <c r="AK29" s="152">
        <f t="shared" si="10"/>
        <v>0</v>
      </c>
      <c r="AL29" s="152">
        <f t="shared" si="10"/>
        <v>0</v>
      </c>
      <c r="AM29" s="152">
        <f t="shared" si="10"/>
        <v>0</v>
      </c>
      <c r="AN29" s="152">
        <f t="shared" si="10"/>
        <v>0</v>
      </c>
      <c r="AO29" s="152">
        <f t="shared" si="10"/>
        <v>0</v>
      </c>
      <c r="AP29" s="512">
        <f t="shared" si="10"/>
        <v>0</v>
      </c>
      <c r="AQ29" s="153"/>
    </row>
    <row r="30" spans="1:43" x14ac:dyDescent="0.8">
      <c r="A30" s="513" t="s">
        <v>369</v>
      </c>
      <c r="B30" s="495"/>
      <c r="C30" s="483"/>
      <c r="D30" s="483"/>
      <c r="E30" s="483"/>
      <c r="F30" s="483"/>
      <c r="G30" s="483"/>
      <c r="H30" s="483"/>
      <c r="I30" s="496">
        <f t="shared" ref="I30:AP30" si="11">I10+I24+I26</f>
        <v>154993.5</v>
      </c>
      <c r="J30" s="497">
        <f t="shared" si="11"/>
        <v>51704.846874199982</v>
      </c>
      <c r="K30" s="497">
        <f t="shared" si="11"/>
        <v>56674.088315848494</v>
      </c>
      <c r="L30" s="497">
        <f t="shared" si="11"/>
        <v>55834.960803589012</v>
      </c>
      <c r="M30" s="497">
        <f t="shared" si="11"/>
        <v>57624.789380436967</v>
      </c>
      <c r="N30" s="497">
        <f t="shared" si="11"/>
        <v>55163.814879081227</v>
      </c>
      <c r="O30" s="496">
        <f t="shared" si="11"/>
        <v>58043.988260090802</v>
      </c>
      <c r="P30" s="497">
        <f t="shared" si="11"/>
        <v>51644.756012725622</v>
      </c>
      <c r="Q30" s="497">
        <f t="shared" si="11"/>
        <v>53007.920604133084</v>
      </c>
      <c r="R30" s="497">
        <f t="shared" si="11"/>
        <v>49220.043723176284</v>
      </c>
      <c r="S30" s="497">
        <f t="shared" si="11"/>
        <v>50169.758012606122</v>
      </c>
      <c r="T30" s="497">
        <f t="shared" si="11"/>
        <v>46350.132060123666</v>
      </c>
      <c r="U30" s="497">
        <f t="shared" si="11"/>
        <v>46980.77228040513</v>
      </c>
      <c r="V30" s="497">
        <f t="shared" si="11"/>
        <v>44309.392719951502</v>
      </c>
      <c r="W30" s="497">
        <f t="shared" si="11"/>
        <v>44725.648502214201</v>
      </c>
      <c r="X30" s="497">
        <f t="shared" si="11"/>
        <v>42749.084781531346</v>
      </c>
      <c r="Y30" s="497">
        <f t="shared" si="11"/>
        <v>42813.352763928095</v>
      </c>
      <c r="Z30" s="497">
        <f t="shared" si="11"/>
        <v>41290.531357593696</v>
      </c>
      <c r="AA30" s="497">
        <f t="shared" si="11"/>
        <v>40085.079220886131</v>
      </c>
      <c r="AB30" s="497">
        <f t="shared" si="11"/>
        <v>38648.009932641078</v>
      </c>
      <c r="AC30" s="497">
        <f t="shared" si="11"/>
        <v>37502.376917348025</v>
      </c>
      <c r="AD30" s="497">
        <f t="shared" si="11"/>
        <v>36221.821666270262</v>
      </c>
      <c r="AE30" s="497">
        <f t="shared" si="11"/>
        <v>35146.365604225954</v>
      </c>
      <c r="AF30" s="497">
        <f t="shared" si="11"/>
        <v>33997.639797577125</v>
      </c>
      <c r="AG30" s="497">
        <f t="shared" si="11"/>
        <v>32996.345332441626</v>
      </c>
      <c r="AH30" s="497">
        <f t="shared" si="11"/>
        <v>31960.637229841086</v>
      </c>
      <c r="AI30" s="497">
        <f t="shared" si="11"/>
        <v>31033.534841783512</v>
      </c>
      <c r="AJ30" s="497">
        <f t="shared" si="11"/>
        <v>30145.583038211131</v>
      </c>
      <c r="AK30" s="497">
        <f t="shared" si="11"/>
        <v>29300.013431975869</v>
      </c>
      <c r="AL30" s="497">
        <f t="shared" si="11"/>
        <v>28490.333627026499</v>
      </c>
      <c r="AM30" s="497">
        <f t="shared" si="11"/>
        <v>27718.539409537705</v>
      </c>
      <c r="AN30" s="497">
        <f t="shared" si="11"/>
        <v>26979.790374388904</v>
      </c>
      <c r="AO30" s="497">
        <f t="shared" si="11"/>
        <v>26275.039979830144</v>
      </c>
      <c r="AP30" s="514">
        <f t="shared" si="11"/>
        <v>25600.612068136186</v>
      </c>
      <c r="AQ30" s="129"/>
    </row>
    <row r="31" spans="1:43" x14ac:dyDescent="0.8">
      <c r="A31" s="508"/>
      <c r="B31" s="485"/>
      <c r="C31" s="141"/>
      <c r="D31" s="141"/>
      <c r="E31" s="141"/>
      <c r="F31" s="141"/>
      <c r="G31" s="141"/>
      <c r="H31" s="141"/>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510"/>
      <c r="AQ31" s="129"/>
    </row>
    <row r="32" spans="1:43" ht="18.5" x14ac:dyDescent="0.9">
      <c r="A32" s="515" t="s">
        <v>522</v>
      </c>
      <c r="B32" s="485"/>
      <c r="C32" s="141"/>
      <c r="D32" s="141"/>
      <c r="E32" s="141"/>
      <c r="F32" s="141"/>
      <c r="G32" s="141"/>
      <c r="H32" s="141"/>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510"/>
      <c r="AQ32" s="129"/>
    </row>
    <row r="33" spans="1:43" ht="16.75" thickBot="1" x14ac:dyDescent="0.95">
      <c r="A33" s="516"/>
      <c r="B33" s="499"/>
      <c r="C33" s="138"/>
      <c r="D33" s="138"/>
      <c r="E33" s="138"/>
      <c r="F33" s="138"/>
      <c r="G33" s="138"/>
      <c r="H33" s="138"/>
      <c r="I33" s="490"/>
      <c r="J33" s="139"/>
      <c r="K33" s="139"/>
      <c r="L33" s="139"/>
      <c r="M33" s="139"/>
      <c r="N33" s="139"/>
      <c r="O33" s="490"/>
      <c r="P33" s="139"/>
      <c r="Q33" s="139"/>
      <c r="R33" s="139"/>
      <c r="S33" s="139"/>
      <c r="T33" s="139"/>
      <c r="U33" s="139"/>
      <c r="V33" s="139"/>
      <c r="W33" s="139"/>
      <c r="X33" s="139"/>
      <c r="Y33" s="139"/>
      <c r="Z33" s="139"/>
      <c r="AA33" s="139"/>
      <c r="AB33" s="139"/>
      <c r="AC33" s="139"/>
      <c r="AD33" s="139"/>
      <c r="AE33" s="139"/>
      <c r="AF33" s="139"/>
      <c r="AG33" s="139"/>
      <c r="AH33" s="139"/>
      <c r="AI33" s="139"/>
      <c r="AJ33" s="139"/>
      <c r="AK33" s="139"/>
      <c r="AL33" s="139"/>
      <c r="AM33" s="139"/>
      <c r="AN33" s="139"/>
      <c r="AO33" s="139"/>
      <c r="AP33" s="517"/>
      <c r="AQ33" s="129"/>
    </row>
    <row r="34" spans="1:43" x14ac:dyDescent="0.8">
      <c r="A34" s="508"/>
      <c r="B34" s="466" t="s">
        <v>361</v>
      </c>
      <c r="C34" s="467">
        <f>'Forecast Drivers '!M53/8</f>
        <v>528.125</v>
      </c>
      <c r="D34" s="468" t="s">
        <v>362</v>
      </c>
      <c r="E34" s="469">
        <v>2029</v>
      </c>
      <c r="F34" s="141"/>
      <c r="G34" s="141"/>
      <c r="H34" s="141"/>
      <c r="I34" s="491"/>
      <c r="J34" s="142"/>
      <c r="K34" s="142"/>
      <c r="L34" s="142"/>
      <c r="M34" s="142"/>
      <c r="N34" s="142"/>
      <c r="O34" s="491"/>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510"/>
      <c r="AQ34" s="129"/>
    </row>
    <row r="35" spans="1:43" x14ac:dyDescent="0.8">
      <c r="A35" s="508"/>
      <c r="B35" s="470"/>
      <c r="C35" s="145"/>
      <c r="D35" s="145"/>
      <c r="E35" s="471"/>
      <c r="F35" s="141"/>
      <c r="G35" s="141"/>
      <c r="H35" s="141"/>
      <c r="I35" s="491"/>
      <c r="J35" s="142"/>
      <c r="K35" s="142"/>
      <c r="L35" s="142"/>
      <c r="M35" s="142"/>
      <c r="N35" s="142"/>
      <c r="O35" s="491"/>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510"/>
      <c r="AQ35" s="129"/>
    </row>
    <row r="36" spans="1:43" x14ac:dyDescent="0.8">
      <c r="A36" s="508"/>
      <c r="B36" s="472" t="s">
        <v>365</v>
      </c>
      <c r="C36" s="461">
        <v>0</v>
      </c>
      <c r="D36" s="145"/>
      <c r="E36" s="471"/>
      <c r="F36" s="141"/>
      <c r="G36" s="141"/>
      <c r="H36" s="141"/>
      <c r="I36" s="491"/>
      <c r="J36" s="142"/>
      <c r="K36" s="142"/>
      <c r="L36" s="142"/>
      <c r="M36" s="142"/>
      <c r="N36" s="142"/>
      <c r="O36" s="491"/>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510"/>
      <c r="AQ36" s="129"/>
    </row>
    <row r="37" spans="1:43" x14ac:dyDescent="0.8">
      <c r="A37" s="508"/>
      <c r="B37" s="473"/>
      <c r="C37" s="141"/>
      <c r="D37" s="141"/>
      <c r="E37" s="474"/>
      <c r="F37" s="141"/>
      <c r="G37" s="141"/>
      <c r="H37" s="141"/>
      <c r="I37" s="491"/>
      <c r="J37" s="142"/>
      <c r="K37" s="142"/>
      <c r="L37" s="142"/>
      <c r="M37" s="142"/>
      <c r="N37" s="142"/>
      <c r="O37" s="491"/>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510"/>
      <c r="AQ37" s="129"/>
    </row>
    <row r="38" spans="1:43" ht="16.75" thickBot="1" x14ac:dyDescent="0.95">
      <c r="A38" s="508"/>
      <c r="B38" s="475" t="s">
        <v>368</v>
      </c>
      <c r="C38" s="476">
        <f>'Forecast Drivers '!M54</f>
        <v>1.4999999999999999E-2</v>
      </c>
      <c r="D38" s="477"/>
      <c r="E38" s="478"/>
      <c r="F38" s="141"/>
      <c r="G38" s="141"/>
      <c r="H38" s="141"/>
      <c r="I38" s="491"/>
      <c r="J38" s="142"/>
      <c r="K38" s="142"/>
      <c r="L38" s="142"/>
      <c r="M38" s="142"/>
      <c r="N38" s="142"/>
      <c r="O38" s="491"/>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510"/>
      <c r="AQ38" s="129"/>
    </row>
    <row r="39" spans="1:43" x14ac:dyDescent="0.8">
      <c r="A39" s="508"/>
      <c r="B39" s="485"/>
      <c r="C39" s="141"/>
      <c r="D39" s="141"/>
      <c r="E39" s="141"/>
      <c r="F39" s="141"/>
      <c r="G39" s="141"/>
      <c r="H39" s="141"/>
      <c r="I39" s="491"/>
      <c r="J39" s="142"/>
      <c r="K39" s="142"/>
      <c r="L39" s="142"/>
      <c r="M39" s="142"/>
      <c r="N39" s="142"/>
      <c r="O39" s="491"/>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510"/>
      <c r="AQ39" s="129"/>
    </row>
    <row r="40" spans="1:43" x14ac:dyDescent="0.8">
      <c r="A40" s="507" t="str">
        <f>"Bank loan at " &amp; TEXT(C38,"0.00%")</f>
        <v>Bank loan at 1.50%</v>
      </c>
      <c r="B40" s="480"/>
      <c r="C40" s="145"/>
      <c r="D40" s="145"/>
      <c r="E40" s="145"/>
      <c r="F40" s="145"/>
      <c r="G40" s="145"/>
      <c r="H40" s="145"/>
      <c r="I40" s="493"/>
      <c r="J40" s="142"/>
      <c r="K40" s="142"/>
      <c r="L40" s="142"/>
      <c r="M40" s="142"/>
      <c r="N40" s="142"/>
      <c r="O40" s="491"/>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510"/>
      <c r="AQ40" s="129"/>
    </row>
    <row r="41" spans="1:43" x14ac:dyDescent="0.8">
      <c r="A41" s="508" t="s">
        <v>359</v>
      </c>
      <c r="B41" s="7"/>
      <c r="C41" s="7"/>
      <c r="D41" s="7"/>
      <c r="E41" s="7"/>
      <c r="F41" s="7"/>
      <c r="G41" s="7"/>
      <c r="H41" s="145"/>
      <c r="I41" s="493">
        <v>0</v>
      </c>
      <c r="J41" s="145">
        <f>I45</f>
        <v>0</v>
      </c>
      <c r="K41" s="145">
        <f t="shared" ref="K41:M41" si="12">J45</f>
        <v>0</v>
      </c>
      <c r="L41" s="145">
        <f t="shared" si="12"/>
        <v>0</v>
      </c>
      <c r="M41" s="145">
        <f t="shared" si="12"/>
        <v>0</v>
      </c>
      <c r="N41" s="145">
        <v>4225</v>
      </c>
      <c r="O41" s="493">
        <f>N45</f>
        <v>3696.875</v>
      </c>
      <c r="P41" s="145">
        <f t="shared" ref="P41:AP41" si="13">O45</f>
        <v>3168.75</v>
      </c>
      <c r="Q41" s="145">
        <f t="shared" si="13"/>
        <v>2640.625</v>
      </c>
      <c r="R41" s="145">
        <f t="shared" si="13"/>
        <v>2112.5</v>
      </c>
      <c r="S41" s="145">
        <f t="shared" si="13"/>
        <v>1584.375</v>
      </c>
      <c r="T41" s="145">
        <f t="shared" si="13"/>
        <v>1056.25</v>
      </c>
      <c r="U41" s="145">
        <f t="shared" si="13"/>
        <v>528.125</v>
      </c>
      <c r="V41" s="145">
        <f t="shared" si="13"/>
        <v>0</v>
      </c>
      <c r="W41" s="145">
        <f t="shared" si="13"/>
        <v>0</v>
      </c>
      <c r="X41" s="145">
        <f t="shared" si="13"/>
        <v>0</v>
      </c>
      <c r="Y41" s="145">
        <f t="shared" si="13"/>
        <v>0</v>
      </c>
      <c r="Z41" s="145">
        <f t="shared" si="13"/>
        <v>0</v>
      </c>
      <c r="AA41" s="145">
        <f t="shared" si="13"/>
        <v>0</v>
      </c>
      <c r="AB41" s="145">
        <f t="shared" si="13"/>
        <v>0</v>
      </c>
      <c r="AC41" s="145">
        <f t="shared" si="13"/>
        <v>0</v>
      </c>
      <c r="AD41" s="145">
        <f t="shared" si="13"/>
        <v>0</v>
      </c>
      <c r="AE41" s="145">
        <f t="shared" si="13"/>
        <v>0</v>
      </c>
      <c r="AF41" s="145">
        <f t="shared" si="13"/>
        <v>0</v>
      </c>
      <c r="AG41" s="145">
        <f t="shared" si="13"/>
        <v>0</v>
      </c>
      <c r="AH41" s="145">
        <f t="shared" si="13"/>
        <v>0</v>
      </c>
      <c r="AI41" s="145">
        <f t="shared" si="13"/>
        <v>0</v>
      </c>
      <c r="AJ41" s="145">
        <f t="shared" si="13"/>
        <v>0</v>
      </c>
      <c r="AK41" s="145">
        <f t="shared" si="13"/>
        <v>0</v>
      </c>
      <c r="AL41" s="145">
        <f t="shared" si="13"/>
        <v>0</v>
      </c>
      <c r="AM41" s="145">
        <f t="shared" si="13"/>
        <v>0</v>
      </c>
      <c r="AN41" s="145">
        <f t="shared" si="13"/>
        <v>0</v>
      </c>
      <c r="AO41" s="145">
        <f t="shared" si="13"/>
        <v>0</v>
      </c>
      <c r="AP41" s="471">
        <f t="shared" si="13"/>
        <v>0</v>
      </c>
      <c r="AQ41" s="129"/>
    </row>
    <row r="42" spans="1:43" x14ac:dyDescent="0.8">
      <c r="A42" s="509" t="s">
        <v>360</v>
      </c>
      <c r="B42" s="7"/>
      <c r="C42" s="7"/>
      <c r="D42" s="7"/>
      <c r="E42" s="7"/>
      <c r="F42" s="7"/>
      <c r="G42" s="7"/>
      <c r="H42" s="145"/>
      <c r="I42" s="493">
        <f t="shared" ref="I42:AP42" si="14">IF(I3=$E$34,-I41,-MIN($C$34,I41))</f>
        <v>0</v>
      </c>
      <c r="J42" s="145">
        <f t="shared" si="14"/>
        <v>0</v>
      </c>
      <c r="K42" s="145">
        <f t="shared" si="14"/>
        <v>0</v>
      </c>
      <c r="L42" s="145">
        <f t="shared" si="14"/>
        <v>0</v>
      </c>
      <c r="M42" s="145">
        <f t="shared" si="14"/>
        <v>0</v>
      </c>
      <c r="N42" s="145">
        <f t="shared" si="14"/>
        <v>-528.125</v>
      </c>
      <c r="O42" s="493">
        <f t="shared" si="14"/>
        <v>-528.125</v>
      </c>
      <c r="P42" s="145">
        <f t="shared" si="14"/>
        <v>-528.125</v>
      </c>
      <c r="Q42" s="145">
        <f t="shared" si="14"/>
        <v>-528.125</v>
      </c>
      <c r="R42" s="145">
        <f t="shared" si="14"/>
        <v>-528.125</v>
      </c>
      <c r="S42" s="145">
        <f t="shared" si="14"/>
        <v>-528.125</v>
      </c>
      <c r="T42" s="145">
        <f t="shared" si="14"/>
        <v>-528.125</v>
      </c>
      <c r="U42" s="145">
        <f t="shared" si="14"/>
        <v>-528.125</v>
      </c>
      <c r="V42" s="145">
        <f t="shared" si="14"/>
        <v>0</v>
      </c>
      <c r="W42" s="145">
        <f t="shared" si="14"/>
        <v>0</v>
      </c>
      <c r="X42" s="145">
        <f t="shared" si="14"/>
        <v>0</v>
      </c>
      <c r="Y42" s="145">
        <f t="shared" si="14"/>
        <v>0</v>
      </c>
      <c r="Z42" s="145">
        <f t="shared" si="14"/>
        <v>0</v>
      </c>
      <c r="AA42" s="145">
        <f t="shared" si="14"/>
        <v>0</v>
      </c>
      <c r="AB42" s="145">
        <f t="shared" si="14"/>
        <v>0</v>
      </c>
      <c r="AC42" s="145">
        <f t="shared" si="14"/>
        <v>0</v>
      </c>
      <c r="AD42" s="145">
        <f t="shared" si="14"/>
        <v>0</v>
      </c>
      <c r="AE42" s="145">
        <f t="shared" si="14"/>
        <v>0</v>
      </c>
      <c r="AF42" s="145">
        <f t="shared" si="14"/>
        <v>0</v>
      </c>
      <c r="AG42" s="145">
        <f t="shared" si="14"/>
        <v>0</v>
      </c>
      <c r="AH42" s="145">
        <f t="shared" si="14"/>
        <v>0</v>
      </c>
      <c r="AI42" s="145">
        <f t="shared" si="14"/>
        <v>0</v>
      </c>
      <c r="AJ42" s="145">
        <f t="shared" si="14"/>
        <v>0</v>
      </c>
      <c r="AK42" s="145">
        <f t="shared" si="14"/>
        <v>0</v>
      </c>
      <c r="AL42" s="145">
        <f t="shared" si="14"/>
        <v>0</v>
      </c>
      <c r="AM42" s="145">
        <f t="shared" si="14"/>
        <v>0</v>
      </c>
      <c r="AN42" s="145">
        <f t="shared" si="14"/>
        <v>0</v>
      </c>
      <c r="AO42" s="145">
        <f t="shared" si="14"/>
        <v>0</v>
      </c>
      <c r="AP42" s="471">
        <f t="shared" si="14"/>
        <v>0</v>
      </c>
      <c r="AQ42" s="129"/>
    </row>
    <row r="43" spans="1:43" x14ac:dyDescent="0.8">
      <c r="A43" s="509" t="s">
        <v>363</v>
      </c>
      <c r="B43" s="7"/>
      <c r="C43" s="7"/>
      <c r="D43" s="7"/>
      <c r="E43" s="7"/>
      <c r="F43" s="7"/>
      <c r="G43" s="7"/>
      <c r="H43" s="145"/>
      <c r="I43" s="493"/>
      <c r="J43" s="145"/>
      <c r="K43" s="145"/>
      <c r="L43" s="145"/>
      <c r="M43" s="145"/>
      <c r="N43" s="145"/>
      <c r="O43" s="493"/>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471"/>
      <c r="AQ43" s="129"/>
    </row>
    <row r="44" spans="1:43" x14ac:dyDescent="0.8">
      <c r="A44" s="509" t="s">
        <v>364</v>
      </c>
      <c r="B44" s="7"/>
      <c r="C44" s="7"/>
      <c r="D44" s="7"/>
      <c r="E44" s="7"/>
      <c r="F44" s="7"/>
      <c r="G44" s="7"/>
      <c r="H44" s="145"/>
      <c r="I44" s="493">
        <f t="shared" ref="I44:AP44" si="15">-IF(I30&gt;0,$C$36*MIN(I41+I42+I43,I30))</f>
        <v>0</v>
      </c>
      <c r="J44" s="145">
        <f t="shared" si="15"/>
        <v>0</v>
      </c>
      <c r="K44" s="145">
        <f t="shared" si="15"/>
        <v>0</v>
      </c>
      <c r="L44" s="145">
        <f t="shared" si="15"/>
        <v>0</v>
      </c>
      <c r="M44" s="145">
        <f t="shared" si="15"/>
        <v>0</v>
      </c>
      <c r="N44" s="145">
        <f t="shared" si="15"/>
        <v>0</v>
      </c>
      <c r="O44" s="493">
        <f t="shared" si="15"/>
        <v>0</v>
      </c>
      <c r="P44" s="145">
        <f t="shared" si="15"/>
        <v>0</v>
      </c>
      <c r="Q44" s="145">
        <f t="shared" si="15"/>
        <v>0</v>
      </c>
      <c r="R44" s="145">
        <f t="shared" si="15"/>
        <v>0</v>
      </c>
      <c r="S44" s="145">
        <f t="shared" si="15"/>
        <v>0</v>
      </c>
      <c r="T44" s="145">
        <f t="shared" si="15"/>
        <v>0</v>
      </c>
      <c r="U44" s="145">
        <f t="shared" si="15"/>
        <v>0</v>
      </c>
      <c r="V44" s="145">
        <f t="shared" si="15"/>
        <v>0</v>
      </c>
      <c r="W44" s="145">
        <f t="shared" si="15"/>
        <v>0</v>
      </c>
      <c r="X44" s="145">
        <f t="shared" si="15"/>
        <v>0</v>
      </c>
      <c r="Y44" s="145">
        <f t="shared" si="15"/>
        <v>0</v>
      </c>
      <c r="Z44" s="145">
        <f t="shared" si="15"/>
        <v>0</v>
      </c>
      <c r="AA44" s="145">
        <f t="shared" si="15"/>
        <v>0</v>
      </c>
      <c r="AB44" s="145">
        <f t="shared" si="15"/>
        <v>0</v>
      </c>
      <c r="AC44" s="145">
        <f t="shared" si="15"/>
        <v>0</v>
      </c>
      <c r="AD44" s="145">
        <f t="shared" si="15"/>
        <v>0</v>
      </c>
      <c r="AE44" s="145">
        <f t="shared" si="15"/>
        <v>0</v>
      </c>
      <c r="AF44" s="145">
        <f t="shared" si="15"/>
        <v>0</v>
      </c>
      <c r="AG44" s="145">
        <f t="shared" si="15"/>
        <v>0</v>
      </c>
      <c r="AH44" s="145">
        <f t="shared" si="15"/>
        <v>0</v>
      </c>
      <c r="AI44" s="145">
        <f t="shared" si="15"/>
        <v>0</v>
      </c>
      <c r="AJ44" s="145">
        <f t="shared" si="15"/>
        <v>0</v>
      </c>
      <c r="AK44" s="145">
        <f t="shared" si="15"/>
        <v>0</v>
      </c>
      <c r="AL44" s="145">
        <f t="shared" si="15"/>
        <v>0</v>
      </c>
      <c r="AM44" s="145">
        <f t="shared" si="15"/>
        <v>0</v>
      </c>
      <c r="AN44" s="145">
        <f t="shared" si="15"/>
        <v>0</v>
      </c>
      <c r="AO44" s="145">
        <f t="shared" si="15"/>
        <v>0</v>
      </c>
      <c r="AP44" s="471">
        <f t="shared" si="15"/>
        <v>0</v>
      </c>
      <c r="AQ44" s="129"/>
    </row>
    <row r="45" spans="1:43" x14ac:dyDescent="0.8">
      <c r="A45" s="508" t="s">
        <v>366</v>
      </c>
      <c r="B45" s="7"/>
      <c r="C45" s="7"/>
      <c r="D45" s="7"/>
      <c r="E45" s="7"/>
      <c r="F45" s="7"/>
      <c r="G45" s="7"/>
      <c r="H45" s="145"/>
      <c r="I45" s="491">
        <f>SUM(I41:I44)</f>
        <v>0</v>
      </c>
      <c r="J45" s="142">
        <f>SUM(J41:J44)</f>
        <v>0</v>
      </c>
      <c r="K45" s="142">
        <f t="shared" ref="K45:M45" si="16">SUM(K41:K44)</f>
        <v>0</v>
      </c>
      <c r="L45" s="142">
        <f t="shared" si="16"/>
        <v>0</v>
      </c>
      <c r="M45" s="142">
        <f t="shared" si="16"/>
        <v>0</v>
      </c>
      <c r="N45" s="142">
        <f>SUM(N41:N44)</f>
        <v>3696.875</v>
      </c>
      <c r="O45" s="491">
        <f>SUM(O41:O44)</f>
        <v>3168.75</v>
      </c>
      <c r="P45" s="142">
        <f t="shared" ref="P45:AP45" si="17">SUM(P41:P44)</f>
        <v>2640.625</v>
      </c>
      <c r="Q45" s="142">
        <f t="shared" si="17"/>
        <v>2112.5</v>
      </c>
      <c r="R45" s="142">
        <f t="shared" si="17"/>
        <v>1584.375</v>
      </c>
      <c r="S45" s="142">
        <f t="shared" si="17"/>
        <v>1056.25</v>
      </c>
      <c r="T45" s="142">
        <f t="shared" si="17"/>
        <v>528.125</v>
      </c>
      <c r="U45" s="142">
        <f t="shared" si="17"/>
        <v>0</v>
      </c>
      <c r="V45" s="142">
        <f t="shared" si="17"/>
        <v>0</v>
      </c>
      <c r="W45" s="142">
        <f t="shared" si="17"/>
        <v>0</v>
      </c>
      <c r="X45" s="142">
        <f t="shared" si="17"/>
        <v>0</v>
      </c>
      <c r="Y45" s="142">
        <f t="shared" si="17"/>
        <v>0</v>
      </c>
      <c r="Z45" s="142">
        <f t="shared" si="17"/>
        <v>0</v>
      </c>
      <c r="AA45" s="142">
        <f t="shared" si="17"/>
        <v>0</v>
      </c>
      <c r="AB45" s="142">
        <f t="shared" si="17"/>
        <v>0</v>
      </c>
      <c r="AC45" s="142">
        <f t="shared" si="17"/>
        <v>0</v>
      </c>
      <c r="AD45" s="142">
        <f t="shared" si="17"/>
        <v>0</v>
      </c>
      <c r="AE45" s="142">
        <f t="shared" si="17"/>
        <v>0</v>
      </c>
      <c r="AF45" s="142">
        <f t="shared" si="17"/>
        <v>0</v>
      </c>
      <c r="AG45" s="142">
        <f t="shared" si="17"/>
        <v>0</v>
      </c>
      <c r="AH45" s="142">
        <f t="shared" si="17"/>
        <v>0</v>
      </c>
      <c r="AI45" s="142">
        <f t="shared" si="17"/>
        <v>0</v>
      </c>
      <c r="AJ45" s="142">
        <f t="shared" si="17"/>
        <v>0</v>
      </c>
      <c r="AK45" s="142">
        <f t="shared" si="17"/>
        <v>0</v>
      </c>
      <c r="AL45" s="142">
        <f t="shared" si="17"/>
        <v>0</v>
      </c>
      <c r="AM45" s="142">
        <f t="shared" si="17"/>
        <v>0</v>
      </c>
      <c r="AN45" s="142">
        <f t="shared" si="17"/>
        <v>0</v>
      </c>
      <c r="AO45" s="142">
        <f t="shared" si="17"/>
        <v>0</v>
      </c>
      <c r="AP45" s="510">
        <f t="shared" si="17"/>
        <v>0</v>
      </c>
      <c r="AQ45" s="129"/>
    </row>
    <row r="46" spans="1:43" x14ac:dyDescent="0.8">
      <c r="A46" s="508" t="s">
        <v>367</v>
      </c>
      <c r="B46" s="7"/>
      <c r="C46" s="7"/>
      <c r="D46" s="7"/>
      <c r="E46" s="7"/>
      <c r="F46" s="7"/>
      <c r="G46" s="7"/>
      <c r="H46" s="141"/>
      <c r="I46" s="491">
        <f>AVERAGE(I45,I41)</f>
        <v>0</v>
      </c>
      <c r="J46" s="142">
        <f>AVERAGE(J45,J41)</f>
        <v>0</v>
      </c>
      <c r="K46" s="142">
        <f t="shared" ref="K46:M46" si="18">AVERAGE(K45,K41)</f>
        <v>0</v>
      </c>
      <c r="L46" s="142">
        <f t="shared" si="18"/>
        <v>0</v>
      </c>
      <c r="M46" s="142">
        <f t="shared" si="18"/>
        <v>0</v>
      </c>
      <c r="N46" s="142">
        <f>AVERAGE(N45,N41)</f>
        <v>3960.9375</v>
      </c>
      <c r="O46" s="491">
        <f>AVERAGE(O45,O41)</f>
        <v>3432.8125</v>
      </c>
      <c r="P46" s="142">
        <f t="shared" ref="P46:AP46" si="19">AVERAGE(P45,P41)</f>
        <v>2904.6875</v>
      </c>
      <c r="Q46" s="142">
        <f t="shared" si="19"/>
        <v>2376.5625</v>
      </c>
      <c r="R46" s="142">
        <f t="shared" si="19"/>
        <v>1848.4375</v>
      </c>
      <c r="S46" s="142">
        <f t="shared" si="19"/>
        <v>1320.3125</v>
      </c>
      <c r="T46" s="142">
        <f t="shared" si="19"/>
        <v>792.1875</v>
      </c>
      <c r="U46" s="142">
        <f t="shared" si="19"/>
        <v>264.0625</v>
      </c>
      <c r="V46" s="142">
        <f t="shared" si="19"/>
        <v>0</v>
      </c>
      <c r="W46" s="142">
        <f t="shared" si="19"/>
        <v>0</v>
      </c>
      <c r="X46" s="142">
        <f t="shared" si="19"/>
        <v>0</v>
      </c>
      <c r="Y46" s="142">
        <f t="shared" si="19"/>
        <v>0</v>
      </c>
      <c r="Z46" s="142">
        <f t="shared" si="19"/>
        <v>0</v>
      </c>
      <c r="AA46" s="142">
        <f t="shared" si="19"/>
        <v>0</v>
      </c>
      <c r="AB46" s="142">
        <f t="shared" si="19"/>
        <v>0</v>
      </c>
      <c r="AC46" s="142">
        <f t="shared" si="19"/>
        <v>0</v>
      </c>
      <c r="AD46" s="142">
        <f t="shared" si="19"/>
        <v>0</v>
      </c>
      <c r="AE46" s="142">
        <f t="shared" si="19"/>
        <v>0</v>
      </c>
      <c r="AF46" s="142">
        <f t="shared" si="19"/>
        <v>0</v>
      </c>
      <c r="AG46" s="142">
        <f t="shared" si="19"/>
        <v>0</v>
      </c>
      <c r="AH46" s="142">
        <f t="shared" si="19"/>
        <v>0</v>
      </c>
      <c r="AI46" s="142">
        <f t="shared" si="19"/>
        <v>0</v>
      </c>
      <c r="AJ46" s="142">
        <f t="shared" si="19"/>
        <v>0</v>
      </c>
      <c r="AK46" s="142">
        <f t="shared" si="19"/>
        <v>0</v>
      </c>
      <c r="AL46" s="142">
        <f t="shared" si="19"/>
        <v>0</v>
      </c>
      <c r="AM46" s="142">
        <f t="shared" si="19"/>
        <v>0</v>
      </c>
      <c r="AN46" s="142">
        <f t="shared" si="19"/>
        <v>0</v>
      </c>
      <c r="AO46" s="142">
        <f t="shared" si="19"/>
        <v>0</v>
      </c>
      <c r="AP46" s="510">
        <f t="shared" si="19"/>
        <v>0</v>
      </c>
      <c r="AQ46" s="129"/>
    </row>
    <row r="47" spans="1:43" x14ac:dyDescent="0.8">
      <c r="A47" s="511" t="s">
        <v>349</v>
      </c>
      <c r="B47" s="486"/>
      <c r="C47" s="7"/>
      <c r="D47" s="7"/>
      <c r="E47" s="7"/>
      <c r="F47" s="7"/>
      <c r="G47" s="141"/>
      <c r="H47" s="141"/>
      <c r="I47" s="494">
        <f t="shared" ref="I47:AP47" si="20">I46*$C$38</f>
        <v>0</v>
      </c>
      <c r="J47" s="152">
        <f t="shared" si="20"/>
        <v>0</v>
      </c>
      <c r="K47" s="152">
        <f t="shared" si="20"/>
        <v>0</v>
      </c>
      <c r="L47" s="152">
        <f t="shared" si="20"/>
        <v>0</v>
      </c>
      <c r="M47" s="152">
        <f t="shared" si="20"/>
        <v>0</v>
      </c>
      <c r="N47" s="152">
        <f t="shared" si="20"/>
        <v>59.4140625</v>
      </c>
      <c r="O47" s="494">
        <f t="shared" si="20"/>
        <v>51.4921875</v>
      </c>
      <c r="P47" s="152">
        <f t="shared" si="20"/>
        <v>43.5703125</v>
      </c>
      <c r="Q47" s="152">
        <f t="shared" si="20"/>
        <v>35.6484375</v>
      </c>
      <c r="R47" s="152">
        <f t="shared" si="20"/>
        <v>27.7265625</v>
      </c>
      <c r="S47" s="152">
        <f t="shared" si="20"/>
        <v>19.8046875</v>
      </c>
      <c r="T47" s="152">
        <f t="shared" si="20"/>
        <v>11.8828125</v>
      </c>
      <c r="U47" s="152">
        <f t="shared" si="20"/>
        <v>3.9609375</v>
      </c>
      <c r="V47" s="152">
        <f t="shared" si="20"/>
        <v>0</v>
      </c>
      <c r="W47" s="152">
        <f t="shared" si="20"/>
        <v>0</v>
      </c>
      <c r="X47" s="152">
        <f t="shared" si="20"/>
        <v>0</v>
      </c>
      <c r="Y47" s="152">
        <f t="shared" si="20"/>
        <v>0</v>
      </c>
      <c r="Z47" s="152">
        <f t="shared" si="20"/>
        <v>0</v>
      </c>
      <c r="AA47" s="152">
        <f t="shared" si="20"/>
        <v>0</v>
      </c>
      <c r="AB47" s="152">
        <f t="shared" si="20"/>
        <v>0</v>
      </c>
      <c r="AC47" s="152">
        <f t="shared" si="20"/>
        <v>0</v>
      </c>
      <c r="AD47" s="152">
        <f t="shared" si="20"/>
        <v>0</v>
      </c>
      <c r="AE47" s="152">
        <f t="shared" si="20"/>
        <v>0</v>
      </c>
      <c r="AF47" s="152">
        <f t="shared" si="20"/>
        <v>0</v>
      </c>
      <c r="AG47" s="152">
        <f t="shared" si="20"/>
        <v>0</v>
      </c>
      <c r="AH47" s="152">
        <f t="shared" si="20"/>
        <v>0</v>
      </c>
      <c r="AI47" s="152">
        <f t="shared" si="20"/>
        <v>0</v>
      </c>
      <c r="AJ47" s="152">
        <f t="shared" si="20"/>
        <v>0</v>
      </c>
      <c r="AK47" s="152">
        <f t="shared" si="20"/>
        <v>0</v>
      </c>
      <c r="AL47" s="152">
        <f t="shared" si="20"/>
        <v>0</v>
      </c>
      <c r="AM47" s="152">
        <f t="shared" si="20"/>
        <v>0</v>
      </c>
      <c r="AN47" s="152">
        <f t="shared" si="20"/>
        <v>0</v>
      </c>
      <c r="AO47" s="152">
        <f t="shared" si="20"/>
        <v>0</v>
      </c>
      <c r="AP47" s="512">
        <f t="shared" si="20"/>
        <v>0</v>
      </c>
      <c r="AQ47" s="129"/>
    </row>
    <row r="48" spans="1:43" x14ac:dyDescent="0.8">
      <c r="A48" s="518" t="s">
        <v>369</v>
      </c>
      <c r="B48" s="487"/>
      <c r="C48" s="143"/>
      <c r="D48" s="143"/>
      <c r="E48" s="143"/>
      <c r="F48" s="143"/>
      <c r="G48" s="143"/>
      <c r="H48" s="143"/>
      <c r="I48" s="492">
        <f t="shared" ref="I48:AP48" si="21">I30+I42+I44</f>
        <v>154993.5</v>
      </c>
      <c r="J48" s="144">
        <f t="shared" si="21"/>
        <v>51704.846874199982</v>
      </c>
      <c r="K48" s="144">
        <f t="shared" si="21"/>
        <v>56674.088315848494</v>
      </c>
      <c r="L48" s="144">
        <f t="shared" si="21"/>
        <v>55834.960803589012</v>
      </c>
      <c r="M48" s="144">
        <f t="shared" si="21"/>
        <v>57624.789380436967</v>
      </c>
      <c r="N48" s="144">
        <f t="shared" si="21"/>
        <v>54635.689879081227</v>
      </c>
      <c r="O48" s="492">
        <f t="shared" si="21"/>
        <v>57515.863260090802</v>
      </c>
      <c r="P48" s="144">
        <f t="shared" si="21"/>
        <v>51116.631012725622</v>
      </c>
      <c r="Q48" s="144">
        <f t="shared" si="21"/>
        <v>52479.795604133084</v>
      </c>
      <c r="R48" s="144">
        <f t="shared" si="21"/>
        <v>48691.918723176284</v>
      </c>
      <c r="S48" s="144">
        <f t="shared" si="21"/>
        <v>49641.633012606122</v>
      </c>
      <c r="T48" s="144">
        <f t="shared" si="21"/>
        <v>45822.007060123666</v>
      </c>
      <c r="U48" s="144">
        <f t="shared" si="21"/>
        <v>46452.64728040513</v>
      </c>
      <c r="V48" s="144">
        <f t="shared" si="21"/>
        <v>44309.392719951502</v>
      </c>
      <c r="W48" s="144">
        <f t="shared" si="21"/>
        <v>44725.648502214201</v>
      </c>
      <c r="X48" s="144">
        <f t="shared" si="21"/>
        <v>42749.084781531346</v>
      </c>
      <c r="Y48" s="144">
        <f t="shared" si="21"/>
        <v>42813.352763928095</v>
      </c>
      <c r="Z48" s="144">
        <f t="shared" si="21"/>
        <v>41290.531357593696</v>
      </c>
      <c r="AA48" s="144">
        <f t="shared" si="21"/>
        <v>40085.079220886131</v>
      </c>
      <c r="AB48" s="144">
        <f t="shared" si="21"/>
        <v>38648.009932641078</v>
      </c>
      <c r="AC48" s="144">
        <f t="shared" si="21"/>
        <v>37502.376917348025</v>
      </c>
      <c r="AD48" s="144">
        <f t="shared" si="21"/>
        <v>36221.821666270262</v>
      </c>
      <c r="AE48" s="144">
        <f t="shared" si="21"/>
        <v>35146.365604225954</v>
      </c>
      <c r="AF48" s="144">
        <f t="shared" si="21"/>
        <v>33997.639797577125</v>
      </c>
      <c r="AG48" s="144">
        <f t="shared" si="21"/>
        <v>32996.345332441626</v>
      </c>
      <c r="AH48" s="144">
        <f t="shared" si="21"/>
        <v>31960.637229841086</v>
      </c>
      <c r="AI48" s="144">
        <f t="shared" si="21"/>
        <v>31033.534841783512</v>
      </c>
      <c r="AJ48" s="144">
        <f t="shared" si="21"/>
        <v>30145.583038211131</v>
      </c>
      <c r="AK48" s="144">
        <f t="shared" si="21"/>
        <v>29300.013431975869</v>
      </c>
      <c r="AL48" s="144">
        <f t="shared" si="21"/>
        <v>28490.333627026499</v>
      </c>
      <c r="AM48" s="144">
        <f t="shared" si="21"/>
        <v>27718.539409537705</v>
      </c>
      <c r="AN48" s="144">
        <f t="shared" si="21"/>
        <v>26979.790374388904</v>
      </c>
      <c r="AO48" s="144">
        <f t="shared" si="21"/>
        <v>26275.039979830144</v>
      </c>
      <c r="AP48" s="519">
        <f t="shared" si="21"/>
        <v>25600.612068136186</v>
      </c>
      <c r="AQ48" s="129"/>
    </row>
    <row r="49" spans="1:43" x14ac:dyDescent="0.8">
      <c r="A49" s="473"/>
      <c r="B49" s="141"/>
      <c r="C49" s="15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474"/>
      <c r="AQ49" s="129"/>
    </row>
    <row r="50" spans="1:43" ht="18.5" x14ac:dyDescent="0.9">
      <c r="A50" s="520" t="s">
        <v>523</v>
      </c>
      <c r="B50" s="141"/>
      <c r="C50" s="15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474"/>
      <c r="AQ50" s="129"/>
    </row>
    <row r="51" spans="1:43" ht="16.75" thickBot="1" x14ac:dyDescent="0.95">
      <c r="A51" s="521"/>
      <c r="B51" s="138"/>
      <c r="C51" s="500"/>
      <c r="D51" s="138"/>
      <c r="E51" s="138"/>
      <c r="F51" s="138"/>
      <c r="G51" s="138"/>
      <c r="H51" s="138"/>
      <c r="I51" s="137"/>
      <c r="J51" s="138"/>
      <c r="K51" s="138"/>
      <c r="L51" s="138"/>
      <c r="M51" s="138"/>
      <c r="N51" s="138"/>
      <c r="O51" s="137"/>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522"/>
      <c r="AQ51" s="129"/>
    </row>
    <row r="52" spans="1:43" x14ac:dyDescent="0.8">
      <c r="A52" s="473"/>
      <c r="B52" s="466" t="s">
        <v>361</v>
      </c>
      <c r="C52" s="467">
        <f>'Forecast Drivers '!T56/8</f>
        <v>343.75</v>
      </c>
      <c r="D52" s="468" t="s">
        <v>362</v>
      </c>
      <c r="E52" s="469">
        <v>2036</v>
      </c>
      <c r="F52" s="141"/>
      <c r="G52" s="141"/>
      <c r="H52" s="141"/>
      <c r="I52" s="140"/>
      <c r="J52" s="141"/>
      <c r="K52" s="141"/>
      <c r="L52" s="141"/>
      <c r="M52" s="141"/>
      <c r="N52" s="141"/>
      <c r="O52" s="140"/>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474"/>
      <c r="AQ52" s="129"/>
    </row>
    <row r="53" spans="1:43" x14ac:dyDescent="0.8">
      <c r="A53" s="473"/>
      <c r="B53" s="470"/>
      <c r="C53" s="145"/>
      <c r="D53" s="145"/>
      <c r="E53" s="471"/>
      <c r="F53" s="141"/>
      <c r="G53" s="141"/>
      <c r="H53" s="141"/>
      <c r="I53" s="140"/>
      <c r="J53" s="141"/>
      <c r="K53" s="141"/>
      <c r="L53" s="141"/>
      <c r="M53" s="141"/>
      <c r="N53" s="141"/>
      <c r="O53" s="140"/>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474"/>
      <c r="AQ53" s="129"/>
    </row>
    <row r="54" spans="1:43" x14ac:dyDescent="0.8">
      <c r="A54" s="473"/>
      <c r="B54" s="472" t="s">
        <v>365</v>
      </c>
      <c r="C54" s="461">
        <v>0</v>
      </c>
      <c r="D54" s="145"/>
      <c r="E54" s="471"/>
      <c r="F54" s="141"/>
      <c r="G54" s="141"/>
      <c r="H54" s="141"/>
      <c r="I54" s="140"/>
      <c r="J54" s="141"/>
      <c r="K54" s="141"/>
      <c r="L54" s="141"/>
      <c r="M54" s="141"/>
      <c r="N54" s="141"/>
      <c r="O54" s="140"/>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474"/>
      <c r="AQ54" s="129"/>
    </row>
    <row r="55" spans="1:43" x14ac:dyDescent="0.8">
      <c r="A55" s="473"/>
      <c r="B55" s="473"/>
      <c r="C55" s="141"/>
      <c r="D55" s="141"/>
      <c r="E55" s="474"/>
      <c r="F55" s="141"/>
      <c r="G55" s="141"/>
      <c r="H55" s="141"/>
      <c r="I55" s="140"/>
      <c r="J55" s="141"/>
      <c r="K55" s="141"/>
      <c r="L55" s="141"/>
      <c r="M55" s="141"/>
      <c r="N55" s="141"/>
      <c r="O55" s="140"/>
      <c r="P55" s="141"/>
      <c r="Q55" s="141"/>
      <c r="R55" s="141"/>
      <c r="S55" s="141"/>
      <c r="T55" s="141"/>
      <c r="U55" s="141"/>
      <c r="V55" s="141"/>
      <c r="W55" s="141"/>
      <c r="X55" s="141"/>
      <c r="Y55" s="141"/>
      <c r="Z55" s="141"/>
      <c r="AA55" s="141"/>
      <c r="AB55" s="141"/>
      <c r="AC55" s="141"/>
      <c r="AD55" s="141"/>
      <c r="AE55" s="141"/>
      <c r="AF55" s="141"/>
      <c r="AG55" s="141"/>
      <c r="AH55" s="141"/>
      <c r="AI55" s="141"/>
      <c r="AJ55" s="141"/>
      <c r="AK55" s="141"/>
      <c r="AL55" s="141"/>
      <c r="AM55" s="141"/>
      <c r="AN55" s="141"/>
      <c r="AO55" s="141"/>
      <c r="AP55" s="474"/>
      <c r="AQ55" s="129"/>
    </row>
    <row r="56" spans="1:43" x14ac:dyDescent="0.8">
      <c r="A56" s="473"/>
      <c r="B56" s="473"/>
      <c r="C56" s="141"/>
      <c r="D56" s="141"/>
      <c r="E56" s="474"/>
      <c r="F56" s="141"/>
      <c r="G56" s="141"/>
      <c r="H56" s="141"/>
      <c r="I56" s="140"/>
      <c r="J56" s="141"/>
      <c r="K56" s="141"/>
      <c r="L56" s="141"/>
      <c r="M56" s="141"/>
      <c r="N56" s="141"/>
      <c r="O56" s="140"/>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474"/>
      <c r="AQ56" s="129"/>
    </row>
    <row r="57" spans="1:43" ht="16.75" thickBot="1" x14ac:dyDescent="0.95">
      <c r="A57" s="473"/>
      <c r="B57" s="475" t="s">
        <v>368</v>
      </c>
      <c r="C57" s="476">
        <f>'Forecast Drivers '!T57</f>
        <v>1.2500000000000001E-2</v>
      </c>
      <c r="D57" s="477"/>
      <c r="E57" s="478"/>
      <c r="F57" s="141"/>
      <c r="G57" s="141"/>
      <c r="H57" s="141"/>
      <c r="I57" s="140"/>
      <c r="J57" s="141"/>
      <c r="K57" s="141"/>
      <c r="L57" s="141"/>
      <c r="M57" s="141"/>
      <c r="N57" s="141"/>
      <c r="O57" s="140"/>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474"/>
      <c r="AQ57" s="129"/>
    </row>
    <row r="58" spans="1:43" x14ac:dyDescent="0.8">
      <c r="A58" s="473"/>
      <c r="B58" s="141"/>
      <c r="C58" s="151"/>
      <c r="D58" s="141"/>
      <c r="E58" s="141"/>
      <c r="F58" s="141"/>
      <c r="G58" s="141"/>
      <c r="H58" s="141"/>
      <c r="I58" s="140"/>
      <c r="J58" s="141"/>
      <c r="K58" s="141"/>
      <c r="L58" s="141"/>
      <c r="M58" s="141"/>
      <c r="N58" s="141"/>
      <c r="O58" s="140"/>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474"/>
      <c r="AQ58" s="129"/>
    </row>
    <row r="59" spans="1:43" x14ac:dyDescent="0.8">
      <c r="A59" s="473"/>
      <c r="B59" s="141"/>
      <c r="C59" s="151"/>
      <c r="D59" s="141"/>
      <c r="E59" s="141"/>
      <c r="F59" s="141"/>
      <c r="G59" s="141"/>
      <c r="H59" s="141"/>
      <c r="I59" s="140"/>
      <c r="J59" s="141"/>
      <c r="K59" s="141"/>
      <c r="L59" s="141"/>
      <c r="M59" s="141"/>
      <c r="N59" s="141"/>
      <c r="O59" s="140"/>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474"/>
      <c r="AQ59" s="129"/>
    </row>
    <row r="60" spans="1:43" x14ac:dyDescent="0.8">
      <c r="A60" s="473"/>
      <c r="B60" s="141"/>
      <c r="C60" s="151"/>
      <c r="D60" s="141"/>
      <c r="E60" s="141"/>
      <c r="F60" s="141"/>
      <c r="G60" s="141"/>
      <c r="H60" s="141"/>
      <c r="I60" s="140"/>
      <c r="J60" s="141"/>
      <c r="K60" s="141"/>
      <c r="L60" s="141"/>
      <c r="M60" s="141"/>
      <c r="N60" s="141"/>
      <c r="O60" s="140"/>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474"/>
      <c r="AQ60" s="129"/>
    </row>
    <row r="61" spans="1:43" x14ac:dyDescent="0.8">
      <c r="A61" s="507" t="str">
        <f>"Bank loan at " &amp; TEXT(C57,"0.00%")</f>
        <v>Bank loan at 1.25%</v>
      </c>
      <c r="B61" s="480"/>
      <c r="C61" s="145"/>
      <c r="D61" s="145"/>
      <c r="E61" s="145"/>
      <c r="F61" s="145"/>
      <c r="G61" s="145"/>
      <c r="H61" s="145"/>
      <c r="I61" s="493"/>
      <c r="J61" s="142"/>
      <c r="K61" s="142"/>
      <c r="L61" s="142"/>
      <c r="M61" s="142"/>
      <c r="N61" s="142"/>
      <c r="O61" s="491"/>
      <c r="P61" s="142"/>
      <c r="Q61" s="142"/>
      <c r="R61" s="142"/>
      <c r="S61" s="142"/>
      <c r="T61" s="142"/>
      <c r="U61" s="142"/>
      <c r="V61" s="141"/>
      <c r="W61" s="141"/>
      <c r="X61" s="141"/>
      <c r="Y61" s="141"/>
      <c r="Z61" s="141"/>
      <c r="AA61" s="141"/>
      <c r="AB61" s="141"/>
      <c r="AC61" s="141"/>
      <c r="AD61" s="141"/>
      <c r="AE61" s="141"/>
      <c r="AF61" s="141"/>
      <c r="AG61" s="141"/>
      <c r="AH61" s="141"/>
      <c r="AI61" s="141"/>
      <c r="AJ61" s="141"/>
      <c r="AK61" s="141"/>
      <c r="AL61" s="141"/>
      <c r="AM61" s="141"/>
      <c r="AN61" s="141"/>
      <c r="AO61" s="141"/>
      <c r="AP61" s="474"/>
      <c r="AQ61" s="129"/>
    </row>
    <row r="62" spans="1:43" x14ac:dyDescent="0.8">
      <c r="A62" s="508" t="s">
        <v>359</v>
      </c>
      <c r="B62" s="7"/>
      <c r="C62" s="7"/>
      <c r="D62" s="7"/>
      <c r="E62" s="7"/>
      <c r="F62" s="7"/>
      <c r="G62" s="7"/>
      <c r="H62" s="145"/>
      <c r="I62" s="493">
        <v>0</v>
      </c>
      <c r="J62" s="145">
        <f>I66</f>
        <v>0</v>
      </c>
      <c r="K62" s="145">
        <f t="shared" ref="K62:M62" si="22">J66</f>
        <v>0</v>
      </c>
      <c r="L62" s="145">
        <f t="shared" si="22"/>
        <v>0</v>
      </c>
      <c r="M62" s="145">
        <f t="shared" si="22"/>
        <v>0</v>
      </c>
      <c r="N62" s="145">
        <v>0</v>
      </c>
      <c r="O62" s="493">
        <f>N66</f>
        <v>0</v>
      </c>
      <c r="P62" s="145">
        <f t="shared" ref="P62:T62" si="23">O66</f>
        <v>0</v>
      </c>
      <c r="Q62" s="145">
        <f t="shared" si="23"/>
        <v>0</v>
      </c>
      <c r="R62" s="145">
        <f t="shared" si="23"/>
        <v>0</v>
      </c>
      <c r="S62" s="145">
        <f t="shared" si="23"/>
        <v>0</v>
      </c>
      <c r="T62" s="145">
        <f t="shared" si="23"/>
        <v>0</v>
      </c>
      <c r="U62" s="145">
        <v>2750</v>
      </c>
      <c r="V62" s="145">
        <f>U66</f>
        <v>2406.25</v>
      </c>
      <c r="W62" s="145">
        <f t="shared" ref="W62:AP62" si="24">V66</f>
        <v>2062.5</v>
      </c>
      <c r="X62" s="145">
        <f t="shared" si="24"/>
        <v>1718.75</v>
      </c>
      <c r="Y62" s="145">
        <f t="shared" si="24"/>
        <v>1375</v>
      </c>
      <c r="Z62" s="145">
        <f t="shared" si="24"/>
        <v>1031.25</v>
      </c>
      <c r="AA62" s="145">
        <f t="shared" si="24"/>
        <v>687.5</v>
      </c>
      <c r="AB62" s="145">
        <f t="shared" si="24"/>
        <v>343.75</v>
      </c>
      <c r="AC62" s="145">
        <f t="shared" si="24"/>
        <v>0</v>
      </c>
      <c r="AD62" s="145">
        <f t="shared" si="24"/>
        <v>0</v>
      </c>
      <c r="AE62" s="145">
        <f t="shared" si="24"/>
        <v>0</v>
      </c>
      <c r="AF62" s="145">
        <f t="shared" si="24"/>
        <v>0</v>
      </c>
      <c r="AG62" s="145">
        <f t="shared" si="24"/>
        <v>0</v>
      </c>
      <c r="AH62" s="145">
        <f t="shared" si="24"/>
        <v>0</v>
      </c>
      <c r="AI62" s="145">
        <f t="shared" si="24"/>
        <v>0</v>
      </c>
      <c r="AJ62" s="145">
        <f t="shared" si="24"/>
        <v>0</v>
      </c>
      <c r="AK62" s="145">
        <f t="shared" si="24"/>
        <v>0</v>
      </c>
      <c r="AL62" s="145">
        <f t="shared" si="24"/>
        <v>0</v>
      </c>
      <c r="AM62" s="145">
        <f t="shared" si="24"/>
        <v>0</v>
      </c>
      <c r="AN62" s="145">
        <f t="shared" si="24"/>
        <v>0</v>
      </c>
      <c r="AO62" s="145">
        <f t="shared" si="24"/>
        <v>0</v>
      </c>
      <c r="AP62" s="471">
        <f t="shared" si="24"/>
        <v>0</v>
      </c>
      <c r="AQ62" s="129"/>
    </row>
    <row r="63" spans="1:43" x14ac:dyDescent="0.8">
      <c r="A63" s="509" t="s">
        <v>360</v>
      </c>
      <c r="B63" s="7"/>
      <c r="C63" s="7"/>
      <c r="D63" s="7"/>
      <c r="E63" s="7"/>
      <c r="F63" s="7"/>
      <c r="G63" s="7"/>
      <c r="H63" s="145"/>
      <c r="I63" s="493">
        <f t="shared" ref="I63:T63" si="25">IF(I24=$E$34,-I62,-MIN($C$34,I62))</f>
        <v>0</v>
      </c>
      <c r="J63" s="145">
        <f t="shared" si="25"/>
        <v>0</v>
      </c>
      <c r="K63" s="145">
        <f t="shared" si="25"/>
        <v>0</v>
      </c>
      <c r="L63" s="145">
        <f t="shared" si="25"/>
        <v>0</v>
      </c>
      <c r="M63" s="145">
        <f t="shared" si="25"/>
        <v>0</v>
      </c>
      <c r="N63" s="145">
        <f t="shared" si="25"/>
        <v>0</v>
      </c>
      <c r="O63" s="493">
        <f t="shared" si="25"/>
        <v>0</v>
      </c>
      <c r="P63" s="145">
        <f t="shared" si="25"/>
        <v>0</v>
      </c>
      <c r="Q63" s="145">
        <f t="shared" si="25"/>
        <v>0</v>
      </c>
      <c r="R63" s="145">
        <f t="shared" si="25"/>
        <v>0</v>
      </c>
      <c r="S63" s="145">
        <f t="shared" si="25"/>
        <v>0</v>
      </c>
      <c r="T63" s="145">
        <f t="shared" si="25"/>
        <v>0</v>
      </c>
      <c r="U63" s="145">
        <f t="shared" ref="U63:AP63" si="26">IF(U3=$E$52,-U62,-MIN($C$52,U62))</f>
        <v>-343.75</v>
      </c>
      <c r="V63" s="145">
        <f t="shared" si="26"/>
        <v>-343.75</v>
      </c>
      <c r="W63" s="145">
        <f t="shared" si="26"/>
        <v>-343.75</v>
      </c>
      <c r="X63" s="145">
        <f t="shared" si="26"/>
        <v>-343.75</v>
      </c>
      <c r="Y63" s="145">
        <f t="shared" si="26"/>
        <v>-343.75</v>
      </c>
      <c r="Z63" s="145">
        <f t="shared" si="26"/>
        <v>-343.75</v>
      </c>
      <c r="AA63" s="145">
        <f t="shared" si="26"/>
        <v>-343.75</v>
      </c>
      <c r="AB63" s="145">
        <f t="shared" si="26"/>
        <v>-343.75</v>
      </c>
      <c r="AC63" s="145">
        <f t="shared" si="26"/>
        <v>0</v>
      </c>
      <c r="AD63" s="145">
        <f t="shared" si="26"/>
        <v>0</v>
      </c>
      <c r="AE63" s="145">
        <f t="shared" si="26"/>
        <v>0</v>
      </c>
      <c r="AF63" s="145">
        <f t="shared" si="26"/>
        <v>0</v>
      </c>
      <c r="AG63" s="145">
        <f t="shared" si="26"/>
        <v>0</v>
      </c>
      <c r="AH63" s="145">
        <f t="shared" si="26"/>
        <v>0</v>
      </c>
      <c r="AI63" s="145">
        <f t="shared" si="26"/>
        <v>0</v>
      </c>
      <c r="AJ63" s="145">
        <f t="shared" si="26"/>
        <v>0</v>
      </c>
      <c r="AK63" s="145">
        <f t="shared" si="26"/>
        <v>0</v>
      </c>
      <c r="AL63" s="145">
        <f t="shared" si="26"/>
        <v>0</v>
      </c>
      <c r="AM63" s="145">
        <f t="shared" si="26"/>
        <v>0</v>
      </c>
      <c r="AN63" s="145">
        <f t="shared" si="26"/>
        <v>0</v>
      </c>
      <c r="AO63" s="145">
        <f t="shared" si="26"/>
        <v>0</v>
      </c>
      <c r="AP63" s="471">
        <f t="shared" si="26"/>
        <v>0</v>
      </c>
      <c r="AQ63" s="129"/>
    </row>
    <row r="64" spans="1:43" x14ac:dyDescent="0.8">
      <c r="A64" s="509" t="s">
        <v>363</v>
      </c>
      <c r="B64" s="7"/>
      <c r="C64" s="7"/>
      <c r="D64" s="7"/>
      <c r="E64" s="7"/>
      <c r="F64" s="7"/>
      <c r="G64" s="7"/>
      <c r="H64" s="145"/>
      <c r="I64" s="493"/>
      <c r="J64" s="145"/>
      <c r="K64" s="145"/>
      <c r="L64" s="145"/>
      <c r="M64" s="145"/>
      <c r="N64" s="145"/>
      <c r="O64" s="493"/>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471"/>
      <c r="AQ64" s="129"/>
    </row>
    <row r="65" spans="1:43" x14ac:dyDescent="0.8">
      <c r="A65" s="509" t="s">
        <v>364</v>
      </c>
      <c r="B65" s="7"/>
      <c r="C65" s="7"/>
      <c r="D65" s="7"/>
      <c r="E65" s="7"/>
      <c r="F65" s="7"/>
      <c r="G65" s="7"/>
      <c r="H65" s="145"/>
      <c r="I65" s="493">
        <f t="shared" ref="I65:T65" si="27">-IF(I48&gt;0,$C$36*MIN(I62+I63+I64,I48))</f>
        <v>0</v>
      </c>
      <c r="J65" s="145">
        <f t="shared" si="27"/>
        <v>0</v>
      </c>
      <c r="K65" s="145">
        <f t="shared" si="27"/>
        <v>0</v>
      </c>
      <c r="L65" s="145">
        <f t="shared" si="27"/>
        <v>0</v>
      </c>
      <c r="M65" s="145">
        <f t="shared" si="27"/>
        <v>0</v>
      </c>
      <c r="N65" s="145">
        <f t="shared" si="27"/>
        <v>0</v>
      </c>
      <c r="O65" s="493">
        <f t="shared" si="27"/>
        <v>0</v>
      </c>
      <c r="P65" s="145">
        <f t="shared" si="27"/>
        <v>0</v>
      </c>
      <c r="Q65" s="145">
        <f t="shared" si="27"/>
        <v>0</v>
      </c>
      <c r="R65" s="145">
        <f t="shared" si="27"/>
        <v>0</v>
      </c>
      <c r="S65" s="145">
        <f t="shared" si="27"/>
        <v>0</v>
      </c>
      <c r="T65" s="145">
        <f t="shared" si="27"/>
        <v>0</v>
      </c>
      <c r="U65" s="145">
        <f t="shared" ref="U65:AP65" si="28">-IF(U48&gt;0,$C$54*MIN(U62+U63+U64,U48))</f>
        <v>0</v>
      </c>
      <c r="V65" s="145">
        <f t="shared" si="28"/>
        <v>0</v>
      </c>
      <c r="W65" s="145">
        <f t="shared" si="28"/>
        <v>0</v>
      </c>
      <c r="X65" s="145">
        <f t="shared" si="28"/>
        <v>0</v>
      </c>
      <c r="Y65" s="145">
        <f t="shared" si="28"/>
        <v>0</v>
      </c>
      <c r="Z65" s="145">
        <f t="shared" si="28"/>
        <v>0</v>
      </c>
      <c r="AA65" s="145">
        <f t="shared" si="28"/>
        <v>0</v>
      </c>
      <c r="AB65" s="145">
        <f t="shared" si="28"/>
        <v>0</v>
      </c>
      <c r="AC65" s="145">
        <f t="shared" si="28"/>
        <v>0</v>
      </c>
      <c r="AD65" s="145">
        <f t="shared" si="28"/>
        <v>0</v>
      </c>
      <c r="AE65" s="145">
        <f t="shared" si="28"/>
        <v>0</v>
      </c>
      <c r="AF65" s="145">
        <f t="shared" si="28"/>
        <v>0</v>
      </c>
      <c r="AG65" s="145">
        <f t="shared" si="28"/>
        <v>0</v>
      </c>
      <c r="AH65" s="145">
        <f t="shared" si="28"/>
        <v>0</v>
      </c>
      <c r="AI65" s="145">
        <f t="shared" si="28"/>
        <v>0</v>
      </c>
      <c r="AJ65" s="145">
        <f t="shared" si="28"/>
        <v>0</v>
      </c>
      <c r="AK65" s="145">
        <f t="shared" si="28"/>
        <v>0</v>
      </c>
      <c r="AL65" s="145">
        <f t="shared" si="28"/>
        <v>0</v>
      </c>
      <c r="AM65" s="145">
        <f t="shared" si="28"/>
        <v>0</v>
      </c>
      <c r="AN65" s="145">
        <f t="shared" si="28"/>
        <v>0</v>
      </c>
      <c r="AO65" s="145">
        <f t="shared" si="28"/>
        <v>0</v>
      </c>
      <c r="AP65" s="471">
        <f t="shared" si="28"/>
        <v>0</v>
      </c>
      <c r="AQ65" s="129"/>
    </row>
    <row r="66" spans="1:43" x14ac:dyDescent="0.8">
      <c r="A66" s="508" t="s">
        <v>366</v>
      </c>
      <c r="B66" s="7"/>
      <c r="C66" s="7"/>
      <c r="D66" s="7"/>
      <c r="E66" s="7"/>
      <c r="F66" s="7"/>
      <c r="G66" s="7"/>
      <c r="H66" s="145"/>
      <c r="I66" s="491">
        <f>SUM(I62:I65)</f>
        <v>0</v>
      </c>
      <c r="J66" s="142">
        <f>SUM(J62:J65)</f>
        <v>0</v>
      </c>
      <c r="K66" s="142">
        <f t="shared" ref="K66:M66" si="29">SUM(K62:K65)</f>
        <v>0</v>
      </c>
      <c r="L66" s="142">
        <f t="shared" si="29"/>
        <v>0</v>
      </c>
      <c r="M66" s="142">
        <f t="shared" si="29"/>
        <v>0</v>
      </c>
      <c r="N66" s="142">
        <f>SUM(N62:N65)</f>
        <v>0</v>
      </c>
      <c r="O66" s="491">
        <f>SUM(O62:O65)</f>
        <v>0</v>
      </c>
      <c r="P66" s="142">
        <f t="shared" ref="P66:T66" si="30">SUM(P62:P65)</f>
        <v>0</v>
      </c>
      <c r="Q66" s="142">
        <f t="shared" si="30"/>
        <v>0</v>
      </c>
      <c r="R66" s="142">
        <f t="shared" si="30"/>
        <v>0</v>
      </c>
      <c r="S66" s="142">
        <f t="shared" si="30"/>
        <v>0</v>
      </c>
      <c r="T66" s="142">
        <f t="shared" si="30"/>
        <v>0</v>
      </c>
      <c r="U66" s="142">
        <f>SUM(U62:U65)</f>
        <v>2406.25</v>
      </c>
      <c r="V66" s="142">
        <f t="shared" ref="V66:AP66" si="31">SUM(V62:V65)</f>
        <v>2062.5</v>
      </c>
      <c r="W66" s="142">
        <f t="shared" si="31"/>
        <v>1718.75</v>
      </c>
      <c r="X66" s="142">
        <f t="shared" si="31"/>
        <v>1375</v>
      </c>
      <c r="Y66" s="142">
        <f t="shared" si="31"/>
        <v>1031.25</v>
      </c>
      <c r="Z66" s="142">
        <f t="shared" si="31"/>
        <v>687.5</v>
      </c>
      <c r="AA66" s="142">
        <f t="shared" si="31"/>
        <v>343.75</v>
      </c>
      <c r="AB66" s="142">
        <f t="shared" si="31"/>
        <v>0</v>
      </c>
      <c r="AC66" s="142">
        <f t="shared" si="31"/>
        <v>0</v>
      </c>
      <c r="AD66" s="142">
        <f t="shared" si="31"/>
        <v>0</v>
      </c>
      <c r="AE66" s="142">
        <f t="shared" si="31"/>
        <v>0</v>
      </c>
      <c r="AF66" s="142">
        <f t="shared" si="31"/>
        <v>0</v>
      </c>
      <c r="AG66" s="142">
        <f t="shared" si="31"/>
        <v>0</v>
      </c>
      <c r="AH66" s="142">
        <f t="shared" si="31"/>
        <v>0</v>
      </c>
      <c r="AI66" s="142">
        <f t="shared" si="31"/>
        <v>0</v>
      </c>
      <c r="AJ66" s="142">
        <f t="shared" si="31"/>
        <v>0</v>
      </c>
      <c r="AK66" s="142">
        <f t="shared" si="31"/>
        <v>0</v>
      </c>
      <c r="AL66" s="142">
        <f t="shared" si="31"/>
        <v>0</v>
      </c>
      <c r="AM66" s="142">
        <f t="shared" si="31"/>
        <v>0</v>
      </c>
      <c r="AN66" s="142">
        <f t="shared" si="31"/>
        <v>0</v>
      </c>
      <c r="AO66" s="142">
        <f t="shared" si="31"/>
        <v>0</v>
      </c>
      <c r="AP66" s="510">
        <f t="shared" si="31"/>
        <v>0</v>
      </c>
      <c r="AQ66" s="129"/>
    </row>
    <row r="67" spans="1:43" x14ac:dyDescent="0.8">
      <c r="A67" s="508" t="s">
        <v>367</v>
      </c>
      <c r="B67" s="7"/>
      <c r="C67" s="7"/>
      <c r="D67" s="7"/>
      <c r="E67" s="7"/>
      <c r="F67" s="7"/>
      <c r="G67" s="7"/>
      <c r="H67" s="141"/>
      <c r="I67" s="491">
        <f>AVERAGE(I66,I62)</f>
        <v>0</v>
      </c>
      <c r="J67" s="142">
        <f>AVERAGE(J66,J62)</f>
        <v>0</v>
      </c>
      <c r="K67" s="142">
        <f t="shared" ref="K67:M67" si="32">AVERAGE(K66,K62)</f>
        <v>0</v>
      </c>
      <c r="L67" s="142">
        <f t="shared" si="32"/>
        <v>0</v>
      </c>
      <c r="M67" s="142">
        <f t="shared" si="32"/>
        <v>0</v>
      </c>
      <c r="N67" s="142">
        <f>AVERAGE(N66,N62)</f>
        <v>0</v>
      </c>
      <c r="O67" s="491">
        <f>AVERAGE(O66,O62)</f>
        <v>0</v>
      </c>
      <c r="P67" s="142">
        <f t="shared" ref="P67:T67" si="33">AVERAGE(P66,P62)</f>
        <v>0</v>
      </c>
      <c r="Q67" s="142">
        <f t="shared" si="33"/>
        <v>0</v>
      </c>
      <c r="R67" s="142">
        <f t="shared" si="33"/>
        <v>0</v>
      </c>
      <c r="S67" s="142">
        <f t="shared" si="33"/>
        <v>0</v>
      </c>
      <c r="T67" s="142">
        <f t="shared" si="33"/>
        <v>0</v>
      </c>
      <c r="U67" s="142">
        <f>AVERAGE(U66,U62)</f>
        <v>2578.125</v>
      </c>
      <c r="V67" s="142">
        <f t="shared" ref="V67:AP67" si="34">AVERAGE(V66,V62)</f>
        <v>2234.375</v>
      </c>
      <c r="W67" s="142">
        <f t="shared" si="34"/>
        <v>1890.625</v>
      </c>
      <c r="X67" s="142">
        <f t="shared" si="34"/>
        <v>1546.875</v>
      </c>
      <c r="Y67" s="142">
        <f t="shared" si="34"/>
        <v>1203.125</v>
      </c>
      <c r="Z67" s="142">
        <f t="shared" si="34"/>
        <v>859.375</v>
      </c>
      <c r="AA67" s="142">
        <f t="shared" si="34"/>
        <v>515.625</v>
      </c>
      <c r="AB67" s="142">
        <f t="shared" si="34"/>
        <v>171.875</v>
      </c>
      <c r="AC67" s="142">
        <f t="shared" si="34"/>
        <v>0</v>
      </c>
      <c r="AD67" s="142">
        <f t="shared" si="34"/>
        <v>0</v>
      </c>
      <c r="AE67" s="142">
        <f t="shared" si="34"/>
        <v>0</v>
      </c>
      <c r="AF67" s="142">
        <f t="shared" si="34"/>
        <v>0</v>
      </c>
      <c r="AG67" s="142">
        <f t="shared" si="34"/>
        <v>0</v>
      </c>
      <c r="AH67" s="142">
        <f t="shared" si="34"/>
        <v>0</v>
      </c>
      <c r="AI67" s="142">
        <f t="shared" si="34"/>
        <v>0</v>
      </c>
      <c r="AJ67" s="142">
        <f t="shared" si="34"/>
        <v>0</v>
      </c>
      <c r="AK67" s="142">
        <f t="shared" si="34"/>
        <v>0</v>
      </c>
      <c r="AL67" s="142">
        <f t="shared" si="34"/>
        <v>0</v>
      </c>
      <c r="AM67" s="142">
        <f t="shared" si="34"/>
        <v>0</v>
      </c>
      <c r="AN67" s="142">
        <f t="shared" si="34"/>
        <v>0</v>
      </c>
      <c r="AO67" s="142">
        <f t="shared" si="34"/>
        <v>0</v>
      </c>
      <c r="AP67" s="510">
        <f t="shared" si="34"/>
        <v>0</v>
      </c>
      <c r="AQ67" s="129"/>
    </row>
    <row r="68" spans="1:43" x14ac:dyDescent="0.8">
      <c r="A68" s="511" t="s">
        <v>349</v>
      </c>
      <c r="B68" s="486"/>
      <c r="C68" s="7"/>
      <c r="D68" s="7"/>
      <c r="E68" s="7"/>
      <c r="F68" s="7"/>
      <c r="G68" s="141"/>
      <c r="H68" s="141"/>
      <c r="I68" s="494">
        <f t="shared" ref="I68:AP68" si="35">I67*$C$57</f>
        <v>0</v>
      </c>
      <c r="J68" s="152">
        <f t="shared" si="35"/>
        <v>0</v>
      </c>
      <c r="K68" s="152">
        <f t="shared" si="35"/>
        <v>0</v>
      </c>
      <c r="L68" s="152">
        <f t="shared" si="35"/>
        <v>0</v>
      </c>
      <c r="M68" s="152">
        <f t="shared" si="35"/>
        <v>0</v>
      </c>
      <c r="N68" s="152">
        <f t="shared" si="35"/>
        <v>0</v>
      </c>
      <c r="O68" s="494">
        <f t="shared" si="35"/>
        <v>0</v>
      </c>
      <c r="P68" s="152">
        <f t="shared" si="35"/>
        <v>0</v>
      </c>
      <c r="Q68" s="152">
        <f t="shared" si="35"/>
        <v>0</v>
      </c>
      <c r="R68" s="152">
        <f t="shared" si="35"/>
        <v>0</v>
      </c>
      <c r="S68" s="152">
        <f t="shared" si="35"/>
        <v>0</v>
      </c>
      <c r="T68" s="152">
        <f t="shared" si="35"/>
        <v>0</v>
      </c>
      <c r="U68" s="152">
        <f t="shared" si="35"/>
        <v>32.2265625</v>
      </c>
      <c r="V68" s="152">
        <f t="shared" si="35"/>
        <v>27.9296875</v>
      </c>
      <c r="W68" s="152">
        <f t="shared" si="35"/>
        <v>23.6328125</v>
      </c>
      <c r="X68" s="152">
        <f t="shared" si="35"/>
        <v>19.3359375</v>
      </c>
      <c r="Y68" s="152">
        <f t="shared" si="35"/>
        <v>15.0390625</v>
      </c>
      <c r="Z68" s="152">
        <f t="shared" si="35"/>
        <v>10.7421875</v>
      </c>
      <c r="AA68" s="152">
        <f t="shared" si="35"/>
        <v>6.4453125</v>
      </c>
      <c r="AB68" s="152">
        <f t="shared" si="35"/>
        <v>2.1484375</v>
      </c>
      <c r="AC68" s="152">
        <f t="shared" si="35"/>
        <v>0</v>
      </c>
      <c r="AD68" s="152">
        <f t="shared" si="35"/>
        <v>0</v>
      </c>
      <c r="AE68" s="152">
        <f t="shared" si="35"/>
        <v>0</v>
      </c>
      <c r="AF68" s="152">
        <f t="shared" si="35"/>
        <v>0</v>
      </c>
      <c r="AG68" s="152">
        <f t="shared" si="35"/>
        <v>0</v>
      </c>
      <c r="AH68" s="152">
        <f t="shared" si="35"/>
        <v>0</v>
      </c>
      <c r="AI68" s="152">
        <f t="shared" si="35"/>
        <v>0</v>
      </c>
      <c r="AJ68" s="152">
        <f t="shared" si="35"/>
        <v>0</v>
      </c>
      <c r="AK68" s="152">
        <f t="shared" si="35"/>
        <v>0</v>
      </c>
      <c r="AL68" s="152">
        <f t="shared" si="35"/>
        <v>0</v>
      </c>
      <c r="AM68" s="152">
        <f t="shared" si="35"/>
        <v>0</v>
      </c>
      <c r="AN68" s="152">
        <f t="shared" si="35"/>
        <v>0</v>
      </c>
      <c r="AO68" s="152">
        <f t="shared" si="35"/>
        <v>0</v>
      </c>
      <c r="AP68" s="512">
        <f t="shared" si="35"/>
        <v>0</v>
      </c>
      <c r="AQ68" s="129"/>
    </row>
    <row r="69" spans="1:43" ht="16.75" thickBot="1" x14ac:dyDescent="0.95">
      <c r="A69" s="523" t="s">
        <v>369</v>
      </c>
      <c r="B69" s="524"/>
      <c r="C69" s="477"/>
      <c r="D69" s="477"/>
      <c r="E69" s="477"/>
      <c r="F69" s="477"/>
      <c r="G69" s="477"/>
      <c r="H69" s="477"/>
      <c r="I69" s="525">
        <f t="shared" ref="I69:AP69" si="36">I48+I63+I65</f>
        <v>154993.5</v>
      </c>
      <c r="J69" s="526">
        <f t="shared" si="36"/>
        <v>51704.846874199982</v>
      </c>
      <c r="K69" s="526">
        <f t="shared" si="36"/>
        <v>56674.088315848494</v>
      </c>
      <c r="L69" s="526">
        <f t="shared" si="36"/>
        <v>55834.960803589012</v>
      </c>
      <c r="M69" s="526">
        <f t="shared" si="36"/>
        <v>57624.789380436967</v>
      </c>
      <c r="N69" s="526">
        <f t="shared" si="36"/>
        <v>54635.689879081227</v>
      </c>
      <c r="O69" s="525">
        <f t="shared" si="36"/>
        <v>57515.863260090802</v>
      </c>
      <c r="P69" s="526">
        <f t="shared" si="36"/>
        <v>51116.631012725622</v>
      </c>
      <c r="Q69" s="526">
        <f t="shared" si="36"/>
        <v>52479.795604133084</v>
      </c>
      <c r="R69" s="526">
        <f t="shared" si="36"/>
        <v>48691.918723176284</v>
      </c>
      <c r="S69" s="526">
        <f t="shared" si="36"/>
        <v>49641.633012606122</v>
      </c>
      <c r="T69" s="526">
        <f t="shared" si="36"/>
        <v>45822.007060123666</v>
      </c>
      <c r="U69" s="526">
        <f t="shared" si="36"/>
        <v>46108.89728040513</v>
      </c>
      <c r="V69" s="526">
        <f t="shared" si="36"/>
        <v>43965.642719951502</v>
      </c>
      <c r="W69" s="526">
        <f t="shared" si="36"/>
        <v>44381.898502214201</v>
      </c>
      <c r="X69" s="526">
        <f t="shared" si="36"/>
        <v>42405.334781531346</v>
      </c>
      <c r="Y69" s="526">
        <f t="shared" si="36"/>
        <v>42469.602763928095</v>
      </c>
      <c r="Z69" s="526">
        <f t="shared" si="36"/>
        <v>40946.781357593696</v>
      </c>
      <c r="AA69" s="526">
        <f t="shared" si="36"/>
        <v>39741.329220886131</v>
      </c>
      <c r="AB69" s="526">
        <f t="shared" si="36"/>
        <v>38304.259932641078</v>
      </c>
      <c r="AC69" s="526">
        <f t="shared" si="36"/>
        <v>37502.376917348025</v>
      </c>
      <c r="AD69" s="526">
        <f t="shared" si="36"/>
        <v>36221.821666270262</v>
      </c>
      <c r="AE69" s="526">
        <f t="shared" si="36"/>
        <v>35146.365604225954</v>
      </c>
      <c r="AF69" s="526">
        <f t="shared" si="36"/>
        <v>33997.639797577125</v>
      </c>
      <c r="AG69" s="526">
        <f t="shared" si="36"/>
        <v>32996.345332441626</v>
      </c>
      <c r="AH69" s="526">
        <f t="shared" si="36"/>
        <v>31960.637229841086</v>
      </c>
      <c r="AI69" s="526">
        <f t="shared" si="36"/>
        <v>31033.534841783512</v>
      </c>
      <c r="AJ69" s="526">
        <f t="shared" si="36"/>
        <v>30145.583038211131</v>
      </c>
      <c r="AK69" s="526">
        <f t="shared" si="36"/>
        <v>29300.013431975869</v>
      </c>
      <c r="AL69" s="526">
        <f t="shared" si="36"/>
        <v>28490.333627026499</v>
      </c>
      <c r="AM69" s="526">
        <f t="shared" si="36"/>
        <v>27718.539409537705</v>
      </c>
      <c r="AN69" s="526">
        <f t="shared" si="36"/>
        <v>26979.790374388904</v>
      </c>
      <c r="AO69" s="526">
        <f t="shared" si="36"/>
        <v>26275.039979830144</v>
      </c>
      <c r="AP69" s="527">
        <f t="shared" si="36"/>
        <v>25600.612068136186</v>
      </c>
      <c r="AQ69" s="129"/>
    </row>
    <row r="70" spans="1:43" ht="16.75" thickBot="1" x14ac:dyDescent="0.95">
      <c r="AQ70" s="129"/>
    </row>
    <row r="71" spans="1:43" x14ac:dyDescent="0.8">
      <c r="A71" s="531" t="s">
        <v>395</v>
      </c>
      <c r="B71" s="532"/>
      <c r="C71" s="21"/>
      <c r="D71" s="21"/>
      <c r="E71" s="21"/>
      <c r="F71" s="21"/>
      <c r="G71" s="21"/>
      <c r="H71" s="21"/>
      <c r="I71" s="287"/>
      <c r="J71" s="21"/>
      <c r="K71" s="21"/>
      <c r="L71" s="21"/>
      <c r="M71" s="21"/>
      <c r="N71" s="21"/>
      <c r="O71" s="287"/>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171"/>
      <c r="AQ71" s="129"/>
    </row>
    <row r="72" spans="1:43" x14ac:dyDescent="0.8">
      <c r="A72" s="219" t="s">
        <v>370</v>
      </c>
      <c r="B72" s="323"/>
      <c r="C72" s="7"/>
      <c r="D72" s="7"/>
      <c r="E72" s="7"/>
      <c r="F72" s="7"/>
      <c r="G72" s="7"/>
      <c r="I72" s="203">
        <v>80000</v>
      </c>
      <c r="J72" s="157">
        <f>I75</f>
        <v>25000</v>
      </c>
      <c r="K72" s="157">
        <f t="shared" ref="K72:AP72" si="37">J75</f>
        <v>22994.542887339267</v>
      </c>
      <c r="L72" s="157">
        <f t="shared" si="37"/>
        <v>25170.308462878369</v>
      </c>
      <c r="M72" s="157">
        <f t="shared" si="37"/>
        <v>24802.899316814364</v>
      </c>
      <c r="N72" s="157">
        <f t="shared" si="37"/>
        <v>25586.569711853575</v>
      </c>
      <c r="O72" s="203">
        <f t="shared" si="37"/>
        <v>24625.069696022911</v>
      </c>
      <c r="P72" s="157">
        <f t="shared" si="37"/>
        <v>25414.364145165266</v>
      </c>
      <c r="Q72" s="157">
        <f t="shared" si="37"/>
        <v>22612.481926884895</v>
      </c>
      <c r="R72" s="157">
        <f t="shared" si="37"/>
        <v>23209.338937478096</v>
      </c>
      <c r="S72" s="157">
        <f t="shared" si="37"/>
        <v>21550.82984333513</v>
      </c>
      <c r="T72" s="157">
        <f t="shared" si="37"/>
        <v>21966.659036141165</v>
      </c>
      <c r="U72" s="157">
        <f t="shared" si="37"/>
        <v>20294.248718301969</v>
      </c>
      <c r="V72" s="157">
        <f t="shared" si="37"/>
        <v>20570.372407994051</v>
      </c>
      <c r="W72" s="157">
        <f t="shared" si="37"/>
        <v>19400.717893299028</v>
      </c>
      <c r="X72" s="157">
        <f t="shared" si="37"/>
        <v>19582.974081150074</v>
      </c>
      <c r="Y72" s="157">
        <f t="shared" si="37"/>
        <v>18717.542334308942</v>
      </c>
      <c r="Z72" s="157">
        <f t="shared" si="37"/>
        <v>18745.681853257702</v>
      </c>
      <c r="AA72" s="157">
        <f t="shared" si="37"/>
        <v>18078.919645684786</v>
      </c>
      <c r="AB72" s="157">
        <f t="shared" si="37"/>
        <v>17551.116500515353</v>
      </c>
      <c r="AC72" s="157">
        <f t="shared" si="37"/>
        <v>16921.900568115256</v>
      </c>
      <c r="AD72" s="157">
        <f t="shared" si="37"/>
        <v>16420.289023144964</v>
      </c>
      <c r="AE72" s="157">
        <f t="shared" si="37"/>
        <v>15859.602233101101</v>
      </c>
      <c r="AF72" s="157">
        <f t="shared" si="37"/>
        <v>15388.717430002343</v>
      </c>
      <c r="AG72" s="157">
        <f t="shared" si="37"/>
        <v>14885.751716786614</v>
      </c>
      <c r="AH72" s="157">
        <f t="shared" si="37"/>
        <v>14447.338318322934</v>
      </c>
      <c r="AI72" s="157">
        <f t="shared" si="37"/>
        <v>13993.857024969311</v>
      </c>
      <c r="AJ72" s="157">
        <f t="shared" si="37"/>
        <v>13587.928376779786</v>
      </c>
      <c r="AK72" s="157">
        <f t="shared" si="37"/>
        <v>13199.141679728153</v>
      </c>
      <c r="AL72" s="157">
        <f t="shared" si="37"/>
        <v>12828.9118845829</v>
      </c>
      <c r="AM72" s="157">
        <f t="shared" si="37"/>
        <v>12474.396317669001</v>
      </c>
      <c r="AN72" s="157">
        <f t="shared" si="37"/>
        <v>12136.468827219844</v>
      </c>
      <c r="AO72" s="157">
        <f t="shared" si="37"/>
        <v>11813.010058207754</v>
      </c>
      <c r="AP72" s="315">
        <f t="shared" si="37"/>
        <v>11504.437479106051</v>
      </c>
      <c r="AQ72" s="129"/>
    </row>
    <row r="73" spans="1:43" x14ac:dyDescent="0.8">
      <c r="A73" s="288" t="s">
        <v>371</v>
      </c>
      <c r="B73" s="488"/>
      <c r="C73" s="7"/>
      <c r="D73" s="7"/>
      <c r="E73" s="7"/>
      <c r="F73" s="7"/>
      <c r="G73" s="7"/>
      <c r="I73" s="203">
        <v>25000</v>
      </c>
      <c r="J73" s="157">
        <f>-J74*(1+'Forecast Drivers '!H63)</f>
        <v>22994.542887339263</v>
      </c>
      <c r="K73" s="157">
        <f>-K74*(1+'Forecast Drivers '!I63)</f>
        <v>25170.308462878369</v>
      </c>
      <c r="L73" s="157">
        <f>-L74*(1+'Forecast Drivers '!J63)</f>
        <v>24802.899316814368</v>
      </c>
      <c r="M73" s="157">
        <f>-M74*(1+'Forecast Drivers '!K63)</f>
        <v>25586.569711853572</v>
      </c>
      <c r="N73" s="157">
        <f>-N74*(1+'Forecast Drivers '!L63)</f>
        <v>24625.069696022907</v>
      </c>
      <c r="O73" s="157">
        <f>-O74*(1+'Forecast Drivers '!M63)</f>
        <v>25414.364145165269</v>
      </c>
      <c r="P73" s="157">
        <f>-P74*(1+'Forecast Drivers '!N63)</f>
        <v>22612.481926884899</v>
      </c>
      <c r="Q73" s="157">
        <f>-Q74*(1+'Forecast Drivers '!O63)</f>
        <v>23209.338937478096</v>
      </c>
      <c r="R73" s="157">
        <f>-R74*(1+'Forecast Drivers '!P63)</f>
        <v>21550.829843335126</v>
      </c>
      <c r="S73" s="157">
        <f>-S74*(1+'Forecast Drivers '!Q63)</f>
        <v>21966.659036141165</v>
      </c>
      <c r="T73" s="157">
        <f>-T74*(1+'Forecast Drivers '!R63)</f>
        <v>20294.248718301973</v>
      </c>
      <c r="U73" s="157">
        <f>-U74*(1+'Forecast Drivers '!S63)</f>
        <v>20570.372407994051</v>
      </c>
      <c r="V73" s="157">
        <f>-V74*(1+'Forecast Drivers '!T63)</f>
        <v>19400.717893299032</v>
      </c>
      <c r="W73" s="157">
        <f>-W74*(1+'Forecast Drivers '!U63)</f>
        <v>19582.974081150071</v>
      </c>
      <c r="X73" s="157">
        <f>-X74*(1+'Forecast Drivers '!V63)</f>
        <v>18717.542334308939</v>
      </c>
      <c r="Y73" s="157">
        <f>-Y74*(1+'Forecast Drivers '!W63)</f>
        <v>18745.681853257702</v>
      </c>
      <c r="Z73" s="157">
        <f>-Z74*(1+'Forecast Drivers '!X63)</f>
        <v>18078.919645684782</v>
      </c>
      <c r="AA73" s="157">
        <f>-AA74*(1+'Forecast Drivers '!Y63)</f>
        <v>17551.116500515353</v>
      </c>
      <c r="AB73" s="157">
        <f>-AB74*(1+'Forecast Drivers '!Z63)</f>
        <v>16921.900568115252</v>
      </c>
      <c r="AC73" s="157">
        <f>-AC74*(1+'Forecast Drivers '!AA63)</f>
        <v>16420.289023144967</v>
      </c>
      <c r="AD73" s="157">
        <f>-AD74*(1+'Forecast Drivers '!AB63)</f>
        <v>15859.602233101101</v>
      </c>
      <c r="AE73" s="157">
        <f>-AE74*(1+'Forecast Drivers '!AC63)</f>
        <v>15388.717430002342</v>
      </c>
      <c r="AF73" s="157">
        <f>-AF74*(1+'Forecast Drivers '!AD63)</f>
        <v>14885.751716786612</v>
      </c>
      <c r="AG73" s="157">
        <f>-AG74*(1+'Forecast Drivers '!AE63)</f>
        <v>14447.338318322936</v>
      </c>
      <c r="AH73" s="157">
        <f>-AH74*(1+'Forecast Drivers '!AF63)</f>
        <v>13993.857024969313</v>
      </c>
      <c r="AI73" s="157">
        <f>-AI74*(1+'Forecast Drivers '!AG63)</f>
        <v>13587.928376779784</v>
      </c>
      <c r="AJ73" s="157">
        <f>-AJ74*(1+'Forecast Drivers '!AH63)</f>
        <v>13199.141679728151</v>
      </c>
      <c r="AK73" s="157">
        <f>-AK74*(1+'Forecast Drivers '!AI63)</f>
        <v>12828.9118845829</v>
      </c>
      <c r="AL73" s="157">
        <f>-AL74*(1+'Forecast Drivers '!AJ63)</f>
        <v>12474.396317669003</v>
      </c>
      <c r="AM73" s="157">
        <f>-AM74*(1+'Forecast Drivers '!AK63)</f>
        <v>12136.468827219844</v>
      </c>
      <c r="AN73" s="157">
        <f>-AN74*(1+'Forecast Drivers '!AL63)</f>
        <v>11813.010058207756</v>
      </c>
      <c r="AO73" s="157">
        <f>-AO74*(1+'Forecast Drivers '!AM63)</f>
        <v>11504.437479106053</v>
      </c>
      <c r="AP73" s="157">
        <f>-AP74*(1+'Forecast Drivers '!AN63)</f>
        <v>11209.141496675453</v>
      </c>
      <c r="AQ73" s="129"/>
    </row>
    <row r="74" spans="1:43" x14ac:dyDescent="0.8">
      <c r="A74" s="288" t="s">
        <v>372</v>
      </c>
      <c r="B74" s="488"/>
      <c r="C74" s="7"/>
      <c r="D74" s="7"/>
      <c r="E74" s="7"/>
      <c r="F74" s="7"/>
      <c r="G74" s="7"/>
      <c r="I74" s="203">
        <f>IF(I69&lt;0,ABS(I69),-MIN(I69,I72))</f>
        <v>-80000</v>
      </c>
      <c r="J74" s="157">
        <f>IF(J69&lt;0,ABS(J69),-MIN(J69,J72))</f>
        <v>-25000</v>
      </c>
      <c r="K74" s="157">
        <f t="shared" ref="K74:AO74" si="38">IF(K69&lt;0,ABS(K69),-MIN(K69,K72))</f>
        <v>-22994.542887339267</v>
      </c>
      <c r="L74" s="157">
        <f t="shared" si="38"/>
        <v>-25170.308462878369</v>
      </c>
      <c r="M74" s="157">
        <f t="shared" si="38"/>
        <v>-24802.899316814364</v>
      </c>
      <c r="N74" s="157">
        <f t="shared" si="38"/>
        <v>-25586.569711853575</v>
      </c>
      <c r="O74" s="157">
        <f t="shared" si="38"/>
        <v>-24625.069696022911</v>
      </c>
      <c r="P74" s="157">
        <f t="shared" si="38"/>
        <v>-25414.364145165266</v>
      </c>
      <c r="Q74" s="157">
        <f t="shared" si="38"/>
        <v>-22612.481926884895</v>
      </c>
      <c r="R74" s="157">
        <f t="shared" si="38"/>
        <v>-23209.338937478096</v>
      </c>
      <c r="S74" s="157">
        <f t="shared" si="38"/>
        <v>-21550.82984333513</v>
      </c>
      <c r="T74" s="157">
        <f t="shared" si="38"/>
        <v>-21966.659036141165</v>
      </c>
      <c r="U74" s="157">
        <f t="shared" si="38"/>
        <v>-20294.248718301969</v>
      </c>
      <c r="V74" s="157">
        <f t="shared" si="38"/>
        <v>-20570.372407994051</v>
      </c>
      <c r="W74" s="157">
        <f t="shared" si="38"/>
        <v>-19400.717893299028</v>
      </c>
      <c r="X74" s="157">
        <f t="shared" si="38"/>
        <v>-19582.974081150074</v>
      </c>
      <c r="Y74" s="157">
        <f t="shared" si="38"/>
        <v>-18717.542334308942</v>
      </c>
      <c r="Z74" s="157">
        <f t="shared" si="38"/>
        <v>-18745.681853257702</v>
      </c>
      <c r="AA74" s="157">
        <f t="shared" si="38"/>
        <v>-18078.919645684786</v>
      </c>
      <c r="AB74" s="157">
        <f t="shared" si="38"/>
        <v>-17551.116500515353</v>
      </c>
      <c r="AC74" s="157">
        <f t="shared" si="38"/>
        <v>-16921.900568115256</v>
      </c>
      <c r="AD74" s="157">
        <f t="shared" si="38"/>
        <v>-16420.289023144964</v>
      </c>
      <c r="AE74" s="157">
        <f t="shared" si="38"/>
        <v>-15859.602233101101</v>
      </c>
      <c r="AF74" s="157">
        <f t="shared" si="38"/>
        <v>-15388.717430002343</v>
      </c>
      <c r="AG74" s="157">
        <f t="shared" si="38"/>
        <v>-14885.751716786614</v>
      </c>
      <c r="AH74" s="157">
        <f t="shared" si="38"/>
        <v>-14447.338318322934</v>
      </c>
      <c r="AI74" s="157">
        <f t="shared" si="38"/>
        <v>-13993.857024969311</v>
      </c>
      <c r="AJ74" s="157">
        <f t="shared" si="38"/>
        <v>-13587.928376779786</v>
      </c>
      <c r="AK74" s="157">
        <f t="shared" si="38"/>
        <v>-13199.141679728153</v>
      </c>
      <c r="AL74" s="157">
        <f t="shared" si="38"/>
        <v>-12828.9118845829</v>
      </c>
      <c r="AM74" s="157">
        <f t="shared" si="38"/>
        <v>-12474.396317669001</v>
      </c>
      <c r="AN74" s="157">
        <f t="shared" si="38"/>
        <v>-12136.468827219844</v>
      </c>
      <c r="AO74" s="157">
        <f t="shared" si="38"/>
        <v>-11813.010058207754</v>
      </c>
      <c r="AP74" s="315">
        <f t="shared" ref="AP74" si="39">IF(AP69&lt;0,ABS(AP69),-MIN(AP69,AP72))</f>
        <v>-11504.437479106051</v>
      </c>
      <c r="AQ74" s="129"/>
    </row>
    <row r="75" spans="1:43" x14ac:dyDescent="0.8">
      <c r="A75" s="219" t="s">
        <v>366</v>
      </c>
      <c r="B75" s="323"/>
      <c r="C75" s="7"/>
      <c r="D75" s="7"/>
      <c r="E75" s="7"/>
      <c r="F75" s="7"/>
      <c r="G75" s="7"/>
      <c r="I75" s="528">
        <f>SUM(I72:I74)</f>
        <v>25000</v>
      </c>
      <c r="J75" s="158">
        <f>SUM(J72:J74)</f>
        <v>22994.542887339267</v>
      </c>
      <c r="K75" s="158">
        <f t="shared" ref="K75:AP75" si="40">SUM(K72:K74)</f>
        <v>25170.308462878369</v>
      </c>
      <c r="L75" s="158">
        <f t="shared" si="40"/>
        <v>24802.899316814364</v>
      </c>
      <c r="M75" s="158">
        <f t="shared" si="40"/>
        <v>25586.569711853575</v>
      </c>
      <c r="N75" s="158">
        <f t="shared" si="40"/>
        <v>24625.069696022911</v>
      </c>
      <c r="O75" s="528">
        <f t="shared" si="40"/>
        <v>25414.364145165266</v>
      </c>
      <c r="P75" s="158">
        <f t="shared" si="40"/>
        <v>22612.481926884895</v>
      </c>
      <c r="Q75" s="158">
        <f t="shared" si="40"/>
        <v>23209.338937478096</v>
      </c>
      <c r="R75" s="158">
        <f t="shared" si="40"/>
        <v>21550.82984333513</v>
      </c>
      <c r="S75" s="158">
        <f t="shared" si="40"/>
        <v>21966.659036141165</v>
      </c>
      <c r="T75" s="158">
        <f t="shared" si="40"/>
        <v>20294.248718301969</v>
      </c>
      <c r="U75" s="158">
        <f t="shared" si="40"/>
        <v>20570.372407994051</v>
      </c>
      <c r="V75" s="158">
        <f t="shared" si="40"/>
        <v>19400.717893299028</v>
      </c>
      <c r="W75" s="158">
        <f t="shared" si="40"/>
        <v>19582.974081150074</v>
      </c>
      <c r="X75" s="158">
        <f t="shared" si="40"/>
        <v>18717.542334308942</v>
      </c>
      <c r="Y75" s="158">
        <f t="shared" si="40"/>
        <v>18745.681853257702</v>
      </c>
      <c r="Z75" s="158">
        <f t="shared" si="40"/>
        <v>18078.919645684786</v>
      </c>
      <c r="AA75" s="158">
        <f t="shared" si="40"/>
        <v>17551.116500515353</v>
      </c>
      <c r="AB75" s="158">
        <f t="shared" si="40"/>
        <v>16921.900568115256</v>
      </c>
      <c r="AC75" s="158">
        <f t="shared" si="40"/>
        <v>16420.289023144964</v>
      </c>
      <c r="AD75" s="158">
        <f t="shared" si="40"/>
        <v>15859.602233101101</v>
      </c>
      <c r="AE75" s="158">
        <f t="shared" si="40"/>
        <v>15388.717430002343</v>
      </c>
      <c r="AF75" s="158">
        <f t="shared" si="40"/>
        <v>14885.751716786614</v>
      </c>
      <c r="AG75" s="158">
        <f t="shared" si="40"/>
        <v>14447.338318322934</v>
      </c>
      <c r="AH75" s="158">
        <f t="shared" si="40"/>
        <v>13993.857024969311</v>
      </c>
      <c r="AI75" s="158">
        <f t="shared" si="40"/>
        <v>13587.928376779786</v>
      </c>
      <c r="AJ75" s="158">
        <f t="shared" si="40"/>
        <v>13199.141679728153</v>
      </c>
      <c r="AK75" s="158">
        <f t="shared" si="40"/>
        <v>12828.9118845829</v>
      </c>
      <c r="AL75" s="158">
        <f t="shared" si="40"/>
        <v>12474.396317669001</v>
      </c>
      <c r="AM75" s="158">
        <f t="shared" si="40"/>
        <v>12136.468827219844</v>
      </c>
      <c r="AN75" s="158">
        <f t="shared" si="40"/>
        <v>11813.010058207754</v>
      </c>
      <c r="AO75" s="158">
        <f t="shared" si="40"/>
        <v>11504.437479106051</v>
      </c>
      <c r="AP75" s="533">
        <f t="shared" si="40"/>
        <v>11209.141496675453</v>
      </c>
      <c r="AQ75" s="129"/>
    </row>
    <row r="76" spans="1:43" x14ac:dyDescent="0.8">
      <c r="A76" s="219" t="s">
        <v>367</v>
      </c>
      <c r="B76" s="323"/>
      <c r="C76" s="7"/>
      <c r="D76" s="7"/>
      <c r="E76" s="7"/>
      <c r="F76" s="7"/>
      <c r="G76" s="7"/>
      <c r="I76" s="528">
        <f>AVERAGE(I75,I72)</f>
        <v>52500</v>
      </c>
      <c r="J76" s="158">
        <f>AVERAGE(J75,J72)</f>
        <v>23997.271443669633</v>
      </c>
      <c r="K76" s="158">
        <f t="shared" ref="K76:AP76" si="41">AVERAGE(K75,K72)</f>
        <v>24082.425675108818</v>
      </c>
      <c r="L76" s="158">
        <f t="shared" si="41"/>
        <v>24986.603889846367</v>
      </c>
      <c r="M76" s="158">
        <f t="shared" si="41"/>
        <v>25194.73451433397</v>
      </c>
      <c r="N76" s="158">
        <f t="shared" si="41"/>
        <v>25105.819703938243</v>
      </c>
      <c r="O76" s="528">
        <f t="shared" si="41"/>
        <v>25019.716920594088</v>
      </c>
      <c r="P76" s="158">
        <f t="shared" si="41"/>
        <v>24013.42303602508</v>
      </c>
      <c r="Q76" s="158">
        <f t="shared" si="41"/>
        <v>22910.910432181496</v>
      </c>
      <c r="R76" s="158">
        <f t="shared" si="41"/>
        <v>22380.084390406613</v>
      </c>
      <c r="S76" s="158">
        <f t="shared" si="41"/>
        <v>21758.744439738148</v>
      </c>
      <c r="T76" s="158">
        <f t="shared" si="41"/>
        <v>21130.453877221567</v>
      </c>
      <c r="U76" s="158">
        <f t="shared" si="41"/>
        <v>20432.31056314801</v>
      </c>
      <c r="V76" s="158">
        <f t="shared" si="41"/>
        <v>19985.54515064654</v>
      </c>
      <c r="W76" s="158">
        <f t="shared" si="41"/>
        <v>19491.845987224551</v>
      </c>
      <c r="X76" s="158">
        <f t="shared" si="41"/>
        <v>19150.258207729508</v>
      </c>
      <c r="Y76" s="158">
        <f t="shared" si="41"/>
        <v>18731.612093783322</v>
      </c>
      <c r="Z76" s="158">
        <f t="shared" si="41"/>
        <v>18412.300749471244</v>
      </c>
      <c r="AA76" s="158">
        <f t="shared" si="41"/>
        <v>17815.018073100069</v>
      </c>
      <c r="AB76" s="158">
        <f t="shared" si="41"/>
        <v>17236.508534315304</v>
      </c>
      <c r="AC76" s="158">
        <f t="shared" si="41"/>
        <v>16671.09479563011</v>
      </c>
      <c r="AD76" s="158">
        <f t="shared" si="41"/>
        <v>16139.945628123032</v>
      </c>
      <c r="AE76" s="158">
        <f t="shared" si="41"/>
        <v>15624.159831551722</v>
      </c>
      <c r="AF76" s="158">
        <f t="shared" si="41"/>
        <v>15137.234573394479</v>
      </c>
      <c r="AG76" s="158">
        <f t="shared" si="41"/>
        <v>14666.545017554774</v>
      </c>
      <c r="AH76" s="158">
        <f t="shared" si="41"/>
        <v>14220.597671646123</v>
      </c>
      <c r="AI76" s="158">
        <f t="shared" si="41"/>
        <v>13790.892700874549</v>
      </c>
      <c r="AJ76" s="158">
        <f t="shared" si="41"/>
        <v>13393.535028253969</v>
      </c>
      <c r="AK76" s="158">
        <f t="shared" si="41"/>
        <v>13014.026782155526</v>
      </c>
      <c r="AL76" s="158">
        <f t="shared" si="41"/>
        <v>12651.654101125951</v>
      </c>
      <c r="AM76" s="158">
        <f t="shared" si="41"/>
        <v>12305.432572444422</v>
      </c>
      <c r="AN76" s="158">
        <f t="shared" si="41"/>
        <v>11974.739442713799</v>
      </c>
      <c r="AO76" s="158">
        <f t="shared" si="41"/>
        <v>11658.723768656902</v>
      </c>
      <c r="AP76" s="533">
        <f t="shared" si="41"/>
        <v>11356.789487890752</v>
      </c>
      <c r="AQ76" s="129"/>
    </row>
    <row r="77" spans="1:43" ht="16.75" thickBot="1" x14ac:dyDescent="0.95">
      <c r="A77" s="219" t="s">
        <v>373</v>
      </c>
      <c r="B77" s="323"/>
      <c r="C77" s="7"/>
      <c r="D77" s="7"/>
      <c r="E77" s="7"/>
      <c r="F77" s="7"/>
      <c r="G77" s="7"/>
      <c r="I77" s="56">
        <f>'Forecast Drivers '!H44</f>
        <v>2.8115267138483998E-2</v>
      </c>
      <c r="J77" s="25">
        <f>'Forecast Drivers '!I44</f>
        <v>3.2091766183644822E-2</v>
      </c>
      <c r="K77" s="25">
        <f>'Forecast Drivers '!J44</f>
        <v>3.6249999999999977E-2</v>
      </c>
      <c r="L77" s="25">
        <f>'Forecast Drivers '!K44</f>
        <v>4.0408233816355173E-2</v>
      </c>
      <c r="M77" s="25">
        <f>'Forecast Drivers '!L44</f>
        <v>4.4384732861515994E-2</v>
      </c>
      <c r="N77" s="25">
        <f>'Forecast Drivers '!M44</f>
        <v>4.8005705045849459E-2</v>
      </c>
      <c r="O77" s="56">
        <f>'Forecast Drivers '!N44</f>
        <v>4.2362896509547887E-2</v>
      </c>
      <c r="P77" s="25">
        <f>'Forecast Drivers '!O44</f>
        <v>4.482050807568877E-2</v>
      </c>
      <c r="Q77" s="25">
        <f>'Forecast Drivers '!P44</f>
        <v>4.6521130325903076E-2</v>
      </c>
      <c r="R77" s="25">
        <f>'Forecast Drivers '!Q44</f>
        <v>4.7390437907365468E-2</v>
      </c>
      <c r="S77" s="25">
        <f>'Forecast Drivers '!R44</f>
        <v>4.7390437907365468E-2</v>
      </c>
      <c r="T77" s="25">
        <f>'Forecast Drivers '!S44</f>
        <v>4.6521130325903076E-2</v>
      </c>
      <c r="U77" s="25">
        <f>'Forecast Drivers '!T44</f>
        <v>4.4820508075688784E-2</v>
      </c>
      <c r="V77" s="25">
        <f>'Forecast Drivers '!U44</f>
        <v>4.2362896509547908E-2</v>
      </c>
      <c r="W77" s="25">
        <f>'Forecast Drivers '!V44</f>
        <v>3.9255705045849465E-2</v>
      </c>
      <c r="X77" s="25">
        <f>'Forecast Drivers '!W44</f>
        <v>3.5634732861516021E-2</v>
      </c>
      <c r="Y77" s="25">
        <f>'Forecast Drivers '!X44</f>
        <v>3.165823381635522E-2</v>
      </c>
      <c r="Z77" s="25">
        <f>'Forecast Drivers '!Y44</f>
        <v>2.7500000000000011E-2</v>
      </c>
      <c r="AA77" s="25">
        <f>'Forecast Drivers '!Z44</f>
        <v>2.3341766183644832E-2</v>
      </c>
      <c r="AB77" s="25">
        <f>'Forecast Drivers '!AA44</f>
        <v>1.9365267138483994E-2</v>
      </c>
      <c r="AC77" s="25">
        <f>'Forecast Drivers '!AB44</f>
        <v>1.5744294954150542E-2</v>
      </c>
      <c r="AD77" s="25">
        <f>'Forecast Drivers '!AC44</f>
        <v>1.2637103490452127E-2</v>
      </c>
      <c r="AE77" s="25">
        <f>'Forecast Drivers '!AD44</f>
        <v>1.0179491924311231E-2</v>
      </c>
      <c r="AF77" s="25">
        <f>'Forecast Drivers '!AE44</f>
        <v>8.478869674096931E-3</v>
      </c>
      <c r="AG77" s="25">
        <f>'Forecast Drivers '!AF44</f>
        <v>7.6095620926345314E-3</v>
      </c>
      <c r="AH77" s="25">
        <f>'Forecast Drivers '!AG44</f>
        <v>7.609562092634534E-3</v>
      </c>
      <c r="AI77" s="25">
        <f>'Forecast Drivers '!AH44</f>
        <v>8.4788696740969241E-3</v>
      </c>
      <c r="AJ77" s="25">
        <f>'Forecast Drivers '!AI44</f>
        <v>1.0179491924311234E-2</v>
      </c>
      <c r="AK77" s="25">
        <f>'Forecast Drivers '!AJ44</f>
        <v>1.2637103490452117E-2</v>
      </c>
      <c r="AL77" s="25">
        <f>'Forecast Drivers '!AK44</f>
        <v>1.2637103490452117E-2</v>
      </c>
      <c r="AM77" s="25">
        <f>'Forecast Drivers '!AL44</f>
        <v>1.2637103490452117E-2</v>
      </c>
      <c r="AN77" s="25">
        <f>'Forecast Drivers '!AM44</f>
        <v>1.2637103490452117E-2</v>
      </c>
      <c r="AO77" s="25">
        <f>'Forecast Drivers '!AN44</f>
        <v>1.2637103490452117E-2</v>
      </c>
      <c r="AP77" s="57">
        <f>'Forecast Drivers '!AO44</f>
        <v>1.2637103490452117E-2</v>
      </c>
      <c r="AQ77" s="129"/>
    </row>
    <row r="78" spans="1:43" x14ac:dyDescent="0.8">
      <c r="A78" s="534" t="s">
        <v>48</v>
      </c>
      <c r="B78" s="489"/>
      <c r="C78" s="1149" t="s">
        <v>374</v>
      </c>
      <c r="D78" s="1150">
        <f>'Forecast Drivers '!H45</f>
        <v>4.3750000000000004E-3</v>
      </c>
      <c r="E78" s="160"/>
      <c r="F78" s="160"/>
      <c r="G78" s="160"/>
      <c r="H78" s="160"/>
      <c r="I78" s="529">
        <f>I76*I77+I79*$D$78</f>
        <v>1793.23902477041</v>
      </c>
      <c r="J78" s="161">
        <f>J76*J77+J79*$D$78</f>
        <v>770.1148242157027</v>
      </c>
      <c r="K78" s="161">
        <f t="shared" ref="K78:AP78" si="42">K76*K77+K79*$D$78</f>
        <v>872.98793072269405</v>
      </c>
      <c r="L78" s="161">
        <f t="shared" si="42"/>
        <v>1009.6645322575616</v>
      </c>
      <c r="M78" s="161">
        <f t="shared" si="42"/>
        <v>1118.26156093553</v>
      </c>
      <c r="N78" s="161">
        <f t="shared" si="42"/>
        <v>1205.2225756415348</v>
      </c>
      <c r="O78" s="529">
        <f t="shared" si="42"/>
        <v>1059.9076786053115</v>
      </c>
      <c r="P78" s="161">
        <f t="shared" si="42"/>
        <v>1076.2938211110929</v>
      </c>
      <c r="Q78" s="161">
        <f t="shared" si="42"/>
        <v>1065.8414501006077</v>
      </c>
      <c r="R78" s="161">
        <f t="shared" si="42"/>
        <v>1060.6019996651637</v>
      </c>
      <c r="S78" s="161">
        <f t="shared" si="42"/>
        <v>1031.1564273136444</v>
      </c>
      <c r="T78" s="161">
        <f t="shared" si="42"/>
        <v>983.01259866770852</v>
      </c>
      <c r="U78" s="161">
        <f t="shared" si="42"/>
        <v>915.78654060055658</v>
      </c>
      <c r="V78" s="161">
        <f t="shared" si="42"/>
        <v>846.64558090373646</v>
      </c>
      <c r="W78" s="161">
        <f t="shared" si="42"/>
        <v>765.1661568736115</v>
      </c>
      <c r="X78" s="161">
        <f t="shared" si="42"/>
        <v>682.41433546149563</v>
      </c>
      <c r="Y78" s="161">
        <f t="shared" si="42"/>
        <v>593.00975542225956</v>
      </c>
      <c r="Z78" s="161">
        <f t="shared" si="42"/>
        <v>506.3382706104594</v>
      </c>
      <c r="AA78" s="161">
        <f t="shared" si="42"/>
        <v>415.83398641970871</v>
      </c>
      <c r="AB78" s="161">
        <f t="shared" si="42"/>
        <v>333.78959230177509</v>
      </c>
      <c r="AC78" s="161">
        <f t="shared" si="42"/>
        <v>262.47463367100448</v>
      </c>
      <c r="AD78" s="161">
        <f t="shared" si="42"/>
        <v>203.96216323286112</v>
      </c>
      <c r="AE78" s="161">
        <f t="shared" si="42"/>
        <v>159.04600882942867</v>
      </c>
      <c r="AF78" s="161">
        <f t="shared" si="42"/>
        <v>128.34663917404603</v>
      </c>
      <c r="AG78" s="161">
        <f t="shared" si="42"/>
        <v>111.60598499550267</v>
      </c>
      <c r="AH78" s="161">
        <f t="shared" si="42"/>
        <v>108.21252097676525</v>
      </c>
      <c r="AI78" s="161">
        <f t="shared" si="42"/>
        <v>116.93118190016983</v>
      </c>
      <c r="AJ78" s="161">
        <f t="shared" si="42"/>
        <v>136.33938165809093</v>
      </c>
      <c r="AK78" s="161">
        <f t="shared" si="42"/>
        <v>164.45960327361493</v>
      </c>
      <c r="AL78" s="161">
        <f t="shared" si="42"/>
        <v>159.88026220133159</v>
      </c>
      <c r="AM78" s="161">
        <f t="shared" si="42"/>
        <v>155.50502491276058</v>
      </c>
      <c r="AN78" s="161">
        <f t="shared" si="42"/>
        <v>151.32602160877317</v>
      </c>
      <c r="AO78" s="161">
        <f t="shared" si="42"/>
        <v>147.3324988311112</v>
      </c>
      <c r="AP78" s="535">
        <f t="shared" si="42"/>
        <v>143.51692407775414</v>
      </c>
      <c r="AQ78" s="128"/>
    </row>
    <row r="79" spans="1:43" x14ac:dyDescent="0.8">
      <c r="A79" s="219" t="s">
        <v>375</v>
      </c>
      <c r="B79" s="323"/>
      <c r="C79" s="22" t="s">
        <v>396</v>
      </c>
      <c r="D79" s="315">
        <f>'Forecast Drivers '!H41</f>
        <v>125000</v>
      </c>
      <c r="E79" s="7"/>
      <c r="F79" s="7"/>
      <c r="G79" s="7"/>
      <c r="I79" s="528">
        <f>$D$79-I76</f>
        <v>72500</v>
      </c>
      <c r="J79" s="158">
        <v>0</v>
      </c>
      <c r="K79" s="158">
        <v>0</v>
      </c>
      <c r="L79" s="158">
        <v>0</v>
      </c>
      <c r="M79" s="158">
        <v>0</v>
      </c>
      <c r="N79" s="158">
        <v>0</v>
      </c>
      <c r="O79" s="528">
        <v>0</v>
      </c>
      <c r="P79" s="158">
        <v>0</v>
      </c>
      <c r="Q79" s="158">
        <v>0</v>
      </c>
      <c r="R79" s="158">
        <v>0</v>
      </c>
      <c r="S79" s="158">
        <v>0</v>
      </c>
      <c r="T79" s="158">
        <v>0</v>
      </c>
      <c r="U79" s="158">
        <v>0</v>
      </c>
      <c r="V79" s="158">
        <v>0</v>
      </c>
      <c r="W79" s="158">
        <v>0</v>
      </c>
      <c r="X79" s="158">
        <v>0</v>
      </c>
      <c r="Y79" s="158">
        <v>0</v>
      </c>
      <c r="Z79" s="158">
        <v>0</v>
      </c>
      <c r="AA79" s="158">
        <v>0</v>
      </c>
      <c r="AB79" s="158">
        <v>0</v>
      </c>
      <c r="AC79" s="158">
        <v>0</v>
      </c>
      <c r="AD79" s="158">
        <v>0</v>
      </c>
      <c r="AE79" s="158">
        <v>0</v>
      </c>
      <c r="AF79" s="158">
        <v>0</v>
      </c>
      <c r="AG79" s="158">
        <v>0</v>
      </c>
      <c r="AH79" s="158">
        <v>0</v>
      </c>
      <c r="AI79" s="158">
        <v>0</v>
      </c>
      <c r="AJ79" s="158">
        <v>0</v>
      </c>
      <c r="AK79" s="158">
        <v>0</v>
      </c>
      <c r="AL79" s="158">
        <v>0</v>
      </c>
      <c r="AM79" s="158">
        <v>0</v>
      </c>
      <c r="AN79" s="158">
        <v>0</v>
      </c>
      <c r="AO79" s="158">
        <v>0</v>
      </c>
      <c r="AP79" s="533">
        <v>0</v>
      </c>
      <c r="AQ79" s="129"/>
    </row>
    <row r="80" spans="1:43" x14ac:dyDescent="0.8">
      <c r="A80" s="536" t="s">
        <v>369</v>
      </c>
      <c r="B80" s="333"/>
      <c r="C80" s="265" t="s">
        <v>397</v>
      </c>
      <c r="D80" s="957">
        <f>'Forecast Drivers '!N41</f>
        <v>50000</v>
      </c>
      <c r="E80" s="166"/>
      <c r="F80" s="166"/>
      <c r="G80" s="168"/>
      <c r="H80" s="166"/>
      <c r="I80" s="530">
        <f>SUM(I69,I73:I74)</f>
        <v>99993.5</v>
      </c>
      <c r="J80" s="169">
        <f t="shared" ref="J80:AP80" si="43">SUM(J69,J73:J74)</f>
        <v>49699.389761539249</v>
      </c>
      <c r="K80" s="169">
        <f>SUM(K69,K73:K74)</f>
        <v>58849.853891387596</v>
      </c>
      <c r="L80" s="169">
        <f t="shared" si="43"/>
        <v>55467.551657525008</v>
      </c>
      <c r="M80" s="169">
        <f t="shared" si="43"/>
        <v>58408.459775476178</v>
      </c>
      <c r="N80" s="169">
        <f t="shared" si="43"/>
        <v>53674.189863250562</v>
      </c>
      <c r="O80" s="530">
        <f t="shared" si="43"/>
        <v>58305.157709233157</v>
      </c>
      <c r="P80" s="169">
        <f t="shared" si="43"/>
        <v>48314.748794445259</v>
      </c>
      <c r="Q80" s="169">
        <f t="shared" si="43"/>
        <v>53076.652614726292</v>
      </c>
      <c r="R80" s="169">
        <f t="shared" si="43"/>
        <v>47033.409629033311</v>
      </c>
      <c r="S80" s="169">
        <f t="shared" si="43"/>
        <v>50057.462205412157</v>
      </c>
      <c r="T80" s="169">
        <f t="shared" si="43"/>
        <v>44149.59674228447</v>
      </c>
      <c r="U80" s="169">
        <f t="shared" si="43"/>
        <v>46385.020970097219</v>
      </c>
      <c r="V80" s="169">
        <f t="shared" si="43"/>
        <v>42795.988205256486</v>
      </c>
      <c r="W80" s="169">
        <f t="shared" si="43"/>
        <v>44564.154690065239</v>
      </c>
      <c r="X80" s="169">
        <f t="shared" si="43"/>
        <v>41539.903034690207</v>
      </c>
      <c r="Y80" s="169">
        <f t="shared" si="43"/>
        <v>42497.742282876854</v>
      </c>
      <c r="Z80" s="169">
        <f t="shared" si="43"/>
        <v>40280.019150020773</v>
      </c>
      <c r="AA80" s="169">
        <f t="shared" si="43"/>
        <v>39213.526075716698</v>
      </c>
      <c r="AB80" s="169">
        <f t="shared" si="43"/>
        <v>37675.044000240981</v>
      </c>
      <c r="AC80" s="169">
        <f t="shared" si="43"/>
        <v>37000.76537237774</v>
      </c>
      <c r="AD80" s="169">
        <f t="shared" si="43"/>
        <v>35661.134876226402</v>
      </c>
      <c r="AE80" s="169">
        <f t="shared" si="43"/>
        <v>34675.480801127196</v>
      </c>
      <c r="AF80" s="169">
        <f t="shared" si="43"/>
        <v>33494.674084361395</v>
      </c>
      <c r="AG80" s="169">
        <f t="shared" si="43"/>
        <v>32557.93193397795</v>
      </c>
      <c r="AH80" s="169">
        <f t="shared" si="43"/>
        <v>31507.155936487467</v>
      </c>
      <c r="AI80" s="169">
        <f t="shared" si="43"/>
        <v>30627.606193593983</v>
      </c>
      <c r="AJ80" s="169">
        <f t="shared" si="43"/>
        <v>29756.796341159494</v>
      </c>
      <c r="AK80" s="169">
        <f t="shared" si="43"/>
        <v>28929.78363683062</v>
      </c>
      <c r="AL80" s="169">
        <f t="shared" si="43"/>
        <v>28135.818060112601</v>
      </c>
      <c r="AM80" s="169">
        <f t="shared" si="43"/>
        <v>27380.611919088551</v>
      </c>
      <c r="AN80" s="169">
        <f t="shared" si="43"/>
        <v>26656.331605376818</v>
      </c>
      <c r="AO80" s="169">
        <f t="shared" si="43"/>
        <v>25966.467400728445</v>
      </c>
      <c r="AP80" s="537">
        <f t="shared" si="43"/>
        <v>25305.316085705588</v>
      </c>
      <c r="AQ80" s="129"/>
    </row>
    <row r="81" spans="1:43" ht="16.75" thickBot="1" x14ac:dyDescent="0.95">
      <c r="A81" s="538"/>
      <c r="B81" s="539"/>
      <c r="C81" s="538" t="s">
        <v>398</v>
      </c>
      <c r="D81" s="1151">
        <f>'Forecast Drivers '!V41</f>
        <v>20000</v>
      </c>
      <c r="E81" s="539"/>
      <c r="F81" s="539"/>
      <c r="G81" s="539"/>
      <c r="H81" s="539"/>
      <c r="I81" s="540"/>
      <c r="J81" s="539"/>
      <c r="K81" s="539"/>
      <c r="L81" s="539"/>
      <c r="M81" s="539"/>
      <c r="N81" s="539"/>
      <c r="O81" s="540"/>
      <c r="P81" s="539"/>
      <c r="Q81" s="539"/>
      <c r="R81" s="539"/>
      <c r="S81" s="539"/>
      <c r="T81" s="539"/>
      <c r="U81" s="539"/>
      <c r="V81" s="539"/>
      <c r="W81" s="539"/>
      <c r="X81" s="539"/>
      <c r="Y81" s="539"/>
      <c r="Z81" s="539"/>
      <c r="AA81" s="539"/>
      <c r="AB81" s="539"/>
      <c r="AC81" s="539"/>
      <c r="AD81" s="539"/>
      <c r="AE81" s="539"/>
      <c r="AF81" s="539"/>
      <c r="AG81" s="539"/>
      <c r="AH81" s="539"/>
      <c r="AI81" s="539"/>
      <c r="AJ81" s="539"/>
      <c r="AK81" s="539"/>
      <c r="AL81" s="539"/>
      <c r="AM81" s="539"/>
      <c r="AN81" s="539"/>
      <c r="AO81" s="539"/>
      <c r="AP81" s="541"/>
      <c r="AQ81" s="129"/>
    </row>
    <row r="82" spans="1:43" ht="16.75" thickBot="1" x14ac:dyDescent="0.95">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29"/>
    </row>
    <row r="83" spans="1:43" x14ac:dyDescent="0.8">
      <c r="A83" s="1162" t="s">
        <v>162</v>
      </c>
      <c r="B83" s="1163"/>
      <c r="C83" s="21">
        <v>0</v>
      </c>
      <c r="D83" s="21">
        <f t="shared" ref="D83:D146" si="44">$H$86*SIN(2*PI()*C83/$H$87)+2</f>
        <v>2</v>
      </c>
      <c r="E83" s="21"/>
      <c r="F83" s="21" t="s">
        <v>163</v>
      </c>
      <c r="G83" s="21" t="s">
        <v>164</v>
      </c>
      <c r="H83" s="171"/>
      <c r="AQ83" s="129"/>
    </row>
    <row r="84" spans="1:43" x14ac:dyDescent="0.8">
      <c r="A84" s="22"/>
      <c r="B84" s="7"/>
      <c r="C84" s="7">
        <v>1</v>
      </c>
      <c r="D84" s="7">
        <f t="shared" si="44"/>
        <v>2.4158233816355188</v>
      </c>
      <c r="E84" s="7"/>
      <c r="F84" s="7"/>
      <c r="G84" s="7"/>
      <c r="H84" s="172"/>
      <c r="AQ84" s="129"/>
    </row>
    <row r="85" spans="1:43" x14ac:dyDescent="0.8">
      <c r="A85" s="22"/>
      <c r="B85" s="7"/>
      <c r="C85" s="7">
        <v>2</v>
      </c>
      <c r="D85" s="7">
        <f t="shared" si="44"/>
        <v>2.8134732861516003</v>
      </c>
      <c r="E85" s="7"/>
      <c r="F85" s="7"/>
      <c r="G85" s="7"/>
      <c r="H85" s="172"/>
      <c r="AQ85" s="129"/>
    </row>
    <row r="86" spans="1:43" x14ac:dyDescent="0.8">
      <c r="A86" s="22"/>
      <c r="B86" s="7"/>
      <c r="C86" s="7">
        <v>3</v>
      </c>
      <c r="D86" s="7">
        <f t="shared" si="44"/>
        <v>3.1755705045849463</v>
      </c>
      <c r="E86" s="7"/>
      <c r="F86" s="7"/>
      <c r="G86" s="7" t="s">
        <v>165</v>
      </c>
      <c r="H86" s="172">
        <v>2</v>
      </c>
      <c r="AQ86" s="129"/>
    </row>
    <row r="87" spans="1:43" x14ac:dyDescent="0.8">
      <c r="A87" s="22"/>
      <c r="B87" s="7"/>
      <c r="C87" s="7">
        <v>4</v>
      </c>
      <c r="D87" s="7">
        <f t="shared" si="44"/>
        <v>3.486289650954788</v>
      </c>
      <c r="E87" s="7"/>
      <c r="F87" s="7"/>
      <c r="G87" s="7" t="s">
        <v>166</v>
      </c>
      <c r="H87" s="172">
        <v>30</v>
      </c>
      <c r="AQ87" s="129"/>
    </row>
    <row r="88" spans="1:43" x14ac:dyDescent="0.8">
      <c r="A88" s="22"/>
      <c r="B88" s="7"/>
      <c r="C88" s="7">
        <v>5</v>
      </c>
      <c r="D88" s="7">
        <f t="shared" si="44"/>
        <v>3.7320508075688772</v>
      </c>
      <c r="E88" s="7"/>
      <c r="F88" s="7"/>
      <c r="G88" s="7"/>
      <c r="H88" s="172"/>
      <c r="AQ88" s="129"/>
    </row>
    <row r="89" spans="1:43" x14ac:dyDescent="0.8">
      <c r="A89" s="22"/>
      <c r="B89" s="7"/>
      <c r="C89" s="7">
        <v>6</v>
      </c>
      <c r="D89" s="7">
        <f t="shared" si="44"/>
        <v>3.9021130325903073</v>
      </c>
      <c r="E89" s="7"/>
      <c r="F89" s="7"/>
      <c r="G89" s="7"/>
      <c r="H89" s="172"/>
      <c r="AQ89" s="129"/>
    </row>
    <row r="90" spans="1:43" x14ac:dyDescent="0.8">
      <c r="A90" s="22"/>
      <c r="B90" s="7"/>
      <c r="C90" s="7">
        <v>7</v>
      </c>
      <c r="D90" s="7">
        <f t="shared" si="44"/>
        <v>3.9890437907365466</v>
      </c>
      <c r="E90" s="7"/>
      <c r="F90" s="7"/>
      <c r="G90" s="7"/>
      <c r="H90" s="172"/>
      <c r="AQ90" s="129"/>
    </row>
    <row r="91" spans="1:43" x14ac:dyDescent="0.8">
      <c r="A91" s="22"/>
      <c r="B91" s="7"/>
      <c r="C91" s="7">
        <v>8</v>
      </c>
      <c r="D91" s="7">
        <f t="shared" si="44"/>
        <v>3.989043790736547</v>
      </c>
      <c r="E91" s="7"/>
      <c r="F91" s="7"/>
      <c r="G91" s="7"/>
      <c r="H91" s="172"/>
      <c r="AQ91" s="129"/>
    </row>
    <row r="92" spans="1:43" x14ac:dyDescent="0.8">
      <c r="A92" s="22"/>
      <c r="B92" s="7"/>
      <c r="C92" s="7">
        <v>9</v>
      </c>
      <c r="D92" s="7">
        <f t="shared" si="44"/>
        <v>3.9021130325903073</v>
      </c>
      <c r="E92" s="7"/>
      <c r="F92" s="7"/>
      <c r="G92" s="7"/>
      <c r="H92" s="172"/>
      <c r="AQ92" s="129"/>
    </row>
    <row r="93" spans="1:43" x14ac:dyDescent="0.8">
      <c r="A93" s="22"/>
      <c r="B93" s="7"/>
      <c r="C93" s="7">
        <v>10</v>
      </c>
      <c r="D93" s="7">
        <f t="shared" si="44"/>
        <v>3.7320508075688776</v>
      </c>
      <c r="E93" s="7"/>
      <c r="F93" s="7"/>
      <c r="G93" s="7"/>
      <c r="H93" s="172"/>
    </row>
    <row r="94" spans="1:43" x14ac:dyDescent="0.8">
      <c r="A94" s="22"/>
      <c r="B94" s="7"/>
      <c r="C94" s="7">
        <v>11</v>
      </c>
      <c r="D94" s="7">
        <f t="shared" si="44"/>
        <v>3.4862896509547889</v>
      </c>
      <c r="E94" s="7"/>
      <c r="F94" s="7"/>
      <c r="G94" s="7"/>
      <c r="H94" s="172"/>
    </row>
    <row r="95" spans="1:43" x14ac:dyDescent="0.8">
      <c r="A95" s="22"/>
      <c r="B95" s="7"/>
      <c r="C95" s="7">
        <v>12</v>
      </c>
      <c r="D95" s="7">
        <f t="shared" si="44"/>
        <v>3.1755705045849467</v>
      </c>
      <c r="E95" s="7"/>
      <c r="F95" s="7"/>
      <c r="G95" s="7"/>
      <c r="H95" s="172"/>
    </row>
    <row r="96" spans="1:43" x14ac:dyDescent="0.8">
      <c r="A96" s="22"/>
      <c r="B96" s="7"/>
      <c r="C96" s="7">
        <v>13</v>
      </c>
      <c r="D96" s="7">
        <f t="shared" si="44"/>
        <v>2.8134732861516003</v>
      </c>
      <c r="E96" s="7"/>
      <c r="F96" s="7"/>
      <c r="G96" s="7"/>
      <c r="H96" s="172"/>
    </row>
    <row r="97" spans="1:8" x14ac:dyDescent="0.8">
      <c r="A97" s="22"/>
      <c r="B97" s="7"/>
      <c r="C97" s="7">
        <v>14</v>
      </c>
      <c r="D97" s="7">
        <f t="shared" si="44"/>
        <v>2.4158233816355188</v>
      </c>
      <c r="E97" s="7"/>
      <c r="F97" s="7"/>
      <c r="G97" s="7"/>
      <c r="H97" s="172"/>
    </row>
    <row r="98" spans="1:8" x14ac:dyDescent="0.8">
      <c r="A98" s="22"/>
      <c r="B98" s="7"/>
      <c r="C98" s="7">
        <v>15</v>
      </c>
      <c r="D98" s="7">
        <f t="shared" si="44"/>
        <v>2.0000000000000013</v>
      </c>
      <c r="E98" s="7"/>
      <c r="F98" s="7"/>
      <c r="G98" s="7"/>
      <c r="H98" s="172"/>
    </row>
    <row r="99" spans="1:8" x14ac:dyDescent="0.8">
      <c r="A99" s="22"/>
      <c r="B99" s="7"/>
      <c r="C99" s="7">
        <v>16</v>
      </c>
      <c r="D99" s="7">
        <f t="shared" si="44"/>
        <v>1.5841766183644819</v>
      </c>
      <c r="E99" s="7"/>
      <c r="F99" s="7"/>
      <c r="G99" s="7"/>
      <c r="H99" s="172"/>
    </row>
    <row r="100" spans="1:8" x14ac:dyDescent="0.8">
      <c r="A100" s="22"/>
      <c r="B100" s="7"/>
      <c r="C100" s="7">
        <v>17</v>
      </c>
      <c r="D100" s="7">
        <f t="shared" si="44"/>
        <v>1.1865267138483997</v>
      </c>
      <c r="E100" s="7"/>
      <c r="F100" s="7"/>
      <c r="G100" s="7"/>
      <c r="H100" s="172"/>
    </row>
    <row r="101" spans="1:8" x14ac:dyDescent="0.8">
      <c r="A101" s="22"/>
      <c r="B101" s="7"/>
      <c r="C101" s="7">
        <v>18</v>
      </c>
      <c r="D101" s="7">
        <f t="shared" si="44"/>
        <v>0.82442949541505395</v>
      </c>
      <c r="E101" s="7"/>
      <c r="F101" s="7"/>
      <c r="G101" s="7"/>
      <c r="H101" s="172"/>
    </row>
    <row r="102" spans="1:8" x14ac:dyDescent="0.8">
      <c r="A102" s="22"/>
      <c r="B102" s="7"/>
      <c r="C102" s="7">
        <v>19</v>
      </c>
      <c r="D102" s="7">
        <f t="shared" si="44"/>
        <v>0.51371034904521196</v>
      </c>
      <c r="E102" s="7"/>
      <c r="F102" s="7"/>
      <c r="G102" s="7"/>
      <c r="H102" s="172"/>
    </row>
    <row r="103" spans="1:8" x14ac:dyDescent="0.8">
      <c r="A103" s="22"/>
      <c r="B103" s="7"/>
      <c r="C103" s="7">
        <v>20</v>
      </c>
      <c r="D103" s="7">
        <f t="shared" si="44"/>
        <v>0.26794919243112325</v>
      </c>
      <c r="E103" s="7"/>
      <c r="F103" s="7"/>
      <c r="G103" s="7"/>
      <c r="H103" s="172"/>
    </row>
    <row r="104" spans="1:8" x14ac:dyDescent="0.8">
      <c r="A104" s="22"/>
      <c r="B104" s="7"/>
      <c r="C104" s="7">
        <v>21</v>
      </c>
      <c r="D104" s="7">
        <f t="shared" si="44"/>
        <v>9.7886967409692938E-2</v>
      </c>
      <c r="E104" s="7"/>
      <c r="F104" s="7"/>
      <c r="G104" s="7"/>
      <c r="H104" s="172"/>
    </row>
    <row r="105" spans="1:8" x14ac:dyDescent="0.8">
      <c r="A105" s="22"/>
      <c r="B105" s="7"/>
      <c r="C105" s="7">
        <v>22</v>
      </c>
      <c r="D105" s="7">
        <f t="shared" si="44"/>
        <v>1.095620926345342E-2</v>
      </c>
      <c r="E105" s="7"/>
      <c r="F105" s="7"/>
      <c r="G105" s="7"/>
      <c r="H105" s="172"/>
    </row>
    <row r="106" spans="1:8" x14ac:dyDescent="0.8">
      <c r="A106" s="22"/>
      <c r="B106" s="7"/>
      <c r="C106" s="7">
        <v>23</v>
      </c>
      <c r="D106" s="7">
        <f t="shared" si="44"/>
        <v>1.0956209263453198E-2</v>
      </c>
      <c r="E106" s="7"/>
      <c r="F106" s="7"/>
      <c r="G106" s="7"/>
      <c r="H106" s="172"/>
    </row>
    <row r="107" spans="1:8" x14ac:dyDescent="0.8">
      <c r="A107" s="22"/>
      <c r="B107" s="7"/>
      <c r="C107" s="7">
        <v>24</v>
      </c>
      <c r="D107" s="7">
        <f t="shared" si="44"/>
        <v>9.7886967409692716E-2</v>
      </c>
      <c r="E107" s="7"/>
      <c r="F107" s="7"/>
      <c r="G107" s="7"/>
      <c r="H107" s="172"/>
    </row>
    <row r="108" spans="1:8" x14ac:dyDescent="0.8">
      <c r="A108" s="22"/>
      <c r="B108" s="7"/>
      <c r="C108" s="7">
        <v>25</v>
      </c>
      <c r="D108" s="7">
        <f t="shared" si="44"/>
        <v>0.26794919243112281</v>
      </c>
      <c r="E108" s="7"/>
      <c r="F108" s="7"/>
      <c r="G108" s="7"/>
      <c r="H108" s="172"/>
    </row>
    <row r="109" spans="1:8" x14ac:dyDescent="0.8">
      <c r="A109" s="22"/>
      <c r="B109" s="7"/>
      <c r="C109" s="7">
        <v>26</v>
      </c>
      <c r="D109" s="7">
        <f t="shared" si="44"/>
        <v>0.51371034904521196</v>
      </c>
      <c r="E109" s="7"/>
      <c r="F109" s="7"/>
      <c r="G109" s="7"/>
      <c r="H109" s="172"/>
    </row>
    <row r="110" spans="1:8" x14ac:dyDescent="0.8">
      <c r="A110" s="22"/>
      <c r="B110" s="7"/>
      <c r="C110" s="7">
        <v>27</v>
      </c>
      <c r="D110" s="7">
        <f t="shared" si="44"/>
        <v>0.82442949541505328</v>
      </c>
      <c r="E110" s="7"/>
      <c r="F110" s="7"/>
      <c r="G110" s="7"/>
      <c r="H110" s="172"/>
    </row>
    <row r="111" spans="1:8" x14ac:dyDescent="0.8">
      <c r="A111" s="22"/>
      <c r="B111" s="7"/>
      <c r="C111" s="7">
        <v>28</v>
      </c>
      <c r="D111" s="7">
        <f t="shared" si="44"/>
        <v>1.1865267138483997</v>
      </c>
      <c r="E111" s="7">
        <v>1.1865267138483997</v>
      </c>
      <c r="F111" s="7">
        <v>0.01</v>
      </c>
      <c r="G111" s="7">
        <f>E111*F111</f>
        <v>1.1865267138483997E-2</v>
      </c>
      <c r="H111" s="172">
        <v>1.1865267138483997E-2</v>
      </c>
    </row>
    <row r="112" spans="1:8" x14ac:dyDescent="0.8">
      <c r="A112" s="22"/>
      <c r="B112" s="7"/>
      <c r="C112" s="7">
        <v>29</v>
      </c>
      <c r="D112" s="7">
        <f t="shared" si="44"/>
        <v>1.5841766183644821</v>
      </c>
      <c r="E112" s="7">
        <v>1.5841766183644821</v>
      </c>
      <c r="F112" s="7">
        <v>0.01</v>
      </c>
      <c r="G112" s="7">
        <f t="shared" ref="G112:G147" si="45">E112*F112</f>
        <v>1.5841766183644822E-2</v>
      </c>
      <c r="H112" s="172">
        <v>1.5841766183644822E-2</v>
      </c>
    </row>
    <row r="113" spans="1:8" x14ac:dyDescent="0.8">
      <c r="A113" s="22"/>
      <c r="B113" s="7"/>
      <c r="C113" s="7">
        <v>30</v>
      </c>
      <c r="D113" s="7">
        <f t="shared" si="44"/>
        <v>1.9999999999999978</v>
      </c>
      <c r="E113" s="7">
        <v>1.9999999999999978</v>
      </c>
      <c r="F113" s="7">
        <v>0.01</v>
      </c>
      <c r="G113" s="7">
        <f t="shared" si="45"/>
        <v>1.999999999999998E-2</v>
      </c>
      <c r="H113" s="172">
        <v>1.999999999999998E-2</v>
      </c>
    </row>
    <row r="114" spans="1:8" x14ac:dyDescent="0.8">
      <c r="A114" s="22"/>
      <c r="B114" s="7"/>
      <c r="C114" s="7">
        <v>31</v>
      </c>
      <c r="D114" s="7">
        <f t="shared" si="44"/>
        <v>2.415823381635517</v>
      </c>
      <c r="E114" s="7">
        <v>2.415823381635517</v>
      </c>
      <c r="F114" s="7">
        <v>0.01</v>
      </c>
      <c r="G114" s="7">
        <f t="shared" si="45"/>
        <v>2.4158233816355172E-2</v>
      </c>
      <c r="H114" s="172">
        <v>2.4158233816355172E-2</v>
      </c>
    </row>
    <row r="115" spans="1:8" x14ac:dyDescent="0.8">
      <c r="A115" s="22"/>
      <c r="B115" s="7"/>
      <c r="C115" s="7">
        <v>32</v>
      </c>
      <c r="D115" s="7">
        <f t="shared" si="44"/>
        <v>2.8134732861515994</v>
      </c>
      <c r="E115" s="7">
        <v>2.8134732861515994</v>
      </c>
      <c r="F115" s="7">
        <v>0.01</v>
      </c>
      <c r="G115" s="7">
        <f t="shared" si="45"/>
        <v>2.8134732861515993E-2</v>
      </c>
      <c r="H115" s="172">
        <v>2.8134732861515993E-2</v>
      </c>
    </row>
    <row r="116" spans="1:8" x14ac:dyDescent="0.8">
      <c r="A116" s="22"/>
      <c r="B116" s="7"/>
      <c r="C116" s="7">
        <v>33</v>
      </c>
      <c r="D116" s="7">
        <f t="shared" si="44"/>
        <v>3.1755705045849458</v>
      </c>
      <c r="E116" s="7">
        <v>3.1755705045849458</v>
      </c>
      <c r="F116" s="7">
        <v>0.01</v>
      </c>
      <c r="G116" s="7">
        <f t="shared" si="45"/>
        <v>3.1755705045849458E-2</v>
      </c>
      <c r="H116" s="172">
        <v>3.1755705045849458E-2</v>
      </c>
    </row>
    <row r="117" spans="1:8" x14ac:dyDescent="0.8">
      <c r="A117" s="22"/>
      <c r="B117" s="7"/>
      <c r="C117" s="7">
        <v>34</v>
      </c>
      <c r="D117" s="7">
        <f t="shared" si="44"/>
        <v>3.4862896509547885</v>
      </c>
      <c r="E117" s="7">
        <v>3.4862896509547885</v>
      </c>
      <c r="F117" s="7">
        <v>0.01</v>
      </c>
      <c r="G117" s="7">
        <f t="shared" si="45"/>
        <v>3.4862896509547887E-2</v>
      </c>
      <c r="H117" s="172">
        <v>3.4862896509547887E-2</v>
      </c>
    </row>
    <row r="118" spans="1:8" x14ac:dyDescent="0.8">
      <c r="A118" s="22"/>
      <c r="B118" s="7"/>
      <c r="C118" s="7">
        <v>35</v>
      </c>
      <c r="D118" s="7">
        <f t="shared" si="44"/>
        <v>3.7320508075688767</v>
      </c>
      <c r="E118" s="7">
        <v>3.7320508075688767</v>
      </c>
      <c r="F118" s="7">
        <v>0.01</v>
      </c>
      <c r="G118" s="7">
        <f t="shared" si="45"/>
        <v>3.732050807568877E-2</v>
      </c>
      <c r="H118" s="172">
        <v>3.732050807568877E-2</v>
      </c>
    </row>
    <row r="119" spans="1:8" x14ac:dyDescent="0.8">
      <c r="A119" s="22"/>
      <c r="B119" s="7"/>
      <c r="C119" s="7">
        <v>36</v>
      </c>
      <c r="D119" s="7">
        <f t="shared" si="44"/>
        <v>3.9021130325903073</v>
      </c>
      <c r="E119" s="7">
        <v>3.9021130325903073</v>
      </c>
      <c r="F119" s="7">
        <v>0.01</v>
      </c>
      <c r="G119" s="7">
        <f t="shared" si="45"/>
        <v>3.9021130325903076E-2</v>
      </c>
      <c r="H119" s="172">
        <v>3.9021130325903076E-2</v>
      </c>
    </row>
    <row r="120" spans="1:8" x14ac:dyDescent="0.8">
      <c r="A120" s="22"/>
      <c r="B120" s="7"/>
      <c r="C120" s="7">
        <v>37</v>
      </c>
      <c r="D120" s="7">
        <f t="shared" si="44"/>
        <v>3.9890437907365466</v>
      </c>
      <c r="E120" s="7">
        <v>3.9890437907365466</v>
      </c>
      <c r="F120" s="7">
        <v>0.01</v>
      </c>
      <c r="G120" s="7">
        <f t="shared" si="45"/>
        <v>3.9890437907365468E-2</v>
      </c>
      <c r="H120" s="172">
        <v>3.9890437907365468E-2</v>
      </c>
    </row>
    <row r="121" spans="1:8" x14ac:dyDescent="0.8">
      <c r="A121" s="22"/>
      <c r="B121" s="7"/>
      <c r="C121" s="7">
        <v>38</v>
      </c>
      <c r="D121" s="7">
        <f t="shared" si="44"/>
        <v>3.989043790736547</v>
      </c>
      <c r="E121" s="7">
        <v>3.989043790736547</v>
      </c>
      <c r="F121" s="7">
        <v>0.01</v>
      </c>
      <c r="G121" s="7">
        <f t="shared" si="45"/>
        <v>3.9890437907365468E-2</v>
      </c>
      <c r="H121" s="172">
        <v>3.9890437907365468E-2</v>
      </c>
    </row>
    <row r="122" spans="1:8" x14ac:dyDescent="0.8">
      <c r="A122" s="22"/>
      <c r="B122" s="7"/>
      <c r="C122" s="7">
        <v>39</v>
      </c>
      <c r="D122" s="7">
        <f t="shared" si="44"/>
        <v>3.9021130325903073</v>
      </c>
      <c r="E122" s="7">
        <v>3.9021130325903073</v>
      </c>
      <c r="F122" s="7">
        <v>0.01</v>
      </c>
      <c r="G122" s="7">
        <f t="shared" si="45"/>
        <v>3.9021130325903076E-2</v>
      </c>
      <c r="H122" s="172">
        <v>3.9021130325903076E-2</v>
      </c>
    </row>
    <row r="123" spans="1:8" x14ac:dyDescent="0.8">
      <c r="A123" s="22"/>
      <c r="B123" s="7"/>
      <c r="C123" s="7">
        <v>40</v>
      </c>
      <c r="D123" s="7">
        <f t="shared" si="44"/>
        <v>3.7320508075688785</v>
      </c>
      <c r="E123" s="7">
        <v>3.7320508075688785</v>
      </c>
      <c r="F123" s="7">
        <v>0.01</v>
      </c>
      <c r="G123" s="7">
        <f t="shared" si="45"/>
        <v>3.7320508075688784E-2</v>
      </c>
      <c r="H123" s="172">
        <v>3.7320508075688784E-2</v>
      </c>
    </row>
    <row r="124" spans="1:8" x14ac:dyDescent="0.8">
      <c r="A124" s="22"/>
      <c r="B124" s="7"/>
      <c r="C124" s="7">
        <v>41</v>
      </c>
      <c r="D124" s="7">
        <f t="shared" si="44"/>
        <v>3.4862896509547907</v>
      </c>
      <c r="E124" s="7">
        <v>3.4862896509547907</v>
      </c>
      <c r="F124" s="7">
        <v>0.01</v>
      </c>
      <c r="G124" s="7">
        <f t="shared" si="45"/>
        <v>3.4862896509547908E-2</v>
      </c>
      <c r="H124" s="172">
        <v>3.4862896509547908E-2</v>
      </c>
    </row>
    <row r="125" spans="1:8" x14ac:dyDescent="0.8">
      <c r="A125" s="22"/>
      <c r="B125" s="7"/>
      <c r="C125" s="7">
        <v>42</v>
      </c>
      <c r="D125" s="7">
        <f t="shared" si="44"/>
        <v>3.1755705045849467</v>
      </c>
      <c r="E125" s="7">
        <v>3.1755705045849467</v>
      </c>
      <c r="F125" s="7">
        <v>0.01</v>
      </c>
      <c r="G125" s="7">
        <f t="shared" si="45"/>
        <v>3.1755705045849465E-2</v>
      </c>
      <c r="H125" s="172">
        <v>3.1755705045849465E-2</v>
      </c>
    </row>
    <row r="126" spans="1:8" x14ac:dyDescent="0.8">
      <c r="A126" s="22"/>
      <c r="B126" s="7"/>
      <c r="C126" s="7">
        <v>43</v>
      </c>
      <c r="D126" s="7">
        <f t="shared" si="44"/>
        <v>2.8134732861516021</v>
      </c>
      <c r="E126" s="7">
        <v>2.8134732861516021</v>
      </c>
      <c r="F126" s="7">
        <v>0.01</v>
      </c>
      <c r="G126" s="7">
        <f t="shared" si="45"/>
        <v>2.8134732861516021E-2</v>
      </c>
      <c r="H126" s="172">
        <v>2.8134732861516021E-2</v>
      </c>
    </row>
    <row r="127" spans="1:8" x14ac:dyDescent="0.8">
      <c r="A127" s="22"/>
      <c r="B127" s="7"/>
      <c r="C127" s="7">
        <v>44</v>
      </c>
      <c r="D127" s="7">
        <f t="shared" si="44"/>
        <v>2.4158233816355219</v>
      </c>
      <c r="E127" s="7">
        <v>2.4158233816355219</v>
      </c>
      <c r="F127" s="7">
        <v>0.01</v>
      </c>
      <c r="G127" s="7">
        <f t="shared" si="45"/>
        <v>2.4158233816355221E-2</v>
      </c>
      <c r="H127" s="172">
        <v>2.4158233816355221E-2</v>
      </c>
    </row>
    <row r="128" spans="1:8" x14ac:dyDescent="0.8">
      <c r="A128" s="22"/>
      <c r="B128" s="7"/>
      <c r="C128" s="7">
        <v>45</v>
      </c>
      <c r="D128" s="7">
        <f t="shared" si="44"/>
        <v>2.0000000000000009</v>
      </c>
      <c r="E128" s="7">
        <v>2.0000000000000009</v>
      </c>
      <c r="F128" s="7">
        <v>0.01</v>
      </c>
      <c r="G128" s="7">
        <f t="shared" si="45"/>
        <v>2.0000000000000011E-2</v>
      </c>
      <c r="H128" s="172">
        <v>2.0000000000000011E-2</v>
      </c>
    </row>
    <row r="129" spans="1:8" x14ac:dyDescent="0.8">
      <c r="A129" s="22"/>
      <c r="B129" s="7"/>
      <c r="C129" s="7">
        <v>46</v>
      </c>
      <c r="D129" s="7">
        <f t="shared" si="44"/>
        <v>1.5841766183644832</v>
      </c>
      <c r="E129" s="7">
        <v>1.5841766183644832</v>
      </c>
      <c r="F129" s="7">
        <v>0.01</v>
      </c>
      <c r="G129" s="7">
        <f t="shared" si="45"/>
        <v>1.5841766183644832E-2</v>
      </c>
      <c r="H129" s="172">
        <v>1.5841766183644832E-2</v>
      </c>
    </row>
    <row r="130" spans="1:8" x14ac:dyDescent="0.8">
      <c r="A130" s="22"/>
      <c r="B130" s="7"/>
      <c r="C130" s="7">
        <v>47</v>
      </c>
      <c r="D130" s="7">
        <f t="shared" si="44"/>
        <v>1.1865267138483993</v>
      </c>
      <c r="E130" s="7">
        <v>1.1865267138483993</v>
      </c>
      <c r="F130" s="7">
        <v>0.01</v>
      </c>
      <c r="G130" s="7">
        <f t="shared" si="45"/>
        <v>1.1865267138483992E-2</v>
      </c>
      <c r="H130" s="172">
        <v>1.1865267138483992E-2</v>
      </c>
    </row>
    <row r="131" spans="1:8" x14ac:dyDescent="0.8">
      <c r="A131" s="22"/>
      <c r="B131" s="7"/>
      <c r="C131" s="7">
        <v>48</v>
      </c>
      <c r="D131" s="7">
        <f t="shared" si="44"/>
        <v>0.82442949541505439</v>
      </c>
      <c r="E131" s="7">
        <v>0.82442949541505439</v>
      </c>
      <c r="F131" s="7">
        <v>0.01</v>
      </c>
      <c r="G131" s="7">
        <f t="shared" si="45"/>
        <v>8.2442949541505443E-3</v>
      </c>
      <c r="H131" s="172">
        <v>8.2442949541505443E-3</v>
      </c>
    </row>
    <row r="132" spans="1:8" x14ac:dyDescent="0.8">
      <c r="A132" s="22"/>
      <c r="B132" s="7"/>
      <c r="C132" s="7">
        <v>49</v>
      </c>
      <c r="D132" s="7">
        <f t="shared" si="44"/>
        <v>0.51371034904521284</v>
      </c>
      <c r="E132" s="7">
        <v>0.51371034904521284</v>
      </c>
      <c r="F132" s="7">
        <v>0.01</v>
      </c>
      <c r="G132" s="7">
        <f t="shared" si="45"/>
        <v>5.1371034904521282E-3</v>
      </c>
      <c r="H132" s="172">
        <v>5.1371034904521282E-3</v>
      </c>
    </row>
    <row r="133" spans="1:8" x14ac:dyDescent="0.8">
      <c r="A133" s="22"/>
      <c r="B133" s="7"/>
      <c r="C133" s="7">
        <v>50</v>
      </c>
      <c r="D133" s="7">
        <f t="shared" si="44"/>
        <v>0.26794919243112258</v>
      </c>
      <c r="E133" s="7">
        <v>0.26794919243112297</v>
      </c>
      <c r="F133" s="7">
        <v>0.01</v>
      </c>
      <c r="G133" s="7">
        <f t="shared" si="45"/>
        <v>2.67949192431123E-3</v>
      </c>
      <c r="H133" s="172">
        <v>2.67949192431123E-3</v>
      </c>
    </row>
    <row r="134" spans="1:8" x14ac:dyDescent="0.8">
      <c r="A134" s="22"/>
      <c r="B134" s="7"/>
      <c r="C134" s="7">
        <v>51</v>
      </c>
      <c r="D134" s="7">
        <f t="shared" si="44"/>
        <v>9.788696740969316E-2</v>
      </c>
      <c r="E134" s="7">
        <v>9.788696740969316E-2</v>
      </c>
      <c r="F134" s="7">
        <v>0.01</v>
      </c>
      <c r="G134" s="7">
        <f t="shared" si="45"/>
        <v>9.7886967409693154E-4</v>
      </c>
      <c r="H134" s="172">
        <v>9.7886967409693154E-4</v>
      </c>
    </row>
    <row r="135" spans="1:8" x14ac:dyDescent="0.8">
      <c r="A135" s="22"/>
      <c r="B135" s="7"/>
      <c r="C135" s="7">
        <v>52</v>
      </c>
      <c r="D135" s="7">
        <f t="shared" si="44"/>
        <v>1.0956209263453198E-2</v>
      </c>
      <c r="E135" s="7">
        <v>1.0956209263453198E-2</v>
      </c>
      <c r="F135" s="7">
        <v>0.01</v>
      </c>
      <c r="G135" s="7">
        <f t="shared" si="45"/>
        <v>1.0956209263453198E-4</v>
      </c>
      <c r="H135" s="172">
        <v>1.0956209263453198E-4</v>
      </c>
    </row>
    <row r="136" spans="1:8" x14ac:dyDescent="0.8">
      <c r="A136" s="22"/>
      <c r="B136" s="7"/>
      <c r="C136" s="7">
        <v>53</v>
      </c>
      <c r="D136" s="7">
        <f t="shared" si="44"/>
        <v>1.095620926345342E-2</v>
      </c>
      <c r="E136" s="7">
        <v>1.095620926345342E-2</v>
      </c>
      <c r="F136" s="7">
        <v>0.01</v>
      </c>
      <c r="G136" s="7">
        <f t="shared" si="45"/>
        <v>1.095620926345342E-4</v>
      </c>
      <c r="H136" s="172">
        <v>1.095620926345342E-4</v>
      </c>
    </row>
    <row r="137" spans="1:8" x14ac:dyDescent="0.8">
      <c r="A137" s="22"/>
      <c r="B137" s="7"/>
      <c r="C137" s="7">
        <v>54</v>
      </c>
      <c r="D137" s="7">
        <f t="shared" si="44"/>
        <v>9.7886967409692494E-2</v>
      </c>
      <c r="E137" s="7">
        <v>9.7886967409692494E-2</v>
      </c>
      <c r="F137" s="7">
        <v>0.01</v>
      </c>
      <c r="G137" s="7">
        <f t="shared" si="45"/>
        <v>9.7886967409692503E-4</v>
      </c>
      <c r="H137" s="172">
        <v>9.7886967409692503E-4</v>
      </c>
    </row>
    <row r="138" spans="1:8" x14ac:dyDescent="0.8">
      <c r="A138" s="22"/>
      <c r="B138" s="7"/>
      <c r="C138" s="7">
        <v>55</v>
      </c>
      <c r="D138" s="7">
        <f t="shared" si="44"/>
        <v>0.26794919243112347</v>
      </c>
      <c r="E138" s="7">
        <v>0.26794919243112347</v>
      </c>
      <c r="F138" s="7">
        <v>0.01</v>
      </c>
      <c r="G138" s="7">
        <f t="shared" si="45"/>
        <v>2.6794919243112347E-3</v>
      </c>
      <c r="H138" s="172">
        <v>2.6794919243112347E-3</v>
      </c>
    </row>
    <row r="139" spans="1:8" x14ac:dyDescent="0.8">
      <c r="A139" s="22"/>
      <c r="B139" s="7"/>
      <c r="C139" s="7">
        <v>56</v>
      </c>
      <c r="D139" s="7">
        <f t="shared" si="44"/>
        <v>0.51371034904521173</v>
      </c>
      <c r="E139" s="7">
        <v>0.51371034904521173</v>
      </c>
      <c r="F139" s="7">
        <v>0.01</v>
      </c>
      <c r="G139" s="7">
        <f t="shared" si="45"/>
        <v>5.1371034904521178E-3</v>
      </c>
      <c r="H139" s="172">
        <v>5.1371034904521178E-3</v>
      </c>
    </row>
    <row r="140" spans="1:8" x14ac:dyDescent="0.8">
      <c r="A140" s="22"/>
      <c r="B140" s="7"/>
      <c r="C140" s="7">
        <v>57</v>
      </c>
      <c r="D140" s="7">
        <f t="shared" si="44"/>
        <v>0.82442949541505306</v>
      </c>
      <c r="E140" s="7">
        <v>0.82442949541505306</v>
      </c>
      <c r="F140" s="7">
        <v>0.01</v>
      </c>
      <c r="G140" s="7">
        <f t="shared" si="45"/>
        <v>8.2442949541505304E-3</v>
      </c>
      <c r="H140" s="172">
        <v>8.2442949541505304E-3</v>
      </c>
    </row>
    <row r="141" spans="1:8" x14ac:dyDescent="0.8">
      <c r="A141" s="22"/>
      <c r="B141" s="7"/>
      <c r="C141" s="7">
        <v>58</v>
      </c>
      <c r="D141" s="7">
        <f t="shared" si="44"/>
        <v>1.186526713848401</v>
      </c>
      <c r="E141" s="7">
        <v>1.186526713848401</v>
      </c>
      <c r="F141" s="7">
        <v>0.01</v>
      </c>
      <c r="G141" s="7">
        <f t="shared" si="45"/>
        <v>1.1865267138484011E-2</v>
      </c>
      <c r="H141" s="172">
        <v>1.1865267138484011E-2</v>
      </c>
    </row>
    <row r="142" spans="1:8" x14ac:dyDescent="0.8">
      <c r="A142" s="22"/>
      <c r="B142" s="7"/>
      <c r="C142" s="7">
        <v>59</v>
      </c>
      <c r="D142" s="7">
        <f t="shared" si="44"/>
        <v>1.5841766183644816</v>
      </c>
      <c r="E142" s="7">
        <v>1.5841766183644816</v>
      </c>
      <c r="F142" s="7">
        <v>0.01</v>
      </c>
      <c r="G142" s="7">
        <f t="shared" si="45"/>
        <v>1.5841766183644818E-2</v>
      </c>
      <c r="H142" s="172">
        <v>1.5841766183644818E-2</v>
      </c>
    </row>
    <row r="143" spans="1:8" x14ac:dyDescent="0.8">
      <c r="A143" s="22"/>
      <c r="B143" s="7"/>
      <c r="C143" s="7">
        <v>60</v>
      </c>
      <c r="D143" s="7">
        <f t="shared" si="44"/>
        <v>1.9999999999999956</v>
      </c>
      <c r="E143" s="7">
        <v>1.9999999999999956</v>
      </c>
      <c r="F143" s="7">
        <v>0.01</v>
      </c>
      <c r="G143" s="7">
        <f t="shared" si="45"/>
        <v>1.9999999999999955E-2</v>
      </c>
      <c r="H143" s="172">
        <v>1.9999999999999955E-2</v>
      </c>
    </row>
    <row r="144" spans="1:8" x14ac:dyDescent="0.8">
      <c r="A144" s="22"/>
      <c r="B144" s="7"/>
      <c r="C144" s="7">
        <v>61</v>
      </c>
      <c r="D144" s="7">
        <f t="shared" si="44"/>
        <v>2.4158233816355166</v>
      </c>
      <c r="E144" s="7">
        <v>2.4158233816355166</v>
      </c>
      <c r="F144" s="7">
        <v>0.01</v>
      </c>
      <c r="G144" s="7">
        <f t="shared" si="45"/>
        <v>2.4158233816355165E-2</v>
      </c>
      <c r="H144" s="172">
        <v>2.4158233816355165E-2</v>
      </c>
    </row>
    <row r="145" spans="1:8" x14ac:dyDescent="0.8">
      <c r="A145" s="22"/>
      <c r="B145" s="7"/>
      <c r="C145" s="7">
        <v>62</v>
      </c>
      <c r="D145" s="7">
        <f t="shared" si="44"/>
        <v>2.8134732861515972</v>
      </c>
      <c r="E145" s="7">
        <v>2.8134732861515972</v>
      </c>
      <c r="F145" s="7">
        <v>0.01</v>
      </c>
      <c r="G145" s="7">
        <f t="shared" si="45"/>
        <v>2.8134732861515972E-2</v>
      </c>
      <c r="H145" s="172">
        <v>2.8134732861515972E-2</v>
      </c>
    </row>
    <row r="146" spans="1:8" x14ac:dyDescent="0.8">
      <c r="A146" s="22"/>
      <c r="B146" s="7"/>
      <c r="C146" s="7">
        <v>63</v>
      </c>
      <c r="D146" s="7">
        <f t="shared" si="44"/>
        <v>3.1755705045849454</v>
      </c>
      <c r="E146" s="7">
        <v>3.1755705045849454</v>
      </c>
      <c r="F146" s="7">
        <v>0.01</v>
      </c>
      <c r="G146" s="7">
        <f t="shared" si="45"/>
        <v>3.1755705045849451E-2</v>
      </c>
      <c r="H146" s="172">
        <v>3.1755705045849451E-2</v>
      </c>
    </row>
    <row r="147" spans="1:8" ht="16.75" thickBot="1" x14ac:dyDescent="0.95">
      <c r="A147" s="23"/>
      <c r="B147" s="24"/>
      <c r="C147" s="24">
        <v>64</v>
      </c>
      <c r="D147" s="24">
        <f t="shared" ref="D147" si="46">$H$86*SIN(2*PI()*C147/$H$87)+2</f>
        <v>3.4862896509547872</v>
      </c>
      <c r="E147" s="24">
        <v>3.4862896509547872</v>
      </c>
      <c r="F147" s="24">
        <v>0.01</v>
      </c>
      <c r="G147" s="24">
        <f t="shared" si="45"/>
        <v>3.4862896509547874E-2</v>
      </c>
      <c r="H147" s="247">
        <v>3.4862896509547874E-2</v>
      </c>
    </row>
  </sheetData>
  <mergeCells count="3">
    <mergeCell ref="I1:N2"/>
    <mergeCell ref="O1:AP2"/>
    <mergeCell ref="B1:H2"/>
  </mergeCells>
  <hyperlinks>
    <hyperlink ref="A1" location="'Cover Page '!A1" display="Back to cover page "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D1FF"/>
  </sheetPr>
  <dimension ref="A1:O26"/>
  <sheetViews>
    <sheetView showGridLines="0" workbookViewId="0"/>
  </sheetViews>
  <sheetFormatPr defaultColWidth="8.83203125" defaultRowHeight="14.75" x14ac:dyDescent="0.75"/>
  <cols>
    <col min="1" max="1" width="17.5" style="1314" bestFit="1" customWidth="1"/>
    <col min="2" max="2" width="7.6640625" style="1314" bestFit="1" customWidth="1"/>
    <col min="3" max="3" width="7.6640625" style="1314" customWidth="1"/>
    <col min="4" max="4" width="8.6640625" style="1314" customWidth="1"/>
    <col min="5" max="5" width="8" style="1314" customWidth="1"/>
    <col min="6" max="15" width="7" style="1314" bestFit="1" customWidth="1"/>
    <col min="16" max="16384" width="8.83203125" style="1314"/>
  </cols>
  <sheetData>
    <row r="1" spans="1:15" ht="16.75" thickBot="1" x14ac:dyDescent="0.95">
      <c r="A1" s="1621" t="s">
        <v>534</v>
      </c>
    </row>
    <row r="2" spans="1:15" ht="16" x14ac:dyDescent="0.8">
      <c r="A2" s="1447"/>
      <c r="B2" s="1448" t="s">
        <v>599</v>
      </c>
      <c r="C2"/>
    </row>
    <row r="3" spans="1:15" x14ac:dyDescent="0.75">
      <c r="A3" s="1449" t="s">
        <v>677</v>
      </c>
      <c r="B3" s="1499">
        <f>'Unlevering Betas '!B18</f>
        <v>1.1354047099312135</v>
      </c>
      <c r="C3" s="1572"/>
    </row>
    <row r="4" spans="1:15" ht="16" x14ac:dyDescent="0.8">
      <c r="A4" s="1451" t="s">
        <v>600</v>
      </c>
      <c r="B4" s="1500">
        <f>3.2356*0.01</f>
        <v>3.2355999999999996E-2</v>
      </c>
      <c r="C4" s="1573"/>
    </row>
    <row r="5" spans="1:15" x14ac:dyDescent="0.75">
      <c r="A5" s="1451" t="s">
        <v>601</v>
      </c>
      <c r="B5" s="1499">
        <f>Stock!B40</f>
        <v>-2.4020076694140041E-3</v>
      </c>
      <c r="C5" s="1572"/>
    </row>
    <row r="6" spans="1:15" x14ac:dyDescent="0.75">
      <c r="A6" s="1451" t="s">
        <v>602</v>
      </c>
      <c r="B6" s="1499">
        <f>((AVERAGE('Raw Data'!AL4:AL360))+1)^52-1</f>
        <v>-0.28019016394937768</v>
      </c>
      <c r="C6" s="1572"/>
    </row>
    <row r="7" spans="1:15" x14ac:dyDescent="0.75">
      <c r="A7" s="1451" t="s">
        <v>603</v>
      </c>
      <c r="B7" s="1499">
        <f>Stock!B60</f>
        <v>-1.6960428557444829E-3</v>
      </c>
      <c r="C7" s="1572"/>
    </row>
    <row r="8" spans="1:15" x14ac:dyDescent="0.75">
      <c r="A8" s="1451" t="s">
        <v>604</v>
      </c>
      <c r="B8" s="1499">
        <f>(AVERAGE('Raw Data'!AO4:AO360)+1)^52-1</f>
        <v>-0.69772057128358234</v>
      </c>
      <c r="C8" s="1572"/>
    </row>
    <row r="9" spans="1:15" ht="16" x14ac:dyDescent="0.8">
      <c r="A9" s="1451" t="s">
        <v>605</v>
      </c>
      <c r="B9" s="1501">
        <f>0.01*259.44%</f>
        <v>2.5943999999999998E-2</v>
      </c>
      <c r="C9" s="1574"/>
    </row>
    <row r="10" spans="1:15" ht="15.5" thickBot="1" x14ac:dyDescent="0.9">
      <c r="A10" s="1453" t="s">
        <v>678</v>
      </c>
      <c r="B10" s="1502">
        <f>B9+B3*B4+B5*B6+B7*B8</f>
        <v>6.4537537707466577E-2</v>
      </c>
      <c r="C10" s="1575"/>
    </row>
    <row r="11" spans="1:15" x14ac:dyDescent="0.75">
      <c r="A11" s="1321" t="s">
        <v>724</v>
      </c>
      <c r="B11" s="1503">
        <f>B9+B3*B4</f>
        <v>6.268115479453433E-2</v>
      </c>
      <c r="C11" s="1503"/>
    </row>
    <row r="12" spans="1:15" x14ac:dyDescent="0.75">
      <c r="A12" s="1321"/>
    </row>
    <row r="14" spans="1:15" ht="15.5" thickBot="1" x14ac:dyDescent="0.9"/>
    <row r="15" spans="1:15" x14ac:dyDescent="0.75">
      <c r="E15" s="1580" t="s">
        <v>737</v>
      </c>
      <c r="F15" s="1577"/>
      <c r="G15" s="1577"/>
      <c r="H15" s="1577"/>
      <c r="I15" s="1577"/>
      <c r="J15" s="1577"/>
      <c r="K15" s="1577"/>
      <c r="L15" s="1577"/>
      <c r="M15" s="1577"/>
      <c r="N15" s="1577"/>
      <c r="O15" s="1578"/>
    </row>
    <row r="16" spans="1:15" x14ac:dyDescent="0.75">
      <c r="E16" s="1579"/>
      <c r="F16" s="1576"/>
      <c r="G16" s="1697" t="s">
        <v>735</v>
      </c>
      <c r="H16" s="1698"/>
      <c r="I16" s="1698"/>
      <c r="J16" s="1698"/>
      <c r="K16" s="1698"/>
      <c r="L16" s="1698"/>
      <c r="M16" s="1698"/>
      <c r="N16" s="1698"/>
      <c r="O16" s="1699"/>
    </row>
    <row r="17" spans="5:15" x14ac:dyDescent="0.75">
      <c r="E17" s="1451"/>
      <c r="F17" s="1592">
        <f>'APV Valuation'!B36</f>
        <v>10.653657453279301</v>
      </c>
      <c r="G17" s="1581">
        <f t="shared" ref="G17:I17" si="0">H17-0.00125</f>
        <v>2.7355999999999991E-2</v>
      </c>
      <c r="H17" s="1581">
        <f t="shared" si="0"/>
        <v>2.8605999999999993E-2</v>
      </c>
      <c r="I17" s="1581">
        <f t="shared" si="0"/>
        <v>2.9855999999999994E-2</v>
      </c>
      <c r="J17" s="1581">
        <f>K17-0.00125</f>
        <v>3.1105999999999995E-2</v>
      </c>
      <c r="K17" s="1591">
        <v>3.2355999999999996E-2</v>
      </c>
      <c r="L17" s="1581">
        <f>K17+0.00125</f>
        <v>3.3605999999999997E-2</v>
      </c>
      <c r="M17" s="1581">
        <f t="shared" ref="M17:O17" si="1">L17+0.00125</f>
        <v>3.4855999999999998E-2</v>
      </c>
      <c r="N17" s="1581">
        <f t="shared" si="1"/>
        <v>3.6105999999999999E-2</v>
      </c>
      <c r="O17" s="1583">
        <f t="shared" si="1"/>
        <v>3.7356E-2</v>
      </c>
    </row>
    <row r="18" spans="5:15" x14ac:dyDescent="0.75">
      <c r="E18" s="1700" t="s">
        <v>736</v>
      </c>
      <c r="F18" s="1581">
        <f t="shared" ref="F18:F20" si="2">F19-0.00125</f>
        <v>2.0943999999999994E-2</v>
      </c>
      <c r="G18" s="1584">
        <f t="dataTable" ref="G18:O26" dt2D="1" dtr="1" r1="B4" r2="B9"/>
        <v>11.672425071391718</v>
      </c>
      <c r="H18" s="1584">
        <v>11.519017220159052</v>
      </c>
      <c r="I18" s="1584">
        <v>11.371677126723696</v>
      </c>
      <c r="J18" s="1584">
        <v>11.230081110104626</v>
      </c>
      <c r="K18" s="1588">
        <v>11.093927416176649</v>
      </c>
      <c r="L18" s="1584">
        <v>10.962934408197949</v>
      </c>
      <c r="M18" s="1584">
        <v>10.836838933301591</v>
      </c>
      <c r="N18" s="1584">
        <v>10.715394845306996</v>
      </c>
      <c r="O18" s="1585">
        <v>10.598371666674582</v>
      </c>
    </row>
    <row r="19" spans="5:15" x14ac:dyDescent="0.75">
      <c r="E19" s="1701"/>
      <c r="F19" s="1581">
        <f t="shared" si="2"/>
        <v>2.2193999999999995E-2</v>
      </c>
      <c r="G19" s="1584">
        <v>11.536986902078011</v>
      </c>
      <c r="H19" s="1584">
        <v>11.388940635878539</v>
      </c>
      <c r="I19" s="1584">
        <v>11.246675858687746</v>
      </c>
      <c r="J19" s="1584">
        <v>11.10988830015223</v>
      </c>
      <c r="K19" s="1588">
        <v>10.978294013439623</v>
      </c>
      <c r="L19" s="1584">
        <v>10.851627721829153</v>
      </c>
      <c r="M19" s="1584">
        <v>10.729641323828076</v>
      </c>
      <c r="N19" s="1584">
        <v>10.612102539361665</v>
      </c>
      <c r="O19" s="1585">
        <v>10.498793681747514</v>
      </c>
    </row>
    <row r="20" spans="5:15" x14ac:dyDescent="0.75">
      <c r="E20" s="1701"/>
      <c r="F20" s="1581">
        <f t="shared" si="2"/>
        <v>2.3443999999999996E-2</v>
      </c>
      <c r="G20" s="1584">
        <v>11.406286344554976</v>
      </c>
      <c r="H20" s="1584">
        <v>11.263348481541575</v>
      </c>
      <c r="I20" s="1584">
        <v>11.125923021984285</v>
      </c>
      <c r="J20" s="1584">
        <v>10.993723685468384</v>
      </c>
      <c r="K20" s="1588">
        <v>10.866483050179149</v>
      </c>
      <c r="L20" s="1584">
        <v>10.743951040075306</v>
      </c>
      <c r="M20" s="1584">
        <v>10.625893555097436</v>
      </c>
      <c r="N20" s="1584">
        <v>10.512091228880765</v>
      </c>
      <c r="O20" s="1585">
        <v>10.402338300339013</v>
      </c>
    </row>
    <row r="21" spans="5:15" x14ac:dyDescent="0.75">
      <c r="E21" s="1701"/>
      <c r="F21" s="1581">
        <f>F22-0.00125</f>
        <v>2.4693999999999997E-2</v>
      </c>
      <c r="G21" s="1584">
        <v>11.280099478827246</v>
      </c>
      <c r="H21" s="1584">
        <v>11.142032048668879</v>
      </c>
      <c r="I21" s="1584">
        <v>11.009223860793329</v>
      </c>
      <c r="J21" s="1584">
        <v>10.881405326796912</v>
      </c>
      <c r="K21" s="1588">
        <v>10.758324376626494</v>
      </c>
      <c r="L21" s="1584">
        <v>10.639745072585816</v>
      </c>
      <c r="M21" s="1584">
        <v>10.525446352593196</v>
      </c>
      <c r="N21" s="1584">
        <v>10.415220888845187</v>
      </c>
      <c r="O21" s="1585">
        <v>10.308874049711092</v>
      </c>
    </row>
    <row r="22" spans="5:15" x14ac:dyDescent="0.75">
      <c r="E22" s="1701"/>
      <c r="F22" s="1591">
        <v>2.5943999999999998E-2</v>
      </c>
      <c r="G22" s="1588">
        <v>11.158215851011263</v>
      </c>
      <c r="H22" s="1588">
        <v>11.024794979427321</v>
      </c>
      <c r="I22" s="1588">
        <v>10.896394963354993</v>
      </c>
      <c r="J22" s="1588">
        <v>10.772761719035843</v>
      </c>
      <c r="K22" s="1441">
        <v>10.653657453279301</v>
      </c>
      <c r="L22" s="1588">
        <v>10.538859392068643</v>
      </c>
      <c r="M22" s="1588">
        <v>10.428158626131681</v>
      </c>
      <c r="N22" s="1588">
        <v>10.321359061114153</v>
      </c>
      <c r="O22" s="1589">
        <v>10.218276461465088</v>
      </c>
    </row>
    <row r="23" spans="5:15" x14ac:dyDescent="0.75">
      <c r="E23" s="1701"/>
      <c r="F23" s="1581">
        <f>F22+0.00125</f>
        <v>2.7193999999999999E-2</v>
      </c>
      <c r="G23" s="1584">
        <v>11.040437484921865</v>
      </c>
      <c r="H23" s="1584">
        <v>10.911452374784776</v>
      </c>
      <c r="I23" s="1584">
        <v>10.787263455862654</v>
      </c>
      <c r="J23" s="1584">
        <v>10.667631061404997</v>
      </c>
      <c r="K23" s="1588">
        <v>10.552330689055971</v>
      </c>
      <c r="L23" s="1584">
        <v>10.441151833156477</v>
      </c>
      <c r="M23" s="1584">
        <v>10.333896923041904</v>
      </c>
      <c r="N23" s="1584">
        <v>10.230380356279907</v>
      </c>
      <c r="O23" s="1585">
        <v>10.130427617091538</v>
      </c>
    </row>
    <row r="24" spans="5:15" x14ac:dyDescent="0.75">
      <c r="E24" s="1701"/>
      <c r="F24" s="1581">
        <f t="shared" ref="F24:F26" si="3">F23+0.00125</f>
        <v>2.8444000000000001E-2</v>
      </c>
      <c r="G24" s="1584">
        <v>10.926577979308387</v>
      </c>
      <c r="H24" s="1584">
        <v>10.801829978700264</v>
      </c>
      <c r="I24" s="1584">
        <v>10.681666263990966</v>
      </c>
      <c r="J24" s="1584">
        <v>10.565860587892979</v>
      </c>
      <c r="K24" s="1588">
        <v>10.454200833273465</v>
      </c>
      <c r="L24" s="1584">
        <v>10.346487939419346</v>
      </c>
      <c r="M24" s="1584">
        <v>10.242534924489018</v>
      </c>
      <c r="N24" s="1584">
        <v>10.142165994248549</v>
      </c>
      <c r="O24" s="1585">
        <v>10.045215728338468</v>
      </c>
    </row>
    <row r="25" spans="5:15" x14ac:dyDescent="0.75">
      <c r="E25" s="1701"/>
      <c r="F25" s="1581">
        <f t="shared" si="3"/>
        <v>2.9694000000000002E-2</v>
      </c>
      <c r="G25" s="1584">
        <v>10.816461682205393</v>
      </c>
      <c r="H25" s="1584">
        <v>10.695763430892894</v>
      </c>
      <c r="I25" s="1584">
        <v>10.579449435530709</v>
      </c>
      <c r="J25" s="1584">
        <v>10.467305952254526</v>
      </c>
      <c r="K25" s="1588">
        <v>10.359132416411443</v>
      </c>
      <c r="L25" s="1584">
        <v>10.254740454085114</v>
      </c>
      <c r="M25" s="1584">
        <v>10.153952981022611</v>
      </c>
      <c r="N25" s="1584">
        <v>10.056603380080755</v>
      </c>
      <c r="O25" s="1585">
        <v>9.9625347493259131</v>
      </c>
    </row>
    <row r="26" spans="5:15" ht="15.5" thickBot="1" x14ac:dyDescent="0.9">
      <c r="E26" s="1702"/>
      <c r="F26" s="1582">
        <f t="shared" si="3"/>
        <v>3.0944000000000003E-2</v>
      </c>
      <c r="G26" s="1586">
        <v>10.709922934820979</v>
      </c>
      <c r="H26" s="1586">
        <v>10.593097581557926</v>
      </c>
      <c r="I26" s="1586">
        <v>10.480467518311846</v>
      </c>
      <c r="J26" s="1586">
        <v>10.371830662443527</v>
      </c>
      <c r="K26" s="1590">
        <v>10.266997235156927</v>
      </c>
      <c r="L26" s="1586">
        <v>10.16578885049082</v>
      </c>
      <c r="M26" s="1586">
        <v>10.068037683832825</v>
      </c>
      <c r="N26" s="1586">
        <v>9.9735857119760176</v>
      </c>
      <c r="O26" s="1587">
        <v>9.8822840176410427</v>
      </c>
    </row>
  </sheetData>
  <mergeCells count="2">
    <mergeCell ref="G16:O16"/>
    <mergeCell ref="E18:E26"/>
  </mergeCells>
  <hyperlinks>
    <hyperlink ref="A1" location="'Cover Page '!A1" display="Back to cover page " xr:uid="{00000000-0004-0000-1700-000000000000}"/>
  </hyperlinks>
  <pageMargins left="0.7" right="0.7" top="0.75" bottom="0.75" header="0.3" footer="0.3"/>
  <pageSetup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2D1FF"/>
  </sheetPr>
  <dimension ref="A1:K21"/>
  <sheetViews>
    <sheetView showGridLines="0" workbookViewId="0"/>
  </sheetViews>
  <sheetFormatPr defaultColWidth="8.83203125" defaultRowHeight="14.75" x14ac:dyDescent="0.75"/>
  <cols>
    <col min="1" max="1" width="18" style="1314" bestFit="1" customWidth="1"/>
    <col min="2" max="16384" width="8.83203125" style="1314"/>
  </cols>
  <sheetData>
    <row r="1" spans="1:11" x14ac:dyDescent="0.75">
      <c r="A1" s="1620" t="s">
        <v>534</v>
      </c>
    </row>
    <row r="2" spans="1:11" ht="15.5" thickBot="1" x14ac:dyDescent="0.9"/>
    <row r="3" spans="1:11" ht="15.5" thickBot="1" x14ac:dyDescent="0.9">
      <c r="A3" s="1455"/>
      <c r="B3" s="1456" t="s">
        <v>606</v>
      </c>
      <c r="C3" s="1456" t="s">
        <v>607</v>
      </c>
      <c r="D3" s="1456" t="s">
        <v>608</v>
      </c>
      <c r="E3" s="1456" t="s">
        <v>609</v>
      </c>
      <c r="F3" s="1457" t="s">
        <v>610</v>
      </c>
    </row>
    <row r="4" spans="1:11" x14ac:dyDescent="0.75">
      <c r="A4" s="1451" t="s">
        <v>611</v>
      </c>
      <c r="B4" s="1458" t="s">
        <v>165</v>
      </c>
      <c r="C4" s="1458" t="s">
        <v>581</v>
      </c>
      <c r="D4" s="1459" t="s">
        <v>582</v>
      </c>
      <c r="E4" s="1458" t="s">
        <v>165</v>
      </c>
      <c r="F4" s="1450" t="s">
        <v>582</v>
      </c>
    </row>
    <row r="5" spans="1:11" x14ac:dyDescent="0.75">
      <c r="A5" s="1451" t="s">
        <v>612</v>
      </c>
      <c r="B5" s="1458">
        <v>5.5E-2</v>
      </c>
      <c r="C5" s="1458">
        <v>0.23799999999999999</v>
      </c>
      <c r="D5" s="1458">
        <v>0.11</v>
      </c>
      <c r="E5" s="1458">
        <v>5.5E-2</v>
      </c>
      <c r="F5" s="1450">
        <v>0.11</v>
      </c>
    </row>
    <row r="6" spans="1:11" ht="16" x14ac:dyDescent="0.8">
      <c r="A6" s="1451" t="s">
        <v>613</v>
      </c>
      <c r="B6" s="1460">
        <v>3.2399999999999998E-2</v>
      </c>
      <c r="C6" s="1460">
        <v>3.2399999999999998E-2</v>
      </c>
      <c r="D6" s="1460">
        <v>3.2399999999999998E-2</v>
      </c>
      <c r="E6" s="1460">
        <v>3.2399999999999998E-2</v>
      </c>
      <c r="F6" s="1452">
        <v>3.2399999999999998E-2</v>
      </c>
    </row>
    <row r="7" spans="1:11" ht="16" x14ac:dyDescent="0.8">
      <c r="A7" s="1451" t="s">
        <v>614</v>
      </c>
      <c r="B7" s="1460">
        <v>5.7000000000000002E-2</v>
      </c>
      <c r="C7" s="1460">
        <v>5.7000000000000002E-2</v>
      </c>
      <c r="D7" s="1460">
        <v>5.7000000000000002E-2</v>
      </c>
      <c r="E7" s="1460">
        <v>5.7000000000000002E-2</v>
      </c>
      <c r="F7" s="1452">
        <v>5.7000000000000002E-2</v>
      </c>
    </row>
    <row r="8" spans="1:11" ht="16" x14ac:dyDescent="0.8">
      <c r="A8" s="1451" t="s">
        <v>605</v>
      </c>
      <c r="B8" s="1460">
        <f>0.01*259.44%</f>
        <v>2.5943999999999998E-2</v>
      </c>
      <c r="C8" s="1460">
        <f t="shared" ref="C8:F8" si="0">0.01*259.44%</f>
        <v>2.5943999999999998E-2</v>
      </c>
      <c r="D8" s="1460">
        <f t="shared" si="0"/>
        <v>2.5943999999999998E-2</v>
      </c>
      <c r="E8" s="1460">
        <f t="shared" si="0"/>
        <v>2.5943999999999998E-2</v>
      </c>
      <c r="F8" s="1452">
        <f t="shared" si="0"/>
        <v>2.5943999999999998E-2</v>
      </c>
    </row>
    <row r="9" spans="1:11" x14ac:dyDescent="0.75">
      <c r="A9" s="1461" t="s">
        <v>615</v>
      </c>
      <c r="B9" s="1462">
        <f>B7+B6*B5</f>
        <v>5.8782000000000001E-2</v>
      </c>
      <c r="C9" s="1463">
        <f>C7+C6*C5</f>
        <v>6.4711199999999997E-2</v>
      </c>
      <c r="D9" s="1463">
        <f t="shared" ref="D9:F9" si="1">D7+D6*D5</f>
        <v>6.0564E-2</v>
      </c>
      <c r="E9" s="1463">
        <f t="shared" si="1"/>
        <v>5.8782000000000001E-2</v>
      </c>
      <c r="F9" s="1464">
        <f t="shared" si="1"/>
        <v>6.0564E-2</v>
      </c>
    </row>
    <row r="10" spans="1:11" ht="15.5" thickBot="1" x14ac:dyDescent="0.9">
      <c r="A10" s="1453" t="s">
        <v>616</v>
      </c>
      <c r="B10" s="1465">
        <f>(B9-B8)/B6</f>
        <v>1.0135185185185187</v>
      </c>
      <c r="C10" s="1465">
        <f>(C9-C8)/C6</f>
        <v>1.1965185185185185</v>
      </c>
      <c r="D10" s="1465">
        <f t="shared" ref="D10:F10" si="2">(D9-D8)/D6</f>
        <v>1.0685185185185184</v>
      </c>
      <c r="E10" s="1465">
        <f t="shared" si="2"/>
        <v>1.0135185185185187</v>
      </c>
      <c r="F10" s="1454">
        <f t="shared" si="2"/>
        <v>1.0685185185185184</v>
      </c>
    </row>
    <row r="14" spans="1:11" ht="15.5" thickBot="1" x14ac:dyDescent="0.9"/>
    <row r="15" spans="1:11" ht="15.5" thickBot="1" x14ac:dyDescent="0.9">
      <c r="A15" s="1744" t="s">
        <v>617</v>
      </c>
      <c r="B15" s="1745"/>
      <c r="C15" s="1745"/>
      <c r="D15" s="1745"/>
      <c r="E15" s="1745"/>
      <c r="F15" s="1745"/>
      <c r="G15" s="1745"/>
      <c r="H15" s="1746"/>
    </row>
    <row r="16" spans="1:11" x14ac:dyDescent="0.75">
      <c r="A16" s="1451"/>
      <c r="B16" s="1323" t="s">
        <v>618</v>
      </c>
      <c r="C16" s="1323" t="s">
        <v>619</v>
      </c>
      <c r="D16" s="1323" t="s">
        <v>620</v>
      </c>
      <c r="E16" s="1323" t="s">
        <v>621</v>
      </c>
      <c r="F16" s="1323" t="s">
        <v>622</v>
      </c>
      <c r="G16" s="1323" t="s">
        <v>623</v>
      </c>
      <c r="H16" s="1466" t="s">
        <v>624</v>
      </c>
      <c r="J16" s="1473" t="s">
        <v>564</v>
      </c>
      <c r="K16" s="1474" t="s">
        <v>625</v>
      </c>
    </row>
    <row r="17" spans="1:11" x14ac:dyDescent="0.75">
      <c r="A17" s="1461" t="s">
        <v>599</v>
      </c>
      <c r="B17" s="1324">
        <v>0.12467924240109973</v>
      </c>
      <c r="C17" s="1324">
        <v>0.11152330569959057</v>
      </c>
      <c r="D17" s="1324">
        <v>9.572658715301921E-2</v>
      </c>
      <c r="E17" s="1324">
        <v>0.16847076318967133</v>
      </c>
      <c r="F17" s="1324">
        <v>0.15674725857130237</v>
      </c>
      <c r="G17" s="1324">
        <v>0.23763211337729831</v>
      </c>
      <c r="H17" s="1467"/>
      <c r="J17" s="1470">
        <f>AVERAGE(B17:H17)</f>
        <v>0.14912987839866357</v>
      </c>
      <c r="K17" s="1450">
        <f>_xlfn.STDEV.P(B17:H17)</f>
        <v>4.6777379376735415E-2</v>
      </c>
    </row>
    <row r="18" spans="1:11" x14ac:dyDescent="0.75">
      <c r="A18" s="1461" t="s">
        <v>626</v>
      </c>
      <c r="B18" s="1324">
        <v>0.25021492535316331</v>
      </c>
      <c r="C18" s="1324">
        <v>0.29203070435527445</v>
      </c>
      <c r="D18" s="1324">
        <v>0.37562928462011885</v>
      </c>
      <c r="E18" s="1324">
        <v>0.47917808386936783</v>
      </c>
      <c r="F18" s="1324">
        <v>0.28244658045271481</v>
      </c>
      <c r="G18" s="1324">
        <v>0.23252519098211671</v>
      </c>
      <c r="H18" s="1467">
        <v>0.22901121094371094</v>
      </c>
      <c r="J18" s="1470">
        <f>AVERAGE(B18:D18,F18:H18)</f>
        <v>0.27697631611784984</v>
      </c>
      <c r="K18" s="1450">
        <f>_xlfn.STDEV.P(B18:D18,F18:H18)</f>
        <v>4.9969478129596422E-2</v>
      </c>
    </row>
    <row r="19" spans="1:11" x14ac:dyDescent="0.75">
      <c r="A19" s="1461" t="s">
        <v>627</v>
      </c>
      <c r="B19" s="1324">
        <v>0</v>
      </c>
      <c r="C19" s="1324">
        <v>0</v>
      </c>
      <c r="D19" s="1324">
        <v>0.32249178742171353</v>
      </c>
      <c r="E19" s="1324">
        <v>0.3525846810001631</v>
      </c>
      <c r="F19" s="1324">
        <v>0.31478616195095765</v>
      </c>
      <c r="G19" s="1324">
        <v>0.32800583356770258</v>
      </c>
      <c r="H19" s="1467">
        <v>0.2847442565104305</v>
      </c>
      <c r="J19" s="1470">
        <f>AVERAGE(B19:H19)</f>
        <v>0.22894467435013821</v>
      </c>
      <c r="K19" s="1450">
        <f>_xlfn.STDEV.P(D19:H19)</f>
        <v>2.1912782142503657E-2</v>
      </c>
    </row>
    <row r="20" spans="1:11" x14ac:dyDescent="0.75">
      <c r="A20" s="1461" t="s">
        <v>628</v>
      </c>
      <c r="B20" s="1324">
        <v>0.22380487258610393</v>
      </c>
      <c r="C20" s="1324">
        <v>0.19880979366933785</v>
      </c>
      <c r="D20" s="1324">
        <v>0.19440798311074739</v>
      </c>
      <c r="E20" s="1324">
        <v>0.16268104909841571</v>
      </c>
      <c r="F20" s="1324">
        <v>0.19902099878423257</v>
      </c>
      <c r="G20" s="1324">
        <v>0.21151783167318955</v>
      </c>
      <c r="H20" s="1467">
        <v>0.17703853935258651</v>
      </c>
      <c r="J20" s="1470">
        <f>AVERAGE(B20:H20)</f>
        <v>0.19532586689637338</v>
      </c>
      <c r="K20" s="1450">
        <f>_xlfn.STDEV.P(B20:H20)</f>
        <v>1.8898141338074673E-2</v>
      </c>
    </row>
    <row r="21" spans="1:11" ht="15.5" thickBot="1" x14ac:dyDescent="0.9">
      <c r="A21" s="1453" t="s">
        <v>629</v>
      </c>
      <c r="B21" s="1468">
        <v>0</v>
      </c>
      <c r="C21" s="1468">
        <v>6.8763327473731276E-2</v>
      </c>
      <c r="D21" s="1468">
        <v>0.59618010366006802</v>
      </c>
      <c r="E21" s="1468">
        <v>0.58151874714488194</v>
      </c>
      <c r="F21" s="1468">
        <v>0.54648798625074413</v>
      </c>
      <c r="G21" s="1468">
        <v>0.20237433658242551</v>
      </c>
      <c r="H21" s="1469">
        <v>0.39293681000858599</v>
      </c>
      <c r="J21" s="1471">
        <f>AVERAGE(B21:H21)</f>
        <v>0.34118018730291955</v>
      </c>
      <c r="K21" s="1472">
        <f>_xlfn.STDEV.P(C21:H21)</f>
        <v>0.20070499800170433</v>
      </c>
    </row>
  </sheetData>
  <mergeCells count="1">
    <mergeCell ref="A15:H15"/>
  </mergeCells>
  <hyperlinks>
    <hyperlink ref="A1" location="'Cover Page '!A1" display="Back to cover page "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2D1FF"/>
  </sheetPr>
  <dimension ref="A1:F20"/>
  <sheetViews>
    <sheetView showGridLines="0" workbookViewId="0">
      <selection activeCell="E34" sqref="E34"/>
    </sheetView>
  </sheetViews>
  <sheetFormatPr defaultColWidth="8.83203125" defaultRowHeight="14.75" x14ac:dyDescent="0.75"/>
  <cols>
    <col min="1" max="1" width="31.1640625" style="1325" customWidth="1"/>
    <col min="2" max="16384" width="8.83203125" style="1314"/>
  </cols>
  <sheetData>
    <row r="1" spans="1:6" ht="15.5" thickBot="1" x14ac:dyDescent="0.9">
      <c r="A1" s="1622" t="s">
        <v>533</v>
      </c>
    </row>
    <row r="2" spans="1:6" ht="15.5" thickBot="1" x14ac:dyDescent="0.9">
      <c r="A2" s="1475"/>
      <c r="B2" s="1476" t="s">
        <v>606</v>
      </c>
      <c r="C2" s="1476" t="s">
        <v>607</v>
      </c>
      <c r="D2" s="1476" t="s">
        <v>608</v>
      </c>
      <c r="E2" s="1476" t="s">
        <v>609</v>
      </c>
      <c r="F2" s="1448" t="s">
        <v>610</v>
      </c>
    </row>
    <row r="3" spans="1:6" ht="15.5" thickBot="1" x14ac:dyDescent="0.9">
      <c r="A3" s="1747" t="s">
        <v>630</v>
      </c>
      <c r="B3" s="1748"/>
      <c r="C3" s="1748"/>
      <c r="D3" s="1748"/>
      <c r="E3" s="1748"/>
      <c r="F3" s="1749"/>
    </row>
    <row r="4" spans="1:6" x14ac:dyDescent="0.75">
      <c r="A4" s="1477" t="s">
        <v>631</v>
      </c>
      <c r="B4" s="1458">
        <f>Stock!B20</f>
        <v>1.324761173885729</v>
      </c>
      <c r="C4" s="1458">
        <f>'Comp 1'!B20</f>
        <v>1.3003206990852223</v>
      </c>
      <c r="D4" s="1458">
        <f>'Comp 2'!B20</f>
        <v>1.2719486789381229</v>
      </c>
      <c r="E4" s="1458">
        <f>'Comp 3'!B20</f>
        <v>1.5306900005781325</v>
      </c>
      <c r="F4" s="1450">
        <f>'Comp 4'!B20</f>
        <v>1.4693341549898296</v>
      </c>
    </row>
    <row r="5" spans="1:6" x14ac:dyDescent="0.75">
      <c r="A5" s="1477" t="s">
        <v>632</v>
      </c>
      <c r="B5" s="1458">
        <f>'Costs of Debt'!B10</f>
        <v>1.0135185185185187</v>
      </c>
      <c r="C5" s="1458">
        <f>'Costs of Debt'!C10</f>
        <v>1.1965185185185185</v>
      </c>
      <c r="D5" s="1458">
        <f>'Costs of Debt'!D10</f>
        <v>1.0685185185185184</v>
      </c>
      <c r="E5" s="1458">
        <f>'Costs of Debt'!E10</f>
        <v>1.0135185185185187</v>
      </c>
      <c r="F5" s="1450">
        <f>'Costs of Debt'!F10</f>
        <v>1.0685185185185184</v>
      </c>
    </row>
    <row r="6" spans="1:6" x14ac:dyDescent="0.75">
      <c r="A6" s="1477" t="s">
        <v>633</v>
      </c>
      <c r="B6" s="1478" t="s">
        <v>634</v>
      </c>
      <c r="C6" s="1478" t="s">
        <v>634</v>
      </c>
      <c r="D6" s="1478" t="s">
        <v>634</v>
      </c>
      <c r="E6" s="1478" t="s">
        <v>634</v>
      </c>
      <c r="F6" s="1479" t="s">
        <v>634</v>
      </c>
    </row>
    <row r="7" spans="1:6" x14ac:dyDescent="0.75">
      <c r="A7" s="1477"/>
      <c r="B7" s="1458"/>
      <c r="C7" s="1458"/>
      <c r="D7" s="1458"/>
      <c r="E7" s="1458"/>
      <c r="F7" s="1450"/>
    </row>
    <row r="8" spans="1:6" x14ac:dyDescent="0.75">
      <c r="A8" s="1480" t="s">
        <v>635</v>
      </c>
      <c r="B8" s="1481">
        <f>'Costs of Debt'!J17</f>
        <v>0.14912987839866357</v>
      </c>
      <c r="C8" s="1481">
        <f>'Costs of Debt'!J18</f>
        <v>0.27697631611784984</v>
      </c>
      <c r="D8" s="1481">
        <f>'Costs of Debt'!J19</f>
        <v>0.22894467435013821</v>
      </c>
      <c r="E8" s="1481">
        <f>'Costs of Debt'!J20</f>
        <v>0.19532586689637338</v>
      </c>
      <c r="F8" s="1482">
        <f>'Costs of Debt'!J21</f>
        <v>0.34118018730291955</v>
      </c>
    </row>
    <row r="9" spans="1:6" x14ac:dyDescent="0.75">
      <c r="A9" s="1480" t="s">
        <v>636</v>
      </c>
      <c r="B9" s="1481">
        <f>1-B8</f>
        <v>0.85087012160133646</v>
      </c>
      <c r="C9" s="1481">
        <f t="shared" ref="C9:F9" si="0">1-C8</f>
        <v>0.72302368388215021</v>
      </c>
      <c r="D9" s="1481">
        <f t="shared" si="0"/>
        <v>0.77105532564986179</v>
      </c>
      <c r="E9" s="1481">
        <f t="shared" si="0"/>
        <v>0.80467413310362668</v>
      </c>
      <c r="F9" s="1482">
        <f t="shared" si="0"/>
        <v>0.65881981269708045</v>
      </c>
    </row>
    <row r="10" spans="1:6" x14ac:dyDescent="0.75">
      <c r="A10" s="1480" t="s">
        <v>637</v>
      </c>
      <c r="B10" s="1483" t="s">
        <v>634</v>
      </c>
      <c r="C10" s="1483" t="s">
        <v>634</v>
      </c>
      <c r="D10" s="1483" t="s">
        <v>634</v>
      </c>
      <c r="E10" s="1483" t="s">
        <v>634</v>
      </c>
      <c r="F10" s="1484" t="s">
        <v>634</v>
      </c>
    </row>
    <row r="11" spans="1:6" x14ac:dyDescent="0.75">
      <c r="A11" s="1477"/>
      <c r="B11" s="1458"/>
      <c r="C11" s="1458"/>
      <c r="D11" s="1458"/>
      <c r="E11" s="1458"/>
      <c r="F11" s="1450"/>
    </row>
    <row r="12" spans="1:6" x14ac:dyDescent="0.75">
      <c r="A12" s="1485" t="s">
        <v>638</v>
      </c>
      <c r="B12" s="1486">
        <f>B4*B8+B5*B9</f>
        <v>1.059934097865908</v>
      </c>
      <c r="C12" s="1486">
        <f t="shared" ref="C12:F12" si="1">C4*C8+C5*C9</f>
        <v>1.2252692640968841</v>
      </c>
      <c r="D12" s="1486">
        <f t="shared" si="1"/>
        <v>1.1150927703487812</v>
      </c>
      <c r="E12" s="1486">
        <f t="shared" si="1"/>
        <v>1.114535486585895</v>
      </c>
      <c r="F12" s="1487">
        <f t="shared" si="1"/>
        <v>1.2052688724437393</v>
      </c>
    </row>
    <row r="13" spans="1:6" ht="15.5" thickBot="1" x14ac:dyDescent="0.9">
      <c r="A13" s="1477"/>
      <c r="B13" s="1458"/>
      <c r="C13" s="1458"/>
      <c r="D13" s="1458"/>
      <c r="E13" s="1458"/>
      <c r="F13" s="1450"/>
    </row>
    <row r="14" spans="1:6" ht="15.5" thickBot="1" x14ac:dyDescent="0.9">
      <c r="A14" s="1747" t="s">
        <v>639</v>
      </c>
      <c r="B14" s="1748"/>
      <c r="C14" s="1748"/>
      <c r="D14" s="1748"/>
      <c r="E14" s="1748"/>
      <c r="F14" s="1749"/>
    </row>
    <row r="15" spans="1:6" x14ac:dyDescent="0.75">
      <c r="A15" s="1477" t="s">
        <v>640</v>
      </c>
      <c r="B15" s="1478">
        <f>2017-1983</f>
        <v>34</v>
      </c>
      <c r="C15" s="1478">
        <f>2017-1990</f>
        <v>27</v>
      </c>
      <c r="D15" s="1478">
        <f>2017-1960</f>
        <v>57</v>
      </c>
      <c r="E15" s="1478">
        <f>2017-1962</f>
        <v>55</v>
      </c>
      <c r="F15" s="1479">
        <f>2017-1982</f>
        <v>35</v>
      </c>
    </row>
    <row r="16" spans="1:6" x14ac:dyDescent="0.75">
      <c r="A16" s="1477" t="s">
        <v>641</v>
      </c>
      <c r="B16" s="1478">
        <f t="shared" ref="B16:F16" si="2">B15/SUM($B$15:$F$15)</f>
        <v>0.16346153846153846</v>
      </c>
      <c r="C16" s="1478">
        <f>C15/SUM($B$15:$F$15)</f>
        <v>0.12980769230769232</v>
      </c>
      <c r="D16" s="1478">
        <f t="shared" si="2"/>
        <v>0.27403846153846156</v>
      </c>
      <c r="E16" s="1478">
        <f t="shared" si="2"/>
        <v>0.26442307692307693</v>
      </c>
      <c r="F16" s="1479">
        <f t="shared" si="2"/>
        <v>0.16826923076923078</v>
      </c>
    </row>
    <row r="17" spans="1:6" x14ac:dyDescent="0.75">
      <c r="A17" s="1477"/>
      <c r="B17" s="1458"/>
      <c r="C17" s="1458"/>
      <c r="D17" s="1458"/>
      <c r="E17" s="1458"/>
      <c r="F17" s="1450"/>
    </row>
    <row r="18" spans="1:6" ht="15.5" thickBot="1" x14ac:dyDescent="0.9">
      <c r="A18" s="1488" t="s">
        <v>642</v>
      </c>
      <c r="B18" s="1465">
        <f>SUMPRODUCT(B12:F12,B16:F16)</f>
        <v>1.1354047099312135</v>
      </c>
      <c r="C18" s="1489"/>
      <c r="D18" s="1489"/>
      <c r="E18" s="1489"/>
      <c r="F18" s="1472"/>
    </row>
    <row r="20" spans="1:6" ht="16" x14ac:dyDescent="0.8">
      <c r="A20"/>
      <c r="B20"/>
      <c r="C20"/>
      <c r="D20"/>
      <c r="E20"/>
      <c r="F20"/>
    </row>
  </sheetData>
  <mergeCells count="2">
    <mergeCell ref="A3:F3"/>
    <mergeCell ref="A14:F14"/>
  </mergeCells>
  <hyperlinks>
    <hyperlink ref="A1" location="'Cover Page '!A1" display="Back to cover pag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314" t="s">
        <v>537</v>
      </c>
    </row>
    <row r="3" spans="1:6" ht="15.5" thickBot="1" x14ac:dyDescent="0.9"/>
    <row r="4" spans="1:6" x14ac:dyDescent="0.75">
      <c r="A4" s="1315" t="s">
        <v>538</v>
      </c>
      <c r="B4" s="1315"/>
    </row>
    <row r="5" spans="1:6" x14ac:dyDescent="0.75">
      <c r="A5" s="1316" t="s">
        <v>539</v>
      </c>
      <c r="B5" s="1316">
        <v>0.55368969161540005</v>
      </c>
    </row>
    <row r="6" spans="1:6" x14ac:dyDescent="0.75">
      <c r="A6" s="1316" t="s">
        <v>540</v>
      </c>
      <c r="B6" s="1316">
        <v>0.30657227460115677</v>
      </c>
    </row>
    <row r="7" spans="1:6" x14ac:dyDescent="0.75">
      <c r="A7" s="1316" t="s">
        <v>541</v>
      </c>
      <c r="B7" s="1316">
        <v>0.304618957064822</v>
      </c>
    </row>
    <row r="8" spans="1:6" x14ac:dyDescent="0.75">
      <c r="A8" s="1316" t="s">
        <v>542</v>
      </c>
      <c r="B8" s="1316">
        <v>4.6182697437258891E-2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0.33474848349539199</v>
      </c>
      <c r="D13" s="1316">
        <v>0.33474848349539199</v>
      </c>
      <c r="E13" s="1316">
        <v>156.94953273005112</v>
      </c>
      <c r="F13" s="1316">
        <v>4.5525780359422438E-30</v>
      </c>
    </row>
    <row r="14" spans="1:6" x14ac:dyDescent="0.75">
      <c r="A14" s="1316" t="s">
        <v>551</v>
      </c>
      <c r="B14" s="1316">
        <v>355</v>
      </c>
      <c r="C14" s="1316">
        <v>0.75715874761639657</v>
      </c>
      <c r="D14" s="1316">
        <v>2.132841542581399E-3</v>
      </c>
      <c r="E14" s="1316"/>
      <c r="F14" s="1316"/>
    </row>
    <row r="15" spans="1:6" ht="15.5" thickBot="1" x14ac:dyDescent="0.9">
      <c r="A15" s="1317" t="s">
        <v>160</v>
      </c>
      <c r="B15" s="1317">
        <v>356</v>
      </c>
      <c r="C15" s="1317">
        <v>1.0919072311117886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3.2051186277312913E-3</v>
      </c>
      <c r="C18" s="1316">
        <v>2.4529653462765934E-3</v>
      </c>
      <c r="D18" s="1316">
        <v>1.3066302108981713</v>
      </c>
      <c r="E18" s="1316">
        <v>0.19218416630303581</v>
      </c>
      <c r="F18" s="1316">
        <v>-1.619052012624923E-3</v>
      </c>
      <c r="G18" s="1316">
        <v>8.0292892680875055E-3</v>
      </c>
      <c r="H18" s="1316">
        <v>-1.619052012624923E-3</v>
      </c>
      <c r="I18" s="1316">
        <v>8.0292892680875055E-3</v>
      </c>
    </row>
    <row r="19" spans="1:9" ht="15.5" thickBot="1" x14ac:dyDescent="0.9">
      <c r="A19" s="1317" t="s">
        <v>560</v>
      </c>
      <c r="B19" s="1319">
        <v>1.4847181699787</v>
      </c>
      <c r="C19" s="1317">
        <v>0.11851245916159486</v>
      </c>
      <c r="D19" s="1317">
        <v>12.527950060965722</v>
      </c>
      <c r="E19" s="1317">
        <v>4.5525780359423734E-30</v>
      </c>
      <c r="F19" s="1317">
        <v>1.2516434031983161</v>
      </c>
      <c r="G19" s="1317">
        <v>1.7177929367590838</v>
      </c>
      <c r="H19" s="1317">
        <v>1.2516434031983161</v>
      </c>
      <c r="I19" s="1317">
        <v>1.7177929367590838</v>
      </c>
    </row>
    <row r="20" spans="1:9" x14ac:dyDescent="0.75">
      <c r="A20" s="1316" t="s">
        <v>561</v>
      </c>
      <c r="B20" s="1320">
        <f>0.33+0.67*B19</f>
        <v>1.324761173885729</v>
      </c>
    </row>
    <row r="23" spans="1:9" x14ac:dyDescent="0.75">
      <c r="A23" s="1314" t="s">
        <v>562</v>
      </c>
    </row>
    <row r="24" spans="1:9" ht="15.5" thickBot="1" x14ac:dyDescent="0.9"/>
    <row r="25" spans="1:9" x14ac:dyDescent="0.75">
      <c r="A25" s="1315" t="s">
        <v>538</v>
      </c>
      <c r="B25" s="1315"/>
    </row>
    <row r="26" spans="1:9" x14ac:dyDescent="0.75">
      <c r="A26" s="1316" t="s">
        <v>539</v>
      </c>
      <c r="B26" s="1316">
        <v>4.8701761829370721E-2</v>
      </c>
    </row>
    <row r="27" spans="1:9" x14ac:dyDescent="0.75">
      <c r="A27" s="1316" t="s">
        <v>540</v>
      </c>
      <c r="B27" s="1316">
        <v>2.371861605284751E-3</v>
      </c>
    </row>
    <row r="28" spans="1:9" x14ac:dyDescent="0.75">
      <c r="A28" s="1316" t="s">
        <v>541</v>
      </c>
      <c r="B28" s="1316">
        <v>-4.3835850286937653E-4</v>
      </c>
    </row>
    <row r="29" spans="1:9" x14ac:dyDescent="0.75">
      <c r="A29" s="1316" t="s">
        <v>542</v>
      </c>
      <c r="B29" s="1316">
        <v>5.539403990601556E-2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2.5898528380068342E-3</v>
      </c>
      <c r="D34" s="1316">
        <v>2.5898528380068342E-3</v>
      </c>
      <c r="E34" s="1316">
        <v>0.84401275131530207</v>
      </c>
      <c r="F34" s="1316">
        <v>0.35887541209600704</v>
      </c>
    </row>
    <row r="35" spans="1:9" x14ac:dyDescent="0.75">
      <c r="A35" s="1316" t="s">
        <v>551</v>
      </c>
      <c r="B35" s="1316">
        <v>355</v>
      </c>
      <c r="C35" s="1316">
        <v>1.0893173782737817</v>
      </c>
      <c r="D35" s="1316">
        <v>3.0684996571092443E-3</v>
      </c>
      <c r="E35" s="1316"/>
      <c r="F35" s="1316"/>
    </row>
    <row r="36" spans="1:9" ht="15.5" thickBot="1" x14ac:dyDescent="0.9">
      <c r="A36" s="1317" t="s">
        <v>160</v>
      </c>
      <c r="B36" s="1317">
        <v>356</v>
      </c>
      <c r="C36" s="1317">
        <v>1.0919072311117886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6.0142129249927208E-4</v>
      </c>
      <c r="C39" s="1316">
        <v>2.9318097945398199E-3</v>
      </c>
      <c r="D39" s="1316">
        <v>0.20513653157832903</v>
      </c>
      <c r="E39" s="1316">
        <v>0.83758302623475123</v>
      </c>
      <c r="F39" s="1316">
        <v>-5.1644778284958819E-3</v>
      </c>
      <c r="G39" s="1316">
        <v>6.3673204134944254E-3</v>
      </c>
      <c r="H39" s="1316">
        <v>-5.1644778284958819E-3</v>
      </c>
      <c r="I39" s="1316">
        <v>6.3673204134944254E-3</v>
      </c>
    </row>
    <row r="40" spans="1:9" ht="15.5" thickBot="1" x14ac:dyDescent="0.9">
      <c r="A40" s="1317" t="s">
        <v>560</v>
      </c>
      <c r="B40" s="1319">
        <v>-2.4020076694140041E-3</v>
      </c>
      <c r="C40" s="1317">
        <v>2.6145676643667113E-3</v>
      </c>
      <c r="D40" s="1317">
        <v>-0.9187016661111379</v>
      </c>
      <c r="E40" s="1317">
        <v>0.35887541209598495</v>
      </c>
      <c r="F40" s="1317">
        <v>-7.5439965616779427E-3</v>
      </c>
      <c r="G40" s="1317">
        <v>2.7399812228499341E-3</v>
      </c>
      <c r="H40" s="1317">
        <v>-7.5439965616779427E-3</v>
      </c>
      <c r="I40" s="1317">
        <v>2.7399812228499341E-3</v>
      </c>
    </row>
    <row r="43" spans="1:9" x14ac:dyDescent="0.75">
      <c r="A43" s="1314" t="s">
        <v>563</v>
      </c>
    </row>
    <row r="44" spans="1:9" ht="15.5" thickBot="1" x14ac:dyDescent="0.9"/>
    <row r="45" spans="1:9" x14ac:dyDescent="0.75">
      <c r="A45" s="1315" t="s">
        <v>538</v>
      </c>
      <c r="B45" s="1315"/>
    </row>
    <row r="46" spans="1:9" x14ac:dyDescent="0.75">
      <c r="A46" s="1316" t="s">
        <v>539</v>
      </c>
      <c r="B46" s="1316">
        <v>3.1490482932076291E-2</v>
      </c>
    </row>
    <row r="47" spans="1:9" x14ac:dyDescent="0.75">
      <c r="A47" s="1316" t="s">
        <v>540</v>
      </c>
      <c r="B47" s="1316">
        <v>9.9165051529538813E-4</v>
      </c>
    </row>
    <row r="48" spans="1:9" x14ac:dyDescent="0.75">
      <c r="A48" s="1316" t="s">
        <v>541</v>
      </c>
      <c r="B48" s="1316">
        <v>-1.8224575114220898E-3</v>
      </c>
    </row>
    <row r="49" spans="1:9" x14ac:dyDescent="0.75">
      <c r="A49" s="1316" t="s">
        <v>542</v>
      </c>
      <c r="B49" s="1316">
        <v>5.5432345282357846E-2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1.0827903683867657E-3</v>
      </c>
      <c r="D54" s="1316">
        <v>1.0827903683867657E-3</v>
      </c>
      <c r="E54" s="1316">
        <v>0.35238537606962483</v>
      </c>
      <c r="F54" s="1316">
        <v>0.55314395926372317</v>
      </c>
    </row>
    <row r="55" spans="1:9" x14ac:dyDescent="0.75">
      <c r="A55" s="1316" t="s">
        <v>551</v>
      </c>
      <c r="B55" s="1316">
        <v>355</v>
      </c>
      <c r="C55" s="1316">
        <v>1.0908244407434018</v>
      </c>
      <c r="D55" s="1316">
        <v>3.0727449035025402E-3</v>
      </c>
      <c r="E55" s="1316"/>
      <c r="F55" s="1316"/>
    </row>
    <row r="56" spans="1:9" ht="15.5" thickBot="1" x14ac:dyDescent="0.9">
      <c r="A56" s="1317" t="s">
        <v>160</v>
      </c>
      <c r="B56" s="1317">
        <v>356</v>
      </c>
      <c r="C56" s="1317">
        <v>1.0919072311117886</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5.7798333526548021E-4</v>
      </c>
      <c r="C59" s="1316">
        <v>2.9345104670981293E-3</v>
      </c>
      <c r="D59" s="1316">
        <v>0.19696073390974639</v>
      </c>
      <c r="E59" s="1316">
        <v>0.843970979902119</v>
      </c>
      <c r="F59" s="1316">
        <v>-5.1932271144383277E-3</v>
      </c>
      <c r="G59" s="1316">
        <v>6.3491937849692879E-3</v>
      </c>
      <c r="H59" s="1316">
        <v>-5.1932271144383277E-3</v>
      </c>
      <c r="I59" s="1316">
        <v>6.3491937849692879E-3</v>
      </c>
    </row>
    <row r="60" spans="1:9" ht="15.5" thickBot="1" x14ac:dyDescent="0.9">
      <c r="A60" s="1317" t="s">
        <v>560</v>
      </c>
      <c r="B60" s="1319">
        <v>-1.6960428557444829E-3</v>
      </c>
      <c r="C60" s="1317">
        <v>2.8571160664392615E-3</v>
      </c>
      <c r="D60" s="1317">
        <v>-0.59362056573998778</v>
      </c>
      <c r="E60" s="1317">
        <v>0.55314395926381432</v>
      </c>
      <c r="F60" s="1317">
        <v>-7.3150441452360547E-3</v>
      </c>
      <c r="G60" s="1317">
        <v>3.9229584337470884E-3</v>
      </c>
      <c r="H60" s="1317">
        <v>-7.3150441452360547E-3</v>
      </c>
      <c r="I60" s="1317">
        <v>3.9229584337470884E-3</v>
      </c>
    </row>
  </sheetData>
  <hyperlinks>
    <hyperlink ref="A1" location="'Cover Page '!A1" display="Back to cover page"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4.9989318521683403E-2"/>
  </sheetPr>
  <dimension ref="A1:I12"/>
  <sheetViews>
    <sheetView showGridLines="0" workbookViewId="0"/>
  </sheetViews>
  <sheetFormatPr defaultColWidth="8.83203125" defaultRowHeight="14.75" x14ac:dyDescent="0.75"/>
  <cols>
    <col min="1" max="1" width="30.5" style="1314" customWidth="1"/>
    <col min="2" max="7" width="8.83203125" style="1314"/>
    <col min="8" max="8" width="12.33203125" style="1314" bestFit="1" customWidth="1"/>
    <col min="9" max="16384" width="8.83203125" style="1314"/>
  </cols>
  <sheetData>
    <row r="1" spans="1:9" ht="15.5" thickBot="1" x14ac:dyDescent="0.9">
      <c r="A1" s="1620" t="s">
        <v>533</v>
      </c>
    </row>
    <row r="2" spans="1:9" x14ac:dyDescent="0.75">
      <c r="A2" s="1623" t="s">
        <v>384</v>
      </c>
      <c r="B2" s="1476">
        <v>2011</v>
      </c>
      <c r="C2" s="1476">
        <v>2012</v>
      </c>
      <c r="D2" s="1476">
        <v>2013</v>
      </c>
      <c r="E2" s="1476">
        <v>2014</v>
      </c>
      <c r="F2" s="1476">
        <v>2015</v>
      </c>
      <c r="G2" s="1476" t="s">
        <v>564</v>
      </c>
      <c r="H2" s="1476" t="s">
        <v>565</v>
      </c>
      <c r="I2" s="1448" t="s">
        <v>566</v>
      </c>
    </row>
    <row r="3" spans="1:9" ht="16" x14ac:dyDescent="0.8">
      <c r="A3" s="1451" t="s">
        <v>567</v>
      </c>
      <c r="B3" s="1490">
        <v>0.16107705351028792</v>
      </c>
      <c r="C3" s="1490">
        <v>9.9348603998371504E-2</v>
      </c>
      <c r="D3" s="1490">
        <v>0.11446793327981448</v>
      </c>
      <c r="E3" s="1490">
        <v>0.13234760174397153</v>
      </c>
      <c r="F3" s="1490">
        <v>0.12708025308235266</v>
      </c>
      <c r="G3" s="1490">
        <v>0.12686428912295999</v>
      </c>
      <c r="H3" s="1458" t="s">
        <v>568</v>
      </c>
      <c r="I3" s="1450">
        <v>6</v>
      </c>
    </row>
    <row r="4" spans="1:9" ht="16" x14ac:dyDescent="0.8">
      <c r="A4" s="1451" t="s">
        <v>569</v>
      </c>
      <c r="B4" s="1490">
        <v>0.16215955909893523</v>
      </c>
      <c r="C4" s="1490">
        <v>3.3486490391561916E-2</v>
      </c>
      <c r="D4" s="1490">
        <v>1.0154926595143986E-2</v>
      </c>
      <c r="E4" s="1490">
        <v>9.9597050491414305E-2</v>
      </c>
      <c r="F4" s="1490">
        <v>4.6820976939063758E-2</v>
      </c>
      <c r="G4" s="1490">
        <v>7.0443800703223841E-2</v>
      </c>
      <c r="H4" s="1458" t="s">
        <v>568</v>
      </c>
      <c r="I4" s="1450">
        <v>6</v>
      </c>
    </row>
    <row r="5" spans="1:9" ht="16" x14ac:dyDescent="0.8">
      <c r="A5" s="1451" t="s">
        <v>570</v>
      </c>
      <c r="B5" s="1491">
        <v>40.575730735163866</v>
      </c>
      <c r="C5" s="1491">
        <v>16.340085287846481</v>
      </c>
      <c r="D5" s="1491">
        <v>10.908803039898672</v>
      </c>
      <c r="E5" s="1491">
        <v>19.702219040801719</v>
      </c>
      <c r="F5" s="1491">
        <v>16.045094454600854</v>
      </c>
      <c r="G5" s="1491">
        <v>20.714386511662319</v>
      </c>
      <c r="H5" s="1458" t="s">
        <v>571</v>
      </c>
      <c r="I5" s="1450">
        <v>2</v>
      </c>
    </row>
    <row r="6" spans="1:9" ht="16" x14ac:dyDescent="0.8">
      <c r="A6" s="1451" t="s">
        <v>572</v>
      </c>
      <c r="B6" s="1491">
        <v>52.50398582816652</v>
      </c>
      <c r="C6" s="1491">
        <v>29.657782515991471</v>
      </c>
      <c r="D6" s="1491">
        <v>24.381887270424322</v>
      </c>
      <c r="E6" s="1491">
        <v>32.093772369362924</v>
      </c>
      <c r="F6" s="1491">
        <v>24.564899451553931</v>
      </c>
      <c r="G6" s="1491">
        <v>32.640465487099839</v>
      </c>
      <c r="H6" s="1458" t="s">
        <v>573</v>
      </c>
      <c r="I6" s="1450">
        <v>1</v>
      </c>
    </row>
    <row r="7" spans="1:9" ht="16" x14ac:dyDescent="0.8">
      <c r="A7" s="1451" t="s">
        <v>574</v>
      </c>
      <c r="B7" s="1491">
        <v>1.0221971407072987</v>
      </c>
      <c r="C7" s="1491">
        <v>0.91053004060043952</v>
      </c>
      <c r="D7" s="1491">
        <v>0.21349236745636591</v>
      </c>
      <c r="E7" s="1491">
        <v>0.82870771026626688</v>
      </c>
      <c r="F7" s="1491">
        <v>0.25825608509367426</v>
      </c>
      <c r="G7" s="1491">
        <v>0.64663666882480908</v>
      </c>
      <c r="H7" s="1458" t="s">
        <v>165</v>
      </c>
      <c r="I7" s="1450">
        <v>1</v>
      </c>
    </row>
    <row r="8" spans="1:9" ht="16" x14ac:dyDescent="0.8">
      <c r="A8" s="1451" t="s">
        <v>575</v>
      </c>
      <c r="B8" s="1491"/>
      <c r="C8" s="1491"/>
      <c r="D8" s="1491"/>
      <c r="E8" s="1491"/>
      <c r="F8" s="1491"/>
      <c r="G8" s="1491"/>
      <c r="H8" s="1458"/>
      <c r="I8" s="1450"/>
    </row>
    <row r="9" spans="1:9" ht="16" x14ac:dyDescent="0.8">
      <c r="A9" s="1451" t="s">
        <v>576</v>
      </c>
      <c r="B9" s="1491">
        <v>0.5380839111291057</v>
      </c>
      <c r="C9" s="1491">
        <v>0.96505985118084769</v>
      </c>
      <c r="D9" s="1491">
        <v>1.4242188108782046</v>
      </c>
      <c r="E9" s="1491">
        <v>1.1082190253150439</v>
      </c>
      <c r="F9" s="1491">
        <v>2.1596338468408129</v>
      </c>
      <c r="G9" s="1491">
        <v>1.2390430890688029</v>
      </c>
      <c r="H9" s="1458" t="s">
        <v>165</v>
      </c>
      <c r="I9" s="1450">
        <v>3</v>
      </c>
    </row>
    <row r="10" spans="1:9" ht="16" x14ac:dyDescent="0.8">
      <c r="A10" s="1451" t="s">
        <v>577</v>
      </c>
      <c r="B10" s="1490">
        <v>0.11152330569959057</v>
      </c>
      <c r="C10" s="1490">
        <v>9.572658715301921E-2</v>
      </c>
      <c r="D10" s="1490">
        <v>0.16847076318967133</v>
      </c>
      <c r="E10" s="1490">
        <v>0.15674725857130237</v>
      </c>
      <c r="F10" s="1490">
        <v>0.23763211337729831</v>
      </c>
      <c r="G10" s="1490">
        <v>0.15402000559817636</v>
      </c>
      <c r="H10" s="1458" t="s">
        <v>571</v>
      </c>
      <c r="I10" s="1450">
        <v>2</v>
      </c>
    </row>
    <row r="11" spans="1:9" x14ac:dyDescent="0.75">
      <c r="A11" s="1451"/>
      <c r="B11" s="1458"/>
      <c r="C11" s="1458"/>
      <c r="D11" s="1458"/>
      <c r="E11" s="1458"/>
      <c r="F11" s="1458"/>
      <c r="G11" s="1458"/>
      <c r="H11" s="1458" t="s">
        <v>578</v>
      </c>
      <c r="I11" s="1450">
        <f>AVERAGE(I3:I10)</f>
        <v>3</v>
      </c>
    </row>
    <row r="12" spans="1:9" ht="15.5" thickBot="1" x14ac:dyDescent="0.9">
      <c r="A12" s="1453" t="s">
        <v>579</v>
      </c>
      <c r="B12" s="1465" t="s">
        <v>165</v>
      </c>
      <c r="C12" s="1489"/>
      <c r="D12" s="1489"/>
      <c r="E12" s="1489"/>
      <c r="F12" s="1489"/>
      <c r="G12" s="1489"/>
      <c r="H12" s="1489"/>
      <c r="I12" s="1472"/>
    </row>
  </sheetData>
  <hyperlinks>
    <hyperlink ref="A1" location="'Cover Page '!A1" display="Back to cover pag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716</v>
      </c>
    </row>
    <row r="3" spans="1:6" ht="15.5" thickBot="1" x14ac:dyDescent="0.9"/>
    <row r="4" spans="1:6" x14ac:dyDescent="0.75">
      <c r="A4" s="1315" t="s">
        <v>538</v>
      </c>
      <c r="B4" s="1315"/>
    </row>
    <row r="5" spans="1:6" x14ac:dyDescent="0.75">
      <c r="A5" s="1316" t="s">
        <v>539</v>
      </c>
      <c r="B5" s="1316">
        <v>0.35950107412346904</v>
      </c>
    </row>
    <row r="6" spans="1:6" x14ac:dyDescent="0.75">
      <c r="A6" s="1316" t="s">
        <v>540</v>
      </c>
      <c r="B6" s="1316">
        <v>0.12924102229592799</v>
      </c>
    </row>
    <row r="7" spans="1:6" x14ac:dyDescent="0.75">
      <c r="A7" s="1316" t="s">
        <v>541</v>
      </c>
      <c r="B7" s="1316">
        <v>0.12678818010521228</v>
      </c>
    </row>
    <row r="8" spans="1:6" x14ac:dyDescent="0.75">
      <c r="A8" s="1316" t="s">
        <v>542</v>
      </c>
      <c r="B8" s="1316">
        <v>7.7748208464098675E-2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0.31850155556493931</v>
      </c>
      <c r="D13" s="1316">
        <v>0.31850155556493931</v>
      </c>
      <c r="E13" s="1316">
        <v>52.690312807371335</v>
      </c>
      <c r="F13" s="1316">
        <v>2.4823584523237687E-12</v>
      </c>
    </row>
    <row r="14" spans="1:6" x14ac:dyDescent="0.75">
      <c r="A14" s="1316" t="s">
        <v>551</v>
      </c>
      <c r="B14" s="1316">
        <v>355</v>
      </c>
      <c r="C14" s="1316">
        <v>2.1458982913788152</v>
      </c>
      <c r="D14" s="1316">
        <v>6.0447839193769441E-3</v>
      </c>
      <c r="E14" s="1316"/>
      <c r="F14" s="1316"/>
    </row>
    <row r="15" spans="1:6" ht="15.5" thickBot="1" x14ac:dyDescent="0.9">
      <c r="A15" s="1317" t="s">
        <v>160</v>
      </c>
      <c r="B15" s="1317">
        <v>356</v>
      </c>
      <c r="C15" s="1317">
        <v>2.4643998469437545</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6.992051294589385E-3</v>
      </c>
      <c r="C18" s="1316">
        <v>4.1295478973833212E-3</v>
      </c>
      <c r="D18" s="1316">
        <v>1.6931759767261405</v>
      </c>
      <c r="E18" s="1316">
        <v>9.1299231602657835E-2</v>
      </c>
      <c r="F18" s="1316">
        <v>-1.1294020943632254E-3</v>
      </c>
      <c r="G18" s="1316">
        <v>1.5113504683541995E-2</v>
      </c>
      <c r="H18" s="1316">
        <v>-1.1294020943632254E-3</v>
      </c>
      <c r="I18" s="1316">
        <v>1.5113504683541995E-2</v>
      </c>
    </row>
    <row r="19" spans="1:9" ht="15.5" thickBot="1" x14ac:dyDescent="0.9">
      <c r="A19" s="1317" t="s">
        <v>560</v>
      </c>
      <c r="B19" s="1319">
        <v>1.4482398493809288</v>
      </c>
      <c r="C19" s="1317">
        <v>0.19951479432327307</v>
      </c>
      <c r="D19" s="1317">
        <v>7.2588093243569256</v>
      </c>
      <c r="E19" s="1317">
        <v>2.482358452324173E-12</v>
      </c>
      <c r="F19" s="1317">
        <v>1.0558603098362584</v>
      </c>
      <c r="G19" s="1317">
        <v>1.8406193889255991</v>
      </c>
      <c r="H19" s="1317">
        <v>1.0558603098362584</v>
      </c>
      <c r="I19" s="1317">
        <v>1.8406193889255991</v>
      </c>
    </row>
    <row r="20" spans="1:9" x14ac:dyDescent="0.75">
      <c r="A20" s="1316" t="s">
        <v>561</v>
      </c>
      <c r="B20" s="1320">
        <f>0.33+0.67*B19</f>
        <v>1.3003206990852223</v>
      </c>
    </row>
    <row r="23" spans="1:9" x14ac:dyDescent="0.75">
      <c r="A23" s="1493" t="s">
        <v>562</v>
      </c>
    </row>
    <row r="24" spans="1:9" ht="15.5" thickBot="1" x14ac:dyDescent="0.9"/>
    <row r="25" spans="1:9" x14ac:dyDescent="0.75">
      <c r="A25" s="1315" t="s">
        <v>538</v>
      </c>
      <c r="B25" s="1315"/>
    </row>
    <row r="26" spans="1:9" x14ac:dyDescent="0.75">
      <c r="A26" s="1316" t="s">
        <v>539</v>
      </c>
      <c r="B26" s="1316">
        <v>5.412334212653383E-2</v>
      </c>
    </row>
    <row r="27" spans="1:9" x14ac:dyDescent="0.75">
      <c r="A27" s="1316" t="s">
        <v>540</v>
      </c>
      <c r="B27" s="1316">
        <v>2.9293361629458316E-3</v>
      </c>
    </row>
    <row r="28" spans="1:9" x14ac:dyDescent="0.75">
      <c r="A28" s="1316" t="s">
        <v>541</v>
      </c>
      <c r="B28" s="1316">
        <v>1.2068640565835531E-4</v>
      </c>
    </row>
    <row r="29" spans="1:9" x14ac:dyDescent="0.75">
      <c r="A29" s="1316" t="s">
        <v>542</v>
      </c>
      <c r="B29" s="1316">
        <v>8.3196370305307618E-2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7.2190555916105126E-3</v>
      </c>
      <c r="D34" s="1316">
        <v>7.2190555916105126E-3</v>
      </c>
      <c r="E34" s="1316">
        <v>1.0429695462544646</v>
      </c>
      <c r="F34" s="1316">
        <v>0.30782728080134941</v>
      </c>
    </row>
    <row r="35" spans="1:9" x14ac:dyDescent="0.75">
      <c r="A35" s="1316" t="s">
        <v>551</v>
      </c>
      <c r="B35" s="1316">
        <v>355</v>
      </c>
      <c r="C35" s="1316">
        <v>2.457180791352144</v>
      </c>
      <c r="D35" s="1316">
        <v>6.9216360319778701E-3</v>
      </c>
      <c r="E35" s="1316"/>
      <c r="F35" s="1316"/>
    </row>
    <row r="36" spans="1:9" ht="15.5" thickBot="1" x14ac:dyDescent="0.9">
      <c r="A36" s="1317" t="s">
        <v>160</v>
      </c>
      <c r="B36" s="1317">
        <v>356</v>
      </c>
      <c r="C36" s="1317">
        <v>2.4643998469437545</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4.4418164378301588E-3</v>
      </c>
      <c r="C39" s="1316">
        <v>4.4032883997105693E-3</v>
      </c>
      <c r="D39" s="1316">
        <v>1.0087498329934788</v>
      </c>
      <c r="E39" s="1316">
        <v>0.31378168398506379</v>
      </c>
      <c r="F39" s="1316">
        <v>-4.2179938816057933E-3</v>
      </c>
      <c r="G39" s="1316">
        <v>1.3101626757266111E-2</v>
      </c>
      <c r="H39" s="1316">
        <v>-4.2179938816057933E-3</v>
      </c>
      <c r="I39" s="1316">
        <v>1.3101626757266111E-2</v>
      </c>
    </row>
    <row r="40" spans="1:9" ht="15.5" thickBot="1" x14ac:dyDescent="0.9">
      <c r="A40" s="1317" t="s">
        <v>560</v>
      </c>
      <c r="B40" s="1319">
        <v>-4.010301634708285E-3</v>
      </c>
      <c r="C40" s="1317">
        <v>3.9268220906436202E-3</v>
      </c>
      <c r="D40" s="1317">
        <v>-1.0212588047376963</v>
      </c>
      <c r="E40" s="1317">
        <v>0.30782728080139499</v>
      </c>
      <c r="F40" s="1317">
        <v>-1.1733060485884121E-2</v>
      </c>
      <c r="G40" s="1317">
        <v>3.7124572164675502E-3</v>
      </c>
      <c r="H40" s="1317">
        <v>-1.1733060485884121E-2</v>
      </c>
      <c r="I40" s="1317">
        <v>3.7124572164675502E-3</v>
      </c>
    </row>
    <row r="43" spans="1:9" x14ac:dyDescent="0.75">
      <c r="A43" s="1492" t="s">
        <v>563</v>
      </c>
    </row>
    <row r="44" spans="1:9" ht="15.5" thickBot="1" x14ac:dyDescent="0.9"/>
    <row r="45" spans="1:9" x14ac:dyDescent="0.75">
      <c r="A45" s="1315" t="s">
        <v>538</v>
      </c>
      <c r="B45" s="1315"/>
    </row>
    <row r="46" spans="1:9" x14ac:dyDescent="0.75">
      <c r="A46" s="1316" t="s">
        <v>539</v>
      </c>
      <c r="B46" s="1316">
        <v>2.8782676470730875E-2</v>
      </c>
    </row>
    <row r="47" spans="1:9" x14ac:dyDescent="0.75">
      <c r="A47" s="1316" t="s">
        <v>540</v>
      </c>
      <c r="B47" s="1316">
        <v>8.2844246481876462E-4</v>
      </c>
    </row>
    <row r="48" spans="1:9" x14ac:dyDescent="0.75">
      <c r="A48" s="1316" t="s">
        <v>541</v>
      </c>
      <c r="B48" s="1316">
        <v>-1.9861253028859716E-3</v>
      </c>
    </row>
    <row r="49" spans="1:9" x14ac:dyDescent="0.75">
      <c r="A49" s="1316" t="s">
        <v>542</v>
      </c>
      <c r="B49" s="1316">
        <v>8.3283974304450531E-2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2.0416134835010702E-3</v>
      </c>
      <c r="D54" s="1316">
        <v>2.0416134835010702E-3</v>
      </c>
      <c r="E54" s="1316">
        <v>0.29434091952753189</v>
      </c>
      <c r="F54" s="1316">
        <v>0.5877925201715597</v>
      </c>
    </row>
    <row r="55" spans="1:9" x14ac:dyDescent="0.75">
      <c r="A55" s="1316" t="s">
        <v>551</v>
      </c>
      <c r="B55" s="1316">
        <v>355</v>
      </c>
      <c r="C55" s="1316">
        <v>2.4623582334602534</v>
      </c>
      <c r="D55" s="1316">
        <v>6.9362203759443753E-3</v>
      </c>
      <c r="E55" s="1316"/>
      <c r="F55" s="1316"/>
    </row>
    <row r="56" spans="1:9" ht="15.5" thickBot="1" x14ac:dyDescent="0.9">
      <c r="A56" s="1317" t="s">
        <v>160</v>
      </c>
      <c r="B56" s="1317">
        <v>356</v>
      </c>
      <c r="C56" s="1317">
        <v>2.4643998469437545</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4.4141203220295694E-3</v>
      </c>
      <c r="C59" s="1316">
        <v>4.408936571112838E-3</v>
      </c>
      <c r="D59" s="1316">
        <v>1.0011757372402894</v>
      </c>
      <c r="E59" s="1316">
        <v>0.31742378179377928</v>
      </c>
      <c r="F59" s="1316">
        <v>-4.2567980804014737E-3</v>
      </c>
      <c r="G59" s="1316">
        <v>1.3085038724460613E-2</v>
      </c>
      <c r="H59" s="1316">
        <v>-4.2567980804014737E-3</v>
      </c>
      <c r="I59" s="1316">
        <v>1.3085038724460613E-2</v>
      </c>
    </row>
    <row r="60" spans="1:9" ht="15.5" thickBot="1" x14ac:dyDescent="0.9">
      <c r="A60" s="1317" t="s">
        <v>560</v>
      </c>
      <c r="B60" s="1319">
        <v>-2.3289029579931261E-3</v>
      </c>
      <c r="C60" s="1317">
        <v>4.2926558465115477E-3</v>
      </c>
      <c r="D60" s="1317">
        <v>-0.54253195254069175</v>
      </c>
      <c r="E60" s="1317">
        <v>0.58779252017150663</v>
      </c>
      <c r="F60" s="1317">
        <v>-1.0771135676579356E-2</v>
      </c>
      <c r="G60" s="1317">
        <v>6.1133297605931031E-3</v>
      </c>
      <c r="H60" s="1317">
        <v>-1.0771135676579356E-2</v>
      </c>
      <c r="I60" s="1317">
        <v>6.1133297605931031E-3</v>
      </c>
    </row>
  </sheetData>
  <hyperlinks>
    <hyperlink ref="A1" location="'Cover Page '!A1" display="Back to cover pag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AO51"/>
  <sheetViews>
    <sheetView showGridLines="0" zoomScale="85" zoomScaleNormal="85" zoomScalePageLayoutView="85" workbookViewId="0">
      <pane xSplit="1" ySplit="3" topLeftCell="B28" activePane="bottomRight" state="frozen"/>
      <selection activeCell="B1" sqref="B1:AO3"/>
      <selection pane="topRight" activeCell="B1" sqref="B1:AO3"/>
      <selection pane="bottomLeft" activeCell="B1" sqref="B1:AO3"/>
      <selection pane="bottomRight" activeCell="AP23" sqref="AP23"/>
    </sheetView>
  </sheetViews>
  <sheetFormatPr defaultColWidth="15.83203125" defaultRowHeight="16" x14ac:dyDescent="0.8"/>
  <cols>
    <col min="1" max="1" width="52" bestFit="1" customWidth="1"/>
    <col min="2" max="41" width="10" bestFit="1" customWidth="1"/>
  </cols>
  <sheetData>
    <row r="1" spans="1:41" ht="18.5" x14ac:dyDescent="0.9">
      <c r="A1" s="1194"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171"/>
    </row>
    <row r="5" spans="1:41" ht="19.25" thickBot="1" x14ac:dyDescent="1.05">
      <c r="A5" s="515" t="s">
        <v>0</v>
      </c>
      <c r="B5" s="7"/>
      <c r="C5" s="7"/>
      <c r="D5" s="7"/>
      <c r="E5" s="7"/>
      <c r="F5" s="7"/>
      <c r="G5" s="24"/>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172"/>
    </row>
    <row r="6" spans="1:41" x14ac:dyDescent="0.8">
      <c r="A6" s="36" t="s">
        <v>1</v>
      </c>
      <c r="B6" s="21"/>
      <c r="C6" s="21"/>
      <c r="D6" s="21"/>
      <c r="E6" s="21"/>
      <c r="F6" s="21"/>
      <c r="G6" s="21"/>
      <c r="H6" s="888"/>
      <c r="I6" s="21"/>
      <c r="J6" s="21"/>
      <c r="K6" s="21"/>
      <c r="L6" s="21"/>
      <c r="M6" s="21"/>
      <c r="N6" s="287"/>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171"/>
    </row>
    <row r="7" spans="1:41" x14ac:dyDescent="0.8">
      <c r="A7" s="288" t="s">
        <v>346</v>
      </c>
      <c r="B7" s="4">
        <f>'Income Statement '!B4*'Forecast Drivers '!B7</f>
        <v>54490.95</v>
      </c>
      <c r="C7" s="4">
        <f>'Income Statement '!C4*'Forecast Drivers '!C7</f>
        <v>55200.6</v>
      </c>
      <c r="D7" s="4">
        <f>'Income Statement '!D4*'Forecast Drivers '!D7</f>
        <v>42002.1</v>
      </c>
      <c r="E7" s="4">
        <f>'Income Statement '!E4*'Forecast Drivers '!E7</f>
        <v>50449.5</v>
      </c>
      <c r="F7" s="4">
        <f>'Income Statement '!F4*'Forecast Drivers '!F7</f>
        <v>50815.049999999996</v>
      </c>
      <c r="G7" s="4">
        <f>'Income Statement '!G4*'Forecast Drivers '!G7</f>
        <v>47581.35</v>
      </c>
      <c r="H7" s="370">
        <f>'Income Statement '!H4*'Forecast Drivers '!H7</f>
        <v>52517.346874199997</v>
      </c>
      <c r="I7" s="4">
        <f>'Income Statement '!I4*'Forecast Drivers '!I7</f>
        <v>57486.588315848509</v>
      </c>
      <c r="J7" s="4">
        <f>'Income Statement '!J4*'Forecast Drivers '!J7</f>
        <v>56647.460803589034</v>
      </c>
      <c r="K7" s="4">
        <f>'Income Statement '!K4*'Forecast Drivers '!K7</f>
        <v>58437.289380436981</v>
      </c>
      <c r="L7" s="4">
        <f>'Income Statement '!L4*'Forecast Drivers '!L7</f>
        <v>56241.314879081241</v>
      </c>
      <c r="M7" s="4">
        <f>'Income Statement '!M4*'Forecast Drivers '!M7</f>
        <v>58043.988260090824</v>
      </c>
      <c r="N7" s="370">
        <f>'Income Statement '!N4*'Forecast Drivers '!N7</f>
        <v>51644.756012725651</v>
      </c>
      <c r="O7" s="4">
        <f>'Income Statement '!O4*'Forecast Drivers '!O7</f>
        <v>53007.92060413312</v>
      </c>
      <c r="P7" s="4">
        <f>'Income Statement '!P4*'Forecast Drivers '!P7</f>
        <v>49220.043723176335</v>
      </c>
      <c r="Q7" s="4">
        <f>'Income Statement '!Q4*'Forecast Drivers '!Q7</f>
        <v>50169.758012606166</v>
      </c>
      <c r="R7" s="4">
        <f>'Income Statement '!R4*'Forecast Drivers '!R7</f>
        <v>46350.132060123702</v>
      </c>
      <c r="S7" s="4">
        <f>'Income Statement '!S4*'Forecast Drivers '!S7</f>
        <v>46980.772280405159</v>
      </c>
      <c r="T7" s="4">
        <f>'Income Statement '!T4*'Forecast Drivers '!T7</f>
        <v>44309.392719951531</v>
      </c>
      <c r="U7" s="4">
        <f>'Income Statement '!U4*'Forecast Drivers '!U7</f>
        <v>44725.64850221423</v>
      </c>
      <c r="V7" s="4">
        <f>'Income Statement '!V4*'Forecast Drivers '!V7</f>
        <v>42749.084781531375</v>
      </c>
      <c r="W7" s="4">
        <f>'Income Statement '!W4*'Forecast Drivers '!W7</f>
        <v>42813.352763928138</v>
      </c>
      <c r="X7" s="4">
        <f>'Income Statement '!X4*'Forecast Drivers '!X7</f>
        <v>41290.531357593747</v>
      </c>
      <c r="Y7" s="4">
        <f>'Income Statement '!Y4*'Forecast Drivers '!Y7</f>
        <v>40085.079220886182</v>
      </c>
      <c r="Z7" s="4">
        <f>'Income Statement '!Z4*'Forecast Drivers '!Z7</f>
        <v>38648.009932641122</v>
      </c>
      <c r="AA7" s="4">
        <f>'Income Statement '!AA4*'Forecast Drivers '!AA7</f>
        <v>37502.376917348061</v>
      </c>
      <c r="AB7" s="4">
        <f>'Income Statement '!AB4*'Forecast Drivers '!AB7</f>
        <v>36221.821666270291</v>
      </c>
      <c r="AC7" s="4">
        <f>'Income Statement '!AC4*'Forecast Drivers '!AC7</f>
        <v>35146.365604225983</v>
      </c>
      <c r="AD7" s="4">
        <f>'Income Statement '!AD4*'Forecast Drivers '!AD7</f>
        <v>33997.639797577147</v>
      </c>
      <c r="AE7" s="4">
        <f>'Income Statement '!AE4*'Forecast Drivers '!AE7</f>
        <v>32996.345332441648</v>
      </c>
      <c r="AF7" s="4">
        <f>'Income Statement '!AF4*'Forecast Drivers '!AF7</f>
        <v>31960.637229841101</v>
      </c>
      <c r="AG7" s="4">
        <f>'Income Statement '!AG4*'Forecast Drivers '!AG7</f>
        <v>31033.53484178353</v>
      </c>
      <c r="AH7" s="4">
        <f>'Income Statement '!AH4*'Forecast Drivers '!AH7</f>
        <v>30145.583038211156</v>
      </c>
      <c r="AI7" s="4">
        <f>'Income Statement '!AI4*'Forecast Drivers '!AI7</f>
        <v>29300.013431975898</v>
      </c>
      <c r="AJ7" s="4">
        <f>'Income Statement '!AJ4*'Forecast Drivers '!AJ7</f>
        <v>28490.333627026524</v>
      </c>
      <c r="AK7" s="4">
        <f>'Income Statement '!AK4*'Forecast Drivers '!AK7</f>
        <v>27718.539409537738</v>
      </c>
      <c r="AL7" s="4">
        <f>'Income Statement '!AL4*'Forecast Drivers '!AL7</f>
        <v>26979.79037438894</v>
      </c>
      <c r="AM7" s="4">
        <f>'Income Statement '!AM4*'Forecast Drivers '!AM7</f>
        <v>26275.039979830184</v>
      </c>
      <c r="AN7" s="4">
        <f>'Income Statement '!AN4*'Forecast Drivers '!AN7</f>
        <v>25600.612068136226</v>
      </c>
      <c r="AO7" s="889">
        <f>'Income Statement '!AO4*'Forecast Drivers '!AO7</f>
        <v>24956.789749765496</v>
      </c>
    </row>
    <row r="8" spans="1:41" x14ac:dyDescent="0.8">
      <c r="A8" s="288" t="s">
        <v>347</v>
      </c>
      <c r="B8" s="4">
        <f>'Income Statement '!B4*'Forecast Drivers '!B8</f>
        <v>20915.05</v>
      </c>
      <c r="C8" s="4">
        <f>'Income Statement '!C4*'Forecast Drivers '!C8</f>
        <v>43403.400000000009</v>
      </c>
      <c r="D8" s="4">
        <f>'Income Statement '!D4*'Forecast Drivers '!D8</f>
        <v>65113.899999999994</v>
      </c>
      <c r="E8" s="4">
        <f>'Income Statement '!E4*'Forecast Drivers '!E8</f>
        <v>47988.499999999993</v>
      </c>
      <c r="F8" s="4">
        <f>'Income Statement '!F4*'Forecast Drivers '!F8</f>
        <v>70348.95</v>
      </c>
      <c r="G8" s="4">
        <f>'Income Statement '!G4*'Forecast Drivers '!G8</f>
        <v>108224.65000000001</v>
      </c>
      <c r="H8" s="371">
        <f>H9-H7</f>
        <v>0</v>
      </c>
      <c r="I8" s="890">
        <f t="shared" ref="I8:AO8" si="0">I9-I7</f>
        <v>0</v>
      </c>
      <c r="J8" s="890">
        <f t="shared" si="0"/>
        <v>0</v>
      </c>
      <c r="K8" s="890">
        <f t="shared" si="0"/>
        <v>0</v>
      </c>
      <c r="L8" s="890">
        <f t="shared" si="0"/>
        <v>0</v>
      </c>
      <c r="M8" s="890">
        <f t="shared" si="0"/>
        <v>0</v>
      </c>
      <c r="N8" s="371">
        <f t="shared" si="0"/>
        <v>0</v>
      </c>
      <c r="O8" s="890">
        <f t="shared" si="0"/>
        <v>0</v>
      </c>
      <c r="P8" s="890">
        <f t="shared" si="0"/>
        <v>0</v>
      </c>
      <c r="Q8" s="890">
        <f t="shared" si="0"/>
        <v>0</v>
      </c>
      <c r="R8" s="890">
        <f t="shared" si="0"/>
        <v>0</v>
      </c>
      <c r="S8" s="890">
        <f t="shared" si="0"/>
        <v>0</v>
      </c>
      <c r="T8" s="890">
        <f t="shared" si="0"/>
        <v>0</v>
      </c>
      <c r="U8" s="890">
        <f t="shared" si="0"/>
        <v>0</v>
      </c>
      <c r="V8" s="890">
        <f t="shared" si="0"/>
        <v>0</v>
      </c>
      <c r="W8" s="890">
        <f t="shared" si="0"/>
        <v>0</v>
      </c>
      <c r="X8" s="890">
        <f t="shared" si="0"/>
        <v>0</v>
      </c>
      <c r="Y8" s="890">
        <f t="shared" si="0"/>
        <v>0</v>
      </c>
      <c r="Z8" s="890">
        <f t="shared" si="0"/>
        <v>0</v>
      </c>
      <c r="AA8" s="890">
        <f t="shared" si="0"/>
        <v>0</v>
      </c>
      <c r="AB8" s="890">
        <f t="shared" si="0"/>
        <v>0</v>
      </c>
      <c r="AC8" s="890">
        <f t="shared" si="0"/>
        <v>0</v>
      </c>
      <c r="AD8" s="890">
        <f t="shared" si="0"/>
        <v>0</v>
      </c>
      <c r="AE8" s="890">
        <f t="shared" si="0"/>
        <v>0</v>
      </c>
      <c r="AF8" s="890">
        <f t="shared" si="0"/>
        <v>0</v>
      </c>
      <c r="AG8" s="890">
        <f t="shared" si="0"/>
        <v>0</v>
      </c>
      <c r="AH8" s="890">
        <f t="shared" si="0"/>
        <v>0</v>
      </c>
      <c r="AI8" s="890">
        <f t="shared" si="0"/>
        <v>-2.9103830456733704E-11</v>
      </c>
      <c r="AJ8" s="890">
        <f t="shared" si="0"/>
        <v>0</v>
      </c>
      <c r="AK8" s="890">
        <f t="shared" si="0"/>
        <v>-3.2741809263825417E-11</v>
      </c>
      <c r="AL8" s="890">
        <f t="shared" si="0"/>
        <v>-3.637978807091713E-11</v>
      </c>
      <c r="AM8" s="890">
        <f t="shared" si="0"/>
        <v>-4.0017766878008842E-11</v>
      </c>
      <c r="AN8" s="890">
        <f t="shared" si="0"/>
        <v>-4.0017766878008842E-11</v>
      </c>
      <c r="AO8" s="891">
        <f t="shared" si="0"/>
        <v>-4.0017766878008842E-11</v>
      </c>
    </row>
    <row r="9" spans="1:41" x14ac:dyDescent="0.8">
      <c r="A9" s="219" t="s">
        <v>2</v>
      </c>
      <c r="B9" s="4">
        <f>'Statement of Cash Flows '!B52</f>
        <v>75406</v>
      </c>
      <c r="C9" s="4">
        <f>'Statement of Cash Flows '!C52</f>
        <v>98604</v>
      </c>
      <c r="D9" s="4">
        <f>'Statement of Cash Flows '!D52</f>
        <v>107116</v>
      </c>
      <c r="E9" s="4">
        <f>'Statement of Cash Flows '!E52</f>
        <v>98438</v>
      </c>
      <c r="F9" s="4">
        <f>'Statement of Cash Flows '!F52</f>
        <v>121164</v>
      </c>
      <c r="G9" s="4">
        <f>'Statement of Cash Flows '!G52</f>
        <v>155806</v>
      </c>
      <c r="H9" s="370">
        <f>'Statement of Cash Flows '!H52</f>
        <v>52517.346874199982</v>
      </c>
      <c r="I9" s="4">
        <f>'Statement of Cash Flows '!I52</f>
        <v>57486.588315848494</v>
      </c>
      <c r="J9" s="4">
        <f>'Statement of Cash Flows '!J52</f>
        <v>56647.460803589012</v>
      </c>
      <c r="K9" s="4">
        <f>'Statement of Cash Flows '!K52</f>
        <v>58437.289380436967</v>
      </c>
      <c r="L9" s="4">
        <f>'Statement of Cash Flows '!L52</f>
        <v>56241.314879081227</v>
      </c>
      <c r="M9" s="4">
        <f>'Statement of Cash Flows '!M52</f>
        <v>58043.988260090802</v>
      </c>
      <c r="N9" s="370">
        <f>'Statement of Cash Flows '!N52</f>
        <v>51644.756012725622</v>
      </c>
      <c r="O9" s="4">
        <f>'Statement of Cash Flows '!O52</f>
        <v>53007.920604133084</v>
      </c>
      <c r="P9" s="4">
        <f>'Statement of Cash Flows '!P52</f>
        <v>49220.043723176284</v>
      </c>
      <c r="Q9" s="4">
        <f>'Statement of Cash Flows '!Q52</f>
        <v>50169.758012606122</v>
      </c>
      <c r="R9" s="4">
        <f>'Statement of Cash Flows '!R52</f>
        <v>46350.132060123666</v>
      </c>
      <c r="S9" s="4">
        <f>'Statement of Cash Flows '!S52</f>
        <v>46980.77228040513</v>
      </c>
      <c r="T9" s="4">
        <f>'Statement of Cash Flows '!T52</f>
        <v>44309.392719951502</v>
      </c>
      <c r="U9" s="4">
        <f>'Statement of Cash Flows '!U52</f>
        <v>44725.648502214201</v>
      </c>
      <c r="V9" s="4">
        <f>'Statement of Cash Flows '!V52</f>
        <v>42749.084781531346</v>
      </c>
      <c r="W9" s="4">
        <f>'Statement of Cash Flows '!W52</f>
        <v>42813.352763928095</v>
      </c>
      <c r="X9" s="4">
        <f>'Statement of Cash Flows '!X52</f>
        <v>41290.531357593696</v>
      </c>
      <c r="Y9" s="4">
        <f>'Statement of Cash Flows '!Y52</f>
        <v>40085.079220886131</v>
      </c>
      <c r="Z9" s="4">
        <f>'Statement of Cash Flows '!Z52</f>
        <v>38648.009932641078</v>
      </c>
      <c r="AA9" s="4">
        <f>'Statement of Cash Flows '!AA52</f>
        <v>37502.376917348025</v>
      </c>
      <c r="AB9" s="4">
        <f>'Statement of Cash Flows '!AB52</f>
        <v>36221.821666270262</v>
      </c>
      <c r="AC9" s="4">
        <f>'Statement of Cash Flows '!AC52</f>
        <v>35146.365604225954</v>
      </c>
      <c r="AD9" s="4">
        <f>'Statement of Cash Flows '!AD52</f>
        <v>33997.639797577125</v>
      </c>
      <c r="AE9" s="4">
        <f>'Statement of Cash Flows '!AE52</f>
        <v>32996.345332441626</v>
      </c>
      <c r="AF9" s="4">
        <f>'Statement of Cash Flows '!AF52</f>
        <v>31960.637229841086</v>
      </c>
      <c r="AG9" s="4">
        <f>'Statement of Cash Flows '!AG52</f>
        <v>31033.534841783512</v>
      </c>
      <c r="AH9" s="4">
        <f>'Statement of Cash Flows '!AH52</f>
        <v>30145.583038211131</v>
      </c>
      <c r="AI9" s="4">
        <f>'Statement of Cash Flows '!AI52</f>
        <v>29300.013431975869</v>
      </c>
      <c r="AJ9" s="4">
        <f>'Statement of Cash Flows '!AJ52</f>
        <v>28490.333627026499</v>
      </c>
      <c r="AK9" s="4">
        <f>'Statement of Cash Flows '!AK52</f>
        <v>27718.539409537705</v>
      </c>
      <c r="AL9" s="4">
        <f>'Statement of Cash Flows '!AL52</f>
        <v>26979.790374388904</v>
      </c>
      <c r="AM9" s="4">
        <f>'Statement of Cash Flows '!AM52</f>
        <v>26275.039979830144</v>
      </c>
      <c r="AN9" s="4">
        <f>'Statement of Cash Flows '!AN52</f>
        <v>25600.612068136186</v>
      </c>
      <c r="AO9" s="889">
        <f>'Statement of Cash Flows '!AO52</f>
        <v>24956.789749765456</v>
      </c>
    </row>
    <row r="10" spans="1:41" x14ac:dyDescent="0.8">
      <c r="A10" s="219" t="s">
        <v>3</v>
      </c>
      <c r="B10" s="4">
        <v>593</v>
      </c>
      <c r="C10" s="4">
        <v>509</v>
      </c>
      <c r="D10" s="4">
        <v>314</v>
      </c>
      <c r="E10" s="4">
        <v>337</v>
      </c>
      <c r="F10" s="4">
        <v>266</v>
      </c>
      <c r="G10" s="4">
        <v>277</v>
      </c>
      <c r="H10" s="370">
        <f>G10</f>
        <v>277</v>
      </c>
      <c r="I10" s="4">
        <f t="shared" ref="I10:AO10" si="1">H10</f>
        <v>277</v>
      </c>
      <c r="J10" s="4">
        <f t="shared" si="1"/>
        <v>277</v>
      </c>
      <c r="K10" s="4">
        <f t="shared" si="1"/>
        <v>277</v>
      </c>
      <c r="L10" s="4">
        <f t="shared" si="1"/>
        <v>277</v>
      </c>
      <c r="M10" s="4">
        <f t="shared" si="1"/>
        <v>277</v>
      </c>
      <c r="N10" s="370">
        <f t="shared" si="1"/>
        <v>277</v>
      </c>
      <c r="O10" s="4">
        <f t="shared" si="1"/>
        <v>277</v>
      </c>
      <c r="P10" s="4">
        <f t="shared" si="1"/>
        <v>277</v>
      </c>
      <c r="Q10" s="4">
        <f t="shared" si="1"/>
        <v>277</v>
      </c>
      <c r="R10" s="4">
        <f t="shared" si="1"/>
        <v>277</v>
      </c>
      <c r="S10" s="4">
        <f t="shared" si="1"/>
        <v>277</v>
      </c>
      <c r="T10" s="4">
        <f t="shared" si="1"/>
        <v>277</v>
      </c>
      <c r="U10" s="4">
        <f t="shared" si="1"/>
        <v>277</v>
      </c>
      <c r="V10" s="4">
        <f t="shared" si="1"/>
        <v>277</v>
      </c>
      <c r="W10" s="4">
        <f t="shared" si="1"/>
        <v>277</v>
      </c>
      <c r="X10" s="4">
        <f t="shared" si="1"/>
        <v>277</v>
      </c>
      <c r="Y10" s="4">
        <f t="shared" si="1"/>
        <v>277</v>
      </c>
      <c r="Z10" s="4">
        <f t="shared" si="1"/>
        <v>277</v>
      </c>
      <c r="AA10" s="4">
        <f t="shared" si="1"/>
        <v>277</v>
      </c>
      <c r="AB10" s="4">
        <f t="shared" si="1"/>
        <v>277</v>
      </c>
      <c r="AC10" s="4">
        <f t="shared" si="1"/>
        <v>277</v>
      </c>
      <c r="AD10" s="4">
        <f t="shared" si="1"/>
        <v>277</v>
      </c>
      <c r="AE10" s="4">
        <f t="shared" si="1"/>
        <v>277</v>
      </c>
      <c r="AF10" s="4">
        <f t="shared" si="1"/>
        <v>277</v>
      </c>
      <c r="AG10" s="4">
        <f t="shared" si="1"/>
        <v>277</v>
      </c>
      <c r="AH10" s="4">
        <f t="shared" si="1"/>
        <v>277</v>
      </c>
      <c r="AI10" s="4">
        <f t="shared" si="1"/>
        <v>277</v>
      </c>
      <c r="AJ10" s="4">
        <f t="shared" si="1"/>
        <v>277</v>
      </c>
      <c r="AK10" s="4">
        <f t="shared" si="1"/>
        <v>277</v>
      </c>
      <c r="AL10" s="4">
        <f t="shared" si="1"/>
        <v>277</v>
      </c>
      <c r="AM10" s="4">
        <f t="shared" si="1"/>
        <v>277</v>
      </c>
      <c r="AN10" s="4">
        <f t="shared" si="1"/>
        <v>277</v>
      </c>
      <c r="AO10" s="889">
        <f t="shared" si="1"/>
        <v>277</v>
      </c>
    </row>
    <row r="11" spans="1:41" x14ac:dyDescent="0.8">
      <c r="A11" s="219" t="s">
        <v>36</v>
      </c>
      <c r="B11" s="4">
        <v>55222</v>
      </c>
      <c r="C11" s="4">
        <v>48420</v>
      </c>
      <c r="D11" s="4">
        <v>37752</v>
      </c>
      <c r="E11" s="4">
        <v>45707</v>
      </c>
      <c r="F11" s="4">
        <v>41042</v>
      </c>
      <c r="G11" s="4">
        <v>38440</v>
      </c>
      <c r="H11" s="370">
        <f>IF('Forecast Drivers '!H63&lt;0,'Balance Sheet '!G11,'Forecast Drivers '!H30*'Income Statement '!H4)</f>
        <v>38440</v>
      </c>
      <c r="I11" s="4">
        <f>IF('Forecast Drivers '!I63&lt;0,'Balance Sheet '!H11,'Forecast Drivers '!I30*'Income Statement '!I4)</f>
        <v>42412.327379692681</v>
      </c>
      <c r="J11" s="4">
        <f>IF('Forecast Drivers '!J63&lt;0,'Balance Sheet '!I11,'Forecast Drivers '!J30*'Income Statement '!J4)</f>
        <v>42412.327379692681</v>
      </c>
      <c r="K11" s="4">
        <f>IF('Forecast Drivers '!K63&lt;0,'Balance Sheet '!J11,'Forecast Drivers '!K30*'Income Statement '!K4)</f>
        <v>43113.733498455731</v>
      </c>
      <c r="L11" s="4">
        <f>IF('Forecast Drivers '!L63&lt;0,'Balance Sheet '!K11,'Forecast Drivers '!L30*'Income Statement '!L4)</f>
        <v>43113.733498455731</v>
      </c>
      <c r="M11" s="4">
        <f>IF('Forecast Drivers '!M63&lt;0,'Balance Sheet '!L11,'Forecast Drivers '!M30*'Income Statement '!M4)</f>
        <v>42823.564671889231</v>
      </c>
      <c r="N11" s="370">
        <f>IF('Forecast Drivers '!N63&lt;0,'Balance Sheet '!M11,'Forecast Drivers '!N30*'Income Statement '!N4)</f>
        <v>42823.564671889231</v>
      </c>
      <c r="O11" s="4">
        <f>IF('Forecast Drivers '!O63&lt;0,'Balance Sheet '!N11,'Forecast Drivers '!O30*'Income Statement '!O4)</f>
        <v>39108.06586793821</v>
      </c>
      <c r="P11" s="4">
        <f>IF('Forecast Drivers '!P63&lt;0,'Balance Sheet '!O11,'Forecast Drivers '!P30*'Income Statement '!P4)</f>
        <v>39108.06586793821</v>
      </c>
      <c r="Q11" s="4">
        <f>IF('Forecast Drivers '!Q63&lt;0,'Balance Sheet '!P11,'Forecast Drivers '!Q30*'Income Statement '!Q4)</f>
        <v>37014.132578189434</v>
      </c>
      <c r="R11" s="4">
        <f>IF('Forecast Drivers '!R63&lt;0,'Balance Sheet '!Q11,'Forecast Drivers '!R30*'Income Statement '!R4)</f>
        <v>37014.132578189434</v>
      </c>
      <c r="S11" s="4">
        <f>IF('Forecast Drivers '!S63&lt;0,'Balance Sheet '!R11,'Forecast Drivers '!S30*'Income Statement '!S4)</f>
        <v>34661.369771321137</v>
      </c>
      <c r="T11" s="4">
        <f>IF('Forecast Drivers '!T63&lt;0,'Balance Sheet '!S11,'Forecast Drivers '!T30*'Income Statement '!T4)</f>
        <v>34661.369771321137</v>
      </c>
      <c r="U11" s="4">
        <f>IF('Forecast Drivers '!U63&lt;0,'Balance Sheet '!T11,'Forecast Drivers '!U30*'Income Statement '!U4)</f>
        <v>32997.589561633613</v>
      </c>
      <c r="V11" s="4">
        <f>IF('Forecast Drivers '!V63&lt;0,'Balance Sheet '!U11,'Forecast Drivers '!V30*'Income Statement '!V4)</f>
        <v>32997.589561633613</v>
      </c>
      <c r="W11" s="4">
        <f>IF('Forecast Drivers '!W63&lt;0,'Balance Sheet '!V11,'Forecast Drivers '!W30*'Income Statement '!W4)</f>
        <v>31586.740261386982</v>
      </c>
      <c r="X11" s="4">
        <f>IF('Forecast Drivers '!X63&lt;0,'Balance Sheet '!W11,'Forecast Drivers '!X30*'Income Statement '!X4)</f>
        <v>31586.740261386982</v>
      </c>
      <c r="Y11" s="4">
        <f>IF('Forecast Drivers '!Y63&lt;0,'Balance Sheet '!X11,'Forecast Drivers '!Y30*'Income Statement '!Y4)</f>
        <v>31586.740261386982</v>
      </c>
      <c r="Z11" s="4">
        <f>IF('Forecast Drivers '!Z63&lt;0,'Balance Sheet '!Y11,'Forecast Drivers '!Z30*'Income Statement '!Z4)</f>
        <v>31586.740261386982</v>
      </c>
      <c r="AA11" s="4">
        <f>IF('Forecast Drivers '!AA63&lt;0,'Balance Sheet '!Z11,'Forecast Drivers '!AA30*'Income Statement '!AA4)</f>
        <v>31586.740261386982</v>
      </c>
      <c r="AB11" s="4">
        <f>IF('Forecast Drivers '!AB63&lt;0,'Balance Sheet '!AA11,'Forecast Drivers '!AB30*'Income Statement '!AB4)</f>
        <v>31586.740261386982</v>
      </c>
      <c r="AC11" s="4">
        <f>IF('Forecast Drivers '!AC63&lt;0,'Balance Sheet '!AB11,'Forecast Drivers '!AC30*'Income Statement '!AC4)</f>
        <v>31586.740261386982</v>
      </c>
      <c r="AD11" s="4">
        <f>IF('Forecast Drivers '!AD63&lt;0,'Balance Sheet '!AC11,'Forecast Drivers '!AD30*'Income Statement '!AD4)</f>
        <v>31586.740261386982</v>
      </c>
      <c r="AE11" s="4">
        <f>IF('Forecast Drivers '!AE63&lt;0,'Balance Sheet '!AD11,'Forecast Drivers '!AE30*'Income Statement '!AE4)</f>
        <v>31586.740261386982</v>
      </c>
      <c r="AF11" s="4">
        <f>IF('Forecast Drivers '!AF63&lt;0,'Balance Sheet '!AE11,'Forecast Drivers '!AF30*'Income Statement '!AF4)</f>
        <v>31586.740261386982</v>
      </c>
      <c r="AG11" s="4">
        <f>IF('Forecast Drivers '!AG63&lt;0,'Balance Sheet '!AF11,'Forecast Drivers '!AG30*'Income Statement '!AG4)</f>
        <v>31586.740261386982</v>
      </c>
      <c r="AH11" s="4">
        <f>IF('Forecast Drivers '!AH63&lt;0,'Balance Sheet '!AG11,'Forecast Drivers '!AH30*'Income Statement '!AH4)</f>
        <v>31586.740261386982</v>
      </c>
      <c r="AI11" s="4">
        <f>IF('Forecast Drivers '!AI63&lt;0,'Balance Sheet '!AH11,'Forecast Drivers '!AI30*'Income Statement '!AI4)</f>
        <v>31586.740261386982</v>
      </c>
      <c r="AJ11" s="4">
        <f>IF('Forecast Drivers '!AJ63&lt;0,'Balance Sheet '!AI11,'Forecast Drivers '!AJ30*'Income Statement '!AJ4)</f>
        <v>31586.740261386982</v>
      </c>
      <c r="AK11" s="4">
        <f>IF('Forecast Drivers '!AK63&lt;0,'Balance Sheet '!AJ11,'Forecast Drivers '!AK30*'Income Statement '!AK4)</f>
        <v>31586.740261386982</v>
      </c>
      <c r="AL11" s="4">
        <f>IF('Forecast Drivers '!AL63&lt;0,'Balance Sheet '!AK11,'Forecast Drivers '!AL30*'Income Statement '!AL4)</f>
        <v>31586.740261386982</v>
      </c>
      <c r="AM11" s="4">
        <f>IF('Forecast Drivers '!AM63&lt;0,'Balance Sheet '!AL11,'Forecast Drivers '!AM30*'Income Statement '!AM4)</f>
        <v>31586.740261386982</v>
      </c>
      <c r="AN11" s="4">
        <f>IF('Forecast Drivers '!AN63&lt;0,'Balance Sheet '!AM11,'Forecast Drivers '!AN30*'Income Statement '!AN4)</f>
        <v>31586.740261386982</v>
      </c>
      <c r="AO11" s="889">
        <f>IF('Forecast Drivers '!AO63&lt;0,'Balance Sheet '!AN11,'Forecast Drivers '!AO30*'Income Statement '!AO4)</f>
        <v>31586.740261386982</v>
      </c>
    </row>
    <row r="12" spans="1:41" x14ac:dyDescent="0.8">
      <c r="A12" s="219" t="s">
        <v>4</v>
      </c>
      <c r="B12" s="4">
        <v>75839</v>
      </c>
      <c r="C12" s="4">
        <v>86240</v>
      </c>
      <c r="D12" s="4">
        <v>83829</v>
      </c>
      <c r="E12" s="4">
        <v>93028</v>
      </c>
      <c r="F12" s="4">
        <v>82005</v>
      </c>
      <c r="G12" s="4">
        <v>89604</v>
      </c>
      <c r="H12" s="370">
        <f>'Obsolete inventory reserve'!H14</f>
        <v>89604</v>
      </c>
      <c r="I12" s="4">
        <f>'Obsolete inventory reserve'!I14</f>
        <v>98082.415926152142</v>
      </c>
      <c r="J12" s="4">
        <f>'Obsolete inventory reserve'!J14</f>
        <v>98082.415926152142</v>
      </c>
      <c r="K12" s="4">
        <f>'Obsolete inventory reserve'!K14</f>
        <v>101181.41998424384</v>
      </c>
      <c r="L12" s="4">
        <f>'Obsolete inventory reserve'!L14</f>
        <v>101181.41998424384</v>
      </c>
      <c r="M12" s="4">
        <f>'Obsolete inventory reserve'!M14</f>
        <v>104424.53499409917</v>
      </c>
      <c r="N12" s="370">
        <f>'Obsolete inventory reserve'!N14</f>
        <v>104424.53499409917</v>
      </c>
      <c r="O12" s="4">
        <f>'Obsolete inventory reserve'!O14</f>
        <v>107180.82313578523</v>
      </c>
      <c r="P12" s="4">
        <f>'Obsolete inventory reserve'!P14</f>
        <v>107180.82313578523</v>
      </c>
      <c r="Q12" s="4">
        <f>'Obsolete inventory reserve'!Q14</f>
        <v>109248.90661530022</v>
      </c>
      <c r="R12" s="4">
        <f>'Obsolete inventory reserve'!R14</f>
        <v>109248.90661530022</v>
      </c>
      <c r="S12" s="4">
        <f>'Obsolete inventory reserve'!S14</f>
        <v>110735.3480011416</v>
      </c>
      <c r="T12" s="4">
        <f>'Obsolete inventory reserve'!T14</f>
        <v>110735.3480011416</v>
      </c>
      <c r="U12" s="4">
        <f>'Obsolete inventory reserve'!U14</f>
        <v>111775.62921640619</v>
      </c>
      <c r="V12" s="4">
        <f>'Obsolete inventory reserve'!V14</f>
        <v>111775.62921640619</v>
      </c>
      <c r="W12" s="4">
        <f>'Obsolete inventory reserve'!W14</f>
        <v>111943.67010447616</v>
      </c>
      <c r="X12" s="4">
        <f>'Obsolete inventory reserve'!X14</f>
        <v>111943.67010447616</v>
      </c>
      <c r="Y12" s="4">
        <f>'Obsolete inventory reserve'!Y14</f>
        <v>111943.67010447616</v>
      </c>
      <c r="Z12" s="4">
        <f>'Obsolete inventory reserve'!Z14</f>
        <v>111943.67010447616</v>
      </c>
      <c r="AA12" s="4">
        <f>'Obsolete inventory reserve'!AA14</f>
        <v>111943.67010447616</v>
      </c>
      <c r="AB12" s="4">
        <f>'Obsolete inventory reserve'!AB14</f>
        <v>111943.67010447616</v>
      </c>
      <c r="AC12" s="4">
        <f>'Obsolete inventory reserve'!AC14</f>
        <v>111943.67010447616</v>
      </c>
      <c r="AD12" s="4">
        <f>'Obsolete inventory reserve'!AD14</f>
        <v>111943.67010447616</v>
      </c>
      <c r="AE12" s="4">
        <f>'Obsolete inventory reserve'!AE14</f>
        <v>111943.67010447616</v>
      </c>
      <c r="AF12" s="4">
        <f>'Obsolete inventory reserve'!AF14</f>
        <v>111943.67010447616</v>
      </c>
      <c r="AG12" s="4">
        <f>'Obsolete inventory reserve'!AG14</f>
        <v>111943.67010447616</v>
      </c>
      <c r="AH12" s="4">
        <f>'Obsolete inventory reserve'!AH14</f>
        <v>111943.67010447616</v>
      </c>
      <c r="AI12" s="4">
        <f>'Obsolete inventory reserve'!AI14</f>
        <v>111943.67010447616</v>
      </c>
      <c r="AJ12" s="4">
        <f>'Obsolete inventory reserve'!AJ14</f>
        <v>111943.67010447616</v>
      </c>
      <c r="AK12" s="4">
        <f>'Obsolete inventory reserve'!AK14</f>
        <v>111943.67010447616</v>
      </c>
      <c r="AL12" s="4">
        <f>'Obsolete inventory reserve'!AL14</f>
        <v>111943.67010447616</v>
      </c>
      <c r="AM12" s="4">
        <f>'Obsolete inventory reserve'!AM14</f>
        <v>111943.67010447616</v>
      </c>
      <c r="AN12" s="4">
        <f>'Obsolete inventory reserve'!AN14</f>
        <v>111943.67010447616</v>
      </c>
      <c r="AO12" s="889">
        <f>'Obsolete inventory reserve'!AO14</f>
        <v>111943.67010447616</v>
      </c>
    </row>
    <row r="13" spans="1:41" x14ac:dyDescent="0.8">
      <c r="A13" s="219" t="s">
        <v>5</v>
      </c>
      <c r="B13" s="4">
        <v>8285</v>
      </c>
      <c r="C13" s="4">
        <v>6934</v>
      </c>
      <c r="D13" s="4">
        <v>7328</v>
      </c>
      <c r="E13" s="4">
        <v>9520</v>
      </c>
      <c r="F13" s="4">
        <v>3413</v>
      </c>
      <c r="G13" s="4">
        <v>4203</v>
      </c>
      <c r="H13" s="370">
        <f>'Forecast Drivers '!H31*'Income Statement '!H9</f>
        <v>4693.2395095732472</v>
      </c>
      <c r="I13" s="4">
        <f>'Forecast Drivers '!I31*'Income Statement '!I9</f>
        <v>5428.7111394163385</v>
      </c>
      <c r="J13" s="4">
        <f>'Forecast Drivers '!J31*'Income Statement '!J9</f>
        <v>5652.8948109622288</v>
      </c>
      <c r="K13" s="4">
        <f>'Forecast Drivers '!K31*'Income Statement '!K9</f>
        <v>6162.2707760467283</v>
      </c>
      <c r="L13" s="4">
        <f>'Forecast Drivers '!L31*'Income Statement '!L9</f>
        <v>6267.0973166583972</v>
      </c>
      <c r="M13" s="4">
        <f>'Forecast Drivers '!M31*'Income Statement '!M9</f>
        <v>6467.9733013900195</v>
      </c>
      <c r="N13" s="370">
        <f>'Forecast Drivers '!N31*'Income Statement '!N9</f>
        <v>5754.8923335577228</v>
      </c>
      <c r="O13" s="4">
        <f>'Forecast Drivers '!O31*'Income Statement '!O9</f>
        <v>5906.7928567112285</v>
      </c>
      <c r="P13" s="4">
        <f>'Forecast Drivers '!P31*'Income Statement '!P9</f>
        <v>5484.7011419724213</v>
      </c>
      <c r="Q13" s="4">
        <f>'Forecast Drivers '!Q31*'Income Statement '!Q9</f>
        <v>5590.5299599450173</v>
      </c>
      <c r="R13" s="4">
        <f>'Forecast Drivers '!R31*'Income Statement '!R9</f>
        <v>5164.9003741341567</v>
      </c>
      <c r="S13" s="4">
        <f>'Forecast Drivers '!S31*'Income Statement '!S9</f>
        <v>5235.1740446697786</v>
      </c>
      <c r="T13" s="4">
        <f>'Forecast Drivers '!T31*'Income Statement '!T9</f>
        <v>4937.4961594515935</v>
      </c>
      <c r="U13" s="4">
        <f>'Forecast Drivers '!U31*'Income Statement '!U9</f>
        <v>4983.8804856657089</v>
      </c>
      <c r="V13" s="4">
        <f>'Forecast Drivers '!V31*'Income Statement '!V9</f>
        <v>4763.6275058637857</v>
      </c>
      <c r="W13" s="4">
        <f>'Forecast Drivers '!W31*'Income Statement '!W9</f>
        <v>4770.7890329527545</v>
      </c>
      <c r="X13" s="4">
        <f>'Forecast Drivers '!X31*'Income Statement '!X9</f>
        <v>4601.0975886843007</v>
      </c>
      <c r="Y13" s="4">
        <f>'Forecast Drivers '!Y31*'Income Statement '!Y9</f>
        <v>4466.7713221743043</v>
      </c>
      <c r="Z13" s="4">
        <f>'Forecast Drivers '!Z31*'Income Statement '!Z9</f>
        <v>4306.6354309780145</v>
      </c>
      <c r="AA13" s="4">
        <f>'Forecast Drivers '!AA31*'Income Statement '!AA9</f>
        <v>4178.9749448842067</v>
      </c>
      <c r="AB13" s="4">
        <f>'Forecast Drivers '!AB31*'Income Statement '!AB9</f>
        <v>4036.2797679468108</v>
      </c>
      <c r="AC13" s="4">
        <f>'Forecast Drivers '!AC31*'Income Statement '!AC9</f>
        <v>3916.4392589702179</v>
      </c>
      <c r="AD13" s="4">
        <f>'Forecast Drivers '!AD31*'Income Statement '!AD9</f>
        <v>3788.4341361187453</v>
      </c>
      <c r="AE13" s="4">
        <f>'Forecast Drivers '!AE31*'Income Statement '!AE9</f>
        <v>3676.8576221427238</v>
      </c>
      <c r="AF13" s="4">
        <f>'Forecast Drivers '!AF31*'Income Statement '!AF9</f>
        <v>3561.4463184666874</v>
      </c>
      <c r="AG13" s="4">
        <f>'Forecast Drivers '!AG31*'Income Statement '!AG9</f>
        <v>3458.1371959656367</v>
      </c>
      <c r="AH13" s="4">
        <f>'Forecast Drivers '!AH31*'Income Statement '!AH9</f>
        <v>3359.1907119181901</v>
      </c>
      <c r="AI13" s="4">
        <f>'Forecast Drivers '!AI31*'Income Statement '!AI9</f>
        <v>3264.966972276286</v>
      </c>
      <c r="AJ13" s="4">
        <f>'Forecast Drivers '!AJ31*'Income Statement '!AJ9</f>
        <v>3174.7425146180585</v>
      </c>
      <c r="AK13" s="4">
        <f>'Forecast Drivers '!AK31*'Income Statement '!AK9</f>
        <v>3088.7397339249724</v>
      </c>
      <c r="AL13" s="4">
        <f>'Forecast Drivers '!AL31*'Income Statement '!AL9</f>
        <v>3006.4192528725803</v>
      </c>
      <c r="AM13" s="4">
        <f>'Forecast Drivers '!AM31*'Income Statement '!AM9</f>
        <v>2927.8873174768823</v>
      </c>
      <c r="AN13" s="4">
        <f>'Forecast Drivers '!AN31*'Income Statement '!AN9</f>
        <v>2852.7342851421272</v>
      </c>
      <c r="AO13" s="889">
        <f>'Forecast Drivers '!AO31*'Income Statement '!AO9</f>
        <v>2780.9917035090161</v>
      </c>
    </row>
    <row r="14" spans="1:41" x14ac:dyDescent="0.8">
      <c r="A14" s="219" t="s">
        <v>9</v>
      </c>
      <c r="B14" s="4">
        <v>10660</v>
      </c>
      <c r="C14" s="4">
        <v>8450</v>
      </c>
      <c r="D14" s="4">
        <v>7167</v>
      </c>
      <c r="E14" s="4">
        <v>7975</v>
      </c>
      <c r="F14" s="4">
        <v>7077</v>
      </c>
      <c r="G14" s="4">
        <v>0</v>
      </c>
      <c r="H14" s="370">
        <f>G14</f>
        <v>0</v>
      </c>
      <c r="I14" s="4">
        <f t="shared" ref="I14:AO14" si="2">H14</f>
        <v>0</v>
      </c>
      <c r="J14" s="4">
        <f t="shared" si="2"/>
        <v>0</v>
      </c>
      <c r="K14" s="4">
        <f t="shared" si="2"/>
        <v>0</v>
      </c>
      <c r="L14" s="4">
        <f t="shared" si="2"/>
        <v>0</v>
      </c>
      <c r="M14" s="4">
        <f t="shared" si="2"/>
        <v>0</v>
      </c>
      <c r="N14" s="370">
        <f t="shared" si="2"/>
        <v>0</v>
      </c>
      <c r="O14" s="4">
        <f t="shared" si="2"/>
        <v>0</v>
      </c>
      <c r="P14" s="4">
        <f t="shared" si="2"/>
        <v>0</v>
      </c>
      <c r="Q14" s="4">
        <f t="shared" si="2"/>
        <v>0</v>
      </c>
      <c r="R14" s="4">
        <f t="shared" si="2"/>
        <v>0</v>
      </c>
      <c r="S14" s="4">
        <f t="shared" si="2"/>
        <v>0</v>
      </c>
      <c r="T14" s="4">
        <f t="shared" si="2"/>
        <v>0</v>
      </c>
      <c r="U14" s="4">
        <f t="shared" si="2"/>
        <v>0</v>
      </c>
      <c r="V14" s="4">
        <f t="shared" si="2"/>
        <v>0</v>
      </c>
      <c r="W14" s="4">
        <f t="shared" si="2"/>
        <v>0</v>
      </c>
      <c r="X14" s="4">
        <f t="shared" si="2"/>
        <v>0</v>
      </c>
      <c r="Y14" s="4">
        <f t="shared" si="2"/>
        <v>0</v>
      </c>
      <c r="Z14" s="4">
        <f t="shared" si="2"/>
        <v>0</v>
      </c>
      <c r="AA14" s="4">
        <f t="shared" si="2"/>
        <v>0</v>
      </c>
      <c r="AB14" s="4">
        <f t="shared" si="2"/>
        <v>0</v>
      </c>
      <c r="AC14" s="4">
        <f t="shared" si="2"/>
        <v>0</v>
      </c>
      <c r="AD14" s="4">
        <f t="shared" si="2"/>
        <v>0</v>
      </c>
      <c r="AE14" s="4">
        <f t="shared" si="2"/>
        <v>0</v>
      </c>
      <c r="AF14" s="4">
        <f t="shared" si="2"/>
        <v>0</v>
      </c>
      <c r="AG14" s="4">
        <f t="shared" si="2"/>
        <v>0</v>
      </c>
      <c r="AH14" s="4">
        <f t="shared" si="2"/>
        <v>0</v>
      </c>
      <c r="AI14" s="4">
        <f t="shared" si="2"/>
        <v>0</v>
      </c>
      <c r="AJ14" s="4">
        <f t="shared" si="2"/>
        <v>0</v>
      </c>
      <c r="AK14" s="4">
        <f t="shared" si="2"/>
        <v>0</v>
      </c>
      <c r="AL14" s="4">
        <f t="shared" si="2"/>
        <v>0</v>
      </c>
      <c r="AM14" s="4">
        <f t="shared" si="2"/>
        <v>0</v>
      </c>
      <c r="AN14" s="4">
        <f t="shared" si="2"/>
        <v>0</v>
      </c>
      <c r="AO14" s="889">
        <f t="shared" si="2"/>
        <v>0</v>
      </c>
    </row>
    <row r="15" spans="1:41" x14ac:dyDescent="0.8">
      <c r="A15" s="906" t="s">
        <v>6</v>
      </c>
      <c r="B15" s="907">
        <f t="shared" ref="B15:AO15" si="3">SUM(B9:B14)</f>
        <v>226005</v>
      </c>
      <c r="C15" s="907">
        <f t="shared" si="3"/>
        <v>249157</v>
      </c>
      <c r="D15" s="907">
        <f t="shared" si="3"/>
        <v>243506</v>
      </c>
      <c r="E15" s="907">
        <f t="shared" si="3"/>
        <v>255005</v>
      </c>
      <c r="F15" s="907">
        <f t="shared" si="3"/>
        <v>254967</v>
      </c>
      <c r="G15" s="907">
        <f t="shared" si="3"/>
        <v>288330</v>
      </c>
      <c r="H15" s="908">
        <f t="shared" si="3"/>
        <v>185531.58638377322</v>
      </c>
      <c r="I15" s="907">
        <f t="shared" si="3"/>
        <v>203687.04276110968</v>
      </c>
      <c r="J15" s="907">
        <f t="shared" si="3"/>
        <v>203072.09892039606</v>
      </c>
      <c r="K15" s="907">
        <f t="shared" si="3"/>
        <v>209171.71363918326</v>
      </c>
      <c r="L15" s="907">
        <f t="shared" si="3"/>
        <v>207080.56567843919</v>
      </c>
      <c r="M15" s="907">
        <f t="shared" si="3"/>
        <v>212037.06122746921</v>
      </c>
      <c r="N15" s="908">
        <f t="shared" si="3"/>
        <v>204924.74801227174</v>
      </c>
      <c r="O15" s="907">
        <f t="shared" si="3"/>
        <v>205480.60246456775</v>
      </c>
      <c r="P15" s="907">
        <f t="shared" si="3"/>
        <v>201270.63386887216</v>
      </c>
      <c r="Q15" s="907">
        <f t="shared" si="3"/>
        <v>202300.32716604078</v>
      </c>
      <c r="R15" s="907">
        <f t="shared" si="3"/>
        <v>198055.07162774747</v>
      </c>
      <c r="S15" s="907">
        <f t="shared" si="3"/>
        <v>197889.66409753764</v>
      </c>
      <c r="T15" s="907">
        <f t="shared" si="3"/>
        <v>194920.60665186585</v>
      </c>
      <c r="U15" s="907">
        <f t="shared" si="3"/>
        <v>194759.74776591975</v>
      </c>
      <c r="V15" s="907">
        <f t="shared" si="3"/>
        <v>192562.93106543494</v>
      </c>
      <c r="W15" s="907">
        <f t="shared" si="3"/>
        <v>191391.55216274399</v>
      </c>
      <c r="X15" s="907">
        <f t="shared" si="3"/>
        <v>189699.03931214113</v>
      </c>
      <c r="Y15" s="907">
        <f t="shared" si="3"/>
        <v>188359.26090892361</v>
      </c>
      <c r="Z15" s="907">
        <f t="shared" si="3"/>
        <v>186762.05572948226</v>
      </c>
      <c r="AA15" s="907">
        <f t="shared" si="3"/>
        <v>185488.76222809538</v>
      </c>
      <c r="AB15" s="907">
        <f t="shared" si="3"/>
        <v>184065.51180008019</v>
      </c>
      <c r="AC15" s="907">
        <f t="shared" si="3"/>
        <v>182870.21522905928</v>
      </c>
      <c r="AD15" s="907">
        <f t="shared" si="3"/>
        <v>181593.484299559</v>
      </c>
      <c r="AE15" s="907">
        <f t="shared" si="3"/>
        <v>180480.6133204475</v>
      </c>
      <c r="AF15" s="907">
        <f t="shared" si="3"/>
        <v>179329.49391417089</v>
      </c>
      <c r="AG15" s="907">
        <f t="shared" si="3"/>
        <v>178299.08240361226</v>
      </c>
      <c r="AH15" s="907">
        <f t="shared" si="3"/>
        <v>177312.18411599248</v>
      </c>
      <c r="AI15" s="907">
        <f t="shared" si="3"/>
        <v>176372.39077011528</v>
      </c>
      <c r="AJ15" s="907">
        <f t="shared" si="3"/>
        <v>175472.48650750771</v>
      </c>
      <c r="AK15" s="907">
        <f t="shared" si="3"/>
        <v>174614.68950932584</v>
      </c>
      <c r="AL15" s="907">
        <f t="shared" si="3"/>
        <v>173793.61999312462</v>
      </c>
      <c r="AM15" s="907">
        <f t="shared" si="3"/>
        <v>173010.33766317015</v>
      </c>
      <c r="AN15" s="907">
        <f t="shared" si="3"/>
        <v>172260.75671914147</v>
      </c>
      <c r="AO15" s="909">
        <f t="shared" si="3"/>
        <v>171545.1918191376</v>
      </c>
    </row>
    <row r="16" spans="1:41" x14ac:dyDescent="0.8">
      <c r="A16" s="316" t="s">
        <v>7</v>
      </c>
      <c r="B16" s="4">
        <f>'Fixed Asset Schedule'!F29</f>
        <v>52311</v>
      </c>
      <c r="C16" s="4">
        <f>'Fixed Asset Schedule'!G29</f>
        <v>56071</v>
      </c>
      <c r="D16" s="4">
        <f>'Fixed Asset Schedule'!H29</f>
        <v>51995</v>
      </c>
      <c r="E16" s="4">
        <f>'Fixed Asset Schedule'!I29</f>
        <v>50569</v>
      </c>
      <c r="F16" s="4">
        <f>'Fixed Asset Schedule'!J29</f>
        <v>42545</v>
      </c>
      <c r="G16" s="4">
        <f>'Fixed Asset Schedule'!K29</f>
        <v>42623</v>
      </c>
      <c r="H16" s="370">
        <f>'Fixed Asset Schedule'!L29</f>
        <v>64456.826837837842</v>
      </c>
      <c r="I16" s="4">
        <f>'Fixed Asset Schedule'!M29</f>
        <v>61042.006692864874</v>
      </c>
      <c r="J16" s="4">
        <f>'Fixed Asset Schedule'!N29</f>
        <v>84381.07543055134</v>
      </c>
      <c r="K16" s="4">
        <f>'Fixed Asset Schedule'!O29</f>
        <v>72615.009092665976</v>
      </c>
      <c r="L16" s="4">
        <f>'Fixed Asset Schedule'!P29</f>
        <v>99778.31290017991</v>
      </c>
      <c r="M16" s="4">
        <f>'Fixed Asset Schedule'!Q29</f>
        <v>105121.89492103539</v>
      </c>
      <c r="N16" s="370">
        <f>'Fixed Asset Schedule'!R29</f>
        <v>111599.31471862475</v>
      </c>
      <c r="O16" s="4">
        <f>'Fixed Asset Schedule'!S29</f>
        <v>114156.55809941061</v>
      </c>
      <c r="P16" s="4">
        <f>'Fixed Asset Schedule'!T29</f>
        <v>117642.71529216797</v>
      </c>
      <c r="Q16" s="4">
        <f>'Fixed Asset Schedule'!U29</f>
        <v>118581.20391092252</v>
      </c>
      <c r="R16" s="4">
        <f>'Fixed Asset Schedule'!V29</f>
        <v>114522.35717511841</v>
      </c>
      <c r="S16" s="4">
        <f>'Fixed Asset Schedule'!W29</f>
        <v>107835.828960029</v>
      </c>
      <c r="T16" s="4">
        <f>'Fixed Asset Schedule'!X29</f>
        <v>102798.56771421665</v>
      </c>
      <c r="U16" s="4">
        <f>'Fixed Asset Schedule'!Y29</f>
        <v>95794.079557740188</v>
      </c>
      <c r="V16" s="4">
        <f>'Fixed Asset Schedule'!Z29</f>
        <v>90176.103398881969</v>
      </c>
      <c r="W16" s="4">
        <f>'Fixed Asset Schedule'!AA29</f>
        <v>83557.210577283229</v>
      </c>
      <c r="X16" s="4">
        <f>'Fixed Asset Schedule'!AB29</f>
        <v>76536.770756060025</v>
      </c>
      <c r="Y16" s="4">
        <f>'Fixed Asset Schedule'!AC29</f>
        <v>69532.241248784121</v>
      </c>
      <c r="Z16" s="4">
        <f>'Fixed Asset Schedule'!AD29</f>
        <v>62871.491459954297</v>
      </c>
      <c r="AA16" s="4">
        <f>'Fixed Asset Schedule'!AE29</f>
        <v>51963.852115127025</v>
      </c>
      <c r="AB16" s="4">
        <f>'Fixed Asset Schedule'!AF29</f>
        <v>43474.12503267033</v>
      </c>
      <c r="AC16" s="4">
        <f>'Fixed Asset Schedule'!AG29</f>
        <v>36994.909590788186</v>
      </c>
      <c r="AD16" s="4">
        <f>'Fixed Asset Schedule'!AH29</f>
        <v>32174.599133526324</v>
      </c>
      <c r="AE16" s="4">
        <f>'Fixed Asset Schedule'!AI29</f>
        <v>28548.16046265082</v>
      </c>
      <c r="AF16" s="4">
        <f>'Fixed Asset Schedule'!AJ29</f>
        <v>25897.266567134531</v>
      </c>
      <c r="AG16" s="4">
        <f>'Fixed Asset Schedule'!AK29</f>
        <v>24039.954472428537</v>
      </c>
      <c r="AH16" s="4">
        <f>'Fixed Asset Schedule'!AL29</f>
        <v>22825.838970792596</v>
      </c>
      <c r="AI16" s="4">
        <f>'Fixed Asset Schedule'!AM29</f>
        <v>21611.604234696017</v>
      </c>
      <c r="AJ16" s="4">
        <f>'Fixed Asset Schedule'!AN29</f>
        <v>20397.25025758089</v>
      </c>
      <c r="AK16" s="4">
        <f>'Fixed Asset Schedule'!AO29</f>
        <v>19182.777032888844</v>
      </c>
      <c r="AL16" s="4">
        <f>'Fixed Asset Schedule'!AP29</f>
        <v>17968.184554061387</v>
      </c>
      <c r="AM16" s="4">
        <f>'Fixed Asset Schedule'!AQ29</f>
        <v>16753.472814539447</v>
      </c>
      <c r="AN16" s="4">
        <f>'Fixed Asset Schedule'!AR29</f>
        <v>15538.641807763721</v>
      </c>
      <c r="AO16" s="889">
        <f>'Fixed Asset Schedule'!AS29</f>
        <v>14323.691527174436</v>
      </c>
    </row>
    <row r="17" spans="1:41" s="162" customFormat="1" x14ac:dyDescent="0.8">
      <c r="A17" s="892" t="s">
        <v>12</v>
      </c>
      <c r="B17" s="165">
        <v>7674</v>
      </c>
      <c r="C17" s="165">
        <v>5144</v>
      </c>
      <c r="D17" s="165">
        <v>2893</v>
      </c>
      <c r="E17" s="165">
        <v>16347</v>
      </c>
      <c r="F17" s="165">
        <v>10384</v>
      </c>
      <c r="G17" s="165">
        <v>7607</v>
      </c>
      <c r="H17" s="372">
        <f>'Intangibles Schedule'!I16</f>
        <v>4726.4945167416663</v>
      </c>
      <c r="I17" s="165">
        <f>'Intangibles Schedule'!J16</f>
        <v>2725.1071610547515</v>
      </c>
      <c r="J17" s="165">
        <f>'Intangibles Schedule'!K16</f>
        <v>5534.8952195045749</v>
      </c>
      <c r="K17" s="165">
        <f>'Intangibles Schedule'!L16</f>
        <v>4488.1334593878728</v>
      </c>
      <c r="L17" s="165">
        <f>'Intangibles Schedule'!M16</f>
        <v>4516.3254485895504</v>
      </c>
      <c r="M17" s="165">
        <f>'Intangibles Schedule'!N16</f>
        <v>2826.0328164859675</v>
      </c>
      <c r="N17" s="372">
        <f>'Intangibles Schedule'!O16</f>
        <v>2196.6504915640344</v>
      </c>
      <c r="O17" s="165">
        <f>'Intangibles Schedule'!P16</f>
        <v>1485.0731816821572</v>
      </c>
      <c r="P17" s="165">
        <f>'Intangibles Schedule'!Q16</f>
        <v>1331.9496752844198</v>
      </c>
      <c r="Q17" s="165">
        <f>'Intangibles Schedule'!R16</f>
        <v>1143.8863878105067</v>
      </c>
      <c r="R17" s="165">
        <f>'Intangibles Schedule'!S16</f>
        <v>1116.6973900781009</v>
      </c>
      <c r="S17" s="165">
        <f>'Intangibles Schedule'!T16</f>
        <v>1094.6469422887299</v>
      </c>
      <c r="T17" s="165">
        <f>'Intangibles Schedule'!U16</f>
        <v>1045.3879989762199</v>
      </c>
      <c r="U17" s="165">
        <f>'Intangibles Schedule'!V16</f>
        <v>1018.0879213582375</v>
      </c>
      <c r="V17" s="165">
        <f>'Intangibles Schedule'!W16</f>
        <v>979.81142573896295</v>
      </c>
      <c r="W17" s="165">
        <f>'Intangibles Schedule'!X16</f>
        <v>957.30569763332596</v>
      </c>
      <c r="X17" s="165">
        <f>'Intangibles Schedule'!Y16</f>
        <v>926.49430191838564</v>
      </c>
      <c r="Y17" s="165">
        <f>'Intangibles Schedule'!Z16</f>
        <v>894.99638446863219</v>
      </c>
      <c r="Z17" s="165">
        <f>'Intangibles Schedule'!AA16</f>
        <v>857.46673324781204</v>
      </c>
      <c r="AA17" s="165">
        <f>'Intangibles Schedule'!AB16</f>
        <v>820.64897247591534</v>
      </c>
      <c r="AB17" s="165">
        <f>'Intangibles Schedule'!AC16</f>
        <v>781.47625757378501</v>
      </c>
      <c r="AC17" s="165">
        <f>'Intangibles Schedule'!AD16</f>
        <v>744.77701649791379</v>
      </c>
      <c r="AD17" s="165">
        <f>'Intangibles Schedule'!AE16</f>
        <v>708.89368355562783</v>
      </c>
      <c r="AE17" s="165">
        <f>'Intangibles Schedule'!AF16</f>
        <v>675.21232062703575</v>
      </c>
      <c r="AF17" s="165">
        <f>'Intangibles Schedule'!AG16</f>
        <v>642.4947289871775</v>
      </c>
      <c r="AG17" s="165">
        <f>'Intangibles Schedule'!AH16</f>
        <v>611.62315683239558</v>
      </c>
      <c r="AH17" s="165">
        <f>'Intangibles Schedule'!AI16</f>
        <v>582.27636354296055</v>
      </c>
      <c r="AI17" s="165">
        <f>'Intangibles Schedule'!AJ16</f>
        <v>554.50406652819629</v>
      </c>
      <c r="AJ17" s="165">
        <f>'Intangibles Schedule'!AK16</f>
        <v>528.05426965220977</v>
      </c>
      <c r="AK17" s="165">
        <f>'Intangibles Schedule'!AL16</f>
        <v>502.92251847949751</v>
      </c>
      <c r="AL17" s="165">
        <f>'Intangibles Schedule'!AM16</f>
        <v>478.90778195311009</v>
      </c>
      <c r="AM17" s="165">
        <f>'Intangibles Schedule'!AN16</f>
        <v>455.97265976757581</v>
      </c>
      <c r="AN17" s="165">
        <f>'Intangibles Schedule'!AO16</f>
        <v>434.05280397074989</v>
      </c>
      <c r="AO17" s="893">
        <f>'Intangibles Schedule'!AP16</f>
        <v>413.11131622796984</v>
      </c>
    </row>
    <row r="18" spans="1:41" s="239" customFormat="1" x14ac:dyDescent="0.8">
      <c r="A18" s="894" t="s">
        <v>388</v>
      </c>
      <c r="B18" s="895">
        <v>6448</v>
      </c>
      <c r="C18" s="895">
        <v>0</v>
      </c>
      <c r="D18" s="895">
        <v>0</v>
      </c>
      <c r="E18" s="895">
        <v>25164</v>
      </c>
      <c r="F18" s="895">
        <v>27375</v>
      </c>
      <c r="G18" s="895">
        <v>42355</v>
      </c>
      <c r="H18" s="373">
        <f>'Acquisition Schedule'!H26</f>
        <v>25943.891145699999</v>
      </c>
      <c r="I18" s="895">
        <f>'Acquisition Schedule'!I26</f>
        <v>25079.110756228285</v>
      </c>
      <c r="J18" s="895">
        <f>'Acquisition Schedule'!J26</f>
        <v>21521.602916946096</v>
      </c>
      <c r="K18" s="895">
        <f>'Acquisition Schedule'!K26</f>
        <v>13742.66659425338</v>
      </c>
      <c r="L18" s="895">
        <f>'Acquisition Schedule'!L26</f>
        <v>16513.223223648536</v>
      </c>
      <c r="M18" s="895">
        <f>'Acquisition Schedule'!M26</f>
        <v>5183.7310629307212</v>
      </c>
      <c r="N18" s="373">
        <f>'Acquisition Schedule'!N26</f>
        <v>5931.2681070142899</v>
      </c>
      <c r="O18" s="895">
        <f>'Acquisition Schedule'!O26</f>
        <v>3011.422553895286</v>
      </c>
      <c r="P18" s="895">
        <f>'Acquisition Schedule'!P26</f>
        <v>4652.0906780011665</v>
      </c>
      <c r="Q18" s="895">
        <f>'Acquisition Schedule'!Q26</f>
        <v>4602.9240779971897</v>
      </c>
      <c r="R18" s="895">
        <f>'Acquisition Schedule'!R26</f>
        <v>4380.9977931968733</v>
      </c>
      <c r="S18" s="895">
        <f>'Acquisition Schedule'!S26</f>
        <v>4306.3554117711692</v>
      </c>
      <c r="T18" s="895">
        <f>'Acquisition Schedule'!T26</f>
        <v>4111.0099020160069</v>
      </c>
      <c r="U18" s="895">
        <f>'Acquisition Schedule'!U26</f>
        <v>4056.8604500856973</v>
      </c>
      <c r="V18" s="895">
        <f>'Acquisition Schedule'!V26</f>
        <v>3915.8042001232297</v>
      </c>
      <c r="W18" s="895">
        <f>'Acquisition Schedule'!W26</f>
        <v>3865.9362015891247</v>
      </c>
      <c r="X18" s="895">
        <f>'Acquisition Schedule'!X26</f>
        <v>3751.4322967684402</v>
      </c>
      <c r="Y18" s="895">
        <f>'Acquisition Schedule'!Y26</f>
        <v>3662.6321114136026</v>
      </c>
      <c r="Z18" s="895">
        <f>'Acquisition Schedule'!Z26</f>
        <v>3523.7873503706928</v>
      </c>
      <c r="AA18" s="895">
        <f>'Acquisition Schedule'!AA26</f>
        <v>3397.515535695838</v>
      </c>
      <c r="AB18" s="895">
        <f>'Acquisition Schedule'!AB26</f>
        <v>3268.7402838753123</v>
      </c>
      <c r="AC18" s="895">
        <f>'Acquisition Schedule'!AC26</f>
        <v>3152.0188062614807</v>
      </c>
      <c r="AD18" s="895">
        <f>'Acquisition Schedule'!AD26</f>
        <v>3035.1942356024456</v>
      </c>
      <c r="AE18" s="895">
        <f>'Acquisition Schedule'!AE26</f>
        <v>2927.6783578081631</v>
      </c>
      <c r="AF18" s="895">
        <f>'Acquisition Schedule'!AF26</f>
        <v>2821.4874119953374</v>
      </c>
      <c r="AG18" s="895">
        <f>'Acquisition Schedule'!AG26</f>
        <v>2722.6839134688917</v>
      </c>
      <c r="AH18" s="895">
        <f>'Acquisition Schedule'!AH26</f>
        <v>2627.6585036612096</v>
      </c>
      <c r="AI18" s="895">
        <f>'Acquisition Schedule'!AI26</f>
        <v>2538.9710437323683</v>
      </c>
      <c r="AJ18" s="895">
        <f>'Acquisition Schedule'!AJ26</f>
        <v>2454.1976699071329</v>
      </c>
      <c r="AK18" s="895">
        <f>'Acquisition Schedule'!AK26</f>
        <v>2373.2962156180097</v>
      </c>
      <c r="AL18" s="895">
        <f>'Acquisition Schedule'!AL26</f>
        <v>2295.9554470317685</v>
      </c>
      <c r="AM18" s="895">
        <f>'Acquisition Schedule'!AM26</f>
        <v>2222.1123254585555</v>
      </c>
      <c r="AN18" s="895">
        <f>'Acquisition Schedule'!AN26</f>
        <v>2151.5147474118376</v>
      </c>
      <c r="AO18" s="896">
        <f>'Acquisition Schedule'!AO26</f>
        <v>2084.0813932577275</v>
      </c>
    </row>
    <row r="19" spans="1:41" s="162" customFormat="1" x14ac:dyDescent="0.8">
      <c r="A19" s="892" t="s">
        <v>9</v>
      </c>
      <c r="B19" s="165">
        <v>24774</v>
      </c>
      <c r="C19" s="897">
        <v>25629</v>
      </c>
      <c r="D19" s="165">
        <v>24847</v>
      </c>
      <c r="E19" s="165">
        <v>24316</v>
      </c>
      <c r="F19" s="165">
        <v>24880</v>
      </c>
      <c r="G19" s="165">
        <v>28024</v>
      </c>
      <c r="H19" s="372">
        <f>'Income Taxes'!I46</f>
        <v>25721.004962341696</v>
      </c>
      <c r="I19" s="165">
        <f>'Income Taxes'!J46</f>
        <v>23295.452473059438</v>
      </c>
      <c r="J19" s="165">
        <f>'Income Taxes'!K46</f>
        <v>24164.84813512857</v>
      </c>
      <c r="K19" s="165">
        <f>'Income Taxes'!L46</f>
        <v>24813.562051929996</v>
      </c>
      <c r="L19" s="165">
        <f>'Income Taxes'!M46</f>
        <v>23635.640413815549</v>
      </c>
      <c r="M19" s="165">
        <f>'Income Taxes'!N46</f>
        <v>18547.204470220597</v>
      </c>
      <c r="N19" s="372">
        <f>'Income Taxes'!O46</f>
        <v>16813.201778668423</v>
      </c>
      <c r="O19" s="165">
        <f>'Income Taxes'!P46</f>
        <v>17603.541000354224</v>
      </c>
      <c r="P19" s="165">
        <f>'Income Taxes'!Q46</f>
        <v>16289.504549991174</v>
      </c>
      <c r="Q19" s="165">
        <f>'Income Taxes'!R46</f>
        <v>16713.82567803713</v>
      </c>
      <c r="R19" s="165">
        <f>'Income Taxes'!S46</f>
        <v>16584.020092115727</v>
      </c>
      <c r="S19" s="165">
        <f>'Income Taxes'!T46</f>
        <v>16900.508071359585</v>
      </c>
      <c r="T19" s="165">
        <f>'Income Taxes'!U46</f>
        <v>15837.690032289745</v>
      </c>
      <c r="U19" s="165">
        <f>'Income Taxes'!V46</f>
        <v>15524.902190654808</v>
      </c>
      <c r="V19" s="165">
        <f>'Income Taxes'!W46</f>
        <v>14213.411149941905</v>
      </c>
      <c r="W19" s="165">
        <f>'Income Taxes'!X46</f>
        <v>13856.031463503376</v>
      </c>
      <c r="X19" s="165">
        <f>'Income Taxes'!Y46</f>
        <v>13150.94898779802</v>
      </c>
      <c r="Y19" s="165">
        <f>'Income Taxes'!Z46</f>
        <v>12508.47487607402</v>
      </c>
      <c r="Z19" s="165">
        <f>'Income Taxes'!AA46</f>
        <v>11799.777775913863</v>
      </c>
      <c r="AA19" s="165">
        <f>'Income Taxes'!AB46</f>
        <v>11026.996087401993</v>
      </c>
      <c r="AB19" s="165">
        <f>'Income Taxes'!AC46</f>
        <v>10261.50522101842</v>
      </c>
      <c r="AC19" s="165">
        <f>'Income Taxes'!AD46</f>
        <v>9627.7627358427271</v>
      </c>
      <c r="AD19" s="165">
        <f>'Income Taxes'!AE46</f>
        <v>9047.6297953372941</v>
      </c>
      <c r="AE19" s="165">
        <f>'Income Taxes'!AF46</f>
        <v>8586.959779814777</v>
      </c>
      <c r="AF19" s="165">
        <f>'Income Taxes'!AG46</f>
        <v>8162.2927964833525</v>
      </c>
      <c r="AG19" s="165">
        <f>'Income Taxes'!AH46</f>
        <v>7795.3836684626494</v>
      </c>
      <c r="AH19" s="165">
        <f>'Income Taxes'!AI46</f>
        <v>7466.0395912457379</v>
      </c>
      <c r="AI19" s="165">
        <f>'Income Taxes'!AJ46</f>
        <v>7269.6175749350859</v>
      </c>
      <c r="AJ19" s="165">
        <f>'Income Taxes'!AK46</f>
        <v>7081.6376215370765</v>
      </c>
      <c r="AK19" s="165">
        <f>'Income Taxes'!AL46</f>
        <v>6902.4000367539165</v>
      </c>
      <c r="AL19" s="165">
        <f>'Income Taxes'!AM46</f>
        <v>6730.9096629536389</v>
      </c>
      <c r="AM19" s="165">
        <f>'Income Taxes'!AN46</f>
        <v>6567.281626203081</v>
      </c>
      <c r="AN19" s="165">
        <f>'Income Taxes'!AO46</f>
        <v>6410.7296534895968</v>
      </c>
      <c r="AO19" s="893">
        <f>'Income Taxes'!AP46</f>
        <v>6261.2631649207378</v>
      </c>
    </row>
    <row r="20" spans="1:41" x14ac:dyDescent="0.8">
      <c r="A20" s="316" t="s">
        <v>10</v>
      </c>
      <c r="B20" s="4">
        <v>7977</v>
      </c>
      <c r="C20" s="4">
        <v>7909</v>
      </c>
      <c r="D20" s="4">
        <v>10235</v>
      </c>
      <c r="E20" s="4">
        <v>11781</v>
      </c>
      <c r="F20" s="4">
        <v>13704</v>
      </c>
      <c r="G20" s="4">
        <v>13762</v>
      </c>
      <c r="H20" s="370">
        <f>'Forecast Drivers '!H36</f>
        <v>0</v>
      </c>
      <c r="I20" s="4">
        <v>0</v>
      </c>
      <c r="J20" s="4">
        <v>0</v>
      </c>
      <c r="K20" s="4">
        <v>0</v>
      </c>
      <c r="L20" s="4">
        <v>0</v>
      </c>
      <c r="M20" s="4">
        <v>0</v>
      </c>
      <c r="N20" s="370">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889">
        <v>0</v>
      </c>
    </row>
    <row r="21" spans="1:41" ht="16.75" thickBot="1" x14ac:dyDescent="0.95">
      <c r="A21" s="910" t="s">
        <v>11</v>
      </c>
      <c r="B21" s="911">
        <f>SUM(B15,B16:B20)</f>
        <v>325189</v>
      </c>
      <c r="C21" s="911">
        <f t="shared" ref="C21:AO21" si="4">SUM(C15,C16:C20)</f>
        <v>343910</v>
      </c>
      <c r="D21" s="911">
        <f t="shared" si="4"/>
        <v>333476</v>
      </c>
      <c r="E21" s="911">
        <f t="shared" si="4"/>
        <v>383182</v>
      </c>
      <c r="F21" s="911">
        <f t="shared" si="4"/>
        <v>373855</v>
      </c>
      <c r="G21" s="911">
        <f t="shared" si="4"/>
        <v>422701</v>
      </c>
      <c r="H21" s="912">
        <f t="shared" si="4"/>
        <v>306379.80384639441</v>
      </c>
      <c r="I21" s="911">
        <f t="shared" si="4"/>
        <v>315828.71984431701</v>
      </c>
      <c r="J21" s="911">
        <f t="shared" si="4"/>
        <v>338674.52062252664</v>
      </c>
      <c r="K21" s="911">
        <f t="shared" si="4"/>
        <v>324831.08483742049</v>
      </c>
      <c r="L21" s="911">
        <f>SUM(L15,L16:L20)</f>
        <v>351524.0676646728</v>
      </c>
      <c r="M21" s="911">
        <f t="shared" si="4"/>
        <v>343715.92449814192</v>
      </c>
      <c r="N21" s="912">
        <f t="shared" si="4"/>
        <v>341465.18310814328</v>
      </c>
      <c r="O21" s="911">
        <f t="shared" si="4"/>
        <v>341737.19729991001</v>
      </c>
      <c r="P21" s="911">
        <f t="shared" si="4"/>
        <v>341186.89406431693</v>
      </c>
      <c r="Q21" s="911">
        <f t="shared" si="4"/>
        <v>343342.16722080816</v>
      </c>
      <c r="R21" s="911">
        <f t="shared" si="4"/>
        <v>334659.14407825662</v>
      </c>
      <c r="S21" s="911">
        <f t="shared" si="4"/>
        <v>328027.00348298613</v>
      </c>
      <c r="T21" s="911">
        <f t="shared" si="4"/>
        <v>318713.26229936455</v>
      </c>
      <c r="U21" s="911">
        <f t="shared" si="4"/>
        <v>311153.67788575869</v>
      </c>
      <c r="V21" s="911">
        <f t="shared" si="4"/>
        <v>301848.06124012102</v>
      </c>
      <c r="W21" s="911">
        <f t="shared" si="4"/>
        <v>293628.03610275302</v>
      </c>
      <c r="X21" s="911">
        <f t="shared" si="4"/>
        <v>284064.68565468595</v>
      </c>
      <c r="Y21" s="911">
        <f t="shared" si="4"/>
        <v>274957.60552966397</v>
      </c>
      <c r="Z21" s="911">
        <f t="shared" si="4"/>
        <v>265814.57904896891</v>
      </c>
      <c r="AA21" s="911">
        <f t="shared" si="4"/>
        <v>252697.77493879612</v>
      </c>
      <c r="AB21" s="911">
        <f t="shared" si="4"/>
        <v>241851.35859521804</v>
      </c>
      <c r="AC21" s="911">
        <f t="shared" si="4"/>
        <v>233389.68337844958</v>
      </c>
      <c r="AD21" s="911">
        <f t="shared" si="4"/>
        <v>226559.8011475807</v>
      </c>
      <c r="AE21" s="911">
        <f t="shared" si="4"/>
        <v>221218.6242413483</v>
      </c>
      <c r="AF21" s="911">
        <f t="shared" si="4"/>
        <v>216853.03541877127</v>
      </c>
      <c r="AG21" s="911">
        <f t="shared" si="4"/>
        <v>213468.72761480472</v>
      </c>
      <c r="AH21" s="911">
        <f t="shared" si="4"/>
        <v>210813.997545235</v>
      </c>
      <c r="AI21" s="911">
        <f t="shared" si="4"/>
        <v>208347.08769000694</v>
      </c>
      <c r="AJ21" s="911">
        <f t="shared" si="4"/>
        <v>205933.62632618501</v>
      </c>
      <c r="AK21" s="911">
        <f t="shared" si="4"/>
        <v>203576.08531306608</v>
      </c>
      <c r="AL21" s="911">
        <f t="shared" si="4"/>
        <v>201267.57743912452</v>
      </c>
      <c r="AM21" s="911">
        <f t="shared" si="4"/>
        <v>199009.1770891388</v>
      </c>
      <c r="AN21" s="911">
        <f t="shared" si="4"/>
        <v>196795.69573177738</v>
      </c>
      <c r="AO21" s="913">
        <f t="shared" si="4"/>
        <v>194627.33922071845</v>
      </c>
    </row>
    <row r="22" spans="1:41" ht="16.75" thickTop="1" x14ac:dyDescent="0.8">
      <c r="A22" s="22"/>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172"/>
    </row>
    <row r="23" spans="1:41" ht="19.25" thickBot="1" x14ac:dyDescent="1.05">
      <c r="A23" s="946" t="s">
        <v>13</v>
      </c>
      <c r="B23" s="4"/>
      <c r="C23" s="4"/>
      <c r="D23" s="4"/>
      <c r="E23" s="4"/>
      <c r="F23" s="4"/>
      <c r="G23" s="24"/>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264" t="s">
        <v>14</v>
      </c>
      <c r="B24" s="898"/>
      <c r="C24" s="898"/>
      <c r="D24" s="898"/>
      <c r="E24" s="898"/>
      <c r="F24" s="898"/>
      <c r="G24" s="21"/>
      <c r="H24" s="287"/>
      <c r="I24" s="21"/>
      <c r="J24" s="21"/>
      <c r="K24" s="21"/>
      <c r="L24" s="21"/>
      <c r="M24" s="21"/>
      <c r="N24" s="287"/>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171"/>
    </row>
    <row r="25" spans="1:41" x14ac:dyDescent="0.8">
      <c r="A25" s="219" t="s">
        <v>16</v>
      </c>
      <c r="B25" s="4">
        <v>2860</v>
      </c>
      <c r="C25" s="4">
        <v>2873</v>
      </c>
      <c r="D25" s="4">
        <v>2458</v>
      </c>
      <c r="E25" s="4">
        <v>2468</v>
      </c>
      <c r="F25" s="4">
        <v>464</v>
      </c>
      <c r="G25" s="4">
        <v>0</v>
      </c>
      <c r="H25" s="203">
        <v>0</v>
      </c>
      <c r="I25" s="157">
        <v>0</v>
      </c>
      <c r="J25" s="157">
        <v>0</v>
      </c>
      <c r="K25" s="157">
        <v>0</v>
      </c>
      <c r="L25" s="157">
        <v>0</v>
      </c>
      <c r="M25" s="157">
        <v>0</v>
      </c>
      <c r="N25" s="203">
        <v>0</v>
      </c>
      <c r="O25" s="157">
        <v>0</v>
      </c>
      <c r="P25" s="157">
        <v>0</v>
      </c>
      <c r="Q25" s="157">
        <v>0</v>
      </c>
      <c r="R25" s="157">
        <v>0</v>
      </c>
      <c r="S25" s="157">
        <v>0</v>
      </c>
      <c r="T25" s="157">
        <v>0</v>
      </c>
      <c r="U25" s="157">
        <v>0</v>
      </c>
      <c r="V25" s="157">
        <v>0</v>
      </c>
      <c r="W25" s="157">
        <v>0</v>
      </c>
      <c r="X25" s="157">
        <v>0</v>
      </c>
      <c r="Y25" s="157">
        <v>0</v>
      </c>
      <c r="Z25" s="157">
        <v>0</v>
      </c>
      <c r="AA25" s="157">
        <v>0</v>
      </c>
      <c r="AB25" s="157">
        <v>0</v>
      </c>
      <c r="AC25" s="157">
        <v>0</v>
      </c>
      <c r="AD25" s="157">
        <v>0</v>
      </c>
      <c r="AE25" s="157">
        <v>0</v>
      </c>
      <c r="AF25" s="157">
        <v>0</v>
      </c>
      <c r="AG25" s="157">
        <v>0</v>
      </c>
      <c r="AH25" s="157">
        <v>0</v>
      </c>
      <c r="AI25" s="157">
        <v>0</v>
      </c>
      <c r="AJ25" s="157">
        <v>0</v>
      </c>
      <c r="AK25" s="157">
        <v>0</v>
      </c>
      <c r="AL25" s="157">
        <v>0</v>
      </c>
      <c r="AM25" s="157">
        <v>0</v>
      </c>
      <c r="AN25" s="157">
        <v>0</v>
      </c>
      <c r="AO25" s="315">
        <v>0</v>
      </c>
    </row>
    <row r="26" spans="1:41" s="162" customFormat="1" x14ac:dyDescent="0.8">
      <c r="A26" s="536" t="s">
        <v>15</v>
      </c>
      <c r="B26" s="165">
        <v>1352</v>
      </c>
      <c r="C26" s="165">
        <v>1696</v>
      </c>
      <c r="D26" s="165">
        <v>15956</v>
      </c>
      <c r="E26" s="165">
        <v>1028</v>
      </c>
      <c r="F26" s="165">
        <v>45790</v>
      </c>
      <c r="G26" s="899">
        <v>1804</v>
      </c>
      <c r="H26" s="374">
        <f>'Debt Schedule'!I5</f>
        <v>80812.5</v>
      </c>
      <c r="I26" s="899">
        <f>'Debt Schedule'!J5</f>
        <v>25812.5</v>
      </c>
      <c r="J26" s="899">
        <f>'Debt Schedule'!K5</f>
        <v>23807.042887339267</v>
      </c>
      <c r="K26" s="899">
        <f>'Debt Schedule'!L5</f>
        <v>25982.808462878369</v>
      </c>
      <c r="L26" s="899">
        <f>'Debt Schedule'!M5</f>
        <v>25615.399316814364</v>
      </c>
      <c r="M26" s="899">
        <f>'Debt Schedule'!N5</f>
        <v>27192.194711853575</v>
      </c>
      <c r="N26" s="374">
        <f>'Debt Schedule'!O5</f>
        <v>25153.194696022911</v>
      </c>
      <c r="O26" s="899">
        <f>'Debt Schedule'!P5</f>
        <v>25942.489145165266</v>
      </c>
      <c r="P26" s="899">
        <f>'Debt Schedule'!Q5</f>
        <v>23140.606926884895</v>
      </c>
      <c r="Q26" s="899">
        <f>'Debt Schedule'!R5</f>
        <v>23737.463937478096</v>
      </c>
      <c r="R26" s="899">
        <f>'Debt Schedule'!S5</f>
        <v>22078.95484333513</v>
      </c>
      <c r="S26" s="899">
        <f>'Debt Schedule'!T5</f>
        <v>22494.784036141165</v>
      </c>
      <c r="T26" s="899">
        <f>'Debt Schedule'!U5</f>
        <v>21166.123718301969</v>
      </c>
      <c r="U26" s="899">
        <f>'Debt Schedule'!V5</f>
        <v>20914.122407994051</v>
      </c>
      <c r="V26" s="899">
        <f>'Debt Schedule'!W5</f>
        <v>19744.467893299028</v>
      </c>
      <c r="W26" s="899">
        <f>'Debt Schedule'!X5</f>
        <v>19926.724081150074</v>
      </c>
      <c r="X26" s="899">
        <f>'Debt Schedule'!Y5</f>
        <v>19061.292334308942</v>
      </c>
      <c r="Y26" s="899">
        <f>'Debt Schedule'!Z5</f>
        <v>19089.431853257702</v>
      </c>
      <c r="Z26" s="899">
        <f>'Debt Schedule'!AA5</f>
        <v>18422.669645684786</v>
      </c>
      <c r="AA26" s="899">
        <f>'Debt Schedule'!AB5</f>
        <v>17894.866500515353</v>
      </c>
      <c r="AB26" s="899">
        <f>'Debt Schedule'!AC5</f>
        <v>16921.900568115256</v>
      </c>
      <c r="AC26" s="899">
        <f>'Debt Schedule'!AD5</f>
        <v>16420.289023144964</v>
      </c>
      <c r="AD26" s="899">
        <f>'Debt Schedule'!AE5</f>
        <v>15859.602233101101</v>
      </c>
      <c r="AE26" s="899">
        <f>'Debt Schedule'!AF5</f>
        <v>15388.717430002343</v>
      </c>
      <c r="AF26" s="899">
        <f>'Debt Schedule'!AG5</f>
        <v>14885.751716786614</v>
      </c>
      <c r="AG26" s="899">
        <f>'Debt Schedule'!AH5</f>
        <v>14447.338318322934</v>
      </c>
      <c r="AH26" s="899">
        <f>'Debt Schedule'!AI5</f>
        <v>13993.857024969311</v>
      </c>
      <c r="AI26" s="899">
        <f>'Debt Schedule'!AJ5</f>
        <v>13587.928376779786</v>
      </c>
      <c r="AJ26" s="899">
        <f>'Debt Schedule'!AK5</f>
        <v>13199.141679728153</v>
      </c>
      <c r="AK26" s="899">
        <f>'Debt Schedule'!AL5</f>
        <v>12828.9118845829</v>
      </c>
      <c r="AL26" s="899">
        <f>'Debt Schedule'!AM5</f>
        <v>12474.396317669001</v>
      </c>
      <c r="AM26" s="899">
        <f>'Debt Schedule'!AN5</f>
        <v>12136.468827219844</v>
      </c>
      <c r="AN26" s="899">
        <f>'Debt Schedule'!AO5</f>
        <v>11813.010058207754</v>
      </c>
      <c r="AO26" s="900">
        <f>'Debt Schedule'!AP5</f>
        <v>11504.437479106051</v>
      </c>
    </row>
    <row r="27" spans="1:41" x14ac:dyDescent="0.8">
      <c r="A27" s="219" t="s">
        <v>17</v>
      </c>
      <c r="B27" s="4">
        <v>16892</v>
      </c>
      <c r="C27" s="4">
        <v>14427</v>
      </c>
      <c r="D27" s="4">
        <v>12822</v>
      </c>
      <c r="E27" s="4">
        <v>15684</v>
      </c>
      <c r="F27" s="4">
        <v>12675</v>
      </c>
      <c r="G27" s="4">
        <v>11416</v>
      </c>
      <c r="H27" s="370">
        <f>('Forecast Drivers '!H32*'Income Statement '!H5)/365</f>
        <v>11623.506574010198</v>
      </c>
      <c r="I27" s="4">
        <f>('Forecast Drivers '!I32*'Income Statement '!I5)/365</f>
        <v>12489.73528809844</v>
      </c>
      <c r="J27" s="4">
        <f>('Forecast Drivers '!J32*'Income Statement '!J5)/365</f>
        <v>12087.091743525931</v>
      </c>
      <c r="K27" s="4">
        <f>('Forecast Drivers '!K32*'Income Statement '!K5)/365</f>
        <v>12251.332700262201</v>
      </c>
      <c r="L27" s="4">
        <f>('Forecast Drivers '!L32*'Income Statement '!L5)/365</f>
        <v>11590.25159237162</v>
      </c>
      <c r="M27" s="4">
        <f>('Forecast Drivers '!M32*'Income Statement '!M5)/365</f>
        <v>11763.217449155718</v>
      </c>
      <c r="N27" s="370">
        <f>('Forecast Drivers '!N32*'Income Statement '!N5)/365</f>
        <v>10301.321016367834</v>
      </c>
      <c r="O27" s="4">
        <f>('Forecast Drivers '!O32*'Income Statement '!O5)/365</f>
        <v>10573.22463521297</v>
      </c>
      <c r="P27" s="4">
        <f>('Forecast Drivers '!P32*'Income Statement '!P5)/365</f>
        <v>9817.6757908811451</v>
      </c>
      <c r="Q27" s="4">
        <f>('Forecast Drivers '!Q32*'Income Statement '!Q5)/365</f>
        <v>10192.722000576732</v>
      </c>
      <c r="R27" s="4">
        <f>('Forecast Drivers '!R32*'Income Statement '!R5)/365</f>
        <v>9479.3300942580045</v>
      </c>
      <c r="S27" s="4">
        <f>('Forecast Drivers '!S32*'Income Statement '!S5)/365</f>
        <v>9669.006398360918</v>
      </c>
      <c r="T27" s="4">
        <f>('Forecast Drivers '!T32*'Income Statement '!T5)/365</f>
        <v>9173.9459315345921</v>
      </c>
      <c r="U27" s="4">
        <f>('Forecast Drivers '!U32*'Income Statement '!U5)/365</f>
        <v>9312.9257721869089</v>
      </c>
      <c r="V27" s="4">
        <f>('Forecast Drivers '!V32*'Income Statement '!V5)/365</f>
        <v>8949.572903792372</v>
      </c>
      <c r="W27" s="4">
        <f>('Forecast Drivers '!W32*'Income Statement '!W5)/365</f>
        <v>9009.1480258229367</v>
      </c>
      <c r="X27" s="4">
        <f>('Forecast Drivers '!X32*'Income Statement '!X5)/365</f>
        <v>8731.1765753844629</v>
      </c>
      <c r="Y27" s="4">
        <f>('Forecast Drivers '!Y32*'Income Statement '!Y5)/365</f>
        <v>8515.6384848968555</v>
      </c>
      <c r="Z27" s="4">
        <f>('Forecast Drivers '!Z32*'Income Statement '!Z5)/365</f>
        <v>8210.34876676985</v>
      </c>
      <c r="AA27" s="4">
        <f>('Forecast Drivers '!AA32*'Income Statement '!AA5)/365</f>
        <v>8022.7403111624517</v>
      </c>
      <c r="AB27" s="4">
        <f>('Forecast Drivers '!AB32*'Income Statement '!AB5)/365</f>
        <v>7748.7960154146276</v>
      </c>
      <c r="AC27" s="4">
        <f>('Forecast Drivers '!AC32*'Income Statement '!AC5)/365</f>
        <v>7518.7278061151865</v>
      </c>
      <c r="AD27" s="4">
        <f>('Forecast Drivers '!AD32*'Income Statement '!AD5)/365</f>
        <v>7272.9852800938279</v>
      </c>
      <c r="AE27" s="4">
        <f>('Forecast Drivers '!AE32*'Income Statement '!AE5)/365</f>
        <v>7058.7821780747008</v>
      </c>
      <c r="AF27" s="4">
        <f>('Forecast Drivers '!AF32*'Income Statement '!AF5)/365</f>
        <v>6837.2170979827451</v>
      </c>
      <c r="AG27" s="4">
        <f>('Forecast Drivers '!AG32*'Income Statement '!AG5)/365</f>
        <v>6638.8856237501404</v>
      </c>
      <c r="AH27" s="4">
        <f>('Forecast Drivers '!AH32*'Income Statement '!AH5)/365</f>
        <v>6448.9294845808881</v>
      </c>
      <c r="AI27" s="4">
        <f>('Forecast Drivers '!AI32*'Income Statement '!AI5)/365</f>
        <v>6268.0400070742171</v>
      </c>
      <c r="AJ27" s="4">
        <f>('Forecast Drivers '!AJ32*'Income Statement '!AJ5)/365</f>
        <v>6094.8282977306262</v>
      </c>
      <c r="AK27" s="4">
        <f>('Forecast Drivers '!AK32*'Income Statement '!AK5)/365</f>
        <v>5929.7213074666279</v>
      </c>
      <c r="AL27" s="4">
        <f>('Forecast Drivers '!AL32*'Income Statement '!AL5)/365</f>
        <v>5771.6835468952722</v>
      </c>
      <c r="AM27" s="4">
        <f>('Forecast Drivers '!AM32*'Income Statement '!AM5)/365</f>
        <v>5620.9189856997191</v>
      </c>
      <c r="AN27" s="4">
        <f>('Forecast Drivers '!AN32*'Income Statement '!AN5)/365</f>
        <v>5476.6411974932535</v>
      </c>
      <c r="AO27" s="889">
        <f>('Forecast Drivers '!AO32*'Income Statement '!AO5)/365</f>
        <v>5338.9107470153376</v>
      </c>
    </row>
    <row r="28" spans="1:41" x14ac:dyDescent="0.8">
      <c r="A28" s="219" t="s">
        <v>18</v>
      </c>
      <c r="B28" s="4">
        <v>22938</v>
      </c>
      <c r="C28" s="4">
        <v>22023</v>
      </c>
      <c r="D28" s="4">
        <v>16992</v>
      </c>
      <c r="E28" s="4">
        <v>50166</v>
      </c>
      <c r="F28" s="4">
        <v>19865</v>
      </c>
      <c r="G28" s="4">
        <v>21290</v>
      </c>
      <c r="H28" s="370">
        <f>'Forecast Drivers '!H37*'Income Statement '!H5</f>
        <v>16248.578218123204</v>
      </c>
      <c r="I28" s="4">
        <f>'Forecast Drivers '!I37*'Income Statement '!I5</f>
        <v>17459.485178602608</v>
      </c>
      <c r="J28" s="4">
        <f>'Forecast Drivers '!J37*'Income Statement '!J5</f>
        <v>16896.627052584307</v>
      </c>
      <c r="K28" s="4">
        <f>'Forecast Drivers '!K37*'Income Statement '!K5</f>
        <v>17126.220593496975</v>
      </c>
      <c r="L28" s="4">
        <f>'Forecast Drivers '!L37*'Income Statement '!L5</f>
        <v>16202.090855049406</v>
      </c>
      <c r="M28" s="4">
        <f>'Forecast Drivers '!M37*'Income Statement '!M5</f>
        <v>16443.880992571692</v>
      </c>
      <c r="N28" s="370">
        <f>'Forecast Drivers '!N37*'Income Statement '!N5</f>
        <v>14400.286111482894</v>
      </c>
      <c r="O28" s="4">
        <f>'Forecast Drivers '!O37*'Income Statement '!O5</f>
        <v>14780.382013736225</v>
      </c>
      <c r="P28" s="4">
        <f>'Forecast Drivers '!P37*'Income Statement '!P5</f>
        <v>13724.19518951329</v>
      </c>
      <c r="Q28" s="4">
        <f>'Forecast Drivers '!Q37*'Income Statement '!Q5</f>
        <v>14248.474815015919</v>
      </c>
      <c r="R28" s="4">
        <f>'Forecast Drivers '!R37*'Income Statement '!R5</f>
        <v>13251.219458709385</v>
      </c>
      <c r="S28" s="4">
        <f>'Forecast Drivers '!S37*'Income Statement '!S5</f>
        <v>13516.369243218638</v>
      </c>
      <c r="T28" s="4">
        <f>'Forecast Drivers '!T37*'Income Statement '!T5</f>
        <v>12824.320878406394</v>
      </c>
      <c r="U28" s="4">
        <f>'Forecast Drivers '!U37*'Income Statement '!U5</f>
        <v>13018.601734807402</v>
      </c>
      <c r="V28" s="4">
        <f>'Forecast Drivers '!V37*'Income Statement '!V5</f>
        <v>12510.66830995873</v>
      </c>
      <c r="W28" s="4">
        <f>'Forecast Drivers '!W37*'Income Statement '!W5</f>
        <v>12593.948774765478</v>
      </c>
      <c r="X28" s="4">
        <f>'Forecast Drivers '!X37*'Income Statement '!X5</f>
        <v>12205.370609811906</v>
      </c>
      <c r="Y28" s="4">
        <f>'Forecast Drivers '!Y37*'Income Statement '!Y5</f>
        <v>11904.068459727212</v>
      </c>
      <c r="Z28" s="4">
        <f>'Forecast Drivers '!Z37*'Income Statement '!Z5</f>
        <v>11477.301904162388</v>
      </c>
      <c r="AA28" s="4">
        <f>'Forecast Drivers '!AA37*'Income Statement '!AA5</f>
        <v>11215.042779008696</v>
      </c>
      <c r="AB28" s="4">
        <f>'Forecast Drivers '!AB37*'Income Statement '!AB5</f>
        <v>10832.094200752634</v>
      </c>
      <c r="AC28" s="4">
        <f>'Forecast Drivers '!AC37*'Income Statement '!AC5</f>
        <v>10510.480299603028</v>
      </c>
      <c r="AD28" s="4">
        <f>'Forecast Drivers '!AD37*'Income Statement '!AD5</f>
        <v>10166.955165414576</v>
      </c>
      <c r="AE28" s="4">
        <f>'Forecast Drivers '!AE37*'Income Statement '!AE5</f>
        <v>9867.5192047119181</v>
      </c>
      <c r="AF28" s="4">
        <f>'Forecast Drivers '!AF37*'Income Statement '!AF5</f>
        <v>9557.7918852187941</v>
      </c>
      <c r="AG28" s="4">
        <f>'Forecast Drivers '!AG37*'Income Statement '!AG5</f>
        <v>9280.5429800226793</v>
      </c>
      <c r="AH28" s="4">
        <f>'Forecast Drivers '!AH37*'Income Statement '!AH5</f>
        <v>9015.0020121872385</v>
      </c>
      <c r="AI28" s="4">
        <f>'Forecast Drivers '!AI37*'Income Statement '!AI5</f>
        <v>8762.1353918272052</v>
      </c>
      <c r="AJ28" s="4">
        <f>'Forecast Drivers '!AJ37*'Income Statement '!AJ5</f>
        <v>8520.0015753541993</v>
      </c>
      <c r="AK28" s="4">
        <f>'Forecast Drivers '!AK37*'Income Statement '!AK5</f>
        <v>8289.1974003333817</v>
      </c>
      <c r="AL28" s="4">
        <f>'Forecast Drivers '!AL37*'Income Statement '!AL5</f>
        <v>8068.2753491683361</v>
      </c>
      <c r="AM28" s="4">
        <f>'Forecast Drivers '!AM37*'Income Statement '!AM5</f>
        <v>7857.5205524545445</v>
      </c>
      <c r="AN28" s="4">
        <f>'Forecast Drivers '!AN37*'Income Statement '!AN5</f>
        <v>7655.8336594430675</v>
      </c>
      <c r="AO28" s="889">
        <f>'Forecast Drivers '!AO37*'Income Statement '!AO5</f>
        <v>7463.2993339916011</v>
      </c>
    </row>
    <row r="29" spans="1:41" x14ac:dyDescent="0.8">
      <c r="A29" s="906" t="s">
        <v>19</v>
      </c>
      <c r="B29" s="907">
        <f>SUM(B25:B28)</f>
        <v>44042</v>
      </c>
      <c r="C29" s="907">
        <f t="shared" ref="C29:AO29" si="5">SUM(C25:C28)</f>
        <v>41019</v>
      </c>
      <c r="D29" s="907">
        <f t="shared" si="5"/>
        <v>48228</v>
      </c>
      <c r="E29" s="907">
        <f t="shared" si="5"/>
        <v>69346</v>
      </c>
      <c r="F29" s="907">
        <f t="shared" si="5"/>
        <v>78794</v>
      </c>
      <c r="G29" s="907">
        <f t="shared" si="5"/>
        <v>34510</v>
      </c>
      <c r="H29" s="908">
        <f t="shared" si="5"/>
        <v>108684.58479213341</v>
      </c>
      <c r="I29" s="907">
        <f t="shared" si="5"/>
        <v>55761.720466701052</v>
      </c>
      <c r="J29" s="907">
        <f t="shared" si="5"/>
        <v>52790.761683449506</v>
      </c>
      <c r="K29" s="907">
        <f t="shared" si="5"/>
        <v>55360.361756637547</v>
      </c>
      <c r="L29" s="907">
        <f t="shared" si="5"/>
        <v>53407.74176423539</v>
      </c>
      <c r="M29" s="907">
        <f t="shared" si="5"/>
        <v>55399.293153580984</v>
      </c>
      <c r="N29" s="908">
        <f t="shared" si="5"/>
        <v>49854.801823873633</v>
      </c>
      <c r="O29" s="907">
        <f t="shared" si="5"/>
        <v>51296.095794114466</v>
      </c>
      <c r="P29" s="907">
        <f t="shared" si="5"/>
        <v>46682.477907279324</v>
      </c>
      <c r="Q29" s="907">
        <f t="shared" si="5"/>
        <v>48178.660753070748</v>
      </c>
      <c r="R29" s="907">
        <f t="shared" si="5"/>
        <v>44809.504396302516</v>
      </c>
      <c r="S29" s="907">
        <f t="shared" si="5"/>
        <v>45680.159677720723</v>
      </c>
      <c r="T29" s="907">
        <f t="shared" si="5"/>
        <v>43164.390528242955</v>
      </c>
      <c r="U29" s="907">
        <f t="shared" si="5"/>
        <v>43245.64991498836</v>
      </c>
      <c r="V29" s="907">
        <f t="shared" si="5"/>
        <v>41204.709107050134</v>
      </c>
      <c r="W29" s="907">
        <f t="shared" si="5"/>
        <v>41529.820881738488</v>
      </c>
      <c r="X29" s="907">
        <f t="shared" si="5"/>
        <v>39997.839519505309</v>
      </c>
      <c r="Y29" s="907">
        <f t="shared" si="5"/>
        <v>39509.138797881766</v>
      </c>
      <c r="Z29" s="907">
        <f t="shared" si="5"/>
        <v>38110.320316617028</v>
      </c>
      <c r="AA29" s="907">
        <f t="shared" si="5"/>
        <v>37132.649590686502</v>
      </c>
      <c r="AB29" s="907">
        <f t="shared" si="5"/>
        <v>35502.790784282515</v>
      </c>
      <c r="AC29" s="907">
        <f t="shared" si="5"/>
        <v>34449.497128863179</v>
      </c>
      <c r="AD29" s="907">
        <f t="shared" si="5"/>
        <v>33299.542678609505</v>
      </c>
      <c r="AE29" s="907">
        <f t="shared" si="5"/>
        <v>32315.018812788963</v>
      </c>
      <c r="AF29" s="907">
        <f t="shared" si="5"/>
        <v>31280.760699988154</v>
      </c>
      <c r="AG29" s="907">
        <f t="shared" si="5"/>
        <v>30366.766922095754</v>
      </c>
      <c r="AH29" s="907">
        <f t="shared" si="5"/>
        <v>29457.788521737435</v>
      </c>
      <c r="AI29" s="907">
        <f t="shared" si="5"/>
        <v>28618.103775681207</v>
      </c>
      <c r="AJ29" s="907">
        <f t="shared" si="5"/>
        <v>27813.971552812978</v>
      </c>
      <c r="AK29" s="907">
        <f t="shared" si="5"/>
        <v>27047.83059238291</v>
      </c>
      <c r="AL29" s="907">
        <f t="shared" si="5"/>
        <v>26314.355213732608</v>
      </c>
      <c r="AM29" s="907">
        <f t="shared" si="5"/>
        <v>25614.908365374107</v>
      </c>
      <c r="AN29" s="907">
        <f t="shared" si="5"/>
        <v>24945.484915144072</v>
      </c>
      <c r="AO29" s="909">
        <f t="shared" si="5"/>
        <v>24306.647560112986</v>
      </c>
    </row>
    <row r="30" spans="1:41" ht="16.75" thickBot="1" x14ac:dyDescent="0.95">
      <c r="A30" s="670" t="s">
        <v>38</v>
      </c>
      <c r="B30" s="947">
        <v>5021</v>
      </c>
      <c r="C30" s="947">
        <v>6456</v>
      </c>
      <c r="D30" s="947">
        <v>2974</v>
      </c>
      <c r="E30" s="947">
        <v>723</v>
      </c>
      <c r="F30" s="947">
        <v>0</v>
      </c>
      <c r="G30" s="947">
        <v>0</v>
      </c>
      <c r="H30" s="948">
        <v>0</v>
      </c>
      <c r="I30" s="949">
        <v>0</v>
      </c>
      <c r="J30" s="949">
        <v>0</v>
      </c>
      <c r="K30" s="949">
        <v>0</v>
      </c>
      <c r="L30" s="949">
        <v>0</v>
      </c>
      <c r="M30" s="949">
        <v>0</v>
      </c>
      <c r="N30" s="948">
        <v>0</v>
      </c>
      <c r="O30" s="949">
        <v>0</v>
      </c>
      <c r="P30" s="949">
        <v>0</v>
      </c>
      <c r="Q30" s="949">
        <v>0</v>
      </c>
      <c r="R30" s="949">
        <v>0</v>
      </c>
      <c r="S30" s="949">
        <v>0</v>
      </c>
      <c r="T30" s="949">
        <v>0</v>
      </c>
      <c r="U30" s="949">
        <v>0</v>
      </c>
      <c r="V30" s="949">
        <v>0</v>
      </c>
      <c r="W30" s="949">
        <v>0</v>
      </c>
      <c r="X30" s="949">
        <v>0</v>
      </c>
      <c r="Y30" s="949">
        <v>0</v>
      </c>
      <c r="Z30" s="949">
        <v>0</v>
      </c>
      <c r="AA30" s="949">
        <v>0</v>
      </c>
      <c r="AB30" s="949">
        <v>0</v>
      </c>
      <c r="AC30" s="949">
        <v>0</v>
      </c>
      <c r="AD30" s="949">
        <v>0</v>
      </c>
      <c r="AE30" s="949">
        <v>0</v>
      </c>
      <c r="AF30" s="949">
        <v>0</v>
      </c>
      <c r="AG30" s="949">
        <v>0</v>
      </c>
      <c r="AH30" s="949">
        <v>0</v>
      </c>
      <c r="AI30" s="949">
        <v>0</v>
      </c>
      <c r="AJ30" s="949">
        <v>0</v>
      </c>
      <c r="AK30" s="949">
        <v>0</v>
      </c>
      <c r="AL30" s="949">
        <v>0</v>
      </c>
      <c r="AM30" s="949">
        <v>0</v>
      </c>
      <c r="AN30" s="949">
        <v>0</v>
      </c>
      <c r="AO30" s="950">
        <v>0</v>
      </c>
    </row>
    <row r="31" spans="1:41" s="162" customFormat="1" x14ac:dyDescent="0.8">
      <c r="A31" s="892" t="s">
        <v>20</v>
      </c>
      <c r="B31" s="165">
        <v>23418</v>
      </c>
      <c r="C31" s="165">
        <v>5651</v>
      </c>
      <c r="D31" s="165">
        <v>5459</v>
      </c>
      <c r="E31" s="165">
        <v>19831</v>
      </c>
      <c r="F31" s="165">
        <v>3433</v>
      </c>
      <c r="G31" s="165">
        <v>85253</v>
      </c>
      <c r="H31" s="372">
        <f>'Debt Schedule'!I6</f>
        <v>29327.5</v>
      </c>
      <c r="I31" s="165">
        <f>'Debt Schedule'!J6</f>
        <v>26509.542887339267</v>
      </c>
      <c r="J31" s="165">
        <f>'Debt Schedule'!K6</f>
        <v>27872.808462878369</v>
      </c>
      <c r="K31" s="165">
        <f>'Debt Schedule'!L6</f>
        <v>26692.899316814364</v>
      </c>
      <c r="L31" s="165">
        <f>'Debt Schedule'!M6</f>
        <v>26664.069711853575</v>
      </c>
      <c r="M31" s="165">
        <f>'Debt Schedule'!N6</f>
        <v>28321.944696022911</v>
      </c>
      <c r="N31" s="372">
        <f>'Debt Schedule'!O6</f>
        <v>28583.114145165266</v>
      </c>
      <c r="O31" s="165">
        <f>'Debt Schedule'!P6</f>
        <v>25253.106926884895</v>
      </c>
      <c r="P31" s="165">
        <f>'Debt Schedule'!Q6</f>
        <v>25321.838937478096</v>
      </c>
      <c r="Q31" s="165">
        <f>'Debt Schedule'!R6</f>
        <v>23135.20484333513</v>
      </c>
      <c r="R31" s="165">
        <f>'Debt Schedule'!S6</f>
        <v>23022.909036141165</v>
      </c>
      <c r="S31" s="165">
        <f>'Debt Schedule'!T6</f>
        <v>20822.373718301969</v>
      </c>
      <c r="T31" s="165">
        <f>'Debt Schedule'!U6</f>
        <v>22976.622407994051</v>
      </c>
      <c r="U31" s="165">
        <f>'Debt Schedule'!V6</f>
        <v>21463.217893299028</v>
      </c>
      <c r="V31" s="165">
        <f>'Debt Schedule'!W6</f>
        <v>21301.724081150074</v>
      </c>
      <c r="W31" s="165">
        <f>'Debt Schedule'!X6</f>
        <v>20092.542334308942</v>
      </c>
      <c r="X31" s="165">
        <f>'Debt Schedule'!Y6</f>
        <v>19776.931853257702</v>
      </c>
      <c r="Y31" s="165">
        <f>'Debt Schedule'!Z6</f>
        <v>18766.419645684786</v>
      </c>
      <c r="Z31" s="165">
        <f>'Debt Schedule'!AA6</f>
        <v>17894.866500515353</v>
      </c>
      <c r="AA31" s="165">
        <f>'Debt Schedule'!AB6</f>
        <v>16921.900568115256</v>
      </c>
      <c r="AB31" s="165">
        <f>'Debt Schedule'!AC6</f>
        <v>16420.289023144964</v>
      </c>
      <c r="AC31" s="165">
        <f>'Debt Schedule'!AD6</f>
        <v>15859.602233101101</v>
      </c>
      <c r="AD31" s="165">
        <f>'Debt Schedule'!AE6</f>
        <v>15388.717430002343</v>
      </c>
      <c r="AE31" s="165">
        <f>'Debt Schedule'!AF6</f>
        <v>14885.751716786614</v>
      </c>
      <c r="AF31" s="165">
        <f>'Debt Schedule'!AG6</f>
        <v>14447.338318322934</v>
      </c>
      <c r="AG31" s="165">
        <f>'Debt Schedule'!AH6</f>
        <v>13993.857024969311</v>
      </c>
      <c r="AH31" s="165">
        <f>'Debt Schedule'!AI6</f>
        <v>13587.928376779786</v>
      </c>
      <c r="AI31" s="165">
        <f>'Debt Schedule'!AJ6</f>
        <v>13199.141679728153</v>
      </c>
      <c r="AJ31" s="165">
        <f>'Debt Schedule'!AK6</f>
        <v>12828.9118845829</v>
      </c>
      <c r="AK31" s="165">
        <f>'Debt Schedule'!AL6</f>
        <v>12474.396317669001</v>
      </c>
      <c r="AL31" s="165">
        <f>'Debt Schedule'!AM6</f>
        <v>12136.468827219844</v>
      </c>
      <c r="AM31" s="165">
        <f>'Debt Schedule'!AN6</f>
        <v>11813.010058207754</v>
      </c>
      <c r="AN31" s="165">
        <f>'Debt Schedule'!AO6</f>
        <v>11504.437479106051</v>
      </c>
      <c r="AO31" s="893">
        <f>'Debt Schedule'!AP6</f>
        <v>11209.141496675453</v>
      </c>
    </row>
    <row r="32" spans="1:41" x14ac:dyDescent="0.8">
      <c r="A32" s="316" t="s">
        <v>21</v>
      </c>
      <c r="B32" s="4">
        <v>14545</v>
      </c>
      <c r="C32" s="4">
        <v>21676</v>
      </c>
      <c r="D32" s="4">
        <v>16330</v>
      </c>
      <c r="E32" s="4">
        <v>15545</v>
      </c>
      <c r="F32" s="4">
        <v>17232</v>
      </c>
      <c r="G32" s="4">
        <v>16307</v>
      </c>
      <c r="H32" s="370">
        <f>'Forecast Drivers '!H33*'Income Statement '!H4</f>
        <v>14867.89716875171</v>
      </c>
      <c r="I32" s="4">
        <f>'Forecast Drivers '!I33*'Income Statement '!I4</f>
        <v>16274.711776848855</v>
      </c>
      <c r="J32" s="4">
        <f>'Forecast Drivers '!J33*'Income Statement '!J4</f>
        <v>16037.151003003417</v>
      </c>
      <c r="K32" s="4">
        <f>'Forecast Drivers '!K33*'Income Statement '!K4</f>
        <v>16543.859525313434</v>
      </c>
      <c r="L32" s="4">
        <f>'Forecast Drivers '!L33*'Income Statement '!L4</f>
        <v>15922.169264577935</v>
      </c>
      <c r="M32" s="4">
        <f>'Forecast Drivers '!M33*'Income Statement '!M4</f>
        <v>16432.514208733206</v>
      </c>
      <c r="N32" s="370">
        <f>'Forecast Drivers '!N33*'Income Statement '!N4</f>
        <v>14620.862770196314</v>
      </c>
      <c r="O32" s="4">
        <f>'Forecast Drivers '!O33*'Income Statement '!O4</f>
        <v>15006.780798722739</v>
      </c>
      <c r="P32" s="4">
        <f>'Forecast Drivers '!P33*'Income Statement '!P4</f>
        <v>13934.415812561863</v>
      </c>
      <c r="Q32" s="4">
        <f>'Forecast Drivers '!Q33*'Income Statement '!Q4</f>
        <v>14203.284200539656</v>
      </c>
      <c r="R32" s="4">
        <f>'Forecast Drivers '!R33*'Income Statement '!R4</f>
        <v>13121.930909394947</v>
      </c>
      <c r="S32" s="4">
        <f>'Forecast Drivers '!S33*'Income Statement '!S4</f>
        <v>13300.467992924385</v>
      </c>
      <c r="T32" s="4">
        <f>'Forecast Drivers '!T33*'Income Statement '!T4</f>
        <v>12544.188421173178</v>
      </c>
      <c r="U32" s="4">
        <f>'Forecast Drivers '!U33*'Income Statement '!U4</f>
        <v>12662.032305811998</v>
      </c>
      <c r="V32" s="4">
        <f>'Forecast Drivers '!V33*'Income Statement '!V4</f>
        <v>12102.45822418536</v>
      </c>
      <c r="W32" s="4">
        <f>'Forecast Drivers '!W33*'Income Statement '!W4</f>
        <v>12120.65277913512</v>
      </c>
      <c r="X32" s="4">
        <f>'Forecast Drivers '!X33*'Income Statement '!X4</f>
        <v>11689.535188027783</v>
      </c>
      <c r="Y32" s="4">
        <f>'Forecast Drivers '!Y33*'Income Statement '!Y4</f>
        <v>11348.266264954578</v>
      </c>
      <c r="Z32" s="4">
        <f>'Forecast Drivers '!Z33*'Income Statement '!Z4</f>
        <v>10941.425484265879</v>
      </c>
      <c r="AA32" s="4">
        <f>'Forecast Drivers '!AA33*'Income Statement '!AA4</f>
        <v>10617.091623583516</v>
      </c>
      <c r="AB32" s="4">
        <f>'Forecast Drivers '!AB33*'Income Statement '!AB4</f>
        <v>10254.560670953031</v>
      </c>
      <c r="AC32" s="4">
        <f>'Forecast Drivers '!AC33*'Income Statement '!AC4</f>
        <v>9950.0942214523093</v>
      </c>
      <c r="AD32" s="4">
        <f>'Forecast Drivers '!AD33*'Income Statement '!AD4</f>
        <v>9624.8847776230632</v>
      </c>
      <c r="AE32" s="4">
        <f>'Forecast Drivers '!AE33*'Income Statement '!AE4</f>
        <v>9341.4138098505373</v>
      </c>
      <c r="AF32" s="4">
        <f>'Forecast Drivers '!AF33*'Income Statement '!AF4</f>
        <v>9048.20018648921</v>
      </c>
      <c r="AG32" s="4">
        <f>'Forecast Drivers '!AG33*'Income Statement '!AG4</f>
        <v>8785.7333295178851</v>
      </c>
      <c r="AH32" s="4">
        <f>'Forecast Drivers '!AH33*'Income Statement '!AH4</f>
        <v>8534.350179147672</v>
      </c>
      <c r="AI32" s="4">
        <f>'Forecast Drivers '!AI33*'Income Statement '!AI4</f>
        <v>8294.9656195155512</v>
      </c>
      <c r="AJ32" s="4">
        <f>'Forecast Drivers '!AJ33*'Income Statement '!AJ4</f>
        <v>8065.7416240909806</v>
      </c>
      <c r="AK32" s="4">
        <f>'Forecast Drivers '!AK33*'Income Statement '!AK4</f>
        <v>7847.2432089187987</v>
      </c>
      <c r="AL32" s="4">
        <f>'Forecast Drivers '!AL33*'Income Statement '!AL4</f>
        <v>7638.1000335330145</v>
      </c>
      <c r="AM32" s="4">
        <f>'Forecast Drivers '!AM33*'Income Statement '!AM4</f>
        <v>7438.5820262537027</v>
      </c>
      <c r="AN32" s="4">
        <f>'Forecast Drivers '!AN33*'Income Statement '!AN4</f>
        <v>7247.648450290294</v>
      </c>
      <c r="AO32" s="889">
        <f>'Forecast Drivers '!AO33*'Income Statement '!AO4</f>
        <v>7065.3794554872475</v>
      </c>
    </row>
    <row r="33" spans="1:41" x14ac:dyDescent="0.8">
      <c r="A33" s="901" t="s">
        <v>22</v>
      </c>
      <c r="B33" s="34">
        <v>8934</v>
      </c>
      <c r="C33" s="34">
        <v>15001</v>
      </c>
      <c r="D33" s="34">
        <v>6877</v>
      </c>
      <c r="E33" s="34">
        <v>7105</v>
      </c>
      <c r="F33" s="34">
        <v>7095</v>
      </c>
      <c r="G33" s="34">
        <v>7336</v>
      </c>
      <c r="H33" s="375">
        <f>G33</f>
        <v>7336</v>
      </c>
      <c r="I33" s="34">
        <f t="shared" ref="I33:AO33" si="6">H33</f>
        <v>7336</v>
      </c>
      <c r="J33" s="34">
        <f t="shared" si="6"/>
        <v>7336</v>
      </c>
      <c r="K33" s="34">
        <f t="shared" si="6"/>
        <v>7336</v>
      </c>
      <c r="L33" s="34">
        <f t="shared" si="6"/>
        <v>7336</v>
      </c>
      <c r="M33" s="34">
        <f t="shared" si="6"/>
        <v>7336</v>
      </c>
      <c r="N33" s="375">
        <f t="shared" si="6"/>
        <v>7336</v>
      </c>
      <c r="O33" s="34">
        <f t="shared" si="6"/>
        <v>7336</v>
      </c>
      <c r="P33" s="34">
        <f t="shared" si="6"/>
        <v>7336</v>
      </c>
      <c r="Q33" s="34">
        <f t="shared" si="6"/>
        <v>7336</v>
      </c>
      <c r="R33" s="34">
        <f t="shared" si="6"/>
        <v>7336</v>
      </c>
      <c r="S33" s="34">
        <f t="shared" si="6"/>
        <v>7336</v>
      </c>
      <c r="T33" s="34">
        <f t="shared" si="6"/>
        <v>7336</v>
      </c>
      <c r="U33" s="34">
        <f t="shared" si="6"/>
        <v>7336</v>
      </c>
      <c r="V33" s="34">
        <f t="shared" si="6"/>
        <v>7336</v>
      </c>
      <c r="W33" s="34">
        <f t="shared" si="6"/>
        <v>7336</v>
      </c>
      <c r="X33" s="34">
        <f t="shared" si="6"/>
        <v>7336</v>
      </c>
      <c r="Y33" s="34">
        <f t="shared" si="6"/>
        <v>7336</v>
      </c>
      <c r="Z33" s="34">
        <f t="shared" si="6"/>
        <v>7336</v>
      </c>
      <c r="AA33" s="34">
        <f t="shared" si="6"/>
        <v>7336</v>
      </c>
      <c r="AB33" s="34">
        <f t="shared" si="6"/>
        <v>7336</v>
      </c>
      <c r="AC33" s="34">
        <f t="shared" si="6"/>
        <v>7336</v>
      </c>
      <c r="AD33" s="34">
        <f t="shared" si="6"/>
        <v>7336</v>
      </c>
      <c r="AE33" s="34">
        <f t="shared" si="6"/>
        <v>7336</v>
      </c>
      <c r="AF33" s="34">
        <f t="shared" si="6"/>
        <v>7336</v>
      </c>
      <c r="AG33" s="34">
        <f t="shared" si="6"/>
        <v>7336</v>
      </c>
      <c r="AH33" s="34">
        <f t="shared" si="6"/>
        <v>7336</v>
      </c>
      <c r="AI33" s="34">
        <f t="shared" si="6"/>
        <v>7336</v>
      </c>
      <c r="AJ33" s="34">
        <f t="shared" si="6"/>
        <v>7336</v>
      </c>
      <c r="AK33" s="34">
        <f t="shared" si="6"/>
        <v>7336</v>
      </c>
      <c r="AL33" s="34">
        <f t="shared" si="6"/>
        <v>7336</v>
      </c>
      <c r="AM33" s="34">
        <f t="shared" si="6"/>
        <v>7336</v>
      </c>
      <c r="AN33" s="34">
        <f t="shared" si="6"/>
        <v>7336</v>
      </c>
      <c r="AO33" s="902">
        <f t="shared" si="6"/>
        <v>7336</v>
      </c>
    </row>
    <row r="34" spans="1:41" x14ac:dyDescent="0.8">
      <c r="A34" s="914" t="s">
        <v>23</v>
      </c>
      <c r="B34" s="915">
        <f>SUM(B29,B30:B33)</f>
        <v>95960</v>
      </c>
      <c r="C34" s="915">
        <f t="shared" ref="C34:H34" si="7">SUM(C29,C30:C33)</f>
        <v>89803</v>
      </c>
      <c r="D34" s="915">
        <f t="shared" si="7"/>
        <v>79868</v>
      </c>
      <c r="E34" s="915">
        <f t="shared" si="7"/>
        <v>112550</v>
      </c>
      <c r="F34" s="915">
        <f t="shared" si="7"/>
        <v>106554</v>
      </c>
      <c r="G34" s="915">
        <f t="shared" si="7"/>
        <v>143406</v>
      </c>
      <c r="H34" s="916">
        <f t="shared" si="7"/>
        <v>160215.98196088514</v>
      </c>
      <c r="I34" s="915">
        <f t="shared" ref="I34:AO34" si="8">SUM(I29,I30:I33)</f>
        <v>105881.97513088917</v>
      </c>
      <c r="J34" s="915">
        <f t="shared" si="8"/>
        <v>104036.72114933128</v>
      </c>
      <c r="K34" s="915">
        <f t="shared" si="8"/>
        <v>105933.12059876535</v>
      </c>
      <c r="L34" s="915">
        <f t="shared" si="8"/>
        <v>103329.98074066691</v>
      </c>
      <c r="M34" s="915">
        <f t="shared" si="8"/>
        <v>107489.75205833711</v>
      </c>
      <c r="N34" s="916">
        <f t="shared" si="8"/>
        <v>100394.77873923522</v>
      </c>
      <c r="O34" s="915">
        <f t="shared" si="8"/>
        <v>98891.983519722111</v>
      </c>
      <c r="P34" s="915">
        <f t="shared" si="8"/>
        <v>93274.732657319284</v>
      </c>
      <c r="Q34" s="915">
        <f t="shared" si="8"/>
        <v>92853.149796945523</v>
      </c>
      <c r="R34" s="915">
        <f t="shared" si="8"/>
        <v>88290.34434183863</v>
      </c>
      <c r="S34" s="915">
        <f t="shared" si="8"/>
        <v>87139.001388947072</v>
      </c>
      <c r="T34" s="915">
        <f t="shared" si="8"/>
        <v>86021.201357410187</v>
      </c>
      <c r="U34" s="915">
        <f t="shared" si="8"/>
        <v>84706.900114099379</v>
      </c>
      <c r="V34" s="915">
        <f t="shared" si="8"/>
        <v>81944.891412385565</v>
      </c>
      <c r="W34" s="915">
        <f t="shared" si="8"/>
        <v>81079.015995182548</v>
      </c>
      <c r="X34" s="915">
        <f t="shared" si="8"/>
        <v>78800.306560790792</v>
      </c>
      <c r="Y34" s="915">
        <f t="shared" si="8"/>
        <v>76959.824708521133</v>
      </c>
      <c r="Z34" s="915">
        <f t="shared" si="8"/>
        <v>74282.612301398258</v>
      </c>
      <c r="AA34" s="915">
        <f t="shared" si="8"/>
        <v>72007.641782385268</v>
      </c>
      <c r="AB34" s="915">
        <f t="shared" si="8"/>
        <v>69513.640478380519</v>
      </c>
      <c r="AC34" s="915">
        <f t="shared" si="8"/>
        <v>67595.193583416592</v>
      </c>
      <c r="AD34" s="915">
        <f t="shared" si="8"/>
        <v>65649.144886234921</v>
      </c>
      <c r="AE34" s="915">
        <f t="shared" si="8"/>
        <v>63878.184339426109</v>
      </c>
      <c r="AF34" s="915">
        <f t="shared" si="8"/>
        <v>62112.299204800293</v>
      </c>
      <c r="AG34" s="915">
        <f t="shared" si="8"/>
        <v>60482.357276582945</v>
      </c>
      <c r="AH34" s="915">
        <f t="shared" si="8"/>
        <v>58916.067077664891</v>
      </c>
      <c r="AI34" s="915">
        <f t="shared" si="8"/>
        <v>57448.211074924911</v>
      </c>
      <c r="AJ34" s="915">
        <f t="shared" si="8"/>
        <v>56044.625061486862</v>
      </c>
      <c r="AK34" s="915">
        <f t="shared" si="8"/>
        <v>54705.470118970712</v>
      </c>
      <c r="AL34" s="915">
        <f t="shared" si="8"/>
        <v>53424.924074485469</v>
      </c>
      <c r="AM34" s="915">
        <f t="shared" si="8"/>
        <v>52202.500449835563</v>
      </c>
      <c r="AN34" s="915">
        <f t="shared" si="8"/>
        <v>51033.570844540423</v>
      </c>
      <c r="AO34" s="917">
        <f t="shared" si="8"/>
        <v>49917.16851227569</v>
      </c>
    </row>
    <row r="35" spans="1:41" x14ac:dyDescent="0.8">
      <c r="A35" s="316" t="s">
        <v>24</v>
      </c>
      <c r="B35" s="4"/>
      <c r="C35" s="4"/>
      <c r="D35" s="4"/>
      <c r="E35" s="4"/>
      <c r="F35" s="4"/>
      <c r="G35" s="4"/>
      <c r="H35" s="131"/>
      <c r="I35" s="7"/>
      <c r="J35" s="7"/>
      <c r="K35" s="7"/>
      <c r="L35" s="7"/>
      <c r="M35" s="7"/>
      <c r="N35" s="131"/>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172"/>
    </row>
    <row r="36" spans="1:41" x14ac:dyDescent="0.8">
      <c r="A36" s="316" t="s">
        <v>25</v>
      </c>
      <c r="B36" s="4"/>
      <c r="C36" s="4"/>
      <c r="D36" s="4"/>
      <c r="E36" s="4"/>
      <c r="F36" s="4"/>
      <c r="G36" s="4"/>
      <c r="H36" s="131"/>
      <c r="I36" s="7"/>
      <c r="J36" s="7"/>
      <c r="K36" s="7"/>
      <c r="L36" s="7"/>
      <c r="M36" s="7"/>
      <c r="N36" s="131"/>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172"/>
    </row>
    <row r="37" spans="1:41" x14ac:dyDescent="0.8">
      <c r="A37" s="219" t="s">
        <v>26</v>
      </c>
      <c r="B37" s="4"/>
      <c r="C37" s="4"/>
      <c r="D37" s="4"/>
      <c r="E37" s="4"/>
      <c r="F37" s="4"/>
      <c r="G37" s="4"/>
      <c r="H37" s="131"/>
      <c r="I37" s="7"/>
      <c r="J37" s="7"/>
      <c r="K37" s="7"/>
      <c r="L37" s="7"/>
      <c r="M37" s="7"/>
      <c r="N37" s="131"/>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172"/>
    </row>
    <row r="38" spans="1:41" x14ac:dyDescent="0.8">
      <c r="A38" s="219" t="s">
        <v>27</v>
      </c>
      <c r="B38" s="4">
        <v>0</v>
      </c>
      <c r="C38" s="4">
        <v>0</v>
      </c>
      <c r="D38" s="4">
        <v>0</v>
      </c>
      <c r="E38" s="4">
        <v>0</v>
      </c>
      <c r="F38" s="4">
        <v>0</v>
      </c>
      <c r="G38" s="4">
        <v>0</v>
      </c>
      <c r="H38" s="370"/>
      <c r="I38" s="4"/>
      <c r="J38" s="4"/>
      <c r="K38" s="4"/>
      <c r="L38" s="4"/>
      <c r="M38" s="4"/>
      <c r="N38" s="370"/>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889"/>
    </row>
    <row r="39" spans="1:41" x14ac:dyDescent="0.8">
      <c r="A39" s="219" t="s">
        <v>28</v>
      </c>
      <c r="B39" s="4"/>
      <c r="C39" s="4"/>
      <c r="D39" s="4"/>
      <c r="E39" s="4"/>
      <c r="F39" s="4"/>
      <c r="G39" s="4"/>
      <c r="H39" s="131"/>
      <c r="I39" s="7"/>
      <c r="J39" s="7"/>
      <c r="K39" s="7"/>
      <c r="L39" s="7"/>
      <c r="M39" s="7"/>
      <c r="N39" s="131"/>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172"/>
    </row>
    <row r="40" spans="1:41" x14ac:dyDescent="0.8">
      <c r="A40" s="903" t="s">
        <v>29</v>
      </c>
      <c r="B40" s="904">
        <v>374</v>
      </c>
      <c r="C40" s="904">
        <v>378</v>
      </c>
      <c r="D40" s="904">
        <v>378</v>
      </c>
      <c r="E40" s="904">
        <v>380</v>
      </c>
      <c r="F40" s="904">
        <v>381</v>
      </c>
      <c r="G40" s="904">
        <v>382</v>
      </c>
      <c r="H40" s="376">
        <f>G40</f>
        <v>382</v>
      </c>
      <c r="I40" s="904">
        <f>H40</f>
        <v>382</v>
      </c>
      <c r="J40" s="904">
        <f>I40</f>
        <v>382</v>
      </c>
      <c r="K40" s="904">
        <f>J40</f>
        <v>382</v>
      </c>
      <c r="L40" s="904">
        <f t="shared" ref="L40:AO40" si="9">K40</f>
        <v>382</v>
      </c>
      <c r="M40" s="904">
        <f t="shared" si="9"/>
        <v>382</v>
      </c>
      <c r="N40" s="376">
        <f t="shared" si="9"/>
        <v>382</v>
      </c>
      <c r="O40" s="904">
        <f t="shared" si="9"/>
        <v>382</v>
      </c>
      <c r="P40" s="904">
        <f t="shared" si="9"/>
        <v>382</v>
      </c>
      <c r="Q40" s="904">
        <f t="shared" si="9"/>
        <v>382</v>
      </c>
      <c r="R40" s="904">
        <f t="shared" si="9"/>
        <v>382</v>
      </c>
      <c r="S40" s="904">
        <f t="shared" si="9"/>
        <v>382</v>
      </c>
      <c r="T40" s="904">
        <f t="shared" si="9"/>
        <v>382</v>
      </c>
      <c r="U40" s="904">
        <f t="shared" si="9"/>
        <v>382</v>
      </c>
      <c r="V40" s="904">
        <f t="shared" si="9"/>
        <v>382</v>
      </c>
      <c r="W40" s="904">
        <f t="shared" si="9"/>
        <v>382</v>
      </c>
      <c r="X40" s="904">
        <f t="shared" si="9"/>
        <v>382</v>
      </c>
      <c r="Y40" s="904">
        <f t="shared" si="9"/>
        <v>382</v>
      </c>
      <c r="Z40" s="904">
        <f t="shared" si="9"/>
        <v>382</v>
      </c>
      <c r="AA40" s="904">
        <f t="shared" si="9"/>
        <v>382</v>
      </c>
      <c r="AB40" s="904">
        <f t="shared" si="9"/>
        <v>382</v>
      </c>
      <c r="AC40" s="904">
        <f t="shared" si="9"/>
        <v>382</v>
      </c>
      <c r="AD40" s="904">
        <f t="shared" si="9"/>
        <v>382</v>
      </c>
      <c r="AE40" s="904">
        <f t="shared" si="9"/>
        <v>382</v>
      </c>
      <c r="AF40" s="904">
        <f t="shared" si="9"/>
        <v>382</v>
      </c>
      <c r="AG40" s="904">
        <f t="shared" si="9"/>
        <v>382</v>
      </c>
      <c r="AH40" s="904">
        <f t="shared" si="9"/>
        <v>382</v>
      </c>
      <c r="AI40" s="904">
        <f t="shared" si="9"/>
        <v>382</v>
      </c>
      <c r="AJ40" s="904">
        <f t="shared" si="9"/>
        <v>382</v>
      </c>
      <c r="AK40" s="904">
        <f t="shared" si="9"/>
        <v>382</v>
      </c>
      <c r="AL40" s="904">
        <f t="shared" si="9"/>
        <v>382</v>
      </c>
      <c r="AM40" s="904">
        <f t="shared" si="9"/>
        <v>382</v>
      </c>
      <c r="AN40" s="904">
        <f t="shared" si="9"/>
        <v>382</v>
      </c>
      <c r="AO40" s="905">
        <f t="shared" si="9"/>
        <v>382</v>
      </c>
    </row>
    <row r="41" spans="1:41" x14ac:dyDescent="0.8">
      <c r="A41" s="219" t="s">
        <v>30</v>
      </c>
      <c r="B41" s="4">
        <v>190805</v>
      </c>
      <c r="C41" s="4">
        <v>198283</v>
      </c>
      <c r="D41" s="4">
        <v>202599</v>
      </c>
      <c r="E41" s="4">
        <v>206290</v>
      </c>
      <c r="F41" s="4">
        <v>209707</v>
      </c>
      <c r="G41" s="4">
        <v>214045</v>
      </c>
      <c r="H41" s="370">
        <v>214045</v>
      </c>
      <c r="I41" s="4">
        <v>214045</v>
      </c>
      <c r="J41" s="4">
        <v>214045</v>
      </c>
      <c r="K41" s="4">
        <v>214045</v>
      </c>
      <c r="L41" s="4">
        <v>214045</v>
      </c>
      <c r="M41" s="4">
        <v>214045</v>
      </c>
      <c r="N41" s="370">
        <v>214045</v>
      </c>
      <c r="O41" s="4">
        <v>214045</v>
      </c>
      <c r="P41" s="4">
        <v>214045</v>
      </c>
      <c r="Q41" s="4">
        <v>214045</v>
      </c>
      <c r="R41" s="4">
        <v>214045</v>
      </c>
      <c r="S41" s="4">
        <v>214045</v>
      </c>
      <c r="T41" s="4">
        <v>214045</v>
      </c>
      <c r="U41" s="4">
        <v>214045</v>
      </c>
      <c r="V41" s="4">
        <v>214045</v>
      </c>
      <c r="W41" s="4">
        <v>214045</v>
      </c>
      <c r="X41" s="4">
        <v>214045</v>
      </c>
      <c r="Y41" s="4">
        <v>214045</v>
      </c>
      <c r="Z41" s="4">
        <v>214045</v>
      </c>
      <c r="AA41" s="4">
        <v>214045</v>
      </c>
      <c r="AB41" s="4">
        <v>214045</v>
      </c>
      <c r="AC41" s="4">
        <v>214045</v>
      </c>
      <c r="AD41" s="4">
        <v>214045</v>
      </c>
      <c r="AE41" s="4">
        <v>214045</v>
      </c>
      <c r="AF41" s="4">
        <v>214045</v>
      </c>
      <c r="AG41" s="4">
        <v>214045</v>
      </c>
      <c r="AH41" s="4">
        <v>214045</v>
      </c>
      <c r="AI41" s="4">
        <v>214045</v>
      </c>
      <c r="AJ41" s="4">
        <v>214045</v>
      </c>
      <c r="AK41" s="4">
        <v>214045</v>
      </c>
      <c r="AL41" s="4">
        <v>214045</v>
      </c>
      <c r="AM41" s="4">
        <v>214045</v>
      </c>
      <c r="AN41" s="4">
        <v>214045</v>
      </c>
      <c r="AO41" s="889">
        <v>214045</v>
      </c>
    </row>
    <row r="42" spans="1:41" x14ac:dyDescent="0.8">
      <c r="A42" s="219" t="s">
        <v>31</v>
      </c>
      <c r="B42" s="4">
        <v>-49667</v>
      </c>
      <c r="C42" s="4">
        <v>-56838</v>
      </c>
      <c r="D42" s="4">
        <v>-61994</v>
      </c>
      <c r="E42" s="4">
        <v>-58782</v>
      </c>
      <c r="F42" s="4">
        <v>-56833</v>
      </c>
      <c r="G42" s="4">
        <v>-61845</v>
      </c>
      <c r="H42" s="370">
        <v>-61845</v>
      </c>
      <c r="I42" s="4">
        <v>-61845</v>
      </c>
      <c r="J42" s="4">
        <v>-61845</v>
      </c>
      <c r="K42" s="4">
        <v>-61845</v>
      </c>
      <c r="L42" s="4">
        <v>-61845</v>
      </c>
      <c r="M42" s="4">
        <v>-61845</v>
      </c>
      <c r="N42" s="370">
        <v>-61845</v>
      </c>
      <c r="O42" s="4">
        <v>-61845</v>
      </c>
      <c r="P42" s="4">
        <v>-61845</v>
      </c>
      <c r="Q42" s="4">
        <v>-61845</v>
      </c>
      <c r="R42" s="4">
        <v>-61845</v>
      </c>
      <c r="S42" s="4">
        <v>-61845</v>
      </c>
      <c r="T42" s="4">
        <v>-61845</v>
      </c>
      <c r="U42" s="4">
        <v>-61845</v>
      </c>
      <c r="V42" s="4">
        <v>-61845</v>
      </c>
      <c r="W42" s="4">
        <v>-61845</v>
      </c>
      <c r="X42" s="4">
        <v>-61845</v>
      </c>
      <c r="Y42" s="4">
        <v>-61845</v>
      </c>
      <c r="Z42" s="4">
        <v>-61845</v>
      </c>
      <c r="AA42" s="4">
        <v>-61845</v>
      </c>
      <c r="AB42" s="4">
        <v>-61845</v>
      </c>
      <c r="AC42" s="4">
        <v>-61845</v>
      </c>
      <c r="AD42" s="4">
        <v>-61845</v>
      </c>
      <c r="AE42" s="4">
        <v>-61845</v>
      </c>
      <c r="AF42" s="4">
        <v>-61845</v>
      </c>
      <c r="AG42" s="4">
        <v>-61845</v>
      </c>
      <c r="AH42" s="4">
        <v>-61845</v>
      </c>
      <c r="AI42" s="4">
        <v>-61845</v>
      </c>
      <c r="AJ42" s="4">
        <v>-61845</v>
      </c>
      <c r="AK42" s="4">
        <v>-61845</v>
      </c>
      <c r="AL42" s="4">
        <v>-61845</v>
      </c>
      <c r="AM42" s="4">
        <v>-61845</v>
      </c>
      <c r="AN42" s="4">
        <v>-61845</v>
      </c>
      <c r="AO42" s="889">
        <v>-61845</v>
      </c>
    </row>
    <row r="43" spans="1:41" x14ac:dyDescent="0.8">
      <c r="A43" s="317" t="s">
        <v>32</v>
      </c>
      <c r="B43" s="922">
        <f>'Retained Earnings Schedule'!B9</f>
        <v>79954</v>
      </c>
      <c r="C43" s="922">
        <f>'Retained Earnings Schedule'!C9</f>
        <v>110194</v>
      </c>
      <c r="D43" s="922">
        <f>'Retained Earnings Schedule'!D9</f>
        <v>115718</v>
      </c>
      <c r="E43" s="922">
        <f>'Retained Earnings Schedule'!E9</f>
        <v>117715</v>
      </c>
      <c r="F43" s="922">
        <f>'Retained Earnings Schedule'!F9</f>
        <v>137134</v>
      </c>
      <c r="G43" s="922">
        <f>'Retained Earnings Schedule'!G9</f>
        <v>146979</v>
      </c>
      <c r="H43" s="923">
        <f>'Retained Earnings Schedule'!H9</f>
        <v>13847.821885509329</v>
      </c>
      <c r="I43" s="922">
        <f>'Retained Earnings Schedule'!I9</f>
        <v>77630.744713427819</v>
      </c>
      <c r="J43" s="922">
        <f>'Retained Earnings Schedule'!J9</f>
        <v>102321.79947319535</v>
      </c>
      <c r="K43" s="922">
        <f>'Retained Earnings Schedule'!K9</f>
        <v>86581.964238655128</v>
      </c>
      <c r="L43" s="922">
        <f>'Retained Earnings Schedule'!L9</f>
        <v>115878.08692400582</v>
      </c>
      <c r="M43" s="922">
        <f>'Retained Earnings Schedule'!M9</f>
        <v>103910.17243980481</v>
      </c>
      <c r="N43" s="923">
        <f>'Retained Earnings Schedule'!N9</f>
        <v>108754.40436890806</v>
      </c>
      <c r="O43" s="922">
        <f>'Retained Earnings Schedule'!O9</f>
        <v>110529.21378018803</v>
      </c>
      <c r="P43" s="922">
        <f>'Retained Earnings Schedule'!P9</f>
        <v>115596.16140699766</v>
      </c>
      <c r="Q43" s="922">
        <f>'Retained Earnings Schedule'!Q9</f>
        <v>118173.01742386262</v>
      </c>
      <c r="R43" s="922">
        <f>'Retained Earnings Schedule'!R9</f>
        <v>114052.79973641799</v>
      </c>
      <c r="S43" s="922">
        <f>'Retained Earnings Schedule'!S9</f>
        <v>108572.00209403905</v>
      </c>
      <c r="T43" s="922">
        <f>'Retained Earnings Schedule'!T9</f>
        <v>100376.06094195433</v>
      </c>
      <c r="U43" s="922">
        <f>'Retained Earnings Schedule'!U9</f>
        <v>94130.777771659297</v>
      </c>
      <c r="V43" s="922">
        <f>'Retained Earnings Schedule'!V9</f>
        <v>87587.169827735488</v>
      </c>
      <c r="W43" s="922">
        <f>'Retained Earnings Schedule'!W9</f>
        <v>80233.020107570585</v>
      </c>
      <c r="X43" s="922">
        <f>'Retained Earnings Schedule'!X9</f>
        <v>72948.379093895332</v>
      </c>
      <c r="Y43" s="922">
        <f>'Retained Earnings Schedule'!Y9</f>
        <v>65681.780821142995</v>
      </c>
      <c r="Z43" s="922">
        <f>'Retained Earnings Schedule'!Z9</f>
        <v>59215.966747570812</v>
      </c>
      <c r="AA43" s="922">
        <f>'Retained Earnings Schedule'!AA9</f>
        <v>48374.133156411001</v>
      </c>
      <c r="AB43" s="922">
        <f>'Retained Earnings Schedule'!AB9</f>
        <v>40021.718116837641</v>
      </c>
      <c r="AC43" s="922">
        <f>'Retained Earnings Schedule'!AC9</f>
        <v>33478.489795033078</v>
      </c>
      <c r="AD43" s="922">
        <f>'Retained Earnings Schedule'!AD9</f>
        <v>28594.656261345928</v>
      </c>
      <c r="AE43" s="922">
        <f>'Retained Earnings Schedule'!AE9</f>
        <v>25024.439901922298</v>
      </c>
      <c r="AF43" s="922">
        <f>'Retained Earnings Schedule'!AF9</f>
        <v>22424.736213971119</v>
      </c>
      <c r="AG43" s="922">
        <f>'Retained Earnings Schedule'!AG9</f>
        <v>20670.37033822199</v>
      </c>
      <c r="AH43" s="922">
        <f>'Retained Earnings Schedule'!AH9</f>
        <v>19581.930467570295</v>
      </c>
      <c r="AI43" s="922">
        <f>'Retained Earnings Schedule'!AI9</f>
        <v>18582.876615082267</v>
      </c>
      <c r="AJ43" s="922">
        <f>'Retained Earnings Schedule'!AJ9</f>
        <v>17573.001264698334</v>
      </c>
      <c r="AK43" s="922">
        <f>'Retained Earnings Schedule'!AK9</f>
        <v>16554.615194095531</v>
      </c>
      <c r="AL43" s="922">
        <f>'Retained Earnings Schedule'!AL9</f>
        <v>15526.653364639193</v>
      </c>
      <c r="AM43" s="922">
        <f>'Retained Earnings Schedule'!AM9</f>
        <v>14490.676639303407</v>
      </c>
      <c r="AN43" s="922">
        <f>'Retained Earnings Schedule'!AN9</f>
        <v>13446.124887237034</v>
      </c>
      <c r="AO43" s="924">
        <f>'Retained Earnings Schedule'!AO9</f>
        <v>12394.170708442916</v>
      </c>
    </row>
    <row r="44" spans="1:41" x14ac:dyDescent="0.8">
      <c r="A44" s="316" t="s">
        <v>33</v>
      </c>
      <c r="B44" s="4">
        <v>7763</v>
      </c>
      <c r="C44" s="4">
        <v>2090</v>
      </c>
      <c r="D44" s="4">
        <v>-3093</v>
      </c>
      <c r="E44" s="4">
        <v>5029</v>
      </c>
      <c r="F44" s="4">
        <v>-23088</v>
      </c>
      <c r="G44" s="4">
        <v>-20266</v>
      </c>
      <c r="H44" s="370">
        <v>-20266</v>
      </c>
      <c r="I44" s="4">
        <f>H44</f>
        <v>-20266</v>
      </c>
      <c r="J44" s="4">
        <f t="shared" ref="J44:AO44" si="10">I44</f>
        <v>-20266</v>
      </c>
      <c r="K44" s="4">
        <f t="shared" si="10"/>
        <v>-20266</v>
      </c>
      <c r="L44" s="4">
        <f t="shared" si="10"/>
        <v>-20266</v>
      </c>
      <c r="M44" s="4">
        <f t="shared" si="10"/>
        <v>-20266</v>
      </c>
      <c r="N44" s="370">
        <f t="shared" si="10"/>
        <v>-20266</v>
      </c>
      <c r="O44" s="4">
        <f t="shared" si="10"/>
        <v>-20266</v>
      </c>
      <c r="P44" s="4">
        <f t="shared" si="10"/>
        <v>-20266</v>
      </c>
      <c r="Q44" s="4">
        <f t="shared" si="10"/>
        <v>-20266</v>
      </c>
      <c r="R44" s="4">
        <f t="shared" si="10"/>
        <v>-20266</v>
      </c>
      <c r="S44" s="4">
        <f t="shared" si="10"/>
        <v>-20266</v>
      </c>
      <c r="T44" s="4">
        <f t="shared" si="10"/>
        <v>-20266</v>
      </c>
      <c r="U44" s="4">
        <f t="shared" si="10"/>
        <v>-20266</v>
      </c>
      <c r="V44" s="4">
        <f t="shared" si="10"/>
        <v>-20266</v>
      </c>
      <c r="W44" s="4">
        <f t="shared" si="10"/>
        <v>-20266</v>
      </c>
      <c r="X44" s="4">
        <f t="shared" si="10"/>
        <v>-20266</v>
      </c>
      <c r="Y44" s="4">
        <f t="shared" si="10"/>
        <v>-20266</v>
      </c>
      <c r="Z44" s="4">
        <f t="shared" si="10"/>
        <v>-20266</v>
      </c>
      <c r="AA44" s="4">
        <f t="shared" si="10"/>
        <v>-20266</v>
      </c>
      <c r="AB44" s="4">
        <f t="shared" si="10"/>
        <v>-20266</v>
      </c>
      <c r="AC44" s="4">
        <f t="shared" si="10"/>
        <v>-20266</v>
      </c>
      <c r="AD44" s="4">
        <f t="shared" si="10"/>
        <v>-20266</v>
      </c>
      <c r="AE44" s="4">
        <f t="shared" si="10"/>
        <v>-20266</v>
      </c>
      <c r="AF44" s="4">
        <f t="shared" si="10"/>
        <v>-20266</v>
      </c>
      <c r="AG44" s="4">
        <f t="shared" si="10"/>
        <v>-20266</v>
      </c>
      <c r="AH44" s="4">
        <f t="shared" si="10"/>
        <v>-20266</v>
      </c>
      <c r="AI44" s="4">
        <f t="shared" si="10"/>
        <v>-20266</v>
      </c>
      <c r="AJ44" s="4">
        <f t="shared" si="10"/>
        <v>-20266</v>
      </c>
      <c r="AK44" s="4">
        <f t="shared" si="10"/>
        <v>-20266</v>
      </c>
      <c r="AL44" s="4">
        <f t="shared" si="10"/>
        <v>-20266</v>
      </c>
      <c r="AM44" s="4">
        <f t="shared" si="10"/>
        <v>-20266</v>
      </c>
      <c r="AN44" s="4">
        <f t="shared" si="10"/>
        <v>-20266</v>
      </c>
      <c r="AO44" s="889">
        <f t="shared" si="10"/>
        <v>-20266</v>
      </c>
    </row>
    <row r="45" spans="1:41" x14ac:dyDescent="0.8">
      <c r="A45" s="914" t="s">
        <v>34</v>
      </c>
      <c r="B45" s="915">
        <f>SUM(B37:B44)</f>
        <v>229229</v>
      </c>
      <c r="C45" s="915">
        <f t="shared" ref="C45:G45" si="11">SUM(C37:C44)</f>
        <v>254107</v>
      </c>
      <c r="D45" s="915">
        <f t="shared" si="11"/>
        <v>253608</v>
      </c>
      <c r="E45" s="915">
        <f t="shared" si="11"/>
        <v>270632</v>
      </c>
      <c r="F45" s="915">
        <f t="shared" si="11"/>
        <v>267301</v>
      </c>
      <c r="G45" s="915">
        <f t="shared" si="11"/>
        <v>279295</v>
      </c>
      <c r="H45" s="916">
        <f>SUM(H37:H44)</f>
        <v>146163.82188550933</v>
      </c>
      <c r="I45" s="915">
        <f>SUM(I37:I44)</f>
        <v>209946.74471342782</v>
      </c>
      <c r="J45" s="915">
        <f>SUM(J37:J44)</f>
        <v>234637.79947319534</v>
      </c>
      <c r="K45" s="915">
        <f>SUM(K37:K44)</f>
        <v>218897.96423865511</v>
      </c>
      <c r="L45" s="915">
        <f t="shared" ref="L45:AO45" si="12">SUM(L37:L44)</f>
        <v>248194.08692400582</v>
      </c>
      <c r="M45" s="915">
        <f t="shared" si="12"/>
        <v>236226.17243980482</v>
      </c>
      <c r="N45" s="916">
        <f t="shared" si="12"/>
        <v>241070.40436890806</v>
      </c>
      <c r="O45" s="915">
        <f t="shared" si="12"/>
        <v>242845.213780188</v>
      </c>
      <c r="P45" s="915">
        <f t="shared" si="12"/>
        <v>247912.16140699765</v>
      </c>
      <c r="Q45" s="915">
        <f t="shared" si="12"/>
        <v>250489.01742386259</v>
      </c>
      <c r="R45" s="915">
        <f t="shared" si="12"/>
        <v>246368.799736418</v>
      </c>
      <c r="S45" s="915">
        <f t="shared" si="12"/>
        <v>240888.00209403905</v>
      </c>
      <c r="T45" s="915">
        <f t="shared" si="12"/>
        <v>232692.06094195432</v>
      </c>
      <c r="U45" s="915">
        <f t="shared" si="12"/>
        <v>226446.77777165931</v>
      </c>
      <c r="V45" s="915">
        <f t="shared" si="12"/>
        <v>219903.16982773549</v>
      </c>
      <c r="W45" s="915">
        <f t="shared" si="12"/>
        <v>212549.02010757057</v>
      </c>
      <c r="X45" s="915">
        <f t="shared" si="12"/>
        <v>205264.37909389532</v>
      </c>
      <c r="Y45" s="915">
        <f t="shared" si="12"/>
        <v>197997.78082114301</v>
      </c>
      <c r="Z45" s="915">
        <f t="shared" si="12"/>
        <v>191531.96674757081</v>
      </c>
      <c r="AA45" s="915">
        <f t="shared" si="12"/>
        <v>180690.133156411</v>
      </c>
      <c r="AB45" s="915">
        <f t="shared" si="12"/>
        <v>172337.71811683764</v>
      </c>
      <c r="AC45" s="915">
        <f t="shared" si="12"/>
        <v>165794.48979503306</v>
      </c>
      <c r="AD45" s="915">
        <f t="shared" si="12"/>
        <v>160910.65626134592</v>
      </c>
      <c r="AE45" s="915">
        <f t="shared" si="12"/>
        <v>157340.43990192231</v>
      </c>
      <c r="AF45" s="915">
        <f t="shared" si="12"/>
        <v>154740.7362139711</v>
      </c>
      <c r="AG45" s="915">
        <f t="shared" si="12"/>
        <v>152986.37033822198</v>
      </c>
      <c r="AH45" s="915">
        <f t="shared" si="12"/>
        <v>151897.93046757029</v>
      </c>
      <c r="AI45" s="915">
        <f t="shared" si="12"/>
        <v>150898.87661508226</v>
      </c>
      <c r="AJ45" s="915">
        <f t="shared" si="12"/>
        <v>149889.00126469834</v>
      </c>
      <c r="AK45" s="915">
        <f t="shared" si="12"/>
        <v>148870.61519409553</v>
      </c>
      <c r="AL45" s="915">
        <f t="shared" si="12"/>
        <v>147842.65336463921</v>
      </c>
      <c r="AM45" s="915">
        <f t="shared" si="12"/>
        <v>146806.67663930342</v>
      </c>
      <c r="AN45" s="915">
        <f t="shared" si="12"/>
        <v>145762.12488723703</v>
      </c>
      <c r="AO45" s="917">
        <f t="shared" si="12"/>
        <v>144710.17070844292</v>
      </c>
    </row>
    <row r="46" spans="1:41" ht="16.75" thickBot="1" x14ac:dyDescent="0.95">
      <c r="A46" s="918" t="s">
        <v>35</v>
      </c>
      <c r="B46" s="919">
        <f>SUM(B34,B45)</f>
        <v>325189</v>
      </c>
      <c r="C46" s="919">
        <f t="shared" ref="C46:G46" si="13">SUM(C34,C45)</f>
        <v>343910</v>
      </c>
      <c r="D46" s="919">
        <f t="shared" si="13"/>
        <v>333476</v>
      </c>
      <c r="E46" s="919">
        <f t="shared" si="13"/>
        <v>383182</v>
      </c>
      <c r="F46" s="919">
        <f t="shared" si="13"/>
        <v>373855</v>
      </c>
      <c r="G46" s="919">
        <f t="shared" si="13"/>
        <v>422701</v>
      </c>
      <c r="H46" s="920">
        <f t="shared" ref="H46:I46" si="14">SUM(H34,H45)</f>
        <v>306379.80384639447</v>
      </c>
      <c r="I46" s="919">
        <f t="shared" si="14"/>
        <v>315828.71984431701</v>
      </c>
      <c r="J46" s="919">
        <f t="shared" ref="J46:K46" si="15">SUM(J34,J45)</f>
        <v>338674.52062252664</v>
      </c>
      <c r="K46" s="919">
        <f t="shared" si="15"/>
        <v>324831.08483742049</v>
      </c>
      <c r="L46" s="919">
        <f t="shared" ref="L46:AO46" si="16">SUM(L34,L45)</f>
        <v>351524.06766467274</v>
      </c>
      <c r="M46" s="919">
        <f t="shared" si="16"/>
        <v>343715.92449814192</v>
      </c>
      <c r="N46" s="920">
        <f t="shared" si="16"/>
        <v>341465.18310814328</v>
      </c>
      <c r="O46" s="919">
        <f t="shared" si="16"/>
        <v>341737.19729991013</v>
      </c>
      <c r="P46" s="919">
        <f t="shared" si="16"/>
        <v>341186.89406431693</v>
      </c>
      <c r="Q46" s="919">
        <f t="shared" si="16"/>
        <v>343342.1672208081</v>
      </c>
      <c r="R46" s="919">
        <f t="shared" si="16"/>
        <v>334659.14407825662</v>
      </c>
      <c r="S46" s="919">
        <f t="shared" si="16"/>
        <v>328027.00348298613</v>
      </c>
      <c r="T46" s="919">
        <f t="shared" si="16"/>
        <v>318713.26229936449</v>
      </c>
      <c r="U46" s="919">
        <f t="shared" si="16"/>
        <v>311153.67788575869</v>
      </c>
      <c r="V46" s="919">
        <f t="shared" si="16"/>
        <v>301848.06124012102</v>
      </c>
      <c r="W46" s="919">
        <f t="shared" si="16"/>
        <v>293628.03610275313</v>
      </c>
      <c r="X46" s="919">
        <f t="shared" si="16"/>
        <v>284064.68565468612</v>
      </c>
      <c r="Y46" s="919">
        <f t="shared" si="16"/>
        <v>274957.60552966414</v>
      </c>
      <c r="Z46" s="919">
        <f t="shared" si="16"/>
        <v>265814.57904896908</v>
      </c>
      <c r="AA46" s="919">
        <f t="shared" si="16"/>
        <v>252697.77493879627</v>
      </c>
      <c r="AB46" s="919">
        <f t="shared" si="16"/>
        <v>241851.35859521816</v>
      </c>
      <c r="AC46" s="919">
        <f t="shared" si="16"/>
        <v>233389.68337844964</v>
      </c>
      <c r="AD46" s="919">
        <f t="shared" si="16"/>
        <v>226559.80114758085</v>
      </c>
      <c r="AE46" s="919">
        <f t="shared" si="16"/>
        <v>221218.62424134841</v>
      </c>
      <c r="AF46" s="919">
        <f t="shared" si="16"/>
        <v>216853.03541877138</v>
      </c>
      <c r="AG46" s="919">
        <f t="shared" si="16"/>
        <v>213468.72761480493</v>
      </c>
      <c r="AH46" s="919">
        <f t="shared" si="16"/>
        <v>210813.99754523518</v>
      </c>
      <c r="AI46" s="919">
        <f t="shared" si="16"/>
        <v>208347.08769000717</v>
      </c>
      <c r="AJ46" s="919">
        <f t="shared" si="16"/>
        <v>205933.62632618519</v>
      </c>
      <c r="AK46" s="919">
        <f t="shared" si="16"/>
        <v>203576.08531306626</v>
      </c>
      <c r="AL46" s="919">
        <f t="shared" si="16"/>
        <v>201267.57743912467</v>
      </c>
      <c r="AM46" s="919">
        <f t="shared" si="16"/>
        <v>199009.17708913898</v>
      </c>
      <c r="AN46" s="919">
        <f t="shared" si="16"/>
        <v>196795.69573177746</v>
      </c>
      <c r="AO46" s="921">
        <f t="shared" si="16"/>
        <v>194627.3392207186</v>
      </c>
    </row>
    <row r="47" spans="1:41" x14ac:dyDescent="0.8">
      <c r="H47" s="925"/>
    </row>
    <row r="48" spans="1:41" x14ac:dyDescent="0.8">
      <c r="A48" s="6" t="s">
        <v>432</v>
      </c>
      <c r="B48" s="173" t="str">
        <f>IF((ROUND(B21,0))=(ROUND(B46,0)),"YES","NO")</f>
        <v>YES</v>
      </c>
      <c r="C48" s="173" t="str">
        <f t="shared" ref="C48:AO48" si="17">IF((ROUND(C21,0))=(ROUND(C46,0)),"YES","NO")</f>
        <v>YES</v>
      </c>
      <c r="D48" s="173" t="str">
        <f t="shared" si="17"/>
        <v>YES</v>
      </c>
      <c r="E48" s="173" t="str">
        <f t="shared" si="17"/>
        <v>YES</v>
      </c>
      <c r="F48" s="173" t="str">
        <f t="shared" si="17"/>
        <v>YES</v>
      </c>
      <c r="G48" s="173" t="str">
        <f t="shared" si="17"/>
        <v>YES</v>
      </c>
      <c r="H48" s="377" t="str">
        <f t="shared" si="17"/>
        <v>YES</v>
      </c>
      <c r="I48" s="173" t="str">
        <f t="shared" si="17"/>
        <v>YES</v>
      </c>
      <c r="J48" s="173" t="str">
        <f t="shared" si="17"/>
        <v>YES</v>
      </c>
      <c r="K48" s="173" t="str">
        <f t="shared" si="17"/>
        <v>YES</v>
      </c>
      <c r="L48" s="173" t="str">
        <f t="shared" si="17"/>
        <v>YES</v>
      </c>
      <c r="M48" s="173" t="str">
        <f t="shared" si="17"/>
        <v>YES</v>
      </c>
      <c r="N48" s="377" t="str">
        <f t="shared" si="17"/>
        <v>YES</v>
      </c>
      <c r="O48" s="173" t="str">
        <f t="shared" si="17"/>
        <v>YES</v>
      </c>
      <c r="P48" s="173" t="str">
        <f t="shared" si="17"/>
        <v>YES</v>
      </c>
      <c r="Q48" s="173" t="str">
        <f t="shared" si="17"/>
        <v>YES</v>
      </c>
      <c r="R48" s="173" t="str">
        <f t="shared" si="17"/>
        <v>YES</v>
      </c>
      <c r="S48" s="173" t="str">
        <f t="shared" si="17"/>
        <v>YES</v>
      </c>
      <c r="T48" s="173" t="str">
        <f t="shared" si="17"/>
        <v>YES</v>
      </c>
      <c r="U48" s="173" t="str">
        <f t="shared" si="17"/>
        <v>YES</v>
      </c>
      <c r="V48" s="173" t="str">
        <f t="shared" si="17"/>
        <v>YES</v>
      </c>
      <c r="W48" s="173" t="str">
        <f t="shared" si="17"/>
        <v>YES</v>
      </c>
      <c r="X48" s="173" t="str">
        <f t="shared" si="17"/>
        <v>YES</v>
      </c>
      <c r="Y48" s="173" t="str">
        <f t="shared" si="17"/>
        <v>YES</v>
      </c>
      <c r="Z48" s="173" t="str">
        <f t="shared" si="17"/>
        <v>YES</v>
      </c>
      <c r="AA48" s="173" t="str">
        <f t="shared" si="17"/>
        <v>YES</v>
      </c>
      <c r="AB48" s="173" t="str">
        <f t="shared" si="17"/>
        <v>YES</v>
      </c>
      <c r="AC48" s="173" t="str">
        <f t="shared" si="17"/>
        <v>YES</v>
      </c>
      <c r="AD48" s="173" t="str">
        <f t="shared" si="17"/>
        <v>YES</v>
      </c>
      <c r="AE48" s="173" t="str">
        <f t="shared" si="17"/>
        <v>YES</v>
      </c>
      <c r="AF48" s="173" t="str">
        <f t="shared" si="17"/>
        <v>YES</v>
      </c>
      <c r="AG48" s="173" t="str">
        <f t="shared" si="17"/>
        <v>YES</v>
      </c>
      <c r="AH48" s="173" t="str">
        <f t="shared" si="17"/>
        <v>YES</v>
      </c>
      <c r="AI48" s="173" t="str">
        <f t="shared" si="17"/>
        <v>YES</v>
      </c>
      <c r="AJ48" s="173" t="str">
        <f t="shared" si="17"/>
        <v>YES</v>
      </c>
      <c r="AK48" s="173" t="str">
        <f t="shared" si="17"/>
        <v>YES</v>
      </c>
      <c r="AL48" s="173" t="str">
        <f t="shared" si="17"/>
        <v>YES</v>
      </c>
      <c r="AM48" s="173" t="str">
        <f t="shared" si="17"/>
        <v>YES</v>
      </c>
      <c r="AN48" s="173" t="str">
        <f t="shared" si="17"/>
        <v>YES</v>
      </c>
      <c r="AO48" s="173" t="str">
        <f t="shared" si="17"/>
        <v>YES</v>
      </c>
    </row>
    <row r="49" spans="2:8" x14ac:dyDescent="0.8">
      <c r="G49" s="156"/>
      <c r="H49" s="7"/>
    </row>
    <row r="50" spans="2:8" x14ac:dyDescent="0.8">
      <c r="G50" s="7"/>
    </row>
    <row r="51" spans="2:8" x14ac:dyDescent="0.8">
      <c r="B51" s="130"/>
      <c r="G51" s="7"/>
    </row>
  </sheetData>
  <mergeCells count="3">
    <mergeCell ref="B1:G2"/>
    <mergeCell ref="H1:M2"/>
    <mergeCell ref="N1:AO2"/>
  </mergeCells>
  <conditionalFormatting sqref="B48:AO48">
    <cfRule type="cellIs" dxfId="9" priority="2" operator="equal">
      <formula>"YES"</formula>
    </cfRule>
    <cfRule type="containsText" dxfId="8" priority="4" operator="containsText" text="YES">
      <formula>NOT(ISERROR(SEARCH("YES",B48)))</formula>
    </cfRule>
  </conditionalFormatting>
  <conditionalFormatting sqref="A48:XFD48">
    <cfRule type="containsText" dxfId="7" priority="3" operator="containsText" text="NO">
      <formula>NOT(ISERROR(SEARCH("NO",A48)))</formula>
    </cfRule>
  </conditionalFormatting>
  <conditionalFormatting sqref="A48:AO48">
    <cfRule type="cellIs" dxfId="6" priority="1" operator="equal">
      <formula>"NO"</formula>
    </cfRule>
  </conditionalFormatting>
  <hyperlinks>
    <hyperlink ref="A1" location="'Cover Page '!A1" display="Back to cover page" xr:uid="{00000000-0004-0000-0200-000000000000}"/>
  </hyperlink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4.9989318521683403E-2"/>
  </sheetPr>
  <dimension ref="A1:J13"/>
  <sheetViews>
    <sheetView showGridLines="0" workbookViewId="0"/>
  </sheetViews>
  <sheetFormatPr defaultColWidth="8.83203125" defaultRowHeight="14.75" x14ac:dyDescent="0.75"/>
  <cols>
    <col min="1" max="1" width="29.1640625" style="1314" bestFit="1" customWidth="1"/>
    <col min="2" max="2" width="8.1640625" style="1314" bestFit="1" customWidth="1"/>
    <col min="3" max="3" width="8.6640625" style="1314" bestFit="1" customWidth="1"/>
    <col min="4" max="8" width="8.1640625" style="1314" bestFit="1" customWidth="1"/>
    <col min="9" max="9" width="13" style="1314" bestFit="1" customWidth="1"/>
    <col min="10" max="16384" width="8.83203125" style="1314"/>
  </cols>
  <sheetData>
    <row r="1" spans="1:10" ht="15.5" thickBot="1" x14ac:dyDescent="0.9">
      <c r="A1" s="1620" t="s">
        <v>533</v>
      </c>
    </row>
    <row r="2" spans="1:10" x14ac:dyDescent="0.75">
      <c r="A2" s="1447"/>
      <c r="B2" s="1476">
        <v>2011</v>
      </c>
      <c r="C2" s="1476">
        <v>2012</v>
      </c>
      <c r="D2" s="1476">
        <v>2013</v>
      </c>
      <c r="E2" s="1476">
        <v>2014</v>
      </c>
      <c r="F2" s="1476">
        <v>2015</v>
      </c>
      <c r="G2" s="1476">
        <v>2016</v>
      </c>
      <c r="H2" s="1476" t="s">
        <v>564</v>
      </c>
      <c r="I2" s="1476" t="s">
        <v>565</v>
      </c>
      <c r="J2" s="1448" t="s">
        <v>580</v>
      </c>
    </row>
    <row r="3" spans="1:10" ht="16" x14ac:dyDescent="0.8">
      <c r="A3" s="1451" t="s">
        <v>567</v>
      </c>
      <c r="B3" s="1460">
        <v>3.9540534570355647E-2</v>
      </c>
      <c r="C3" s="1460">
        <v>-0.20259686991296769</v>
      </c>
      <c r="D3" s="1460">
        <v>0.13010265155561124</v>
      </c>
      <c r="E3" s="1460">
        <v>0.23542106434491736</v>
      </c>
      <c r="F3" s="1460">
        <v>0.2338006871924341</v>
      </c>
      <c r="G3" s="1460">
        <v>0.14871493209981076</v>
      </c>
      <c r="H3" s="1460">
        <v>0.15751597395262582</v>
      </c>
      <c r="I3" s="1458" t="s">
        <v>568</v>
      </c>
      <c r="J3" s="1450">
        <v>6</v>
      </c>
    </row>
    <row r="4" spans="1:10" ht="16" x14ac:dyDescent="0.8">
      <c r="A4" s="1451" t="s">
        <v>569</v>
      </c>
      <c r="B4" s="1460">
        <v>-0.1355470619348664</v>
      </c>
      <c r="C4" s="1460">
        <v>-0.43092458755561558</v>
      </c>
      <c r="D4" s="1460">
        <v>-0.12706708033374503</v>
      </c>
      <c r="E4" s="1460">
        <v>0.10665336942584414</v>
      </c>
      <c r="F4" s="1460">
        <v>0.53065497184657839</v>
      </c>
      <c r="G4" s="1460">
        <v>1.2518447272006402E-2</v>
      </c>
      <c r="H4" s="1460">
        <v>7.7442529255163484E-2</v>
      </c>
      <c r="I4" s="1458" t="s">
        <v>568</v>
      </c>
      <c r="J4" s="1450">
        <v>6</v>
      </c>
    </row>
    <row r="5" spans="1:10" ht="16" x14ac:dyDescent="0.8">
      <c r="A5" s="1451" t="s">
        <v>570</v>
      </c>
      <c r="B5" s="1491">
        <v>0.58130559608415311</v>
      </c>
      <c r="C5" s="1491">
        <v>-1.7236641221374045</v>
      </c>
      <c r="D5" s="1491">
        <v>1.0741371445948</v>
      </c>
      <c r="E5" s="1491">
        <v>2.8128928283642223</v>
      </c>
      <c r="F5" s="1491">
        <v>5.5804398614355915</v>
      </c>
      <c r="G5" s="1491">
        <v>3.927579442918792</v>
      </c>
      <c r="H5" s="1491">
        <v>2.7952709746795117</v>
      </c>
      <c r="I5" s="1458" t="s">
        <v>581</v>
      </c>
      <c r="J5" s="1450">
        <v>5</v>
      </c>
    </row>
    <row r="6" spans="1:10" ht="16" x14ac:dyDescent="0.8">
      <c r="A6" s="1451" t="s">
        <v>572</v>
      </c>
      <c r="B6" s="1491">
        <v>2.091401138984327</v>
      </c>
      <c r="C6" s="1491">
        <v>-0.14114867320974189</v>
      </c>
      <c r="D6" s="1491">
        <v>2.4230804318078154</v>
      </c>
      <c r="E6" s="1491">
        <v>4.4342868654311038</v>
      </c>
      <c r="F6" s="1491">
        <v>8.5976798517683068</v>
      </c>
      <c r="G6" s="1491">
        <v>7.8587681443703419</v>
      </c>
      <c r="H6" s="1491">
        <v>5.0810432864723794</v>
      </c>
      <c r="I6" s="1458" t="s">
        <v>582</v>
      </c>
      <c r="J6" s="1450">
        <v>4</v>
      </c>
    </row>
    <row r="7" spans="1:10" ht="16" x14ac:dyDescent="0.8">
      <c r="A7" s="1451" t="s">
        <v>574</v>
      </c>
      <c r="B7" s="1491">
        <v>0.18930428798664301</v>
      </c>
      <c r="C7" s="1491">
        <v>-0.20317870525907741</v>
      </c>
      <c r="D7" s="1491">
        <v>0.14185448446609697</v>
      </c>
      <c r="E7" s="1491">
        <v>0.4524365561264207</v>
      </c>
      <c r="F7" s="1491">
        <v>0.44074320173514026</v>
      </c>
      <c r="G7" s="1491">
        <v>0.51147409193890225</v>
      </c>
      <c r="H7" s="1491">
        <v>0.34716252445064066</v>
      </c>
      <c r="I7" s="1458" t="s">
        <v>582</v>
      </c>
      <c r="J7" s="1450">
        <v>4</v>
      </c>
    </row>
    <row r="8" spans="1:10" ht="16" x14ac:dyDescent="0.8">
      <c r="A8" s="1451" t="s">
        <v>575</v>
      </c>
      <c r="B8" s="1491"/>
      <c r="C8" s="1491"/>
      <c r="D8" s="1491"/>
      <c r="E8" s="1491"/>
      <c r="F8" s="1491"/>
      <c r="G8" s="1491"/>
      <c r="H8" s="1491"/>
      <c r="I8" s="1458"/>
      <c r="J8" s="1450"/>
    </row>
    <row r="9" spans="1:10" ht="16" x14ac:dyDescent="0.8">
      <c r="A9" s="1451" t="s">
        <v>576</v>
      </c>
      <c r="B9" s="1491">
        <v>3.9896930416779188</v>
      </c>
      <c r="C9" s="1491">
        <v>-49.826165336080351</v>
      </c>
      <c r="D9" s="1491">
        <v>3.9283787006011313</v>
      </c>
      <c r="E9" s="1491">
        <v>1.4006305708756213</v>
      </c>
      <c r="F9" s="1491">
        <v>1.4947668262698763</v>
      </c>
      <c r="G9" s="1491">
        <v>1.6393370607028754</v>
      </c>
      <c r="H9" s="1491">
        <v>2.4905612400254844</v>
      </c>
      <c r="I9" s="1458" t="s">
        <v>582</v>
      </c>
      <c r="J9" s="1450">
        <v>4</v>
      </c>
    </row>
    <row r="10" spans="1:10" ht="16" x14ac:dyDescent="0.8">
      <c r="A10" s="1451" t="s">
        <v>577</v>
      </c>
      <c r="B10" s="1460">
        <v>0.29203070435527445</v>
      </c>
      <c r="C10" s="1460">
        <v>0.37562928462011885</v>
      </c>
      <c r="D10" s="1460">
        <v>0.47917808386936783</v>
      </c>
      <c r="E10" s="1460">
        <v>0.28244658045271481</v>
      </c>
      <c r="F10" s="1460">
        <v>0.23252519098211671</v>
      </c>
      <c r="G10" s="1460">
        <v>0.22901121094371094</v>
      </c>
      <c r="H10" s="1460">
        <v>0.30303835412063701</v>
      </c>
      <c r="I10" s="1458" t="s">
        <v>571</v>
      </c>
      <c r="J10" s="1450">
        <v>2</v>
      </c>
    </row>
    <row r="11" spans="1:10" x14ac:dyDescent="0.75">
      <c r="A11" s="1451"/>
      <c r="B11" s="1458"/>
      <c r="C11" s="1458"/>
      <c r="D11" s="1458"/>
      <c r="E11" s="1458"/>
      <c r="F11" s="1458"/>
      <c r="G11" s="1458"/>
      <c r="H11" s="1458"/>
      <c r="I11" s="1458" t="s">
        <v>583</v>
      </c>
      <c r="J11" s="1450">
        <f>AVERAGE(J3:J10)</f>
        <v>4.4285714285714288</v>
      </c>
    </row>
    <row r="12" spans="1:10" x14ac:dyDescent="0.75">
      <c r="A12" s="1461" t="s">
        <v>584</v>
      </c>
      <c r="B12" s="1486" t="s">
        <v>581</v>
      </c>
      <c r="C12" s="1458"/>
      <c r="D12" s="1458"/>
      <c r="E12" s="1458"/>
      <c r="F12" s="1458"/>
      <c r="G12" s="1458"/>
      <c r="H12" s="1458"/>
      <c r="I12" s="1458"/>
      <c r="J12" s="1450"/>
    </row>
    <row r="13" spans="1:10" ht="15.5" thickBot="1" x14ac:dyDescent="0.9">
      <c r="A13" s="1494" t="s">
        <v>585</v>
      </c>
      <c r="B13" s="1489"/>
      <c r="C13" s="1489"/>
      <c r="D13" s="1489"/>
      <c r="E13" s="1489"/>
      <c r="F13" s="1489"/>
      <c r="G13" s="1489"/>
      <c r="H13" s="1489"/>
      <c r="I13" s="1489"/>
      <c r="J13" s="1472"/>
    </row>
  </sheetData>
  <hyperlinks>
    <hyperlink ref="A1" location="'Cover Page '!A1" display="Back to cover pag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4.9989318521683403E-2"/>
  </sheetPr>
  <dimension ref="A1:I61"/>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0.63471330469737797</v>
      </c>
    </row>
    <row r="6" spans="1:6" x14ac:dyDescent="0.75">
      <c r="A6" s="1316" t="s">
        <v>540</v>
      </c>
      <c r="B6" s="1316">
        <v>0.40286097915986663</v>
      </c>
    </row>
    <row r="7" spans="1:6" x14ac:dyDescent="0.75">
      <c r="A7" s="1316" t="s">
        <v>541</v>
      </c>
      <c r="B7" s="1316">
        <v>0.4011788974110212</v>
      </c>
    </row>
    <row r="8" spans="1:6" x14ac:dyDescent="0.75">
      <c r="A8" s="1316" t="s">
        <v>542</v>
      </c>
      <c r="B8" s="1316">
        <v>3.5400848513424212E-2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0.30014799640585133</v>
      </c>
      <c r="D13" s="1316">
        <v>0.30014799640585133</v>
      </c>
      <c r="E13" s="1316">
        <v>239.50142698854197</v>
      </c>
      <c r="F13" s="1316">
        <v>1.1900087882423556E-41</v>
      </c>
    </row>
    <row r="14" spans="1:6" x14ac:dyDescent="0.75">
      <c r="A14" s="1316" t="s">
        <v>551</v>
      </c>
      <c r="B14" s="1316">
        <v>355</v>
      </c>
      <c r="C14" s="1316">
        <v>0.44489312679199533</v>
      </c>
      <c r="D14" s="1316">
        <v>1.2532200754704094E-3</v>
      </c>
      <c r="E14" s="1316"/>
      <c r="F14" s="1316"/>
    </row>
    <row r="15" spans="1:6" ht="15.5" thickBot="1" x14ac:dyDescent="0.9">
      <c r="A15" s="1317" t="s">
        <v>160</v>
      </c>
      <c r="B15" s="1317">
        <v>356</v>
      </c>
      <c r="C15" s="1317">
        <v>0.74504112319784666</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1.7619577266208544E-3</v>
      </c>
      <c r="C18" s="1316">
        <v>1.8802941242266889E-3</v>
      </c>
      <c r="D18" s="1316">
        <v>0.93706495378508781</v>
      </c>
      <c r="E18" s="1316">
        <v>0.34936219340828323</v>
      </c>
      <c r="F18" s="1316">
        <v>-1.9359582358274272E-3</v>
      </c>
      <c r="G18" s="1316">
        <v>5.4598736890691356E-3</v>
      </c>
      <c r="H18" s="1316">
        <v>-1.9359582358274272E-3</v>
      </c>
      <c r="I18" s="1316">
        <v>5.4598736890691356E-3</v>
      </c>
    </row>
    <row r="19" spans="1:9" ht="15.5" thickBot="1" x14ac:dyDescent="0.9">
      <c r="A19" s="1317" t="s">
        <v>560</v>
      </c>
      <c r="B19" s="1319">
        <v>1.4058935506539145</v>
      </c>
      <c r="C19" s="1317">
        <v>9.0844447088277491E-2</v>
      </c>
      <c r="D19" s="1317">
        <v>15.475833644380561</v>
      </c>
      <c r="E19" s="1317">
        <v>1.1900087882425424E-41</v>
      </c>
      <c r="F19" s="1317">
        <v>1.2272326025292746</v>
      </c>
      <c r="G19" s="1317">
        <v>1.5845544987785545</v>
      </c>
      <c r="H19" s="1317">
        <v>1.2272326025292746</v>
      </c>
      <c r="I19" s="1317">
        <v>1.5845544987785545</v>
      </c>
    </row>
    <row r="20" spans="1:9" x14ac:dyDescent="0.75">
      <c r="A20" s="1316" t="s">
        <v>561</v>
      </c>
      <c r="B20" s="1320">
        <f>0.33+0.67*B19</f>
        <v>1.2719486789381229</v>
      </c>
    </row>
    <row r="23" spans="1:9" x14ac:dyDescent="0.75">
      <c r="A23" s="1493" t="s">
        <v>562</v>
      </c>
    </row>
    <row r="24" spans="1:9" ht="15.5" thickBot="1" x14ac:dyDescent="0.9"/>
    <row r="25" spans="1:9" x14ac:dyDescent="0.75">
      <c r="A25" s="1315" t="s">
        <v>538</v>
      </c>
      <c r="B25" s="1315"/>
    </row>
    <row r="26" spans="1:9" x14ac:dyDescent="0.75">
      <c r="A26" s="1316" t="s">
        <v>539</v>
      </c>
      <c r="B26" s="1316">
        <v>6.9168932859180923E-2</v>
      </c>
    </row>
    <row r="27" spans="1:9" x14ac:dyDescent="0.75">
      <c r="A27" s="1316" t="s">
        <v>540</v>
      </c>
      <c r="B27" s="1316">
        <v>4.7843412728778775E-3</v>
      </c>
    </row>
    <row r="28" spans="1:9" x14ac:dyDescent="0.75">
      <c r="A28" s="1316" t="s">
        <v>541</v>
      </c>
      <c r="B28" s="1316">
        <v>1.9809168820972517E-3</v>
      </c>
    </row>
    <row r="29" spans="1:9" x14ac:dyDescent="0.75">
      <c r="A29" s="1316" t="s">
        <v>542</v>
      </c>
      <c r="B29" s="1316">
        <v>4.5701930559960337E-2</v>
      </c>
    </row>
    <row r="30" spans="1:9" ht="15.5" thickBot="1" x14ac:dyDescent="0.9">
      <c r="A30" s="1317" t="s">
        <v>543</v>
      </c>
      <c r="B30" s="1317">
        <v>357</v>
      </c>
    </row>
    <row r="32" spans="1:9" ht="15.5" thickBot="1" x14ac:dyDescent="0.9">
      <c r="A32" s="1314" t="s">
        <v>544</v>
      </c>
    </row>
    <row r="33" spans="1:9" x14ac:dyDescent="0.75">
      <c r="A33" s="1318"/>
      <c r="B33" s="1318" t="s">
        <v>545</v>
      </c>
      <c r="C33" s="1318" t="s">
        <v>546</v>
      </c>
      <c r="D33" s="1318" t="s">
        <v>547</v>
      </c>
      <c r="E33" s="1318" t="s">
        <v>548</v>
      </c>
      <c r="F33" s="1318" t="s">
        <v>549</v>
      </c>
    </row>
    <row r="34" spans="1:9" x14ac:dyDescent="0.75">
      <c r="A34" s="1316" t="s">
        <v>550</v>
      </c>
      <c r="B34" s="1316">
        <v>1</v>
      </c>
      <c r="C34" s="1316">
        <v>3.5645309957067495E-3</v>
      </c>
      <c r="D34" s="1316">
        <v>3.5645309957067495E-3</v>
      </c>
      <c r="E34" s="1316">
        <v>1.7066061380544875</v>
      </c>
      <c r="F34" s="1316">
        <v>0.19227204169813145</v>
      </c>
    </row>
    <row r="35" spans="1:9" x14ac:dyDescent="0.75">
      <c r="A35" s="1316" t="s">
        <v>551</v>
      </c>
      <c r="B35" s="1316">
        <v>355</v>
      </c>
      <c r="C35" s="1316">
        <v>0.74147659220213991</v>
      </c>
      <c r="D35" s="1316">
        <v>2.0886664569074362E-3</v>
      </c>
      <c r="E35" s="1316"/>
      <c r="F35" s="1316"/>
    </row>
    <row r="36" spans="1:9" ht="15.5" thickBot="1" x14ac:dyDescent="0.9">
      <c r="A36" s="1317" t="s">
        <v>160</v>
      </c>
      <c r="B36" s="1317">
        <v>356</v>
      </c>
      <c r="C36" s="1317">
        <v>0.74504112319784666</v>
      </c>
      <c r="D36" s="1317"/>
      <c r="E36" s="1317"/>
      <c r="F36" s="1317"/>
    </row>
    <row r="37" spans="1:9" ht="15.5" thickBot="1" x14ac:dyDescent="0.9"/>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-7.0693308648781179E-4</v>
      </c>
      <c r="C39" s="1316">
        <v>2.4188408693860174E-3</v>
      </c>
      <c r="D39" s="1316">
        <v>-0.29226109722019666</v>
      </c>
      <c r="E39" s="1316">
        <v>0.77025772986414742</v>
      </c>
      <c r="F39" s="1316">
        <v>-5.4639921796780962E-3</v>
      </c>
      <c r="G39" s="1316">
        <v>4.050126006702473E-3</v>
      </c>
      <c r="H39" s="1316">
        <v>-5.4639921796780962E-3</v>
      </c>
      <c r="I39" s="1316">
        <v>4.050126006702473E-3</v>
      </c>
    </row>
    <row r="40" spans="1:9" ht="15.5" thickBot="1" x14ac:dyDescent="0.9">
      <c r="A40" s="1317" t="s">
        <v>560</v>
      </c>
      <c r="B40" s="1319">
        <v>-2.817980892079709E-3</v>
      </c>
      <c r="C40" s="1317">
        <v>2.1571055305577907E-3</v>
      </c>
      <c r="D40" s="1317">
        <v>-1.3063713629954059</v>
      </c>
      <c r="E40" s="1317">
        <v>0.19227204169813314</v>
      </c>
      <c r="F40" s="1317">
        <v>-7.0602932363868802E-3</v>
      </c>
      <c r="G40" s="1317">
        <v>1.4243314522274621E-3</v>
      </c>
      <c r="H40" s="1317">
        <v>-7.0602932363868802E-3</v>
      </c>
      <c r="I40" s="1317">
        <v>1.4243314522274621E-3</v>
      </c>
    </row>
    <row r="44" spans="1:9" x14ac:dyDescent="0.75">
      <c r="A44" s="1492" t="s">
        <v>563</v>
      </c>
    </row>
    <row r="45" spans="1:9" ht="15.5" thickBot="1" x14ac:dyDescent="0.9"/>
    <row r="46" spans="1:9" x14ac:dyDescent="0.75">
      <c r="A46" s="1315" t="s">
        <v>538</v>
      </c>
      <c r="B46" s="1315"/>
    </row>
    <row r="47" spans="1:9" x14ac:dyDescent="0.75">
      <c r="A47" s="1316" t="s">
        <v>539</v>
      </c>
      <c r="B47" s="1316">
        <v>5.7663685528533327E-2</v>
      </c>
    </row>
    <row r="48" spans="1:9" x14ac:dyDescent="0.75">
      <c r="A48" s="1316" t="s">
        <v>540</v>
      </c>
      <c r="B48" s="1316">
        <v>3.325100628733584E-3</v>
      </c>
    </row>
    <row r="49" spans="1:9" x14ac:dyDescent="0.75">
      <c r="A49" s="1316" t="s">
        <v>541</v>
      </c>
      <c r="B49" s="1316">
        <v>5.1756570092719996E-4</v>
      </c>
    </row>
    <row r="50" spans="1:9" x14ac:dyDescent="0.75">
      <c r="A50" s="1316" t="s">
        <v>542</v>
      </c>
      <c r="B50" s="1316">
        <v>4.5735423645463846E-2</v>
      </c>
    </row>
    <row r="51" spans="1:9" ht="15.5" thickBot="1" x14ac:dyDescent="0.9">
      <c r="A51" s="1317" t="s">
        <v>543</v>
      </c>
      <c r="B51" s="1317">
        <v>357</v>
      </c>
    </row>
    <row r="53" spans="1:9" ht="15.5" thickBot="1" x14ac:dyDescent="0.9">
      <c r="A53" s="1314" t="s">
        <v>544</v>
      </c>
    </row>
    <row r="54" spans="1:9" x14ac:dyDescent="0.75">
      <c r="A54" s="1318"/>
      <c r="B54" s="1318" t="s">
        <v>545</v>
      </c>
      <c r="C54" s="1318" t="s">
        <v>546</v>
      </c>
      <c r="D54" s="1318" t="s">
        <v>547</v>
      </c>
      <c r="E54" s="1318" t="s">
        <v>548</v>
      </c>
      <c r="F54" s="1318" t="s">
        <v>549</v>
      </c>
    </row>
    <row r="55" spans="1:9" x14ac:dyDescent="0.75">
      <c r="A55" s="1316" t="s">
        <v>550</v>
      </c>
      <c r="B55" s="1316">
        <v>1</v>
      </c>
      <c r="C55" s="1316">
        <v>2.4773367071775354E-3</v>
      </c>
      <c r="D55" s="1316">
        <v>2.4773367071775354E-3</v>
      </c>
      <c r="E55" s="1316">
        <v>1.1843488021470814</v>
      </c>
      <c r="F55" s="1316">
        <v>0.27721070911209228</v>
      </c>
    </row>
    <row r="56" spans="1:9" x14ac:dyDescent="0.75">
      <c r="A56" s="1316" t="s">
        <v>551</v>
      </c>
      <c r="B56" s="1316">
        <v>355</v>
      </c>
      <c r="C56" s="1316">
        <v>0.74256378649066912</v>
      </c>
      <c r="D56" s="1316">
        <v>2.0917289760300538E-3</v>
      </c>
      <c r="E56" s="1316"/>
      <c r="F56" s="1316"/>
    </row>
    <row r="57" spans="1:9" ht="15.5" thickBot="1" x14ac:dyDescent="0.9">
      <c r="A57" s="1317" t="s">
        <v>160</v>
      </c>
      <c r="B57" s="1317">
        <v>356</v>
      </c>
      <c r="C57" s="1317">
        <v>0.74504112319784666</v>
      </c>
      <c r="D57" s="1317"/>
      <c r="E57" s="1317"/>
      <c r="F57" s="1317"/>
    </row>
    <row r="58" spans="1:9" ht="15.5" thickBot="1" x14ac:dyDescent="0.9"/>
    <row r="59" spans="1:9" x14ac:dyDescent="0.75">
      <c r="A59" s="1318"/>
      <c r="B59" s="1318" t="s">
        <v>552</v>
      </c>
      <c r="C59" s="1318" t="s">
        <v>542</v>
      </c>
      <c r="D59" s="1318" t="s">
        <v>553</v>
      </c>
      <c r="E59" s="1318" t="s">
        <v>554</v>
      </c>
      <c r="F59" s="1318" t="s">
        <v>555</v>
      </c>
      <c r="G59" s="1318" t="s">
        <v>556</v>
      </c>
      <c r="H59" s="1318" t="s">
        <v>557</v>
      </c>
      <c r="I59" s="1318" t="s">
        <v>558</v>
      </c>
    </row>
    <row r="60" spans="1:9" x14ac:dyDescent="0.75">
      <c r="A60" s="1316" t="s">
        <v>559</v>
      </c>
      <c r="B60" s="1316">
        <v>-6.3082215165619657E-4</v>
      </c>
      <c r="C60" s="1316">
        <v>2.4211690615135416E-3</v>
      </c>
      <c r="D60" s="1316">
        <v>-0.26054444593879444</v>
      </c>
      <c r="E60" s="1316">
        <v>0.79459489785741766</v>
      </c>
      <c r="F60" s="1316">
        <v>-5.3924600278789283E-3</v>
      </c>
      <c r="G60" s="1316">
        <v>4.1308157245665347E-3</v>
      </c>
      <c r="H60" s="1316">
        <v>-5.3924600278789283E-3</v>
      </c>
      <c r="I60" s="1316">
        <v>4.1308157245665347E-3</v>
      </c>
    </row>
    <row r="61" spans="1:9" ht="15.5" thickBot="1" x14ac:dyDescent="0.9">
      <c r="A61" s="1317" t="s">
        <v>560</v>
      </c>
      <c r="B61" s="1317">
        <v>2.5654121585846393E-3</v>
      </c>
      <c r="C61" s="1317">
        <v>2.3573134608910183E-3</v>
      </c>
      <c r="D61" s="1317">
        <v>1.0882779066704875</v>
      </c>
      <c r="E61" s="1317">
        <v>0.27721070911208889</v>
      </c>
      <c r="F61" s="1317">
        <v>-2.070642894296097E-3</v>
      </c>
      <c r="G61" s="1317">
        <v>7.2014672114653761E-3</v>
      </c>
      <c r="H61" s="1317">
        <v>-2.070642894296097E-3</v>
      </c>
      <c r="I61" s="1317">
        <v>7.2014672114653761E-3</v>
      </c>
    </row>
  </sheetData>
  <hyperlinks>
    <hyperlink ref="A1" location="'Cover Page '!A1" display="Back to cover page"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4.9989318521683403E-2"/>
  </sheetPr>
  <dimension ref="A1:K12"/>
  <sheetViews>
    <sheetView showGridLines="0" workbookViewId="0"/>
  </sheetViews>
  <sheetFormatPr defaultColWidth="8.83203125" defaultRowHeight="14.75" x14ac:dyDescent="0.75"/>
  <cols>
    <col min="1" max="1" width="25.33203125" style="1314" bestFit="1" customWidth="1"/>
    <col min="2" max="9" width="8.83203125" style="1314"/>
    <col min="10" max="10" width="12.1640625" style="1314" bestFit="1" customWidth="1"/>
    <col min="11" max="16384" width="8.83203125" style="1314"/>
  </cols>
  <sheetData>
    <row r="1" spans="1:11" ht="15.5" thickBot="1" x14ac:dyDescent="0.9">
      <c r="A1" s="1620" t="s">
        <v>533</v>
      </c>
    </row>
    <row r="2" spans="1:11" x14ac:dyDescent="0.75">
      <c r="A2" s="1447"/>
      <c r="B2" s="1476">
        <v>2010</v>
      </c>
      <c r="C2" s="1476">
        <v>2011</v>
      </c>
      <c r="D2" s="1476">
        <v>2012</v>
      </c>
      <c r="E2" s="1476">
        <v>2013</v>
      </c>
      <c r="F2" s="1476">
        <v>2014</v>
      </c>
      <c r="G2" s="1476">
        <v>2015</v>
      </c>
      <c r="H2" s="1476">
        <v>2016</v>
      </c>
      <c r="I2" s="1476" t="s">
        <v>564</v>
      </c>
      <c r="J2" s="1476" t="s">
        <v>611</v>
      </c>
      <c r="K2" s="1448" t="s">
        <v>566</v>
      </c>
    </row>
    <row r="3" spans="1:11" x14ac:dyDescent="0.75">
      <c r="A3" s="1451" t="s">
        <v>586</v>
      </c>
      <c r="B3" s="1458">
        <v>0.23147532904145637</v>
      </c>
      <c r="C3" s="1458">
        <v>0.24990376632591277</v>
      </c>
      <c r="D3" s="1458">
        <v>0.22147550131559171</v>
      </c>
      <c r="E3" s="1458">
        <v>0.21394776604809934</v>
      </c>
      <c r="F3" s="1458">
        <v>0.2106168834078708</v>
      </c>
      <c r="G3" s="1458">
        <v>0.15884941220148546</v>
      </c>
      <c r="H3" s="1458">
        <v>0.19783858070964516</v>
      </c>
      <c r="I3" s="1458">
        <f>AVERAGE(B3:H3)</f>
        <v>0.2120153198642945</v>
      </c>
      <c r="J3" s="1458" t="s">
        <v>165</v>
      </c>
      <c r="K3" s="1450">
        <v>3</v>
      </c>
    </row>
    <row r="4" spans="1:11" x14ac:dyDescent="0.75">
      <c r="A4" s="1451" t="s">
        <v>587</v>
      </c>
      <c r="B4" s="1458">
        <v>0.29848768660104447</v>
      </c>
      <c r="C4" s="1458">
        <v>0.3181458857348185</v>
      </c>
      <c r="D4" s="1458">
        <v>0.10162704603484342</v>
      </c>
      <c r="E4" s="1458">
        <v>0.13087390135695356</v>
      </c>
      <c r="F4" s="1458">
        <v>0.12307011907933342</v>
      </c>
      <c r="G4" s="1458">
        <v>5.1438447212219081E-2</v>
      </c>
      <c r="H4" s="1458">
        <v>0.11042916852582021</v>
      </c>
      <c r="I4" s="1458">
        <f t="shared" ref="I4:I10" si="0">AVERAGE(B4:H4)</f>
        <v>0.16201032207786178</v>
      </c>
      <c r="J4" s="1458" t="s">
        <v>568</v>
      </c>
      <c r="K4" s="1450">
        <v>6</v>
      </c>
    </row>
    <row r="5" spans="1:11" x14ac:dyDescent="0.75">
      <c r="A5" s="1451" t="s">
        <v>588</v>
      </c>
      <c r="B5" s="1458"/>
      <c r="C5" s="1458"/>
      <c r="D5" s="1458">
        <v>5.6420664206642073</v>
      </c>
      <c r="E5" s="1458">
        <v>8.1365812147643872</v>
      </c>
      <c r="F5" s="1458">
        <v>11.925426016534503</v>
      </c>
      <c r="G5" s="1458">
        <v>3.776058319478194</v>
      </c>
      <c r="H5" s="1458">
        <v>6.9289224088675585</v>
      </c>
      <c r="I5" s="1458">
        <f t="shared" si="0"/>
        <v>7.2818108760617708</v>
      </c>
      <c r="J5" s="1458" t="s">
        <v>582</v>
      </c>
      <c r="K5" s="1450">
        <v>4</v>
      </c>
    </row>
    <row r="6" spans="1:11" x14ac:dyDescent="0.75">
      <c r="A6" s="1451" t="s">
        <v>589</v>
      </c>
      <c r="B6" s="1458"/>
      <c r="C6" s="1458"/>
      <c r="D6" s="1458">
        <v>8.9254334052774489</v>
      </c>
      <c r="E6" s="1458">
        <v>13.540474417615147</v>
      </c>
      <c r="F6" s="1458">
        <v>19.824531803610597</v>
      </c>
      <c r="G6" s="1458">
        <v>9.9592019439826061</v>
      </c>
      <c r="H6" s="1458">
        <v>12.304650897040339</v>
      </c>
      <c r="I6" s="1458">
        <f t="shared" si="0"/>
        <v>12.910858493505227</v>
      </c>
      <c r="J6" s="1458" t="s">
        <v>165</v>
      </c>
      <c r="K6" s="1450">
        <v>3</v>
      </c>
    </row>
    <row r="7" spans="1:11" x14ac:dyDescent="0.75">
      <c r="A7" s="1451" t="s">
        <v>590</v>
      </c>
      <c r="B7" s="1458"/>
      <c r="C7" s="1458"/>
      <c r="D7" s="1458">
        <v>0.2379609052564742</v>
      </c>
      <c r="E7" s="1458">
        <v>0.27694964738779115</v>
      </c>
      <c r="F7" s="1458">
        <v>0.29375071557445331</v>
      </c>
      <c r="G7" s="1458">
        <v>0.345495177422734</v>
      </c>
      <c r="H7" s="1458">
        <v>0.35148325835422234</v>
      </c>
      <c r="I7" s="1458">
        <f t="shared" si="0"/>
        <v>0.30112794079913502</v>
      </c>
      <c r="J7" s="1458" t="s">
        <v>582</v>
      </c>
      <c r="K7" s="1450">
        <v>4</v>
      </c>
    </row>
    <row r="8" spans="1:11" x14ac:dyDescent="0.75">
      <c r="A8" s="1451" t="s">
        <v>591</v>
      </c>
      <c r="B8" s="1458"/>
      <c r="C8" s="1458"/>
      <c r="D8" s="1458"/>
      <c r="E8" s="1458"/>
      <c r="F8" s="1458"/>
      <c r="G8" s="1458"/>
      <c r="H8" s="1458"/>
      <c r="I8" s="1458"/>
      <c r="J8" s="1458"/>
      <c r="K8" s="1450"/>
    </row>
    <row r="9" spans="1:11" x14ac:dyDescent="0.75">
      <c r="A9" s="1451" t="s">
        <v>592</v>
      </c>
      <c r="B9" s="1458">
        <v>0</v>
      </c>
      <c r="C9" s="1458">
        <v>0</v>
      </c>
      <c r="D9" s="1458">
        <v>2.579916690068333</v>
      </c>
      <c r="E9" s="1458">
        <v>2.2925039671940546</v>
      </c>
      <c r="F9" s="1458">
        <v>2.1556851063829789</v>
      </c>
      <c r="G9" s="1458">
        <v>3.3099099793247806</v>
      </c>
      <c r="H9" s="1458">
        <v>2.2377458719515593</v>
      </c>
      <c r="I9" s="1458">
        <f t="shared" si="0"/>
        <v>1.7965373735602437</v>
      </c>
      <c r="J9" s="1458" t="s">
        <v>582</v>
      </c>
      <c r="K9" s="1450">
        <v>3</v>
      </c>
    </row>
    <row r="10" spans="1:11" x14ac:dyDescent="0.75">
      <c r="A10" s="1451" t="s">
        <v>593</v>
      </c>
      <c r="B10" s="1458">
        <v>0</v>
      </c>
      <c r="C10" s="1458">
        <v>0</v>
      </c>
      <c r="D10" s="1458">
        <v>0.32249178742171353</v>
      </c>
      <c r="E10" s="1458">
        <v>0.3525846810001631</v>
      </c>
      <c r="F10" s="1458">
        <v>0.31478616195095765</v>
      </c>
      <c r="G10" s="1458">
        <v>0.32800583356770258</v>
      </c>
      <c r="H10" s="1458">
        <v>0.2847442565104305</v>
      </c>
      <c r="I10" s="1458">
        <f t="shared" si="0"/>
        <v>0.22894467435013821</v>
      </c>
      <c r="J10" s="1458" t="s">
        <v>571</v>
      </c>
      <c r="K10" s="1450">
        <v>2</v>
      </c>
    </row>
    <row r="11" spans="1:11" x14ac:dyDescent="0.75">
      <c r="A11" s="1451"/>
      <c r="B11" s="1458"/>
      <c r="C11" s="1458"/>
      <c r="D11" s="1458"/>
      <c r="E11" s="1458"/>
      <c r="F11" s="1458"/>
      <c r="G11" s="1458"/>
      <c r="H11" s="1458"/>
      <c r="I11" s="1458"/>
      <c r="J11" s="1458" t="s">
        <v>594</v>
      </c>
      <c r="K11" s="1450">
        <f>AVERAGE(K3:K10)</f>
        <v>3.5714285714285716</v>
      </c>
    </row>
    <row r="12" spans="1:11" ht="15.5" thickBot="1" x14ac:dyDescent="0.9">
      <c r="A12" s="1494" t="s">
        <v>595</v>
      </c>
      <c r="B12" s="1489" t="s">
        <v>582</v>
      </c>
      <c r="C12" s="1489"/>
      <c r="D12" s="1489"/>
      <c r="E12" s="1489"/>
      <c r="F12" s="1489"/>
      <c r="G12" s="1489"/>
      <c r="H12" s="1489"/>
      <c r="I12" s="1489"/>
      <c r="J12" s="1489"/>
      <c r="K12" s="1472"/>
    </row>
  </sheetData>
  <hyperlinks>
    <hyperlink ref="A1" location="'Cover Page '!A1" display="Back to cover pag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4.9989318521683403E-2"/>
  </sheetPr>
  <dimension ref="A1:I60"/>
  <sheetViews>
    <sheetView showGridLines="0" workbookViewId="0">
      <selection activeCell="T26" sqref="T26"/>
    </sheetView>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10.5" style="1314" bestFit="1" customWidth="1"/>
    <col min="8" max="8" width="11.1640625" style="1314" bestFit="1" customWidth="1"/>
    <col min="9" max="9" width="11" style="1314" bestFit="1" customWidth="1"/>
    <col min="10" max="16384" width="8.83203125" style="1314"/>
  </cols>
  <sheetData>
    <row r="1" spans="1:6" x14ac:dyDescent="0.75">
      <c r="A1" s="1620" t="s">
        <v>533</v>
      </c>
    </row>
    <row r="2" spans="1:6" x14ac:dyDescent="0.75">
      <c r="A2" s="1492" t="s">
        <v>537</v>
      </c>
    </row>
    <row r="3" spans="1:6" ht="15.5" thickBot="1" x14ac:dyDescent="0.9"/>
    <row r="4" spans="1:6" x14ac:dyDescent="0.75">
      <c r="A4" s="1315" t="s">
        <v>538</v>
      </c>
      <c r="B4" s="1315"/>
    </row>
    <row r="5" spans="1:6" x14ac:dyDescent="0.75">
      <c r="A5" s="1316" t="s">
        <v>539</v>
      </c>
      <c r="B5" s="1316">
        <v>0.75077927661750843</v>
      </c>
    </row>
    <row r="6" spans="1:6" x14ac:dyDescent="0.75">
      <c r="A6" s="1316" t="s">
        <v>540</v>
      </c>
      <c r="B6" s="1316">
        <v>0.56366952219830924</v>
      </c>
    </row>
    <row r="7" spans="1:6" x14ac:dyDescent="0.75">
      <c r="A7" s="1316" t="s">
        <v>541</v>
      </c>
      <c r="B7" s="1316">
        <v>0.56244042226083968</v>
      </c>
    </row>
    <row r="8" spans="1:6" x14ac:dyDescent="0.75">
      <c r="A8" s="1316" t="s">
        <v>542</v>
      </c>
      <c r="B8" s="1316">
        <v>3.2610142646980131E-2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0.48768876810439948</v>
      </c>
      <c r="D13" s="1316">
        <v>0.48768876810439948</v>
      </c>
      <c r="E13" s="1316">
        <v>458.60349107069499</v>
      </c>
      <c r="F13" s="1316">
        <v>6.5664577949247406E-66</v>
      </c>
    </row>
    <row r="14" spans="1:6" x14ac:dyDescent="0.75">
      <c r="A14" s="1316" t="s">
        <v>551</v>
      </c>
      <c r="B14" s="1316">
        <v>355</v>
      </c>
      <c r="C14" s="1316">
        <v>0.37751459822701922</v>
      </c>
      <c r="D14" s="1316">
        <v>1.0634214034563922E-3</v>
      </c>
      <c r="E14" s="1316"/>
      <c r="F14" s="1316"/>
    </row>
    <row r="15" spans="1:6" ht="15.5" thickBot="1" x14ac:dyDescent="0.9">
      <c r="A15" s="1317" t="s">
        <v>160</v>
      </c>
      <c r="B15" s="1317">
        <v>356</v>
      </c>
      <c r="C15" s="1317">
        <v>0.8652033663314187</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2.7622662278603198E-3</v>
      </c>
      <c r="C18" s="1316">
        <v>1.7320675120557987E-3</v>
      </c>
      <c r="D18" s="1316">
        <v>1.5947797696302113</v>
      </c>
      <c r="E18" s="1316">
        <v>0.11165134713531094</v>
      </c>
      <c r="F18" s="1316">
        <v>-6.441370674238312E-4</v>
      </c>
      <c r="G18" s="1316">
        <v>6.1686695231444703E-3</v>
      </c>
      <c r="H18" s="1316">
        <v>-6.441370674238312E-4</v>
      </c>
      <c r="I18" s="1316">
        <v>6.1686695231444703E-3</v>
      </c>
    </row>
    <row r="19" spans="1:9" ht="15.5" thickBot="1" x14ac:dyDescent="0.9">
      <c r="A19" s="1317" t="s">
        <v>560</v>
      </c>
      <c r="B19" s="1319">
        <v>1.7920746277285557</v>
      </c>
      <c r="C19" s="1317">
        <v>8.3683033108977276E-2</v>
      </c>
      <c r="D19" s="1317">
        <v>21.415029560350714</v>
      </c>
      <c r="E19" s="1317">
        <v>6.5664577949251159E-66</v>
      </c>
      <c r="F19" s="1317">
        <v>1.6274978097017248</v>
      </c>
      <c r="G19" s="1317">
        <v>1.9566514457553867</v>
      </c>
      <c r="H19" s="1317">
        <v>1.6274978097017248</v>
      </c>
      <c r="I19" s="1317">
        <v>1.9566514457553867</v>
      </c>
    </row>
    <row r="20" spans="1:9" x14ac:dyDescent="0.75">
      <c r="A20" s="1316" t="s">
        <v>561</v>
      </c>
      <c r="B20" s="1320">
        <f>0.33+0.67*B19</f>
        <v>1.5306900005781325</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2.6892112680692231E-2</v>
      </c>
      <c r="C26" s="1322"/>
      <c r="D26" s="1322"/>
      <c r="E26" s="1322"/>
      <c r="F26" s="1322"/>
      <c r="G26" s="1322"/>
      <c r="H26" s="1322"/>
      <c r="I26" s="1322"/>
    </row>
    <row r="27" spans="1:9" x14ac:dyDescent="0.75">
      <c r="A27" s="1316" t="s">
        <v>540</v>
      </c>
      <c r="B27" s="1316">
        <v>7.2318572443104781E-4</v>
      </c>
      <c r="C27" s="1322"/>
      <c r="D27" s="1322"/>
      <c r="E27" s="1322"/>
      <c r="F27" s="1322"/>
      <c r="G27" s="1322"/>
      <c r="H27" s="1322"/>
      <c r="I27" s="1322"/>
    </row>
    <row r="28" spans="1:9" x14ac:dyDescent="0.75">
      <c r="A28" s="1316" t="s">
        <v>541</v>
      </c>
      <c r="B28" s="1316">
        <v>-2.0916785411339354E-3</v>
      </c>
      <c r="C28" s="1322"/>
      <c r="D28" s="1322"/>
      <c r="E28" s="1322"/>
      <c r="F28" s="1322"/>
      <c r="G28" s="1322"/>
      <c r="H28" s="1322"/>
      <c r="I28" s="1322"/>
    </row>
    <row r="29" spans="1:9" x14ac:dyDescent="0.75">
      <c r="A29" s="1316" t="s">
        <v>542</v>
      </c>
      <c r="B29" s="1316">
        <v>4.9350076376160144E-2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6.2570272326056831E-4</v>
      </c>
      <c r="D34" s="1316">
        <v>6.2570272326056831E-4</v>
      </c>
      <c r="E34" s="1316">
        <v>0.25691673068502091</v>
      </c>
      <c r="F34" s="1316">
        <v>0.61256104327950212</v>
      </c>
      <c r="G34" s="1322"/>
      <c r="H34" s="1322"/>
      <c r="I34" s="1322"/>
    </row>
    <row r="35" spans="1:9" x14ac:dyDescent="0.75">
      <c r="A35" s="1316" t="s">
        <v>551</v>
      </c>
      <c r="B35" s="1316">
        <v>355</v>
      </c>
      <c r="C35" s="1316">
        <v>0.86457766360815813</v>
      </c>
      <c r="D35" s="1316">
        <v>2.4354300383328397E-3</v>
      </c>
      <c r="E35" s="1316"/>
      <c r="F35" s="1316"/>
      <c r="G35" s="1322"/>
      <c r="H35" s="1322"/>
      <c r="I35" s="1322"/>
    </row>
    <row r="36" spans="1:9" ht="15.5" thickBot="1" x14ac:dyDescent="0.9">
      <c r="A36" s="1317" t="s">
        <v>160</v>
      </c>
      <c r="B36" s="1317">
        <v>356</v>
      </c>
      <c r="C36" s="1317">
        <v>0.8652033663314187</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-3.5471748871323102E-4</v>
      </c>
      <c r="C39" s="1316">
        <v>2.6119242706687351E-3</v>
      </c>
      <c r="D39" s="1316">
        <v>-0.13580695761229408</v>
      </c>
      <c r="E39" s="1316">
        <v>0.8920508657501387</v>
      </c>
      <c r="F39" s="1316">
        <v>-5.4915077008213182E-3</v>
      </c>
      <c r="G39" s="1316">
        <v>4.7820727233948554E-3</v>
      </c>
      <c r="H39" s="1316">
        <v>-5.4915077008213182E-3</v>
      </c>
      <c r="I39" s="1316">
        <v>4.7820727233948554E-3</v>
      </c>
    </row>
    <row r="40" spans="1:9" ht="15.5" thickBot="1" x14ac:dyDescent="0.9">
      <c r="A40" s="1317" t="s">
        <v>560</v>
      </c>
      <c r="B40" s="1317">
        <v>1.1806491771895872E-3</v>
      </c>
      <c r="C40" s="1317">
        <v>2.329295970217255E-3</v>
      </c>
      <c r="D40" s="1317">
        <v>0.50686954010377105</v>
      </c>
      <c r="E40" s="1317">
        <v>0.61256104327951078</v>
      </c>
      <c r="F40" s="1317">
        <v>-3.4003047483433914E-3</v>
      </c>
      <c r="G40" s="1317">
        <v>5.7616031027225663E-3</v>
      </c>
      <c r="H40" s="1317">
        <v>-3.4003047483433914E-3</v>
      </c>
      <c r="I40" s="1317">
        <v>5.7616031027225663E-3</v>
      </c>
    </row>
    <row r="43" spans="1:9" x14ac:dyDescent="0.75">
      <c r="A43" s="1492" t="s">
        <v>563</v>
      </c>
    </row>
    <row r="44" spans="1:9" ht="15.5" thickBot="1" x14ac:dyDescent="0.9"/>
    <row r="45" spans="1:9" x14ac:dyDescent="0.75">
      <c r="A45" s="1315" t="s">
        <v>538</v>
      </c>
      <c r="B45" s="1315"/>
    </row>
    <row r="46" spans="1:9" x14ac:dyDescent="0.75">
      <c r="A46" s="1316" t="s">
        <v>539</v>
      </c>
      <c r="B46" s="1316">
        <v>4.8320909391051714E-2</v>
      </c>
    </row>
    <row r="47" spans="1:9" x14ac:dyDescent="0.75">
      <c r="A47" s="1316" t="s">
        <v>540</v>
      </c>
      <c r="B47" s="1316">
        <v>2.3349102843782297E-3</v>
      </c>
    </row>
    <row r="48" spans="1:9" x14ac:dyDescent="0.75">
      <c r="A48" s="1316" t="s">
        <v>541</v>
      </c>
      <c r="B48" s="1316">
        <v>-4.7541391200380342E-4</v>
      </c>
    </row>
    <row r="49" spans="1:9" x14ac:dyDescent="0.75">
      <c r="A49" s="1316" t="s">
        <v>542</v>
      </c>
      <c r="B49" s="1316">
        <v>4.9310262169170969E-2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2.0201722381258946E-3</v>
      </c>
      <c r="D54" s="1316">
        <v>2.0201722381258946E-3</v>
      </c>
      <c r="E54" s="1316">
        <v>0.83083307163784037</v>
      </c>
      <c r="F54" s="1316">
        <v>0.36265027449634091</v>
      </c>
    </row>
    <row r="55" spans="1:9" x14ac:dyDescent="0.75">
      <c r="A55" s="1316" t="s">
        <v>551</v>
      </c>
      <c r="B55" s="1316">
        <v>355</v>
      </c>
      <c r="C55" s="1316">
        <v>0.8631831940932928</v>
      </c>
      <c r="D55" s="1316">
        <v>2.431501955192374E-3</v>
      </c>
      <c r="E55" s="1316"/>
      <c r="F55" s="1316"/>
    </row>
    <row r="56" spans="1:9" ht="15.5" thickBot="1" x14ac:dyDescent="0.9">
      <c r="A56" s="1317" t="s">
        <v>160</v>
      </c>
      <c r="B56" s="1317">
        <v>356</v>
      </c>
      <c r="C56" s="1317">
        <v>0.8652033663314187</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-4.1485079265308642E-4</v>
      </c>
      <c r="C59" s="1316">
        <v>2.610415989684609E-3</v>
      </c>
      <c r="D59" s="1316">
        <v>-0.15892133448937723</v>
      </c>
      <c r="E59" s="1316">
        <v>0.87382122212256008</v>
      </c>
      <c r="F59" s="1316">
        <v>-5.5486747154688786E-3</v>
      </c>
      <c r="G59" s="1316">
        <v>4.7189731301627066E-3</v>
      </c>
      <c r="H59" s="1316">
        <v>-5.5486747154688786E-3</v>
      </c>
      <c r="I59" s="1316">
        <v>4.7189731301627066E-3</v>
      </c>
    </row>
    <row r="60" spans="1:9" ht="15.5" thickBot="1" x14ac:dyDescent="0.9">
      <c r="A60" s="1317" t="s">
        <v>560</v>
      </c>
      <c r="B60" s="1317">
        <v>-2.3166414849571178E-3</v>
      </c>
      <c r="C60" s="1317">
        <v>2.5415692149815868E-3</v>
      </c>
      <c r="D60" s="1317">
        <v>-0.91150045070635677</v>
      </c>
      <c r="E60" s="1317">
        <v>0.36265027449632614</v>
      </c>
      <c r="F60" s="1317">
        <v>-7.3150665976308583E-3</v>
      </c>
      <c r="G60" s="1317">
        <v>2.6817836277166223E-3</v>
      </c>
      <c r="H60" s="1317">
        <v>-7.3150665976308583E-3</v>
      </c>
      <c r="I60" s="1317">
        <v>2.6817836277166223E-3</v>
      </c>
    </row>
  </sheetData>
  <hyperlinks>
    <hyperlink ref="A1" location="'Cover Page '!A1" display="Back to cover page"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0.22600301200840192</v>
      </c>
      <c r="C3" s="1458">
        <v>0.20511297290816716</v>
      </c>
      <c r="D3" s="1458">
        <v>0.15497218282433453</v>
      </c>
      <c r="E3" s="1458">
        <v>0.15556864906859152</v>
      </c>
      <c r="F3" s="1458">
        <v>0.16279506289300608</v>
      </c>
      <c r="G3" s="1458">
        <v>0.15482062936211796</v>
      </c>
      <c r="H3" s="1458">
        <v>0.1554421026490565</v>
      </c>
      <c r="I3" s="1458">
        <v>0.16478526661754564</v>
      </c>
      <c r="J3" s="1458" t="s">
        <v>568</v>
      </c>
      <c r="K3" s="1450">
        <v>6</v>
      </c>
    </row>
    <row r="4" spans="1:11" x14ac:dyDescent="0.75">
      <c r="A4" s="1495" t="s">
        <v>718</v>
      </c>
      <c r="B4" s="1458">
        <v>0.41332087244327159</v>
      </c>
      <c r="C4" s="1458">
        <v>0.34922417313189053</v>
      </c>
      <c r="D4" s="1458">
        <v>0.17212036604062297</v>
      </c>
      <c r="E4" s="1458">
        <v>0.18205488086425634</v>
      </c>
      <c r="F4" s="1458">
        <v>0.19208449583535156</v>
      </c>
      <c r="G4" s="1458">
        <v>0.18551607138071849</v>
      </c>
      <c r="H4" s="1458">
        <v>0.21976581081905228</v>
      </c>
      <c r="I4" s="1458">
        <v>0.21679429967864872</v>
      </c>
      <c r="J4" s="1458" t="s">
        <v>165</v>
      </c>
      <c r="K4" s="1450">
        <v>3</v>
      </c>
    </row>
    <row r="5" spans="1:11" x14ac:dyDescent="0.75">
      <c r="A5" s="1451" t="s">
        <v>596</v>
      </c>
      <c r="B5" s="1458">
        <v>38.631569409206236</v>
      </c>
      <c r="C5" s="1458">
        <v>18.278933444000621</v>
      </c>
      <c r="D5" s="1458">
        <v>7.8325960007078397</v>
      </c>
      <c r="E5" s="1458">
        <v>8.591353220925205</v>
      </c>
      <c r="F5" s="1458">
        <v>9.2586580529091869</v>
      </c>
      <c r="G5" s="1458">
        <v>7.0077477126727663</v>
      </c>
      <c r="H5" s="1458">
        <v>7.8755805331147792</v>
      </c>
      <c r="I5" s="1458">
        <v>9.8074781607217325</v>
      </c>
      <c r="J5" s="1458" t="s">
        <v>165</v>
      </c>
      <c r="K5" s="1450">
        <v>3</v>
      </c>
    </row>
    <row r="6" spans="1:11" x14ac:dyDescent="0.75">
      <c r="A6" s="1451" t="s">
        <v>597</v>
      </c>
      <c r="B6" s="1458">
        <v>55.806361000362458</v>
      </c>
      <c r="C6" s="1458">
        <v>27.601234631944802</v>
      </c>
      <c r="D6" s="1458">
        <v>15.28946204211644</v>
      </c>
      <c r="E6" s="1458">
        <v>15.946822308690015</v>
      </c>
      <c r="F6" s="1458">
        <v>16.596230118166577</v>
      </c>
      <c r="G6" s="1458">
        <v>13.866575822464474</v>
      </c>
      <c r="H6" s="1458">
        <v>14.09510986223315</v>
      </c>
      <c r="I6" s="1458">
        <v>17.232572464269243</v>
      </c>
      <c r="J6" s="1458" t="s">
        <v>571</v>
      </c>
      <c r="K6" s="1450">
        <v>2</v>
      </c>
    </row>
    <row r="7" spans="1:11" x14ac:dyDescent="0.75">
      <c r="A7" s="1451" t="s">
        <v>590</v>
      </c>
      <c r="B7" s="1458">
        <v>0.92607289625233391</v>
      </c>
      <c r="C7" s="1458">
        <v>0.5197191357560631</v>
      </c>
      <c r="D7" s="1458">
        <v>0.34916562958890995</v>
      </c>
      <c r="E7" s="1458">
        <v>0.38089561564326641</v>
      </c>
      <c r="F7" s="1458">
        <v>0.30788354926778655</v>
      </c>
      <c r="G7" s="1458">
        <v>0.22482357843833142</v>
      </c>
      <c r="H7" s="1458">
        <v>0.45188125134795232</v>
      </c>
      <c r="I7" s="1458">
        <v>0.372394793340385</v>
      </c>
      <c r="J7" s="1458" t="s">
        <v>582</v>
      </c>
      <c r="K7" s="1450">
        <v>4</v>
      </c>
    </row>
    <row r="8" spans="1:11" x14ac:dyDescent="0.75">
      <c r="A8" s="1451" t="s">
        <v>592</v>
      </c>
      <c r="B8" s="1458">
        <v>0.7009201482758789</v>
      </c>
      <c r="C8" s="1458">
        <v>0.75000422877483941</v>
      </c>
      <c r="D8" s="1458">
        <v>1.1369432557009054</v>
      </c>
      <c r="E8" s="1458">
        <v>0.98932086213908088</v>
      </c>
      <c r="F8" s="1458">
        <v>1.1207901570360734</v>
      </c>
      <c r="G8" s="1458">
        <v>1.2262306865115129</v>
      </c>
      <c r="H8" s="1458">
        <v>0.98854798025246504</v>
      </c>
      <c r="I8" s="1458">
        <v>1.0353061950691462</v>
      </c>
      <c r="J8" s="1458" t="s">
        <v>571</v>
      </c>
      <c r="K8" s="1450">
        <v>2</v>
      </c>
    </row>
    <row r="9" spans="1:11" x14ac:dyDescent="0.75">
      <c r="A9" s="1495" t="s">
        <v>719</v>
      </c>
      <c r="B9" s="1458">
        <v>0.22380487258610393</v>
      </c>
      <c r="C9" s="1458">
        <v>0.19880979366933785</v>
      </c>
      <c r="D9" s="1458">
        <v>0.19440798311074739</v>
      </c>
      <c r="E9" s="1458">
        <v>0.16268104909841571</v>
      </c>
      <c r="F9" s="1458">
        <v>0.19902099878423257</v>
      </c>
      <c r="G9" s="1458">
        <v>0.21151783167318955</v>
      </c>
      <c r="H9" s="1458">
        <v>0.17703853935258651</v>
      </c>
      <c r="I9" s="1458">
        <v>0.19057936594808492</v>
      </c>
      <c r="J9" s="1458" t="s">
        <v>573</v>
      </c>
      <c r="K9" s="1450">
        <v>1</v>
      </c>
    </row>
    <row r="10" spans="1:11" x14ac:dyDescent="0.75">
      <c r="A10" s="1451"/>
      <c r="B10" s="1458"/>
      <c r="C10" s="1458"/>
      <c r="D10" s="1458"/>
      <c r="E10" s="1458"/>
      <c r="F10" s="1458"/>
      <c r="G10" s="1458"/>
      <c r="H10" s="1458"/>
      <c r="I10" s="1458"/>
      <c r="J10" s="1498" t="s">
        <v>722</v>
      </c>
      <c r="K10" s="1450">
        <v>3</v>
      </c>
    </row>
    <row r="11" spans="1:11" ht="15.5" thickBot="1" x14ac:dyDescent="0.9">
      <c r="A11" s="1453" t="s">
        <v>721</v>
      </c>
      <c r="B11" s="1465" t="s">
        <v>165</v>
      </c>
      <c r="C11" s="1489"/>
      <c r="D11" s="1489"/>
      <c r="E11" s="1489"/>
      <c r="F11" s="1489"/>
      <c r="G11" s="1489"/>
      <c r="H11" s="1489"/>
      <c r="I11" s="1489"/>
      <c r="J11" s="1489"/>
      <c r="K11" s="1472"/>
    </row>
  </sheetData>
  <hyperlinks>
    <hyperlink ref="A1" location="'Cover Page '!A1" display="Back to cover page "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4.9989318521683403E-2"/>
  </sheetPr>
  <dimension ref="A1:I60"/>
  <sheetViews>
    <sheetView showGridLines="0" workbookViewId="0"/>
  </sheetViews>
  <sheetFormatPr defaultColWidth="8.83203125" defaultRowHeight="14.75" x14ac:dyDescent="0.75"/>
  <cols>
    <col min="1" max="1" width="21" style="1314" bestFit="1" customWidth="1"/>
    <col min="2" max="2" width="10.5" style="1314" bestFit="1" customWidth="1"/>
    <col min="3" max="3" width="12.6640625" style="1314" bestFit="1" customWidth="1"/>
    <col min="4" max="5" width="10.5" style="1314" bestFit="1" customWidth="1"/>
    <col min="6" max="6" width="11.6640625" style="1314" bestFit="1" customWidth="1"/>
    <col min="7" max="7" width="9.6640625" style="1314" bestFit="1" customWidth="1"/>
    <col min="8" max="8" width="11.1640625" style="1314" bestFit="1" customWidth="1"/>
    <col min="9" max="9" width="11" style="1314" bestFit="1" customWidth="1"/>
    <col min="10" max="16384" width="8.83203125" style="1314"/>
  </cols>
  <sheetData>
    <row r="1" spans="1:6" x14ac:dyDescent="0.75">
      <c r="A1" s="1620" t="s">
        <v>534</v>
      </c>
    </row>
    <row r="2" spans="1:6" x14ac:dyDescent="0.75">
      <c r="A2" s="1492" t="s">
        <v>537</v>
      </c>
    </row>
    <row r="3" spans="1:6" ht="15.5" thickBot="1" x14ac:dyDescent="0.9"/>
    <row r="4" spans="1:6" x14ac:dyDescent="0.75">
      <c r="A4" s="1315" t="s">
        <v>538</v>
      </c>
      <c r="B4" s="1315"/>
    </row>
    <row r="5" spans="1:6" x14ac:dyDescent="0.75">
      <c r="A5" s="1316" t="s">
        <v>539</v>
      </c>
      <c r="B5" s="1316">
        <v>0.6333036764536436</v>
      </c>
    </row>
    <row r="6" spans="1:6" x14ac:dyDescent="0.75">
      <c r="A6" s="1316" t="s">
        <v>540</v>
      </c>
      <c r="B6" s="1316">
        <v>0.40107354660970124</v>
      </c>
    </row>
    <row r="7" spans="1:6" x14ac:dyDescent="0.75">
      <c r="A7" s="1316" t="s">
        <v>541</v>
      </c>
      <c r="B7" s="1316">
        <v>0.39938642983958772</v>
      </c>
    </row>
    <row r="8" spans="1:6" x14ac:dyDescent="0.75">
      <c r="A8" s="1316" t="s">
        <v>542</v>
      </c>
      <c r="B8" s="1316">
        <v>4.2978589834254344E-2</v>
      </c>
    </row>
    <row r="9" spans="1:6" ht="15.5" thickBot="1" x14ac:dyDescent="0.9">
      <c r="A9" s="1317" t="s">
        <v>543</v>
      </c>
      <c r="B9" s="1317">
        <v>357</v>
      </c>
    </row>
    <row r="11" spans="1:6" ht="15.5" thickBot="1" x14ac:dyDescent="0.9">
      <c r="A11" s="1314" t="s">
        <v>544</v>
      </c>
    </row>
    <row r="12" spans="1:6" x14ac:dyDescent="0.75">
      <c r="A12" s="1318"/>
      <c r="B12" s="1318" t="s">
        <v>545</v>
      </c>
      <c r="C12" s="1318" t="s">
        <v>546</v>
      </c>
      <c r="D12" s="1318" t="s">
        <v>547</v>
      </c>
      <c r="E12" s="1318" t="s">
        <v>548</v>
      </c>
      <c r="F12" s="1318" t="s">
        <v>549</v>
      </c>
    </row>
    <row r="13" spans="1:6" x14ac:dyDescent="0.75">
      <c r="A13" s="1316" t="s">
        <v>550</v>
      </c>
      <c r="B13" s="1316">
        <v>1</v>
      </c>
      <c r="C13" s="1316">
        <v>0.43911998165147381</v>
      </c>
      <c r="D13" s="1316">
        <v>0.43911998165147381</v>
      </c>
      <c r="E13" s="1316">
        <v>237.7272004608875</v>
      </c>
      <c r="F13" s="1316">
        <v>2.0272408280402458E-41</v>
      </c>
    </row>
    <row r="14" spans="1:6" x14ac:dyDescent="0.75">
      <c r="A14" s="1316" t="s">
        <v>551</v>
      </c>
      <c r="B14" s="1316">
        <v>355</v>
      </c>
      <c r="C14" s="1316">
        <v>0.65574151037008022</v>
      </c>
      <c r="D14" s="1316">
        <v>1.847159184141071E-3</v>
      </c>
      <c r="E14" s="1316"/>
      <c r="F14" s="1316"/>
    </row>
    <row r="15" spans="1:6" ht="15.5" thickBot="1" x14ac:dyDescent="0.9">
      <c r="A15" s="1317" t="s">
        <v>160</v>
      </c>
      <c r="B15" s="1317">
        <v>356</v>
      </c>
      <c r="C15" s="1317">
        <v>1.094861492021554</v>
      </c>
      <c r="D15" s="1317"/>
      <c r="E15" s="1317"/>
      <c r="F15" s="1317"/>
    </row>
    <row r="16" spans="1:6" ht="15.5" thickBot="1" x14ac:dyDescent="0.9"/>
    <row r="17" spans="1:9" x14ac:dyDescent="0.75">
      <c r="A17" s="1318"/>
      <c r="B17" s="1318" t="s">
        <v>552</v>
      </c>
      <c r="C17" s="1318" t="s">
        <v>542</v>
      </c>
      <c r="D17" s="1318" t="s">
        <v>553</v>
      </c>
      <c r="E17" s="1318" t="s">
        <v>554</v>
      </c>
      <c r="F17" s="1318" t="s">
        <v>555</v>
      </c>
      <c r="G17" s="1318" t="s">
        <v>556</v>
      </c>
      <c r="H17" s="1318" t="s">
        <v>557</v>
      </c>
      <c r="I17" s="1318" t="s">
        <v>558</v>
      </c>
    </row>
    <row r="18" spans="1:9" x14ac:dyDescent="0.75">
      <c r="A18" s="1316" t="s">
        <v>559</v>
      </c>
      <c r="B18" s="1316">
        <v>4.3507952379351657E-3</v>
      </c>
      <c r="C18" s="1316">
        <v>2.2827811571311013E-3</v>
      </c>
      <c r="D18" s="1316">
        <v>1.9059186748339263</v>
      </c>
      <c r="E18" s="1316">
        <v>5.7468196438715126E-2</v>
      </c>
      <c r="F18" s="1316">
        <v>-1.3867945167118489E-4</v>
      </c>
      <c r="G18" s="1316">
        <v>8.8402699275415171E-3</v>
      </c>
      <c r="H18" s="1316">
        <v>-1.3867945167118489E-4</v>
      </c>
      <c r="I18" s="1316">
        <v>8.8402699275415171E-3</v>
      </c>
    </row>
    <row r="19" spans="1:9" ht="15.5" thickBot="1" x14ac:dyDescent="0.9">
      <c r="A19" s="1317" t="s">
        <v>560</v>
      </c>
      <c r="B19" s="1319">
        <v>1.7004987387907902</v>
      </c>
      <c r="C19" s="1317">
        <v>0.11029018778027709</v>
      </c>
      <c r="D19" s="1317">
        <v>15.418404601672879</v>
      </c>
      <c r="E19" s="1317">
        <v>2.0272408280402458E-41</v>
      </c>
      <c r="F19" s="1317">
        <v>1.4835944573599051</v>
      </c>
      <c r="G19" s="1317">
        <v>1.9174030202216752</v>
      </c>
      <c r="H19" s="1317">
        <v>1.4835944573599051</v>
      </c>
      <c r="I19" s="1317">
        <v>1.9174030202216752</v>
      </c>
    </row>
    <row r="20" spans="1:9" x14ac:dyDescent="0.75">
      <c r="A20" s="1316" t="s">
        <v>561</v>
      </c>
      <c r="B20" s="1320">
        <f>0.33+0.67*B19</f>
        <v>1.4693341549898296</v>
      </c>
    </row>
    <row r="23" spans="1:9" x14ac:dyDescent="0.75">
      <c r="A23" s="1493" t="s">
        <v>562</v>
      </c>
      <c r="B23" s="1322"/>
      <c r="C23" s="1322"/>
      <c r="D23" s="1322"/>
      <c r="E23" s="1322"/>
      <c r="F23" s="1322"/>
      <c r="G23" s="1322"/>
      <c r="H23" s="1322"/>
      <c r="I23" s="1322"/>
    </row>
    <row r="24" spans="1:9" ht="15.5" thickBot="1" x14ac:dyDescent="0.9">
      <c r="A24" s="1322"/>
      <c r="B24" s="1322"/>
      <c r="C24" s="1322"/>
      <c r="D24" s="1322"/>
      <c r="E24" s="1322"/>
      <c r="F24" s="1322"/>
      <c r="G24" s="1322"/>
      <c r="H24" s="1322"/>
      <c r="I24" s="1322"/>
    </row>
    <row r="25" spans="1:9" x14ac:dyDescent="0.75">
      <c r="A25" s="1315" t="s">
        <v>538</v>
      </c>
      <c r="B25" s="1315"/>
      <c r="C25" s="1322"/>
      <c r="D25" s="1322"/>
      <c r="E25" s="1322"/>
      <c r="F25" s="1322"/>
      <c r="G25" s="1322"/>
      <c r="H25" s="1322"/>
      <c r="I25" s="1322"/>
    </row>
    <row r="26" spans="1:9" x14ac:dyDescent="0.75">
      <c r="A26" s="1316" t="s">
        <v>539</v>
      </c>
      <c r="B26" s="1316">
        <v>3.2802950760166392E-2</v>
      </c>
      <c r="C26" s="1322"/>
      <c r="D26" s="1322"/>
      <c r="E26" s="1322"/>
      <c r="F26" s="1322"/>
      <c r="G26" s="1322"/>
      <c r="H26" s="1322"/>
      <c r="I26" s="1322"/>
    </row>
    <row r="27" spans="1:9" x14ac:dyDescent="0.75">
      <c r="A27" s="1316" t="s">
        <v>540</v>
      </c>
      <c r="B27" s="1316">
        <v>1.0760335785739007E-3</v>
      </c>
      <c r="C27" s="1322"/>
      <c r="D27" s="1322"/>
      <c r="E27" s="1322"/>
      <c r="F27" s="1322"/>
      <c r="G27" s="1322"/>
      <c r="H27" s="1322"/>
      <c r="I27" s="1322"/>
    </row>
    <row r="28" spans="1:9" x14ac:dyDescent="0.75">
      <c r="A28" s="1316" t="s">
        <v>541</v>
      </c>
      <c r="B28" s="1316">
        <v>-1.7378367493737785E-3</v>
      </c>
      <c r="C28" s="1322"/>
      <c r="D28" s="1322"/>
      <c r="E28" s="1322"/>
      <c r="F28" s="1322"/>
      <c r="G28" s="1322"/>
      <c r="H28" s="1322"/>
      <c r="I28" s="1322"/>
    </row>
    <row r="29" spans="1:9" x14ac:dyDescent="0.75">
      <c r="A29" s="1316" t="s">
        <v>542</v>
      </c>
      <c r="B29" s="1316">
        <v>5.5504939110064572E-2</v>
      </c>
      <c r="C29" s="1322"/>
      <c r="D29" s="1322"/>
      <c r="E29" s="1322"/>
      <c r="F29" s="1322"/>
      <c r="G29" s="1322"/>
      <c r="H29" s="1322"/>
      <c r="I29" s="1322"/>
    </row>
    <row r="30" spans="1:9" ht="15.5" thickBot="1" x14ac:dyDescent="0.9">
      <c r="A30" s="1317" t="s">
        <v>543</v>
      </c>
      <c r="B30" s="1317">
        <v>357</v>
      </c>
      <c r="C30" s="1322"/>
      <c r="D30" s="1322"/>
      <c r="E30" s="1322"/>
      <c r="F30" s="1322"/>
      <c r="G30" s="1322"/>
      <c r="H30" s="1322"/>
      <c r="I30" s="1322"/>
    </row>
    <row r="31" spans="1:9" x14ac:dyDescent="0.75">
      <c r="A31" s="1322"/>
      <c r="B31" s="1322"/>
      <c r="C31" s="1322"/>
      <c r="D31" s="1322"/>
      <c r="E31" s="1322"/>
      <c r="F31" s="1322"/>
      <c r="G31" s="1322"/>
      <c r="H31" s="1322"/>
      <c r="I31" s="1322"/>
    </row>
    <row r="32" spans="1:9" ht="15.5" thickBot="1" x14ac:dyDescent="0.9">
      <c r="A32" s="1322" t="s">
        <v>544</v>
      </c>
      <c r="B32" s="1322"/>
      <c r="C32" s="1322"/>
      <c r="D32" s="1322"/>
      <c r="E32" s="1322"/>
      <c r="F32" s="1322"/>
      <c r="G32" s="1322"/>
      <c r="H32" s="1322"/>
      <c r="I32" s="1322"/>
    </row>
    <row r="33" spans="1:9" x14ac:dyDescent="0.75">
      <c r="A33" s="1318"/>
      <c r="B33" s="1318" t="s">
        <v>545</v>
      </c>
      <c r="C33" s="1318" t="s">
        <v>546</v>
      </c>
      <c r="D33" s="1318" t="s">
        <v>547</v>
      </c>
      <c r="E33" s="1318" t="s">
        <v>548</v>
      </c>
      <c r="F33" s="1318" t="s">
        <v>549</v>
      </c>
      <c r="G33" s="1322"/>
      <c r="H33" s="1322"/>
      <c r="I33" s="1322"/>
    </row>
    <row r="34" spans="1:9" x14ac:dyDescent="0.75">
      <c r="A34" s="1316" t="s">
        <v>550</v>
      </c>
      <c r="B34" s="1316">
        <v>1</v>
      </c>
      <c r="C34" s="1316">
        <v>1.1781077293027131E-3</v>
      </c>
      <c r="D34" s="1316">
        <v>1.1781077293027131E-3</v>
      </c>
      <c r="E34" s="1316">
        <v>0.38240339929193368</v>
      </c>
      <c r="F34" s="1316">
        <v>0.53671632481147025</v>
      </c>
      <c r="G34" s="1322"/>
      <c r="H34" s="1322"/>
      <c r="I34" s="1322"/>
    </row>
    <row r="35" spans="1:9" x14ac:dyDescent="0.75">
      <c r="A35" s="1316" t="s">
        <v>551</v>
      </c>
      <c r="B35" s="1316">
        <v>355</v>
      </c>
      <c r="C35" s="1316">
        <v>1.0936833842922513</v>
      </c>
      <c r="D35" s="1316">
        <v>3.0807982656119756E-3</v>
      </c>
      <c r="E35" s="1316"/>
      <c r="F35" s="1316"/>
      <c r="G35" s="1322"/>
      <c r="H35" s="1322"/>
      <c r="I35" s="1322"/>
    </row>
    <row r="36" spans="1:9" ht="15.5" thickBot="1" x14ac:dyDescent="0.9">
      <c r="A36" s="1317" t="s">
        <v>160</v>
      </c>
      <c r="B36" s="1317">
        <v>356</v>
      </c>
      <c r="C36" s="1317">
        <v>1.094861492021554</v>
      </c>
      <c r="D36" s="1317"/>
      <c r="E36" s="1317"/>
      <c r="F36" s="1317"/>
      <c r="G36" s="1322"/>
      <c r="H36" s="1322"/>
      <c r="I36" s="1322"/>
    </row>
    <row r="37" spans="1:9" ht="15.5" thickBot="1" x14ac:dyDescent="0.9">
      <c r="A37" s="1322"/>
      <c r="B37" s="1322"/>
      <c r="C37" s="1322"/>
      <c r="D37" s="1322"/>
      <c r="E37" s="1322"/>
      <c r="F37" s="1322"/>
      <c r="G37" s="1322"/>
      <c r="H37" s="1322"/>
      <c r="I37" s="1322"/>
    </row>
    <row r="38" spans="1:9" x14ac:dyDescent="0.75">
      <c r="A38" s="1318"/>
      <c r="B38" s="1318" t="s">
        <v>552</v>
      </c>
      <c r="C38" s="1318" t="s">
        <v>542</v>
      </c>
      <c r="D38" s="1318" t="s">
        <v>553</v>
      </c>
      <c r="E38" s="1318" t="s">
        <v>554</v>
      </c>
      <c r="F38" s="1318" t="s">
        <v>555</v>
      </c>
      <c r="G38" s="1318" t="s">
        <v>556</v>
      </c>
      <c r="H38" s="1318" t="s">
        <v>557</v>
      </c>
      <c r="I38" s="1318" t="s">
        <v>558</v>
      </c>
    </row>
    <row r="39" spans="1:9" x14ac:dyDescent="0.75">
      <c r="A39" s="1316" t="s">
        <v>559</v>
      </c>
      <c r="B39" s="1316">
        <v>1.3758196668257545E-3</v>
      </c>
      <c r="C39" s="1316">
        <v>2.9376792955400936E-3</v>
      </c>
      <c r="D39" s="1316">
        <v>0.46833555620400336</v>
      </c>
      <c r="E39" s="1316">
        <v>0.63983206711360463</v>
      </c>
      <c r="F39" s="1316">
        <v>-4.4016228191998269E-3</v>
      </c>
      <c r="G39" s="1316">
        <v>7.1532621528513363E-3</v>
      </c>
      <c r="H39" s="1316">
        <v>-4.4016228191998269E-3</v>
      </c>
      <c r="I39" s="1316">
        <v>7.1532621528513363E-3</v>
      </c>
    </row>
    <row r="40" spans="1:9" ht="15.5" thickBot="1" x14ac:dyDescent="0.9">
      <c r="A40" s="1317" t="s">
        <v>560</v>
      </c>
      <c r="B40" s="1317">
        <v>-1.6200534705606566E-3</v>
      </c>
      <c r="C40" s="1317">
        <v>2.6198020446972035E-3</v>
      </c>
      <c r="D40" s="1317">
        <v>-0.61838774186768841</v>
      </c>
      <c r="E40" s="1317">
        <v>0.53671632481131859</v>
      </c>
      <c r="F40" s="1317">
        <v>-6.7723366557909219E-3</v>
      </c>
      <c r="G40" s="1317">
        <v>3.5322297146696082E-3</v>
      </c>
      <c r="H40" s="1317">
        <v>-6.7723366557909219E-3</v>
      </c>
      <c r="I40" s="1317">
        <v>3.5322297146696082E-3</v>
      </c>
    </row>
    <row r="43" spans="1:9" x14ac:dyDescent="0.75">
      <c r="A43" s="1492" t="s">
        <v>563</v>
      </c>
    </row>
    <row r="44" spans="1:9" ht="15.5" thickBot="1" x14ac:dyDescent="0.9"/>
    <row r="45" spans="1:9" x14ac:dyDescent="0.75">
      <c r="A45" s="1315" t="s">
        <v>538</v>
      </c>
      <c r="B45" s="1315"/>
    </row>
    <row r="46" spans="1:9" x14ac:dyDescent="0.75">
      <c r="A46" s="1316" t="s">
        <v>539</v>
      </c>
      <c r="B46" s="1316">
        <v>1.6549933652562427E-2</v>
      </c>
    </row>
    <row r="47" spans="1:9" x14ac:dyDescent="0.75">
      <c r="A47" s="1316" t="s">
        <v>540</v>
      </c>
      <c r="B47" s="1316">
        <v>2.739003039042183E-4</v>
      </c>
    </row>
    <row r="48" spans="1:9" x14ac:dyDescent="0.75">
      <c r="A48" s="1316" t="s">
        <v>541</v>
      </c>
      <c r="B48" s="1316">
        <v>-2.5422295543946431E-3</v>
      </c>
    </row>
    <row r="49" spans="1:9" x14ac:dyDescent="0.75">
      <c r="A49" s="1316" t="s">
        <v>542</v>
      </c>
      <c r="B49" s="1316">
        <v>5.5527219796992704E-2</v>
      </c>
    </row>
    <row r="50" spans="1:9" ht="15.5" thickBot="1" x14ac:dyDescent="0.9">
      <c r="A50" s="1317" t="s">
        <v>543</v>
      </c>
      <c r="B50" s="1317">
        <v>357</v>
      </c>
    </row>
    <row r="52" spans="1:9" ht="15.5" thickBot="1" x14ac:dyDescent="0.9">
      <c r="A52" s="1314" t="s">
        <v>544</v>
      </c>
    </row>
    <row r="53" spans="1:9" x14ac:dyDescent="0.75">
      <c r="A53" s="1318"/>
      <c r="B53" s="1318" t="s">
        <v>545</v>
      </c>
      <c r="C53" s="1318" t="s">
        <v>546</v>
      </c>
      <c r="D53" s="1318" t="s">
        <v>547</v>
      </c>
      <c r="E53" s="1318" t="s">
        <v>548</v>
      </c>
      <c r="F53" s="1318" t="s">
        <v>549</v>
      </c>
    </row>
    <row r="54" spans="1:9" x14ac:dyDescent="0.75">
      <c r="A54" s="1316" t="s">
        <v>550</v>
      </c>
      <c r="B54" s="1316">
        <v>1</v>
      </c>
      <c r="C54" s="1316">
        <v>2.998828953977295E-4</v>
      </c>
      <c r="D54" s="1316">
        <v>2.998828953977295E-4</v>
      </c>
      <c r="E54" s="1316">
        <v>9.7261247771320156E-2</v>
      </c>
      <c r="F54" s="1316">
        <v>0.75532441439293507</v>
      </c>
    </row>
    <row r="55" spans="1:9" x14ac:dyDescent="0.75">
      <c r="A55" s="1316" t="s">
        <v>551</v>
      </c>
      <c r="B55" s="1316">
        <v>355</v>
      </c>
      <c r="C55" s="1316">
        <v>1.0945616091261563</v>
      </c>
      <c r="D55" s="1316">
        <v>3.0832721383835388E-3</v>
      </c>
      <c r="E55" s="1316"/>
      <c r="F55" s="1316"/>
    </row>
    <row r="56" spans="1:9" ht="15.5" thickBot="1" x14ac:dyDescent="0.9">
      <c r="A56" s="1317" t="s">
        <v>160</v>
      </c>
      <c r="B56" s="1317">
        <v>356</v>
      </c>
      <c r="C56" s="1317">
        <v>1.094861492021554</v>
      </c>
      <c r="D56" s="1317"/>
      <c r="E56" s="1317"/>
      <c r="F56" s="1317"/>
    </row>
    <row r="57" spans="1:9" ht="15.5" thickBot="1" x14ac:dyDescent="0.9"/>
    <row r="58" spans="1:9" x14ac:dyDescent="0.75">
      <c r="A58" s="1318"/>
      <c r="B58" s="1318" t="s">
        <v>552</v>
      </c>
      <c r="C58" s="1318" t="s">
        <v>542</v>
      </c>
      <c r="D58" s="1318" t="s">
        <v>553</v>
      </c>
      <c r="E58" s="1318" t="s">
        <v>554</v>
      </c>
      <c r="F58" s="1318" t="s">
        <v>555</v>
      </c>
      <c r="G58" s="1318" t="s">
        <v>556</v>
      </c>
      <c r="H58" s="1318" t="s">
        <v>557</v>
      </c>
      <c r="I58" s="1318" t="s">
        <v>558</v>
      </c>
    </row>
    <row r="59" spans="1:9" x14ac:dyDescent="0.75">
      <c r="A59" s="1316" t="s">
        <v>559</v>
      </c>
      <c r="B59" s="1316">
        <v>1.4063315954877555E-3</v>
      </c>
      <c r="C59" s="1316">
        <v>2.9395329905875954E-3</v>
      </c>
      <c r="D59" s="1316">
        <v>0.47842007556671035</v>
      </c>
      <c r="E59" s="1316">
        <v>0.63264574724070644</v>
      </c>
      <c r="F59" s="1316">
        <v>-4.3747564949235167E-3</v>
      </c>
      <c r="G59" s="1316">
        <v>7.1874196858990281E-3</v>
      </c>
      <c r="H59" s="1316">
        <v>-4.3747564949235167E-3</v>
      </c>
      <c r="I59" s="1316">
        <v>7.1874196858990281E-3</v>
      </c>
    </row>
    <row r="60" spans="1:9" ht="15.5" thickBot="1" x14ac:dyDescent="0.9">
      <c r="A60" s="1317" t="s">
        <v>560</v>
      </c>
      <c r="B60" s="1317">
        <v>8.9256628369123697E-4</v>
      </c>
      <c r="C60" s="1317">
        <v>2.8620061265418632E-3</v>
      </c>
      <c r="D60" s="1317">
        <v>0.31186735605269894</v>
      </c>
      <c r="E60" s="1317">
        <v>0.75532441439295861</v>
      </c>
      <c r="F60" s="1317">
        <v>-4.7360521348854875E-3</v>
      </c>
      <c r="G60" s="1317">
        <v>6.5211847022679618E-3</v>
      </c>
      <c r="H60" s="1317">
        <v>-4.7360521348854875E-3</v>
      </c>
      <c r="I60" s="1317">
        <v>6.5211847022679618E-3</v>
      </c>
    </row>
  </sheetData>
  <hyperlinks>
    <hyperlink ref="A1" location="'Cover Page '!A1" display="Back to cover page "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4.9989318521683403E-2"/>
  </sheetPr>
  <dimension ref="A1:K11"/>
  <sheetViews>
    <sheetView showGridLines="0" workbookViewId="0"/>
  </sheetViews>
  <sheetFormatPr defaultColWidth="8.83203125" defaultRowHeight="14.75" x14ac:dyDescent="0.75"/>
  <cols>
    <col min="1" max="1" width="22.6640625" style="1314" bestFit="1" customWidth="1"/>
    <col min="2" max="3" width="10.5" style="1314" bestFit="1" customWidth="1"/>
    <col min="4" max="5" width="11.1640625" style="1314" bestFit="1" customWidth="1"/>
    <col min="6" max="6" width="10.5" style="1314" bestFit="1" customWidth="1"/>
    <col min="7" max="8" width="11.1640625" style="1314" bestFit="1" customWidth="1"/>
    <col min="9" max="9" width="10.5" style="1314" bestFit="1" customWidth="1"/>
    <col min="10" max="10" width="12.5" style="1314" bestFit="1" customWidth="1"/>
    <col min="11" max="11" width="6.83203125" style="1314" bestFit="1" customWidth="1"/>
    <col min="12" max="16384" width="8.83203125" style="1314"/>
  </cols>
  <sheetData>
    <row r="1" spans="1:11" ht="15.5" thickBot="1" x14ac:dyDescent="0.9">
      <c r="A1" s="1620" t="s">
        <v>534</v>
      </c>
    </row>
    <row r="2" spans="1:11" x14ac:dyDescent="0.75">
      <c r="A2" s="1447"/>
      <c r="B2" s="1476">
        <v>2010</v>
      </c>
      <c r="C2" s="1476">
        <v>2011</v>
      </c>
      <c r="D2" s="1476">
        <v>2012</v>
      </c>
      <c r="E2" s="1476">
        <v>2013</v>
      </c>
      <c r="F2" s="1476">
        <v>2014</v>
      </c>
      <c r="G2" s="1476">
        <v>2015</v>
      </c>
      <c r="H2" s="1476">
        <v>2016</v>
      </c>
      <c r="I2" s="1476" t="s">
        <v>564</v>
      </c>
      <c r="J2" s="1476" t="s">
        <v>565</v>
      </c>
      <c r="K2" s="1448" t="s">
        <v>720</v>
      </c>
    </row>
    <row r="3" spans="1:11" x14ac:dyDescent="0.75">
      <c r="A3" s="1495" t="s">
        <v>717</v>
      </c>
      <c r="B3" s="1458">
        <v>0.17163704571457222</v>
      </c>
      <c r="C3" s="1458">
        <v>0.18427578667288316</v>
      </c>
      <c r="D3" s="1458">
        <v>6.5692937518757627E-2</v>
      </c>
      <c r="E3" s="1458">
        <v>4.3974412371504915E-2</v>
      </c>
      <c r="F3" s="1458">
        <v>0.10614792342352898</v>
      </c>
      <c r="G3" s="1458">
        <v>4.5476172262016487E-2</v>
      </c>
      <c r="H3" s="1458">
        <v>0.10129800302427112</v>
      </c>
      <c r="I3" s="1458">
        <v>9.1144205878827045E-2</v>
      </c>
      <c r="J3" s="1458" t="s">
        <v>598</v>
      </c>
      <c r="K3" s="1450">
        <v>7</v>
      </c>
    </row>
    <row r="4" spans="1:11" x14ac:dyDescent="0.75">
      <c r="A4" s="1495" t="s">
        <v>718</v>
      </c>
      <c r="B4" s="1458">
        <v>0.36514264867923402</v>
      </c>
      <c r="C4" s="1458">
        <v>0.49787074196305708</v>
      </c>
      <c r="D4" s="1458">
        <v>-8.8227958598328959E-4</v>
      </c>
      <c r="E4" s="1458">
        <v>-5.1528676842337078E-2</v>
      </c>
      <c r="F4" s="1458">
        <v>9.2784926893102443E-2</v>
      </c>
      <c r="G4" s="1458">
        <v>-5.3149250439873813E-2</v>
      </c>
      <c r="H4" s="1458">
        <v>-2.3764148966778309E-2</v>
      </c>
      <c r="I4" s="1458">
        <v>7.6888552170197827E-2</v>
      </c>
      <c r="J4" s="1458" t="s">
        <v>568</v>
      </c>
      <c r="K4" s="1450">
        <v>6</v>
      </c>
    </row>
    <row r="5" spans="1:11" x14ac:dyDescent="0.75">
      <c r="A5" s="1451" t="s">
        <v>596</v>
      </c>
      <c r="B5" s="1458">
        <v>5162.5789473684208</v>
      </c>
      <c r="C5" s="1458">
        <v>67.597710122300299</v>
      </c>
      <c r="D5" s="1458">
        <v>-7.4006276150627617E-2</v>
      </c>
      <c r="E5" s="1458">
        <v>-2.0479536489151875</v>
      </c>
      <c r="F5" s="1458">
        <v>5.25351379489849</v>
      </c>
      <c r="G5" s="1458">
        <v>-10.299889948642699</v>
      </c>
      <c r="H5" s="1458">
        <v>-1.288501956805334</v>
      </c>
      <c r="I5" s="1458">
        <v>9.8568120144474918</v>
      </c>
      <c r="J5" s="1458" t="s">
        <v>165</v>
      </c>
      <c r="K5" s="1450">
        <v>3</v>
      </c>
    </row>
    <row r="6" spans="1:11" x14ac:dyDescent="0.75">
      <c r="A6" s="1451" t="s">
        <v>597</v>
      </c>
      <c r="B6" s="1458">
        <v>7927.2105263157891</v>
      </c>
      <c r="C6" s="1458">
        <v>95.442102524069739</v>
      </c>
      <c r="D6" s="1458">
        <v>13.222541841004185</v>
      </c>
      <c r="E6" s="1458">
        <v>3.9176528599605525</v>
      </c>
      <c r="F6" s="1458">
        <v>13.36283185840708</v>
      </c>
      <c r="G6" s="1458">
        <v>4.4704695524578133</v>
      </c>
      <c r="H6" s="1458">
        <v>3.5296238585302215</v>
      </c>
      <c r="I6" s="1458">
        <v>22.324203749071597</v>
      </c>
      <c r="J6" s="1458" t="s">
        <v>571</v>
      </c>
      <c r="K6" s="1450">
        <v>2</v>
      </c>
    </row>
    <row r="7" spans="1:11" x14ac:dyDescent="0.75">
      <c r="A7" s="1451" t="s">
        <v>590</v>
      </c>
      <c r="B7" s="1458" t="e">
        <v>#DIV/0!</v>
      </c>
      <c r="C7" s="1458">
        <v>6.9187459577220283</v>
      </c>
      <c r="D7" s="1458">
        <v>0.39058017915889537</v>
      </c>
      <c r="E7" s="1458">
        <v>0.12464649720017723</v>
      </c>
      <c r="F7" s="1458">
        <v>0.33870092497430626</v>
      </c>
      <c r="G7" s="1458">
        <v>-5.5799728302325415E-2</v>
      </c>
      <c r="H7" s="1458">
        <v>0.13061541990203496</v>
      </c>
      <c r="I7" s="1458">
        <v>1.307914875109186</v>
      </c>
      <c r="J7" s="1458" t="s">
        <v>573</v>
      </c>
      <c r="K7" s="1450">
        <v>1</v>
      </c>
    </row>
    <row r="8" spans="1:11" x14ac:dyDescent="0.75">
      <c r="A8" s="1451" t="s">
        <v>592</v>
      </c>
      <c r="B8" s="1458">
        <v>0</v>
      </c>
      <c r="C8" s="1458">
        <v>0.1601869220031408</v>
      </c>
      <c r="D8" s="1458">
        <v>5.1640329885489384</v>
      </c>
      <c r="E8" s="1458">
        <v>7.8108873505349283</v>
      </c>
      <c r="F8" s="1458">
        <v>3.1586806908193741</v>
      </c>
      <c r="G8" s="1458">
        <v>9.412943284235288</v>
      </c>
      <c r="H8" s="1458">
        <v>6.2889475224196261</v>
      </c>
      <c r="I8" s="1458">
        <v>5.3326131264268826</v>
      </c>
      <c r="J8" s="1458" t="s">
        <v>568</v>
      </c>
      <c r="K8" s="1450">
        <v>6</v>
      </c>
    </row>
    <row r="9" spans="1:11" x14ac:dyDescent="0.75">
      <c r="A9" s="1495" t="s">
        <v>719</v>
      </c>
      <c r="B9" s="1458">
        <v>0</v>
      </c>
      <c r="C9" s="1458">
        <v>6.8763327473731276E-2</v>
      </c>
      <c r="D9" s="1458">
        <v>0.59618010366006802</v>
      </c>
      <c r="E9" s="1458">
        <v>0.58151874714488194</v>
      </c>
      <c r="F9" s="1458">
        <v>0.54648798625074413</v>
      </c>
      <c r="G9" s="1458">
        <v>0.20237433658242551</v>
      </c>
      <c r="H9" s="1458">
        <v>0.39293681000858599</v>
      </c>
      <c r="I9" s="1458">
        <v>0.39804355185340617</v>
      </c>
      <c r="J9" s="1458" t="s">
        <v>165</v>
      </c>
      <c r="K9" s="1450">
        <v>3</v>
      </c>
    </row>
    <row r="10" spans="1:11" x14ac:dyDescent="0.75">
      <c r="A10" s="1451"/>
      <c r="B10" s="1458"/>
      <c r="C10" s="1458"/>
      <c r="D10" s="1458"/>
      <c r="E10" s="1458"/>
      <c r="F10" s="1458"/>
      <c r="G10" s="1458"/>
      <c r="H10" s="1458"/>
      <c r="I10" s="1458"/>
      <c r="J10" s="1498" t="s">
        <v>722</v>
      </c>
      <c r="K10" s="1450">
        <v>4</v>
      </c>
    </row>
    <row r="11" spans="1:11" ht="15.5" thickBot="1" x14ac:dyDescent="0.9">
      <c r="A11" s="1496" t="s">
        <v>723</v>
      </c>
      <c r="B11" s="1497" t="s">
        <v>582</v>
      </c>
      <c r="C11" s="1489"/>
      <c r="D11" s="1489"/>
      <c r="E11" s="1489"/>
      <c r="F11" s="1489"/>
      <c r="G11" s="1489"/>
      <c r="H11" s="1489"/>
      <c r="I11" s="1489"/>
      <c r="J11" s="1489"/>
      <c r="K11" s="1472"/>
    </row>
  </sheetData>
  <hyperlinks>
    <hyperlink ref="A1" location="'Cover Page '!A1" display="Back to cover page "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4.9989318521683403E-2"/>
  </sheetPr>
  <dimension ref="A1:AZ719"/>
  <sheetViews>
    <sheetView showGridLines="0" topLeftCell="E1" zoomScale="85" zoomScaleNormal="85" zoomScalePageLayoutView="85" workbookViewId="0">
      <selection activeCell="AC3" sqref="AC3"/>
    </sheetView>
  </sheetViews>
  <sheetFormatPr defaultColWidth="8.83203125" defaultRowHeight="14.75" x14ac:dyDescent="0.75"/>
  <cols>
    <col min="1" max="1" width="16.6640625" style="1314" bestFit="1" customWidth="1"/>
    <col min="2" max="2" width="8.1640625" style="1314" bestFit="1" customWidth="1"/>
    <col min="3" max="3" width="11.1640625" style="1314" bestFit="1" customWidth="1"/>
    <col min="4" max="4" width="8.83203125" style="1314"/>
    <col min="5" max="5" width="10.6640625" style="1314" bestFit="1" customWidth="1"/>
    <col min="6" max="6" width="6.1640625" style="1314" bestFit="1" customWidth="1"/>
    <col min="7" max="7" width="11.1640625" style="1314" bestFit="1" customWidth="1"/>
    <col min="8" max="8" width="8.83203125" style="1314"/>
    <col min="9" max="9" width="13.5" style="1314" bestFit="1" customWidth="1"/>
    <col min="10" max="10" width="6.1640625" style="1314" bestFit="1" customWidth="1"/>
    <col min="11" max="11" width="11.1640625" style="1314" bestFit="1" customWidth="1"/>
    <col min="12" max="12" width="8.83203125" style="1314"/>
    <col min="13" max="13" width="10.5" style="1314" bestFit="1" customWidth="1"/>
    <col min="14" max="14" width="6.1640625" style="1314" bestFit="1" customWidth="1"/>
    <col min="15" max="15" width="11.1640625" style="1314" bestFit="1" customWidth="1"/>
    <col min="16" max="16" width="8.83203125" style="1314"/>
    <col min="17" max="17" width="11.1640625" style="1314" bestFit="1" customWidth="1"/>
    <col min="18" max="18" width="6.1640625" style="1314" bestFit="1" customWidth="1"/>
    <col min="19" max="19" width="11.1640625" style="1314" bestFit="1" customWidth="1"/>
    <col min="20" max="20" width="8.83203125" style="1314"/>
    <col min="21" max="21" width="14.5" style="1314" bestFit="1" customWidth="1"/>
    <col min="22" max="22" width="7.1640625" style="1314" bestFit="1" customWidth="1"/>
    <col min="23" max="23" width="11.1640625" style="1314" bestFit="1" customWidth="1"/>
    <col min="24" max="24" width="8.83203125" style="1314"/>
    <col min="25" max="25" width="12.83203125" style="1314" bestFit="1" customWidth="1"/>
    <col min="26" max="26" width="6.1640625" style="1314" bestFit="1" customWidth="1"/>
    <col min="27" max="27" width="11.1640625" style="1314" bestFit="1" customWidth="1"/>
    <col min="28" max="28" width="8.83203125" style="1314"/>
    <col min="29" max="29" width="13.6640625" style="1314" bestFit="1" customWidth="1"/>
    <col min="30" max="30" width="6.1640625" style="1314" bestFit="1" customWidth="1"/>
    <col min="31" max="31" width="11.1640625" style="1314" bestFit="1" customWidth="1"/>
    <col min="32" max="32" width="8.83203125" style="1314"/>
    <col min="33" max="33" width="13.5" style="1314" bestFit="1" customWidth="1"/>
    <col min="34" max="34" width="6.1640625" style="1314" bestFit="1" customWidth="1"/>
    <col min="35" max="35" width="11.1640625" style="1314" bestFit="1" customWidth="1"/>
    <col min="36" max="36" width="8.83203125" style="1314"/>
    <col min="37" max="37" width="10.6640625" style="1314" bestFit="1" customWidth="1"/>
    <col min="38" max="38" width="5.1640625" style="1314" bestFit="1" customWidth="1"/>
    <col min="39" max="39" width="8.83203125" style="1314"/>
    <col min="40" max="40" width="10.6640625" style="1314" bestFit="1" customWidth="1"/>
    <col min="41" max="41" width="5.1640625" style="1314" bestFit="1" customWidth="1"/>
    <col min="42" max="42" width="8.83203125" style="1314"/>
    <col min="43" max="43" width="14.33203125" style="1314" bestFit="1" customWidth="1"/>
    <col min="44" max="44" width="4.1640625" style="1314" bestFit="1" customWidth="1"/>
    <col min="45" max="45" width="8.83203125" style="1314"/>
    <col min="46" max="46" width="9.5" style="1314" bestFit="1" customWidth="1"/>
    <col min="47" max="47" width="17.1640625" style="1314" bestFit="1" customWidth="1"/>
    <col min="48" max="48" width="11.1640625" style="1314" bestFit="1" customWidth="1"/>
    <col min="49" max="49" width="11" style="1314" customWidth="1"/>
    <col min="50" max="50" width="20.6640625" style="1314" bestFit="1" customWidth="1"/>
    <col min="51" max="51" width="11.1640625" style="1314" bestFit="1" customWidth="1"/>
    <col min="52" max="16384" width="8.83203125" style="1314"/>
  </cols>
  <sheetData>
    <row r="1" spans="1:52" x14ac:dyDescent="0.75">
      <c r="A1" s="1620" t="s">
        <v>534</v>
      </c>
    </row>
    <row r="2" spans="1:52" s="1321" customFormat="1" x14ac:dyDescent="0.75">
      <c r="A2" s="1321" t="s">
        <v>643</v>
      </c>
      <c r="C2" s="1321" t="s">
        <v>644</v>
      </c>
      <c r="E2" s="1321" t="s">
        <v>744</v>
      </c>
      <c r="G2" s="1321" t="s">
        <v>645</v>
      </c>
      <c r="I2" s="1321" t="s">
        <v>745</v>
      </c>
      <c r="M2" s="1321" t="s">
        <v>646</v>
      </c>
      <c r="Q2" s="1321" t="s">
        <v>647</v>
      </c>
      <c r="U2" s="1321" t="s">
        <v>746</v>
      </c>
      <c r="Y2" s="1321" t="s">
        <v>747</v>
      </c>
      <c r="AC2" s="1321" t="s">
        <v>748</v>
      </c>
      <c r="AG2" s="1321" t="s">
        <v>648</v>
      </c>
      <c r="AK2" s="1321" t="s">
        <v>649</v>
      </c>
      <c r="AN2" s="1321" t="s">
        <v>650</v>
      </c>
      <c r="AQ2" s="1321" t="s">
        <v>651</v>
      </c>
      <c r="AT2" s="1314"/>
      <c r="AU2" s="1321" t="s">
        <v>652</v>
      </c>
      <c r="AV2" s="1314"/>
      <c r="AW2" s="1314"/>
      <c r="AX2" s="1321" t="s">
        <v>653</v>
      </c>
    </row>
    <row r="3" spans="1:52" x14ac:dyDescent="0.75">
      <c r="A3" s="1326">
        <v>42797</v>
      </c>
      <c r="B3" s="1314">
        <v>1413.548</v>
      </c>
      <c r="E3" s="1326">
        <v>42797</v>
      </c>
      <c r="F3" s="1314">
        <v>12.45</v>
      </c>
      <c r="I3" s="1326">
        <v>42797</v>
      </c>
      <c r="J3" s="1314">
        <v>12.81</v>
      </c>
      <c r="M3" s="1326">
        <v>42797</v>
      </c>
      <c r="N3" s="1314">
        <v>10.54</v>
      </c>
      <c r="Q3" s="1326">
        <v>42797</v>
      </c>
      <c r="R3" s="1314">
        <v>18.29</v>
      </c>
      <c r="U3" s="1326">
        <v>42797</v>
      </c>
      <c r="V3" s="1314">
        <v>33.6</v>
      </c>
      <c r="Y3" s="1326">
        <v>42797</v>
      </c>
      <c r="Z3" s="1314">
        <v>16.350000000000001</v>
      </c>
      <c r="AC3" s="1326">
        <v>42797</v>
      </c>
      <c r="AD3" s="1314">
        <v>13.47</v>
      </c>
      <c r="AG3" s="1326">
        <v>42797</v>
      </c>
      <c r="AH3" s="1314">
        <v>9.3000000000000007</v>
      </c>
      <c r="AT3" s="1326">
        <v>42797</v>
      </c>
      <c r="AU3" s="1314">
        <v>1413.548</v>
      </c>
      <c r="AX3" s="1314">
        <v>3.0712999999999999</v>
      </c>
    </row>
    <row r="4" spans="1:52" x14ac:dyDescent="0.75">
      <c r="A4" s="1326">
        <v>42790</v>
      </c>
      <c r="B4" s="1314">
        <v>1405.6</v>
      </c>
      <c r="C4" s="1314">
        <f>(B4-B3)/B3</f>
        <v>-5.6227308871011758E-3</v>
      </c>
      <c r="E4" s="1326">
        <v>42790</v>
      </c>
      <c r="F4" s="1314">
        <v>12.7</v>
      </c>
      <c r="G4" s="1314">
        <f>(F4-F3)/F3</f>
        <v>2.0080321285140562E-2</v>
      </c>
      <c r="I4" s="1326">
        <v>42790</v>
      </c>
      <c r="J4" s="1314">
        <v>12.57</v>
      </c>
      <c r="K4" s="1314">
        <f>(J4-J3)/J3</f>
        <v>-1.8735362997658097E-2</v>
      </c>
      <c r="M4" s="1326">
        <v>42790</v>
      </c>
      <c r="N4" s="1314">
        <v>10.8</v>
      </c>
      <c r="O4" s="1314">
        <f>(N4-N3)/N3</f>
        <v>2.4667931688804705E-2</v>
      </c>
      <c r="Q4" s="1326">
        <v>42790</v>
      </c>
      <c r="R4" s="1314">
        <v>20.66</v>
      </c>
      <c r="S4" s="1314">
        <f>(R4-R3)/R3</f>
        <v>0.12957900492072177</v>
      </c>
      <c r="U4" s="1326">
        <v>42790</v>
      </c>
      <c r="V4" s="1314">
        <v>34.4</v>
      </c>
      <c r="W4" s="1314">
        <f>(V4-V3)/V3</f>
        <v>2.3809523809523725E-2</v>
      </c>
      <c r="Y4" s="1326">
        <v>42790</v>
      </c>
      <c r="Z4" s="1314">
        <v>16.2</v>
      </c>
      <c r="AA4" s="1314">
        <f>(Z4-Z3)/Z3</f>
        <v>-9.1743119266056335E-3</v>
      </c>
      <c r="AC4" s="1326">
        <v>42790</v>
      </c>
      <c r="AD4" s="1314">
        <v>12.72</v>
      </c>
      <c r="AE4" s="1314">
        <f>(AD4-AD3)/AD3</f>
        <v>-5.5679287305122491E-2</v>
      </c>
      <c r="AG4" s="1326">
        <v>42790</v>
      </c>
      <c r="AH4" s="1314">
        <v>9.4</v>
      </c>
      <c r="AI4" s="1314">
        <f>(AH4-AH3)/AH3</f>
        <v>1.0752688172042972E-2</v>
      </c>
      <c r="AK4" s="1326">
        <v>42790</v>
      </c>
      <c r="AL4" s="1314">
        <v>-1.0900000000000001</v>
      </c>
      <c r="AN4" s="1326">
        <v>42790</v>
      </c>
      <c r="AO4" s="1314">
        <v>-0.46</v>
      </c>
      <c r="AQ4" s="1326">
        <v>42790</v>
      </c>
      <c r="AR4" s="1327">
        <v>2.69</v>
      </c>
      <c r="AT4" s="1326">
        <v>42790</v>
      </c>
      <c r="AU4" s="1314">
        <v>1405.6</v>
      </c>
      <c r="AV4" s="1314">
        <f>(AU4-AU3)/AU3</f>
        <v>-5.6227308871011758E-3</v>
      </c>
      <c r="AX4" s="1314">
        <v>2.9510000000000001</v>
      </c>
      <c r="AY4" s="1314">
        <f>(AX4-AX3)/AX3</f>
        <v>-3.9169081496434686E-2</v>
      </c>
      <c r="AZ4" s="1314">
        <f>((1+AX4/100)^(52/365))-1</f>
        <v>4.151921377292922E-3</v>
      </c>
    </row>
    <row r="5" spans="1:52" x14ac:dyDescent="0.75">
      <c r="A5" s="1326">
        <v>42783</v>
      </c>
      <c r="B5" s="1314">
        <v>1398.038</v>
      </c>
      <c r="C5" s="1314">
        <f t="shared" ref="C5:C68" si="0">(B5-B4)/B4</f>
        <v>-5.3799089356857564E-3</v>
      </c>
      <c r="E5" s="1326">
        <v>42783</v>
      </c>
      <c r="F5" s="1314">
        <v>12.975</v>
      </c>
      <c r="G5" s="1314">
        <f t="shared" ref="G5:G68" si="1">(F5-F4)/F4</f>
        <v>2.1653543307086642E-2</v>
      </c>
      <c r="I5" s="1326">
        <v>42783</v>
      </c>
      <c r="J5" s="1314">
        <v>12.6</v>
      </c>
      <c r="K5" s="1314">
        <f t="shared" ref="K5:K68" si="2">(J5-J4)/J4</f>
        <v>2.386634844868684E-3</v>
      </c>
      <c r="M5" s="1326">
        <v>42783</v>
      </c>
      <c r="N5" s="1314">
        <v>11.21</v>
      </c>
      <c r="O5" s="1314">
        <f t="shared" ref="O5:O68" si="3">(N5-N4)/N4</f>
        <v>3.7962962962962976E-2</v>
      </c>
      <c r="Q5" s="1326">
        <v>42783</v>
      </c>
      <c r="R5" s="1314">
        <v>21.44</v>
      </c>
      <c r="S5" s="1314">
        <f t="shared" ref="S5:S68" si="4">(R5-R4)/R4</f>
        <v>3.7754114230396957E-2</v>
      </c>
      <c r="U5" s="1326">
        <v>42783</v>
      </c>
      <c r="V5" s="1314">
        <v>34.9</v>
      </c>
      <c r="W5" s="1314">
        <f t="shared" ref="W5:W68" si="5">(V5-V4)/V4</f>
        <v>1.4534883720930232E-2</v>
      </c>
      <c r="Y5" s="1326">
        <v>42783</v>
      </c>
      <c r="Z5" s="1314">
        <v>16.149999999999999</v>
      </c>
      <c r="AA5" s="1314">
        <f t="shared" ref="AA5:AA68" si="6">(Z5-Z4)/Z4</f>
        <v>-3.0864197530864638E-3</v>
      </c>
      <c r="AC5" s="1326">
        <v>42783</v>
      </c>
      <c r="AD5" s="1314">
        <v>12.9</v>
      </c>
      <c r="AE5" s="1314">
        <f t="shared" ref="AE5:AE68" si="7">(AD5-AD4)/AD4</f>
        <v>1.4150943396226393E-2</v>
      </c>
      <c r="AG5" s="1326">
        <v>42783</v>
      </c>
      <c r="AH5" s="1314">
        <v>10.15</v>
      </c>
      <c r="AI5" s="1314">
        <f t="shared" ref="AI5:AI68" si="8">(AH5-AH4)/AH4</f>
        <v>7.9787234042553182E-2</v>
      </c>
      <c r="AK5" s="1326">
        <v>42783</v>
      </c>
      <c r="AL5" s="1314">
        <v>-0.54</v>
      </c>
      <c r="AN5" s="1326">
        <v>42783</v>
      </c>
      <c r="AO5" s="1314">
        <v>-0.39</v>
      </c>
      <c r="AQ5" s="1326">
        <v>42783</v>
      </c>
      <c r="AR5" s="1327">
        <v>2.74</v>
      </c>
      <c r="AT5" s="1326">
        <v>42783</v>
      </c>
      <c r="AU5" s="1314">
        <v>1398.038</v>
      </c>
      <c r="AV5" s="1314">
        <f t="shared" ref="AV5:AV68" si="9">(AU5-AU4)/AU4</f>
        <v>-5.3799089356857564E-3</v>
      </c>
      <c r="AX5" s="1314">
        <v>3.0230999999999999</v>
      </c>
      <c r="AY5" s="1314">
        <f t="shared" ref="AY5:AY68" si="10">(AX5-AX4)/AX4</f>
        <v>2.4432395798034506E-2</v>
      </c>
    </row>
    <row r="6" spans="1:52" x14ac:dyDescent="0.75">
      <c r="A6" s="1326">
        <v>42776</v>
      </c>
      <c r="B6" s="1314">
        <v>1378.575</v>
      </c>
      <c r="C6" s="1314">
        <f t="shared" si="0"/>
        <v>-1.3921653059501934E-2</v>
      </c>
      <c r="E6" s="1326">
        <v>42776</v>
      </c>
      <c r="F6" s="1314">
        <v>13</v>
      </c>
      <c r="G6" s="1314">
        <f t="shared" si="1"/>
        <v>1.9267822736031104E-3</v>
      </c>
      <c r="I6" s="1326">
        <v>42776</v>
      </c>
      <c r="J6" s="1314">
        <v>12.79</v>
      </c>
      <c r="K6" s="1314">
        <f t="shared" si="2"/>
        <v>1.507936507936504E-2</v>
      </c>
      <c r="M6" s="1326">
        <v>42776</v>
      </c>
      <c r="N6" s="1314">
        <v>10.92</v>
      </c>
      <c r="O6" s="1314">
        <f t="shared" si="3"/>
        <v>-2.5869759143621846E-2</v>
      </c>
      <c r="Q6" s="1326">
        <v>42776</v>
      </c>
      <c r="R6" s="1314">
        <v>21.87</v>
      </c>
      <c r="S6" s="1314">
        <f t="shared" si="4"/>
        <v>2.0055970149253716E-2</v>
      </c>
      <c r="U6" s="1326">
        <v>42776</v>
      </c>
      <c r="V6" s="1314">
        <v>33.6</v>
      </c>
      <c r="W6" s="1314">
        <f t="shared" si="5"/>
        <v>-3.7249283667621695E-2</v>
      </c>
      <c r="Y6" s="1326">
        <v>42776</v>
      </c>
      <c r="Z6" s="1314">
        <v>16.100000000000001</v>
      </c>
      <c r="AA6" s="1314">
        <f t="shared" si="6"/>
        <v>-3.0959752321979665E-3</v>
      </c>
      <c r="AC6" s="1326">
        <v>42776</v>
      </c>
      <c r="AD6" s="1314">
        <v>12.34</v>
      </c>
      <c r="AE6" s="1314">
        <f t="shared" si="7"/>
        <v>-4.3410852713178329E-2</v>
      </c>
      <c r="AG6" s="1326">
        <v>42776</v>
      </c>
      <c r="AH6" s="1314">
        <v>9.1999999999999993</v>
      </c>
      <c r="AI6" s="1314">
        <f t="shared" si="8"/>
        <v>-9.35960591133006E-2</v>
      </c>
      <c r="AK6" s="1326">
        <v>42776</v>
      </c>
      <c r="AL6" s="1314">
        <v>0.14000000000000001</v>
      </c>
      <c r="AN6" s="1326">
        <v>42776</v>
      </c>
      <c r="AO6" s="1314">
        <v>-1.2</v>
      </c>
      <c r="AQ6" s="1326">
        <v>42776</v>
      </c>
      <c r="AR6" s="1327">
        <v>2.7</v>
      </c>
      <c r="AT6" s="1326">
        <v>42776</v>
      </c>
      <c r="AU6" s="1314">
        <v>1378.575</v>
      </c>
      <c r="AV6" s="1314">
        <f t="shared" si="9"/>
        <v>-1.3921653059501934E-2</v>
      </c>
      <c r="AX6" s="1314">
        <v>3.0055999999999998</v>
      </c>
      <c r="AY6" s="1314">
        <f t="shared" si="10"/>
        <v>-5.7887598822401083E-3</v>
      </c>
    </row>
    <row r="7" spans="1:52" x14ac:dyDescent="0.75">
      <c r="A7" s="1326">
        <v>42769</v>
      </c>
      <c r="B7" s="1314">
        <v>1367.2909999999999</v>
      </c>
      <c r="C7" s="1314">
        <f t="shared" si="0"/>
        <v>-8.1852637687467901E-3</v>
      </c>
      <c r="E7" s="1326">
        <v>42769</v>
      </c>
      <c r="F7" s="1314">
        <v>12.9</v>
      </c>
      <c r="G7" s="1314">
        <f t="shared" si="1"/>
        <v>-7.692307692307665E-3</v>
      </c>
      <c r="I7" s="1326">
        <v>42769</v>
      </c>
      <c r="J7" s="1314">
        <v>12.69</v>
      </c>
      <c r="K7" s="1314">
        <f t="shared" si="2"/>
        <v>-7.8186082877247584E-3</v>
      </c>
      <c r="M7" s="1326">
        <v>42769</v>
      </c>
      <c r="N7" s="1314">
        <v>10.97</v>
      </c>
      <c r="O7" s="1314">
        <f t="shared" si="3"/>
        <v>4.578754578754644E-3</v>
      </c>
      <c r="Q7" s="1326">
        <v>42769</v>
      </c>
      <c r="R7" s="1314">
        <v>21.48</v>
      </c>
      <c r="S7" s="1314">
        <f t="shared" si="4"/>
        <v>-1.7832647462277116E-2</v>
      </c>
      <c r="U7" s="1326">
        <v>42769</v>
      </c>
      <c r="V7" s="1314">
        <v>34.35</v>
      </c>
      <c r="W7" s="1314">
        <f t="shared" si="5"/>
        <v>2.2321428571428572E-2</v>
      </c>
      <c r="Y7" s="1326">
        <v>42769</v>
      </c>
      <c r="Z7" s="1314">
        <v>16.75</v>
      </c>
      <c r="AA7" s="1314">
        <f t="shared" si="6"/>
        <v>4.0372670807453326E-2</v>
      </c>
      <c r="AC7" s="1326">
        <v>42769</v>
      </c>
      <c r="AD7" s="1314">
        <v>12.91</v>
      </c>
      <c r="AE7" s="1314">
        <f t="shared" si="7"/>
        <v>4.6191247974068095E-2</v>
      </c>
      <c r="AG7" s="1326">
        <v>42769</v>
      </c>
      <c r="AH7" s="1314">
        <v>9.1999999999999993</v>
      </c>
      <c r="AI7" s="1314">
        <f t="shared" si="8"/>
        <v>0</v>
      </c>
      <c r="AK7" s="1326">
        <v>42769</v>
      </c>
      <c r="AL7" s="1314">
        <v>0.41</v>
      </c>
      <c r="AN7" s="1326">
        <v>42769</v>
      </c>
      <c r="AO7" s="1314">
        <v>-0.67</v>
      </c>
      <c r="AQ7" s="1326">
        <v>42769</v>
      </c>
      <c r="AR7" s="1327">
        <v>2.76</v>
      </c>
      <c r="AT7" s="1326">
        <v>42769</v>
      </c>
      <c r="AU7" s="1314">
        <v>1367.2909999999999</v>
      </c>
      <c r="AV7" s="1314">
        <f t="shared" si="9"/>
        <v>-8.1852637687467901E-3</v>
      </c>
      <c r="AX7" s="1314">
        <v>3.0901999999999998</v>
      </c>
      <c r="AY7" s="1314">
        <f t="shared" si="10"/>
        <v>2.8147458078253931E-2</v>
      </c>
    </row>
    <row r="8" spans="1:52" x14ac:dyDescent="0.75">
      <c r="A8" s="1326">
        <v>42762</v>
      </c>
      <c r="B8" s="1314">
        <v>1364.4870000000001</v>
      </c>
      <c r="C8" s="1314">
        <f t="shared" si="0"/>
        <v>-2.0507704651020597E-3</v>
      </c>
      <c r="E8" s="1326">
        <v>42762</v>
      </c>
      <c r="F8" s="1314">
        <v>12.25</v>
      </c>
      <c r="G8" s="1314">
        <f t="shared" si="1"/>
        <v>-5.0387596899224833E-2</v>
      </c>
      <c r="I8" s="1326">
        <v>42762</v>
      </c>
      <c r="J8" s="1314">
        <v>13.89</v>
      </c>
      <c r="K8" s="1314">
        <f t="shared" si="2"/>
        <v>9.4562647754137197E-2</v>
      </c>
      <c r="M8" s="1326">
        <v>42762</v>
      </c>
      <c r="N8" s="1314">
        <v>10.4</v>
      </c>
      <c r="O8" s="1314">
        <f t="shared" si="3"/>
        <v>-5.1959890610756634E-2</v>
      </c>
      <c r="Q8" s="1326">
        <v>42762</v>
      </c>
      <c r="R8" s="1314">
        <v>21.44</v>
      </c>
      <c r="S8" s="1314">
        <f t="shared" si="4"/>
        <v>-1.8621973929236102E-3</v>
      </c>
      <c r="U8" s="1326">
        <v>42762</v>
      </c>
      <c r="V8" s="1314">
        <v>33.700000000000003</v>
      </c>
      <c r="W8" s="1314">
        <f t="shared" si="5"/>
        <v>-1.8922852983988311E-2</v>
      </c>
      <c r="Y8" s="1326">
        <v>42762</v>
      </c>
      <c r="Z8" s="1314">
        <v>16.75</v>
      </c>
      <c r="AA8" s="1314">
        <f t="shared" si="6"/>
        <v>0</v>
      </c>
      <c r="AC8" s="1326">
        <v>42762</v>
      </c>
      <c r="AD8" s="1314">
        <v>12.08</v>
      </c>
      <c r="AE8" s="1314">
        <f t="shared" si="7"/>
        <v>-6.4291247095274992E-2</v>
      </c>
      <c r="AG8" s="1326">
        <v>42762</v>
      </c>
      <c r="AH8" s="1314">
        <v>9.0500000000000007</v>
      </c>
      <c r="AI8" s="1314">
        <f t="shared" si="8"/>
        <v>-1.6304347826086803E-2</v>
      </c>
      <c r="AK8" s="1326">
        <v>42762</v>
      </c>
      <c r="AL8" s="1314">
        <v>0.22</v>
      </c>
      <c r="AN8" s="1326">
        <v>42762</v>
      </c>
      <c r="AO8" s="1314">
        <v>0.59</v>
      </c>
      <c r="AQ8" s="1326">
        <v>42762</v>
      </c>
      <c r="AR8" s="1327">
        <v>2.75</v>
      </c>
      <c r="AT8" s="1326">
        <v>42762</v>
      </c>
      <c r="AU8" s="1314">
        <v>1364.4870000000001</v>
      </c>
      <c r="AV8" s="1314">
        <f t="shared" si="9"/>
        <v>-2.0507704651020597E-3</v>
      </c>
      <c r="AX8" s="1314">
        <v>3.0588000000000002</v>
      </c>
      <c r="AY8" s="1314">
        <f t="shared" si="10"/>
        <v>-1.0161154617823976E-2</v>
      </c>
    </row>
    <row r="9" spans="1:52" x14ac:dyDescent="0.75">
      <c r="A9" s="1326">
        <v>42755</v>
      </c>
      <c r="B9" s="1314">
        <v>1350.1030000000001</v>
      </c>
      <c r="C9" s="1314">
        <f t="shared" si="0"/>
        <v>-1.0541690759970607E-2</v>
      </c>
      <c r="E9" s="1326">
        <v>42755</v>
      </c>
      <c r="F9" s="1314">
        <v>11.8</v>
      </c>
      <c r="G9" s="1314">
        <f t="shared" si="1"/>
        <v>-3.6734693877550961E-2</v>
      </c>
      <c r="I9" s="1326">
        <v>42755</v>
      </c>
      <c r="J9" s="1314">
        <v>13.5</v>
      </c>
      <c r="K9" s="1314">
        <f t="shared" si="2"/>
        <v>-2.8077753779697665E-2</v>
      </c>
      <c r="M9" s="1326">
        <v>42755</v>
      </c>
      <c r="N9" s="1314">
        <v>10.08</v>
      </c>
      <c r="O9" s="1314">
        <f t="shared" si="3"/>
        <v>-3.0769230769230795E-2</v>
      </c>
      <c r="Q9" s="1326">
        <v>42755</v>
      </c>
      <c r="R9" s="1314">
        <v>20.61</v>
      </c>
      <c r="S9" s="1314">
        <f t="shared" si="4"/>
        <v>-3.8712686567164263E-2</v>
      </c>
      <c r="U9" s="1326">
        <v>42755</v>
      </c>
      <c r="V9" s="1314">
        <v>32.200000000000003</v>
      </c>
      <c r="W9" s="1314">
        <f t="shared" si="5"/>
        <v>-4.4510385756676554E-2</v>
      </c>
      <c r="Y9" s="1326">
        <v>42755</v>
      </c>
      <c r="Z9" s="1314">
        <v>16.55</v>
      </c>
      <c r="AA9" s="1314">
        <f t="shared" si="6"/>
        <v>-1.1940298507462643E-2</v>
      </c>
      <c r="AC9" s="1326">
        <v>42755</v>
      </c>
      <c r="AD9" s="1314">
        <v>11.26</v>
      </c>
      <c r="AE9" s="1314">
        <f t="shared" si="7"/>
        <v>-6.7880794701986782E-2</v>
      </c>
      <c r="AG9" s="1326">
        <v>42755</v>
      </c>
      <c r="AH9" s="1314">
        <v>8.75</v>
      </c>
      <c r="AI9" s="1314">
        <f t="shared" si="8"/>
        <v>-3.3149171270718307E-2</v>
      </c>
      <c r="AK9" s="1326">
        <v>42755</v>
      </c>
      <c r="AL9" s="1314">
        <v>-1.1299999999999999</v>
      </c>
      <c r="AN9" s="1326">
        <v>42755</v>
      </c>
      <c r="AO9" s="1314">
        <v>-0.15</v>
      </c>
      <c r="AQ9" s="1326">
        <v>42755</v>
      </c>
      <c r="AR9" s="1327">
        <v>2.72</v>
      </c>
      <c r="AT9" s="1326">
        <v>42755</v>
      </c>
      <c r="AU9" s="1314">
        <v>1350.1030000000001</v>
      </c>
      <c r="AV9" s="1314">
        <f t="shared" si="9"/>
        <v>-1.0541690759970607E-2</v>
      </c>
      <c r="AX9" s="1314">
        <v>3.0488</v>
      </c>
      <c r="AY9" s="1314">
        <f t="shared" si="10"/>
        <v>-3.2692559173532858E-3</v>
      </c>
    </row>
    <row r="10" spans="1:52" x14ac:dyDescent="0.75">
      <c r="A10" s="1326">
        <v>42748</v>
      </c>
      <c r="B10" s="1314">
        <v>1353.8989999999999</v>
      </c>
      <c r="C10" s="1314">
        <f t="shared" si="0"/>
        <v>2.8116373343365815E-3</v>
      </c>
      <c r="E10" s="1326">
        <v>42748</v>
      </c>
      <c r="F10" s="1314">
        <v>11.95</v>
      </c>
      <c r="G10" s="1314">
        <f t="shared" si="1"/>
        <v>1.271186440677954E-2</v>
      </c>
      <c r="I10" s="1326">
        <v>42748</v>
      </c>
      <c r="J10" s="1314">
        <v>13.94</v>
      </c>
      <c r="K10" s="1314">
        <f t="shared" si="2"/>
        <v>3.2592592592592555E-2</v>
      </c>
      <c r="M10" s="1326">
        <v>42748</v>
      </c>
      <c r="N10" s="1314">
        <v>10.5</v>
      </c>
      <c r="O10" s="1314">
        <f t="shared" si="3"/>
        <v>4.1666666666666657E-2</v>
      </c>
      <c r="Q10" s="1326">
        <v>42748</v>
      </c>
      <c r="R10" s="1314">
        <v>22.89</v>
      </c>
      <c r="S10" s="1314">
        <f t="shared" si="4"/>
        <v>0.11062590975254737</v>
      </c>
      <c r="U10" s="1326">
        <v>42748</v>
      </c>
      <c r="V10" s="1314">
        <v>32.9</v>
      </c>
      <c r="W10" s="1314">
        <f t="shared" si="5"/>
        <v>2.1739130434782473E-2</v>
      </c>
      <c r="Y10" s="1326">
        <v>42748</v>
      </c>
      <c r="Z10" s="1314">
        <v>16.8</v>
      </c>
      <c r="AA10" s="1314">
        <f t="shared" si="6"/>
        <v>1.5105740181268881E-2</v>
      </c>
      <c r="AC10" s="1326">
        <v>42748</v>
      </c>
      <c r="AD10" s="1314">
        <v>11.61</v>
      </c>
      <c r="AE10" s="1314">
        <f t="shared" si="7"/>
        <v>3.1083481349911159E-2</v>
      </c>
      <c r="AG10" s="1326">
        <v>42748</v>
      </c>
      <c r="AH10" s="1314">
        <v>9.35</v>
      </c>
      <c r="AI10" s="1314">
        <f t="shared" si="8"/>
        <v>6.8571428571428533E-2</v>
      </c>
      <c r="AK10" s="1326">
        <v>42748</v>
      </c>
      <c r="AL10" s="1314">
        <v>0.47</v>
      </c>
      <c r="AN10" s="1326">
        <v>42748</v>
      </c>
      <c r="AO10" s="1314">
        <v>-1.04</v>
      </c>
      <c r="AQ10" s="1326">
        <v>42748</v>
      </c>
      <c r="AR10" s="1327">
        <v>2.71</v>
      </c>
      <c r="AT10" s="1326">
        <v>42748</v>
      </c>
      <c r="AU10" s="1314">
        <v>1353.8989999999999</v>
      </c>
      <c r="AV10" s="1314">
        <f t="shared" si="9"/>
        <v>2.8116373343365815E-3</v>
      </c>
      <c r="AX10" s="1314">
        <v>2.9885999999999999</v>
      </c>
      <c r="AY10" s="1314">
        <f t="shared" si="10"/>
        <v>-1.9745473628968786E-2</v>
      </c>
    </row>
    <row r="11" spans="1:52" x14ac:dyDescent="0.75">
      <c r="A11" s="1326">
        <v>42741</v>
      </c>
      <c r="B11" s="1314">
        <v>1354.0519999999999</v>
      </c>
      <c r="C11" s="1314">
        <f t="shared" si="0"/>
        <v>1.1300695251272068E-4</v>
      </c>
      <c r="E11" s="1326">
        <v>42741</v>
      </c>
      <c r="F11" s="1314">
        <v>11.7</v>
      </c>
      <c r="G11" s="1314">
        <f t="shared" si="1"/>
        <v>-2.0920502092050212E-2</v>
      </c>
      <c r="I11" s="1326">
        <v>42741</v>
      </c>
      <c r="J11" s="1314">
        <v>13.8</v>
      </c>
      <c r="K11" s="1314">
        <f t="shared" si="2"/>
        <v>-1.0043041606886571E-2</v>
      </c>
      <c r="M11" s="1326">
        <v>42741</v>
      </c>
      <c r="N11" s="1314">
        <v>10.62</v>
      </c>
      <c r="O11" s="1314">
        <f t="shared" si="3"/>
        <v>1.1428571428571354E-2</v>
      </c>
      <c r="Q11" s="1326">
        <v>42741</v>
      </c>
      <c r="R11" s="1314">
        <v>20.89</v>
      </c>
      <c r="S11" s="1314">
        <f t="shared" si="4"/>
        <v>-8.737439930100481E-2</v>
      </c>
      <c r="U11" s="1326">
        <v>42741</v>
      </c>
      <c r="V11" s="1314">
        <v>31.8</v>
      </c>
      <c r="W11" s="1314">
        <f t="shared" si="5"/>
        <v>-3.3434650455926987E-2</v>
      </c>
      <c r="Y11" s="1326">
        <v>42741</v>
      </c>
      <c r="Z11" s="1314">
        <v>16.2</v>
      </c>
      <c r="AA11" s="1314">
        <f t="shared" si="6"/>
        <v>-3.5714285714285796E-2</v>
      </c>
      <c r="AC11" s="1326">
        <v>42741</v>
      </c>
      <c r="AD11" s="1314">
        <v>11.15</v>
      </c>
      <c r="AE11" s="1314">
        <f t="shared" si="7"/>
        <v>-3.9621016365202336E-2</v>
      </c>
      <c r="AG11" s="1326">
        <v>42741</v>
      </c>
      <c r="AH11" s="1314">
        <v>8.3000000000000007</v>
      </c>
      <c r="AI11" s="1314">
        <f t="shared" si="8"/>
        <v>-0.1122994652406416</v>
      </c>
      <c r="AK11" s="1326">
        <v>42741</v>
      </c>
      <c r="AL11" s="1314">
        <v>-0.57999999999999996</v>
      </c>
      <c r="AN11" s="1326">
        <v>42741</v>
      </c>
      <c r="AO11" s="1314">
        <v>-1.25</v>
      </c>
      <c r="AQ11" s="1326">
        <v>42741</v>
      </c>
      <c r="AR11" s="1327">
        <v>2.75</v>
      </c>
      <c r="AT11" s="1326">
        <v>42741</v>
      </c>
      <c r="AU11" s="1314">
        <v>1354.0519999999999</v>
      </c>
      <c r="AV11" s="1314">
        <f t="shared" si="9"/>
        <v>1.1300695251272068E-4</v>
      </c>
      <c r="AX11" s="1314">
        <v>3.0087999999999999</v>
      </c>
      <c r="AY11" s="1314">
        <f t="shared" si="10"/>
        <v>6.7590176002141457E-3</v>
      </c>
    </row>
    <row r="12" spans="1:52" x14ac:dyDescent="0.75">
      <c r="A12" s="1326">
        <v>42734</v>
      </c>
      <c r="B12" s="1314">
        <v>1331.7170000000001</v>
      </c>
      <c r="C12" s="1314">
        <f t="shared" si="0"/>
        <v>-1.649493520189757E-2</v>
      </c>
      <c r="E12" s="1326">
        <v>42734</v>
      </c>
      <c r="F12" s="1314">
        <v>11.9</v>
      </c>
      <c r="G12" s="1314">
        <f t="shared" si="1"/>
        <v>1.7094017094017186E-2</v>
      </c>
      <c r="I12" s="1326">
        <v>42734</v>
      </c>
      <c r="J12" s="1314">
        <v>13.77</v>
      </c>
      <c r="K12" s="1314">
        <f t="shared" si="2"/>
        <v>-2.1739130434783433E-3</v>
      </c>
      <c r="M12" s="1326">
        <v>42734</v>
      </c>
      <c r="N12" s="1314">
        <v>10.78</v>
      </c>
      <c r="O12" s="1314">
        <f t="shared" si="3"/>
        <v>1.5065913370998132E-2</v>
      </c>
      <c r="Q12" s="1326">
        <v>42734</v>
      </c>
      <c r="R12" s="1314">
        <v>21.27</v>
      </c>
      <c r="S12" s="1314">
        <f t="shared" si="4"/>
        <v>1.8190521780756294E-2</v>
      </c>
      <c r="U12" s="1326">
        <v>42734</v>
      </c>
      <c r="V12" s="1314">
        <v>31.55</v>
      </c>
      <c r="W12" s="1314">
        <f t="shared" si="5"/>
        <v>-7.8616352201257862E-3</v>
      </c>
      <c r="Y12" s="1326">
        <v>42734</v>
      </c>
      <c r="Z12" s="1314">
        <v>16.2</v>
      </c>
      <c r="AA12" s="1314">
        <f t="shared" si="6"/>
        <v>0</v>
      </c>
      <c r="AC12" s="1326">
        <v>42734</v>
      </c>
      <c r="AD12" s="1314">
        <v>11.44</v>
      </c>
      <c r="AE12" s="1314">
        <f t="shared" si="7"/>
        <v>2.6008968609865395E-2</v>
      </c>
      <c r="AG12" s="1326">
        <v>42734</v>
      </c>
      <c r="AH12" s="1314">
        <v>8.6999999999999993</v>
      </c>
      <c r="AI12" s="1314">
        <f t="shared" si="8"/>
        <v>4.8192771084337171E-2</v>
      </c>
      <c r="AK12" s="1326">
        <v>42734</v>
      </c>
      <c r="AL12" s="1314">
        <v>-0.11</v>
      </c>
      <c r="AN12" s="1326">
        <v>42734</v>
      </c>
      <c r="AO12" s="1314">
        <v>0.13</v>
      </c>
      <c r="AQ12" s="1326">
        <v>42734</v>
      </c>
      <c r="AR12" s="1327">
        <v>2.79</v>
      </c>
      <c r="AT12" s="1326">
        <v>42734</v>
      </c>
      <c r="AU12" s="1314">
        <v>1331.7170000000001</v>
      </c>
      <c r="AV12" s="1314">
        <f t="shared" si="9"/>
        <v>-1.649493520189757E-2</v>
      </c>
      <c r="AX12" s="1314">
        <v>3.0651000000000002</v>
      </c>
      <c r="AY12" s="1314">
        <f t="shared" si="10"/>
        <v>1.8711778782238845E-2</v>
      </c>
    </row>
    <row r="13" spans="1:52" x14ac:dyDescent="0.75">
      <c r="A13" s="1326">
        <v>42727</v>
      </c>
      <c r="B13" s="1314">
        <v>1346.2809999999999</v>
      </c>
      <c r="C13" s="1314">
        <f t="shared" si="0"/>
        <v>1.0936257478127747E-2</v>
      </c>
      <c r="E13" s="1326">
        <v>42727</v>
      </c>
      <c r="F13" s="1314">
        <v>11.9</v>
      </c>
      <c r="G13" s="1314">
        <f t="shared" si="1"/>
        <v>0</v>
      </c>
      <c r="I13" s="1326">
        <v>42727</v>
      </c>
      <c r="J13" s="1314">
        <v>14.23</v>
      </c>
      <c r="K13" s="1314">
        <f t="shared" si="2"/>
        <v>3.3405954974582486E-2</v>
      </c>
      <c r="M13" s="1326">
        <v>42727</v>
      </c>
      <c r="N13" s="1314">
        <v>10.4</v>
      </c>
      <c r="O13" s="1314">
        <f t="shared" si="3"/>
        <v>-3.52504638218923E-2</v>
      </c>
      <c r="Q13" s="1326">
        <v>42727</v>
      </c>
      <c r="R13" s="1314">
        <v>22.48</v>
      </c>
      <c r="S13" s="1314">
        <f t="shared" si="4"/>
        <v>5.6887635166901783E-2</v>
      </c>
      <c r="U13" s="1326">
        <v>42727</v>
      </c>
      <c r="V13" s="1314">
        <v>32.25</v>
      </c>
      <c r="W13" s="1314">
        <f t="shared" si="5"/>
        <v>2.2187004754358138E-2</v>
      </c>
      <c r="Y13" s="1326">
        <v>42727</v>
      </c>
      <c r="Z13" s="1314">
        <v>16.45</v>
      </c>
      <c r="AA13" s="1314">
        <f t="shared" si="6"/>
        <v>1.54320987654321E-2</v>
      </c>
      <c r="AC13" s="1326">
        <v>42727</v>
      </c>
      <c r="AD13" s="1314">
        <v>11.695</v>
      </c>
      <c r="AE13" s="1314">
        <f t="shared" si="7"/>
        <v>2.2290209790209861E-2</v>
      </c>
      <c r="AG13" s="1326">
        <v>42727</v>
      </c>
      <c r="AH13" s="1314">
        <v>8.75</v>
      </c>
      <c r="AI13" s="1314">
        <f t="shared" si="8"/>
        <v>5.7471264367816915E-3</v>
      </c>
      <c r="AK13" s="1326">
        <v>42727</v>
      </c>
      <c r="AL13" s="1314">
        <v>0.17</v>
      </c>
      <c r="AN13" s="1326">
        <v>42727</v>
      </c>
      <c r="AO13" s="1314">
        <v>0.71</v>
      </c>
      <c r="AQ13" s="1326">
        <v>42727</v>
      </c>
      <c r="AR13" s="1327">
        <v>2.84</v>
      </c>
      <c r="AT13" s="1326">
        <v>42727</v>
      </c>
      <c r="AU13" s="1314">
        <v>1346.2809999999999</v>
      </c>
      <c r="AV13" s="1314">
        <f t="shared" si="9"/>
        <v>1.0936257478127747E-2</v>
      </c>
      <c r="AX13" s="1314">
        <v>3.1137999999999999</v>
      </c>
      <c r="AY13" s="1314">
        <f t="shared" si="10"/>
        <v>1.5888551760138248E-2</v>
      </c>
    </row>
    <row r="14" spans="1:52" x14ac:dyDescent="0.75">
      <c r="A14" s="1326">
        <v>42720</v>
      </c>
      <c r="B14" s="1314">
        <v>1342.6859999999999</v>
      </c>
      <c r="C14" s="1314">
        <f t="shared" si="0"/>
        <v>-2.6703191978495037E-3</v>
      </c>
      <c r="E14" s="1326">
        <v>42720</v>
      </c>
      <c r="F14" s="1314">
        <v>11.7</v>
      </c>
      <c r="G14" s="1314">
        <f t="shared" si="1"/>
        <v>-1.680672268907572E-2</v>
      </c>
      <c r="I14" s="1326">
        <v>42720</v>
      </c>
      <c r="J14" s="1314">
        <v>13.9</v>
      </c>
      <c r="K14" s="1314">
        <f t="shared" si="2"/>
        <v>-2.3190442726633877E-2</v>
      </c>
      <c r="M14" s="1326">
        <v>42720</v>
      </c>
      <c r="N14" s="1314">
        <v>10.37</v>
      </c>
      <c r="O14" s="1314">
        <f t="shared" si="3"/>
        <v>-2.8846153846154936E-3</v>
      </c>
      <c r="Q14" s="1326">
        <v>42720</v>
      </c>
      <c r="R14" s="1314">
        <v>22.32</v>
      </c>
      <c r="S14" s="1314">
        <f t="shared" si="4"/>
        <v>-7.1174377224199354E-3</v>
      </c>
      <c r="U14" s="1326">
        <v>42720</v>
      </c>
      <c r="V14" s="1314">
        <v>32.200000000000003</v>
      </c>
      <c r="W14" s="1314">
        <f t="shared" si="5"/>
        <v>-1.5503875968991367E-3</v>
      </c>
      <c r="Y14" s="1326">
        <v>42720</v>
      </c>
      <c r="Z14" s="1314">
        <v>15.85</v>
      </c>
      <c r="AA14" s="1314">
        <f t="shared" si="6"/>
        <v>-3.6474164133738579E-2</v>
      </c>
      <c r="AC14" s="1326">
        <v>42720</v>
      </c>
      <c r="AD14" s="1314">
        <v>11</v>
      </c>
      <c r="AE14" s="1314">
        <f t="shared" si="7"/>
        <v>-5.9427105600684073E-2</v>
      </c>
      <c r="AG14" s="1326">
        <v>42720</v>
      </c>
      <c r="AH14" s="1314">
        <v>8.85</v>
      </c>
      <c r="AI14" s="1314">
        <f t="shared" si="8"/>
        <v>1.1428571428571389E-2</v>
      </c>
      <c r="AK14" s="1326">
        <v>42720</v>
      </c>
      <c r="AL14" s="1314">
        <v>-1.37</v>
      </c>
      <c r="AN14" s="1326">
        <v>42720</v>
      </c>
      <c r="AO14" s="1314">
        <v>-0.84</v>
      </c>
      <c r="AQ14" s="1326">
        <v>42720</v>
      </c>
      <c r="AR14" s="1327">
        <v>2.83</v>
      </c>
      <c r="AT14" s="1326">
        <v>42720</v>
      </c>
      <c r="AU14" s="1314">
        <v>1342.6859999999999</v>
      </c>
      <c r="AV14" s="1314">
        <f t="shared" si="9"/>
        <v>-2.6703191978495037E-3</v>
      </c>
      <c r="AX14" s="1314">
        <v>3.1741000000000001</v>
      </c>
      <c r="AY14" s="1314">
        <f t="shared" si="10"/>
        <v>1.936540561371965E-2</v>
      </c>
    </row>
    <row r="15" spans="1:52" x14ac:dyDescent="0.75">
      <c r="A15" s="1326">
        <v>42713</v>
      </c>
      <c r="B15" s="1314">
        <v>1346.952</v>
      </c>
      <c r="C15" s="1314">
        <f t="shared" si="0"/>
        <v>3.1772134363507749E-3</v>
      </c>
      <c r="E15" s="1326">
        <v>42713</v>
      </c>
      <c r="F15" s="1314">
        <v>11.9</v>
      </c>
      <c r="G15" s="1314">
        <f t="shared" si="1"/>
        <v>1.7094017094017186E-2</v>
      </c>
      <c r="I15" s="1326">
        <v>42713</v>
      </c>
      <c r="J15" s="1314">
        <v>14.27</v>
      </c>
      <c r="K15" s="1314">
        <f t="shared" si="2"/>
        <v>2.6618705035971166E-2</v>
      </c>
      <c r="M15" s="1326">
        <v>42713</v>
      </c>
      <c r="N15" s="1314">
        <v>10.4</v>
      </c>
      <c r="O15" s="1314">
        <f t="shared" si="3"/>
        <v>2.892960462873784E-3</v>
      </c>
      <c r="Q15" s="1326">
        <v>42713</v>
      </c>
      <c r="R15" s="1314">
        <v>22.99</v>
      </c>
      <c r="S15" s="1314">
        <f t="shared" si="4"/>
        <v>3.0017921146953321E-2</v>
      </c>
      <c r="U15" s="1326">
        <v>42713</v>
      </c>
      <c r="V15" s="1314">
        <v>31.9</v>
      </c>
      <c r="W15" s="1314">
        <f t="shared" si="5"/>
        <v>-9.3167701863355358E-3</v>
      </c>
      <c r="Y15" s="1326">
        <v>42713</v>
      </c>
      <c r="Z15" s="1314">
        <v>16.05</v>
      </c>
      <c r="AA15" s="1314">
        <f t="shared" si="6"/>
        <v>1.2618296529968522E-2</v>
      </c>
      <c r="AC15" s="1326">
        <v>42713</v>
      </c>
      <c r="AD15" s="1314">
        <v>11.43</v>
      </c>
      <c r="AE15" s="1314">
        <f t="shared" si="7"/>
        <v>3.9090909090909065E-2</v>
      </c>
      <c r="AG15" s="1326">
        <v>42713</v>
      </c>
      <c r="AH15" s="1314">
        <v>8.65</v>
      </c>
      <c r="AI15" s="1314">
        <f t="shared" si="8"/>
        <v>-2.2598870056497095E-2</v>
      </c>
      <c r="AK15" s="1326">
        <v>42713</v>
      </c>
      <c r="AL15" s="1314">
        <v>1.99</v>
      </c>
      <c r="AN15" s="1326">
        <v>42713</v>
      </c>
      <c r="AO15" s="1314">
        <v>1.86</v>
      </c>
      <c r="AQ15" s="1326">
        <v>42713</v>
      </c>
      <c r="AR15" s="1327">
        <v>2.74</v>
      </c>
      <c r="AT15" s="1326">
        <v>42713</v>
      </c>
      <c r="AU15" s="1314">
        <v>1346.952</v>
      </c>
      <c r="AV15" s="1314">
        <f t="shared" si="9"/>
        <v>3.1772134363507749E-3</v>
      </c>
      <c r="AX15" s="1314">
        <v>3.1528999999999998</v>
      </c>
      <c r="AY15" s="1314">
        <f t="shared" si="10"/>
        <v>-6.6790586307930843E-3</v>
      </c>
    </row>
    <row r="16" spans="1:52" x14ac:dyDescent="0.75">
      <c r="A16" s="1326">
        <v>42706</v>
      </c>
      <c r="B16" s="1314">
        <v>1303.5809999999999</v>
      </c>
      <c r="C16" s="1314">
        <f t="shared" si="0"/>
        <v>-3.2199365678955219E-2</v>
      </c>
      <c r="E16" s="1326">
        <v>42706</v>
      </c>
      <c r="F16" s="1314">
        <v>11.15</v>
      </c>
      <c r="G16" s="1314">
        <f t="shared" si="1"/>
        <v>-6.3025210084033612E-2</v>
      </c>
      <c r="I16" s="1326">
        <v>42706</v>
      </c>
      <c r="J16" s="1314">
        <v>12.76</v>
      </c>
      <c r="K16" s="1314">
        <f t="shared" si="2"/>
        <v>-0.10581639803784161</v>
      </c>
      <c r="M16" s="1326">
        <v>42706</v>
      </c>
      <c r="N16" s="1314">
        <v>9.67</v>
      </c>
      <c r="O16" s="1314">
        <f t="shared" si="3"/>
        <v>-7.0192307692307734E-2</v>
      </c>
      <c r="Q16" s="1326">
        <v>42706</v>
      </c>
      <c r="R16" s="1314">
        <v>20.079999999999998</v>
      </c>
      <c r="S16" s="1314">
        <f t="shared" si="4"/>
        <v>-0.12657677250978688</v>
      </c>
      <c r="U16" s="1326">
        <v>42706</v>
      </c>
      <c r="V16" s="1314">
        <v>30.3</v>
      </c>
      <c r="W16" s="1314">
        <f t="shared" si="5"/>
        <v>-5.0156739811912161E-2</v>
      </c>
      <c r="Y16" s="1326">
        <v>42706</v>
      </c>
      <c r="Z16" s="1314">
        <v>15</v>
      </c>
      <c r="AA16" s="1314">
        <f t="shared" si="6"/>
        <v>-6.5420560747663586E-2</v>
      </c>
      <c r="AC16" s="1326">
        <v>42706</v>
      </c>
      <c r="AD16" s="1314">
        <v>10.73</v>
      </c>
      <c r="AE16" s="1314">
        <f t="shared" si="7"/>
        <v>-6.1242344706911575E-2</v>
      </c>
      <c r="AG16" s="1326">
        <v>42706</v>
      </c>
      <c r="AH16" s="1314">
        <v>6.2</v>
      </c>
      <c r="AI16" s="1314">
        <f t="shared" si="8"/>
        <v>-0.2832369942196532</v>
      </c>
      <c r="AK16" s="1326">
        <v>42706</v>
      </c>
      <c r="AL16" s="1314">
        <v>-2.14</v>
      </c>
      <c r="AN16" s="1326">
        <v>42706</v>
      </c>
      <c r="AO16" s="1314">
        <v>3.89</v>
      </c>
      <c r="AQ16" s="1326">
        <v>42706</v>
      </c>
      <c r="AR16" s="1327">
        <v>2.73</v>
      </c>
      <c r="AT16" s="1326">
        <v>42706</v>
      </c>
      <c r="AU16" s="1314">
        <v>1303.5809999999999</v>
      </c>
      <c r="AV16" s="1314">
        <f t="shared" si="9"/>
        <v>-3.2199365678955219E-2</v>
      </c>
      <c r="AX16" s="1314">
        <v>3.0615000000000001</v>
      </c>
      <c r="AY16" s="1314">
        <f t="shared" si="10"/>
        <v>-2.8989184560246031E-2</v>
      </c>
    </row>
    <row r="17" spans="1:51" x14ac:dyDescent="0.75">
      <c r="A17" s="1326">
        <v>42699</v>
      </c>
      <c r="B17" s="1314">
        <v>1318.5550000000001</v>
      </c>
      <c r="C17" s="1314">
        <f t="shared" si="0"/>
        <v>1.1486819768008402E-2</v>
      </c>
      <c r="E17" s="1326">
        <v>42699</v>
      </c>
      <c r="F17" s="1314">
        <v>12</v>
      </c>
      <c r="G17" s="1314">
        <f t="shared" si="1"/>
        <v>7.6233183856502212E-2</v>
      </c>
      <c r="I17" s="1326">
        <v>42699</v>
      </c>
      <c r="J17" s="1314">
        <v>13.71</v>
      </c>
      <c r="K17" s="1314">
        <f t="shared" si="2"/>
        <v>7.4451410658307293E-2</v>
      </c>
      <c r="M17" s="1326">
        <v>42699</v>
      </c>
      <c r="N17" s="1314">
        <v>10.15</v>
      </c>
      <c r="O17" s="1314">
        <f t="shared" si="3"/>
        <v>4.9638055842812868E-2</v>
      </c>
      <c r="Q17" s="1326">
        <v>42699</v>
      </c>
      <c r="R17" s="1314">
        <v>22.9</v>
      </c>
      <c r="S17" s="1314">
        <f t="shared" si="4"/>
        <v>0.14043824701195221</v>
      </c>
      <c r="U17" s="1326">
        <v>42699</v>
      </c>
      <c r="V17" s="1314">
        <v>28.3</v>
      </c>
      <c r="W17" s="1314">
        <f t="shared" si="5"/>
        <v>-6.6006600660066E-2</v>
      </c>
      <c r="Y17" s="1326">
        <v>42699</v>
      </c>
      <c r="Z17" s="1314">
        <v>15.15</v>
      </c>
      <c r="AA17" s="1314">
        <f t="shared" si="6"/>
        <v>1.0000000000000024E-2</v>
      </c>
      <c r="AC17" s="1326">
        <v>42699</v>
      </c>
      <c r="AD17" s="1314">
        <v>11.27</v>
      </c>
      <c r="AE17" s="1314">
        <f t="shared" si="7"/>
        <v>5.0326188257222661E-2</v>
      </c>
      <c r="AG17" s="1326">
        <v>42699</v>
      </c>
      <c r="AH17" s="1314">
        <v>6.8</v>
      </c>
      <c r="AI17" s="1314">
        <f t="shared" si="8"/>
        <v>9.6774193548387039E-2</v>
      </c>
      <c r="AK17" s="1326">
        <v>42699</v>
      </c>
      <c r="AL17" s="1314">
        <v>0.81</v>
      </c>
      <c r="AN17" s="1326">
        <v>42699</v>
      </c>
      <c r="AO17" s="1314">
        <v>0.62</v>
      </c>
      <c r="AQ17" s="1326">
        <v>42699</v>
      </c>
      <c r="AR17" s="1327">
        <v>2.72</v>
      </c>
      <c r="AT17" s="1326">
        <v>42699</v>
      </c>
      <c r="AU17" s="1314">
        <v>1318.5550000000001</v>
      </c>
      <c r="AV17" s="1314">
        <f t="shared" si="9"/>
        <v>1.1486819768008402E-2</v>
      </c>
      <c r="AX17" s="1314">
        <v>3.0045000000000002</v>
      </c>
      <c r="AY17" s="1314">
        <f t="shared" si="10"/>
        <v>-1.8618324350808405E-2</v>
      </c>
    </row>
    <row r="18" spans="1:51" x14ac:dyDescent="0.75">
      <c r="A18" s="1326">
        <v>42692</v>
      </c>
      <c r="B18" s="1314">
        <v>1298.2049999999999</v>
      </c>
      <c r="C18" s="1314">
        <f t="shared" si="0"/>
        <v>-1.5433561739935108E-2</v>
      </c>
      <c r="E18" s="1326">
        <v>42692</v>
      </c>
      <c r="F18" s="1314">
        <v>12</v>
      </c>
      <c r="G18" s="1314">
        <f t="shared" si="1"/>
        <v>0</v>
      </c>
      <c r="I18" s="1326">
        <v>42692</v>
      </c>
      <c r="J18" s="1314">
        <v>13.48</v>
      </c>
      <c r="K18" s="1314">
        <f t="shared" si="2"/>
        <v>-1.6776075857038688E-2</v>
      </c>
      <c r="M18" s="1326">
        <v>42692</v>
      </c>
      <c r="N18" s="1314">
        <v>9.94</v>
      </c>
      <c r="O18" s="1314">
        <f t="shared" si="3"/>
        <v>-2.0689655172413876E-2</v>
      </c>
      <c r="Q18" s="1326">
        <v>42692</v>
      </c>
      <c r="R18" s="1314">
        <v>22.65</v>
      </c>
      <c r="S18" s="1314">
        <f t="shared" si="4"/>
        <v>-1.0917030567685591E-2</v>
      </c>
      <c r="U18" s="1326">
        <v>42692</v>
      </c>
      <c r="V18" s="1314">
        <v>27.75</v>
      </c>
      <c r="W18" s="1314">
        <f t="shared" si="5"/>
        <v>-1.9434628975265041E-2</v>
      </c>
      <c r="Y18" s="1326">
        <v>42692</v>
      </c>
      <c r="Z18" s="1314">
        <v>14.9</v>
      </c>
      <c r="AA18" s="1314">
        <f t="shared" si="6"/>
        <v>-1.65016501650165E-2</v>
      </c>
      <c r="AC18" s="1326">
        <v>42692</v>
      </c>
      <c r="AD18" s="1314">
        <v>10.88</v>
      </c>
      <c r="AE18" s="1314">
        <f t="shared" si="7"/>
        <v>-3.4605146406388537E-2</v>
      </c>
      <c r="AG18" s="1326">
        <v>42692</v>
      </c>
      <c r="AH18" s="1314">
        <v>6.7</v>
      </c>
      <c r="AI18" s="1314">
        <f t="shared" si="8"/>
        <v>-1.4705882352941124E-2</v>
      </c>
      <c r="AK18" s="1326">
        <v>42692</v>
      </c>
      <c r="AL18" s="1314">
        <v>1.01</v>
      </c>
      <c r="AN18" s="1326">
        <v>42692</v>
      </c>
      <c r="AO18" s="1314">
        <v>1.38</v>
      </c>
      <c r="AQ18" s="1326">
        <v>42692</v>
      </c>
      <c r="AR18" s="1327">
        <v>2.62</v>
      </c>
      <c r="AT18" s="1326">
        <v>42692</v>
      </c>
      <c r="AU18" s="1314">
        <v>1298.2049999999999</v>
      </c>
      <c r="AV18" s="1314">
        <f t="shared" si="9"/>
        <v>-1.5433561739935108E-2</v>
      </c>
      <c r="AX18" s="1314">
        <v>3.0295999999999998</v>
      </c>
      <c r="AY18" s="1314">
        <f t="shared" si="10"/>
        <v>8.354135463471352E-3</v>
      </c>
    </row>
    <row r="19" spans="1:51" x14ac:dyDescent="0.75">
      <c r="A19" s="1326">
        <v>42685</v>
      </c>
      <c r="B19" s="1314">
        <v>1283.9390000000001</v>
      </c>
      <c r="C19" s="1314">
        <f t="shared" si="0"/>
        <v>-1.0989019453784148E-2</v>
      </c>
      <c r="E19" s="1326">
        <v>42685</v>
      </c>
      <c r="F19" s="1314">
        <v>10.6</v>
      </c>
      <c r="G19" s="1314">
        <f t="shared" si="1"/>
        <v>-0.1166666666666667</v>
      </c>
      <c r="I19" s="1326">
        <v>42685</v>
      </c>
      <c r="J19" s="1314">
        <v>12.91</v>
      </c>
      <c r="K19" s="1314">
        <f t="shared" si="2"/>
        <v>-4.2284866468842747E-2</v>
      </c>
      <c r="M19" s="1326">
        <v>42685</v>
      </c>
      <c r="N19" s="1314">
        <v>9.51</v>
      </c>
      <c r="O19" s="1314">
        <f t="shared" si="3"/>
        <v>-4.3259557344064357E-2</v>
      </c>
      <c r="Q19" s="1326">
        <v>42685</v>
      </c>
      <c r="R19" s="1314">
        <v>21</v>
      </c>
      <c r="S19" s="1314">
        <f t="shared" si="4"/>
        <v>-7.284768211920524E-2</v>
      </c>
      <c r="U19" s="1326">
        <v>42685</v>
      </c>
      <c r="V19" s="1314">
        <v>26.3</v>
      </c>
      <c r="W19" s="1314">
        <f t="shared" si="5"/>
        <v>-5.2252252252252225E-2</v>
      </c>
      <c r="Y19" s="1326">
        <v>42685</v>
      </c>
      <c r="Z19" s="1314">
        <v>14.75</v>
      </c>
      <c r="AA19" s="1314">
        <f t="shared" si="6"/>
        <v>-1.0067114093959755E-2</v>
      </c>
      <c r="AC19" s="1326">
        <v>42685</v>
      </c>
      <c r="AD19" s="1314">
        <v>10.55</v>
      </c>
      <c r="AE19" s="1314">
        <f t="shared" si="7"/>
        <v>-3.033088235294118E-2</v>
      </c>
      <c r="AG19" s="1326">
        <v>42685</v>
      </c>
      <c r="AH19" s="1314">
        <v>6.65</v>
      </c>
      <c r="AI19" s="1314">
        <f t="shared" si="8"/>
        <v>-7.4626865671641521E-3</v>
      </c>
      <c r="AK19" s="1326">
        <v>42685</v>
      </c>
      <c r="AL19" s="1314">
        <v>6.02</v>
      </c>
      <c r="AN19" s="1326">
        <v>42685</v>
      </c>
      <c r="AO19" s="1314">
        <v>2.5299999999999998</v>
      </c>
      <c r="AQ19" s="1326">
        <v>42685</v>
      </c>
      <c r="AR19" s="1327">
        <v>2.44</v>
      </c>
      <c r="AT19" s="1326">
        <v>42685</v>
      </c>
      <c r="AU19" s="1314">
        <v>1283.9390000000001</v>
      </c>
      <c r="AV19" s="1314">
        <f t="shared" si="9"/>
        <v>-1.0989019453784148E-2</v>
      </c>
      <c r="AX19" s="1314">
        <v>2.9350000000000001</v>
      </c>
      <c r="AY19" s="1314">
        <f t="shared" si="10"/>
        <v>-3.1225244256667482E-2</v>
      </c>
    </row>
    <row r="20" spans="1:51" x14ac:dyDescent="0.75">
      <c r="A20" s="1326">
        <v>42678</v>
      </c>
      <c r="B20" s="1314">
        <v>1230.73</v>
      </c>
      <c r="C20" s="1314">
        <f t="shared" si="0"/>
        <v>-4.1441999970403626E-2</v>
      </c>
      <c r="E20" s="1326">
        <v>42678</v>
      </c>
      <c r="F20" s="1314">
        <v>10.15</v>
      </c>
      <c r="G20" s="1314">
        <f t="shared" si="1"/>
        <v>-4.245283018867918E-2</v>
      </c>
      <c r="I20" s="1326">
        <v>42678</v>
      </c>
      <c r="J20" s="1314">
        <v>11.93</v>
      </c>
      <c r="K20" s="1314">
        <f t="shared" si="2"/>
        <v>-7.5910147172734352E-2</v>
      </c>
      <c r="M20" s="1326">
        <v>42678</v>
      </c>
      <c r="N20" s="1314">
        <v>8.74</v>
      </c>
      <c r="O20" s="1314">
        <f t="shared" si="3"/>
        <v>-8.0967402733964203E-2</v>
      </c>
      <c r="Q20" s="1326">
        <v>42678</v>
      </c>
      <c r="R20" s="1314">
        <v>18.399999999999999</v>
      </c>
      <c r="S20" s="1314">
        <f t="shared" si="4"/>
        <v>-0.12380952380952388</v>
      </c>
      <c r="U20" s="1326">
        <v>42678</v>
      </c>
      <c r="V20" s="1314">
        <v>24.425000000000001</v>
      </c>
      <c r="W20" s="1314">
        <f t="shared" si="5"/>
        <v>-7.1292775665399238E-2</v>
      </c>
      <c r="Y20" s="1326">
        <v>42678</v>
      </c>
      <c r="Z20" s="1314">
        <v>13.85</v>
      </c>
      <c r="AA20" s="1314">
        <f t="shared" si="6"/>
        <v>-6.1016949152542396E-2</v>
      </c>
      <c r="AC20" s="1326">
        <v>42678</v>
      </c>
      <c r="AD20" s="1314">
        <v>9.7799999999999994</v>
      </c>
      <c r="AE20" s="1314">
        <f t="shared" si="7"/>
        <v>-7.2985781990521456E-2</v>
      </c>
      <c r="AG20" s="1326">
        <v>42678</v>
      </c>
      <c r="AH20" s="1314">
        <v>6.15</v>
      </c>
      <c r="AI20" s="1314">
        <f t="shared" si="8"/>
        <v>-7.5187969924812026E-2</v>
      </c>
      <c r="AK20" s="1326">
        <v>42678</v>
      </c>
      <c r="AL20" s="1314">
        <v>-0.51</v>
      </c>
      <c r="AN20" s="1326">
        <v>42678</v>
      </c>
      <c r="AO20" s="1314">
        <v>1.1599999999999999</v>
      </c>
      <c r="AQ20" s="1326">
        <v>42678</v>
      </c>
      <c r="AR20" s="1327">
        <v>2.33</v>
      </c>
      <c r="AT20" s="1326">
        <v>42678</v>
      </c>
      <c r="AU20" s="1314">
        <v>1230.73</v>
      </c>
      <c r="AV20" s="1314">
        <f t="shared" si="9"/>
        <v>-4.1441999970403626E-2</v>
      </c>
      <c r="AX20" s="1314">
        <v>2.5609999999999999</v>
      </c>
      <c r="AY20" s="1314">
        <f t="shared" si="10"/>
        <v>-0.12742759795570702</v>
      </c>
    </row>
    <row r="21" spans="1:51" x14ac:dyDescent="0.75">
      <c r="A21" s="1326">
        <v>42671</v>
      </c>
      <c r="B21" s="1314">
        <v>1254.6559999999999</v>
      </c>
      <c r="C21" s="1314">
        <f t="shared" si="0"/>
        <v>1.9440494665767416E-2</v>
      </c>
      <c r="E21" s="1326">
        <v>42671</v>
      </c>
      <c r="F21" s="1314">
        <v>10.65</v>
      </c>
      <c r="G21" s="1314">
        <f t="shared" si="1"/>
        <v>4.926108374384236E-2</v>
      </c>
      <c r="I21" s="1326">
        <v>42671</v>
      </c>
      <c r="J21" s="1314">
        <v>12.03</v>
      </c>
      <c r="K21" s="1314">
        <f t="shared" si="2"/>
        <v>8.3822296730930133E-3</v>
      </c>
      <c r="M21" s="1326">
        <v>42671</v>
      </c>
      <c r="N21" s="1314">
        <v>8.98</v>
      </c>
      <c r="O21" s="1314">
        <f t="shared" si="3"/>
        <v>2.7459954233409634E-2</v>
      </c>
      <c r="Q21" s="1326">
        <v>42671</v>
      </c>
      <c r="R21" s="1314">
        <v>20.43</v>
      </c>
      <c r="S21" s="1314">
        <f t="shared" si="4"/>
        <v>0.11032608695652181</v>
      </c>
      <c r="U21" s="1326">
        <v>42671</v>
      </c>
      <c r="V21" s="1314">
        <v>24.2</v>
      </c>
      <c r="W21" s="1314">
        <f t="shared" si="5"/>
        <v>-9.2118730808598333E-3</v>
      </c>
      <c r="Y21" s="1326">
        <v>42671</v>
      </c>
      <c r="Z21" s="1314">
        <v>13.85</v>
      </c>
      <c r="AA21" s="1314">
        <f t="shared" si="6"/>
        <v>0</v>
      </c>
      <c r="AC21" s="1326">
        <v>42671</v>
      </c>
      <c r="AD21" s="1314">
        <v>10.11</v>
      </c>
      <c r="AE21" s="1314">
        <f t="shared" si="7"/>
        <v>3.3742331288343565E-2</v>
      </c>
      <c r="AG21" s="1326">
        <v>42671</v>
      </c>
      <c r="AH21" s="1314">
        <v>6.45</v>
      </c>
      <c r="AI21" s="1314">
        <f t="shared" si="8"/>
        <v>4.8780487804878016E-2</v>
      </c>
      <c r="AK21" s="1326">
        <v>42671</v>
      </c>
      <c r="AL21" s="1314">
        <v>-2.35</v>
      </c>
      <c r="AN21" s="1326">
        <v>42671</v>
      </c>
      <c r="AO21" s="1314">
        <v>1.43</v>
      </c>
      <c r="AQ21" s="1326">
        <v>42671</v>
      </c>
      <c r="AR21" s="1327">
        <v>2.3199999999999998</v>
      </c>
      <c r="AT21" s="1326">
        <v>42671</v>
      </c>
      <c r="AU21" s="1314">
        <v>1254.6559999999999</v>
      </c>
      <c r="AV21" s="1314">
        <f t="shared" si="9"/>
        <v>1.9440494665767416E-2</v>
      </c>
      <c r="AX21" s="1314">
        <v>2.6154000000000002</v>
      </c>
      <c r="AY21" s="1314">
        <f t="shared" si="10"/>
        <v>2.1241702459976659E-2</v>
      </c>
    </row>
    <row r="22" spans="1:51" x14ac:dyDescent="0.75">
      <c r="A22" s="1326">
        <v>42664</v>
      </c>
      <c r="B22" s="1314">
        <v>1266.2380000000001</v>
      </c>
      <c r="C22" s="1314">
        <f t="shared" si="0"/>
        <v>9.2312155682514625E-3</v>
      </c>
      <c r="E22" s="1326">
        <v>42664</v>
      </c>
      <c r="F22" s="1314">
        <v>10.89</v>
      </c>
      <c r="G22" s="1314">
        <f t="shared" si="1"/>
        <v>2.2535211267605652E-2</v>
      </c>
      <c r="I22" s="1326">
        <v>42664</v>
      </c>
      <c r="J22" s="1314">
        <v>11.62</v>
      </c>
      <c r="K22" s="1314">
        <f t="shared" si="2"/>
        <v>-3.4081463009143824E-2</v>
      </c>
      <c r="M22" s="1326">
        <v>42664</v>
      </c>
      <c r="N22" s="1314">
        <v>9.16</v>
      </c>
      <c r="O22" s="1314">
        <f t="shared" si="3"/>
        <v>2.0044543429844065E-2</v>
      </c>
      <c r="Q22" s="1326">
        <v>42664</v>
      </c>
      <c r="R22" s="1314">
        <v>21.67</v>
      </c>
      <c r="S22" s="1314">
        <f t="shared" si="4"/>
        <v>6.0695056289770045E-2</v>
      </c>
      <c r="U22" s="1326">
        <v>42664</v>
      </c>
      <c r="V22" s="1314">
        <v>24.75</v>
      </c>
      <c r="W22" s="1314">
        <f t="shared" si="5"/>
        <v>2.2727272727272756E-2</v>
      </c>
      <c r="Y22" s="1326">
        <v>42664</v>
      </c>
      <c r="Z22" s="1314">
        <v>14.02</v>
      </c>
      <c r="AA22" s="1314">
        <f t="shared" si="6"/>
        <v>1.2274368231046927E-2</v>
      </c>
      <c r="AC22" s="1326">
        <v>42664</v>
      </c>
      <c r="AD22" s="1314">
        <v>10.74</v>
      </c>
      <c r="AE22" s="1314">
        <f t="shared" si="7"/>
        <v>6.2314540059347265E-2</v>
      </c>
      <c r="AG22" s="1326">
        <v>42664</v>
      </c>
      <c r="AH22" s="1314">
        <v>6.15</v>
      </c>
      <c r="AI22" s="1314">
        <f t="shared" si="8"/>
        <v>-4.6511627906976716E-2</v>
      </c>
      <c r="AK22" s="1326">
        <v>42664</v>
      </c>
      <c r="AL22" s="1314">
        <v>-0.3</v>
      </c>
      <c r="AN22" s="1326">
        <v>42664</v>
      </c>
      <c r="AO22" s="1314">
        <v>0.62</v>
      </c>
      <c r="AQ22" s="1326">
        <v>42664</v>
      </c>
      <c r="AR22" s="1327">
        <v>2.27</v>
      </c>
      <c r="AT22" s="1326">
        <v>42664</v>
      </c>
      <c r="AU22" s="1314">
        <v>1266.2380000000001</v>
      </c>
      <c r="AV22" s="1314">
        <f t="shared" si="9"/>
        <v>9.2312155682514625E-3</v>
      </c>
      <c r="AX22" s="1314">
        <v>2.4845999999999999</v>
      </c>
      <c r="AY22" s="1314">
        <f t="shared" si="10"/>
        <v>-5.0011470520761735E-2</v>
      </c>
    </row>
    <row r="23" spans="1:51" x14ac:dyDescent="0.75">
      <c r="A23" s="1326">
        <v>42657</v>
      </c>
      <c r="B23" s="1314">
        <v>1261.0940000000001</v>
      </c>
      <c r="C23" s="1314">
        <f t="shared" si="0"/>
        <v>-4.0624274425502989E-3</v>
      </c>
      <c r="E23" s="1326">
        <v>42657</v>
      </c>
      <c r="F23" s="1314">
        <v>10.95</v>
      </c>
      <c r="G23" s="1314">
        <f t="shared" si="1"/>
        <v>5.5096418732781191E-3</v>
      </c>
      <c r="I23" s="1326">
        <v>42657</v>
      </c>
      <c r="J23" s="1314">
        <v>11.73</v>
      </c>
      <c r="K23" s="1314">
        <f t="shared" si="2"/>
        <v>9.4664371772806549E-3</v>
      </c>
      <c r="M23" s="1326">
        <v>42657</v>
      </c>
      <c r="N23" s="1314">
        <v>8.8800000000000008</v>
      </c>
      <c r="O23" s="1314">
        <f t="shared" si="3"/>
        <v>-3.056768558951958E-2</v>
      </c>
      <c r="Q23" s="1326">
        <v>42657</v>
      </c>
      <c r="R23" s="1314">
        <v>21.27</v>
      </c>
      <c r="S23" s="1314">
        <f t="shared" si="4"/>
        <v>-1.8458698661744443E-2</v>
      </c>
      <c r="U23" s="1326">
        <v>42657</v>
      </c>
      <c r="V23" s="1314">
        <v>25.15</v>
      </c>
      <c r="W23" s="1314">
        <f t="shared" si="5"/>
        <v>1.6161616161616103E-2</v>
      </c>
      <c r="Y23" s="1326">
        <v>42657</v>
      </c>
      <c r="Z23" s="1314">
        <v>13.82</v>
      </c>
      <c r="AA23" s="1314">
        <f t="shared" si="6"/>
        <v>-1.4265335235377982E-2</v>
      </c>
      <c r="AC23" s="1326">
        <v>42657</v>
      </c>
      <c r="AD23" s="1314">
        <v>10.82</v>
      </c>
      <c r="AE23" s="1314">
        <f t="shared" si="7"/>
        <v>7.4487895716946065E-3</v>
      </c>
      <c r="AG23" s="1326">
        <v>42657</v>
      </c>
      <c r="AH23" s="1314">
        <v>5.4</v>
      </c>
      <c r="AI23" s="1314">
        <f t="shared" si="8"/>
        <v>-0.12195121951219512</v>
      </c>
      <c r="AK23" s="1326">
        <v>42657</v>
      </c>
      <c r="AL23" s="1314">
        <v>-1.21</v>
      </c>
      <c r="AN23" s="1326">
        <v>42657</v>
      </c>
      <c r="AO23" s="1314">
        <v>0.61</v>
      </c>
      <c r="AQ23" s="1326">
        <v>42657</v>
      </c>
      <c r="AR23" s="1327">
        <v>2.2999999999999998</v>
      </c>
      <c r="AT23" s="1326">
        <v>42657</v>
      </c>
      <c r="AU23" s="1314">
        <v>1261.0940000000001</v>
      </c>
      <c r="AV23" s="1314">
        <f t="shared" si="9"/>
        <v>-4.0624274425502989E-3</v>
      </c>
      <c r="AX23" s="1314">
        <v>2.5583</v>
      </c>
      <c r="AY23" s="1314">
        <f t="shared" si="10"/>
        <v>2.9662722369797997E-2</v>
      </c>
    </row>
    <row r="24" spans="1:51" x14ac:dyDescent="0.75">
      <c r="A24" s="1326">
        <v>42650</v>
      </c>
      <c r="B24" s="1314">
        <v>1274.6020000000001</v>
      </c>
      <c r="C24" s="1314">
        <f t="shared" si="0"/>
        <v>1.0711334761722788E-2</v>
      </c>
      <c r="E24" s="1326">
        <v>42650</v>
      </c>
      <c r="F24" s="1314">
        <v>11.79</v>
      </c>
      <c r="G24" s="1314">
        <f t="shared" si="1"/>
        <v>7.6712328767123278E-2</v>
      </c>
      <c r="I24" s="1326">
        <v>42650</v>
      </c>
      <c r="J24" s="1314">
        <v>12.42</v>
      </c>
      <c r="K24" s="1314">
        <f t="shared" si="2"/>
        <v>5.8823529411764663E-2</v>
      </c>
      <c r="M24" s="1326">
        <v>42650</v>
      </c>
      <c r="N24" s="1314">
        <v>9.4600000000000009</v>
      </c>
      <c r="O24" s="1314">
        <f t="shared" si="3"/>
        <v>6.5315315315315314E-2</v>
      </c>
      <c r="Q24" s="1326">
        <v>42650</v>
      </c>
      <c r="R24" s="1314">
        <v>22.82</v>
      </c>
      <c r="S24" s="1314">
        <f t="shared" si="4"/>
        <v>7.2872590503055987E-2</v>
      </c>
      <c r="U24" s="1326">
        <v>42650</v>
      </c>
      <c r="V24" s="1314">
        <v>27.53</v>
      </c>
      <c r="W24" s="1314">
        <f t="shared" si="5"/>
        <v>9.4632206759443449E-2</v>
      </c>
      <c r="Y24" s="1326">
        <v>42650</v>
      </c>
      <c r="Z24" s="1314">
        <v>14.06</v>
      </c>
      <c r="AA24" s="1314">
        <f t="shared" si="6"/>
        <v>1.7366136034732287E-2</v>
      </c>
      <c r="AC24" s="1326">
        <v>42650</v>
      </c>
      <c r="AD24" s="1314">
        <v>11.77</v>
      </c>
      <c r="AE24" s="1314">
        <f t="shared" si="7"/>
        <v>8.780036968576703E-2</v>
      </c>
      <c r="AG24" s="1326">
        <v>42650</v>
      </c>
      <c r="AH24" s="1314">
        <v>5.59</v>
      </c>
      <c r="AI24" s="1314">
        <f t="shared" si="8"/>
        <v>3.518518518518509E-2</v>
      </c>
      <c r="AK24" s="1326">
        <v>42650</v>
      </c>
      <c r="AL24" s="1314">
        <v>-0.51</v>
      </c>
      <c r="AN24" s="1326">
        <v>42650</v>
      </c>
      <c r="AO24" s="1314">
        <v>1.25</v>
      </c>
      <c r="AQ24" s="1326">
        <v>42650</v>
      </c>
      <c r="AR24" s="1327">
        <v>2.27</v>
      </c>
      <c r="AT24" s="1326">
        <v>42650</v>
      </c>
      <c r="AU24" s="1314">
        <v>1274.6020000000001</v>
      </c>
      <c r="AV24" s="1314">
        <f t="shared" si="9"/>
        <v>1.0711334761722788E-2</v>
      </c>
      <c r="AX24" s="1314">
        <v>2.4508000000000001</v>
      </c>
      <c r="AY24" s="1314">
        <f t="shared" si="10"/>
        <v>-4.2020091466989769E-2</v>
      </c>
    </row>
    <row r="25" spans="1:51" x14ac:dyDescent="0.75">
      <c r="A25" s="1326">
        <v>42643</v>
      </c>
      <c r="B25" s="1314">
        <v>1284.6030000000001</v>
      </c>
      <c r="C25" s="1314">
        <f t="shared" si="0"/>
        <v>7.846370867141253E-3</v>
      </c>
      <c r="E25" s="1326">
        <v>42643</v>
      </c>
      <c r="F25" s="1314">
        <v>12.05</v>
      </c>
      <c r="G25" s="1314">
        <f t="shared" si="1"/>
        <v>2.2052586938083256E-2</v>
      </c>
      <c r="I25" s="1326">
        <v>42643</v>
      </c>
      <c r="J25" s="1314">
        <v>12.5</v>
      </c>
      <c r="K25" s="1314">
        <f t="shared" si="2"/>
        <v>6.4412238325281864E-3</v>
      </c>
      <c r="M25" s="1326">
        <v>42643</v>
      </c>
      <c r="N25" s="1314">
        <v>9.31</v>
      </c>
      <c r="O25" s="1314">
        <f t="shared" si="3"/>
        <v>-1.5856236786469382E-2</v>
      </c>
      <c r="Q25" s="1326">
        <v>42643</v>
      </c>
      <c r="R25" s="1314">
        <v>21.72</v>
      </c>
      <c r="S25" s="1314">
        <f t="shared" si="4"/>
        <v>-4.8203330411919432E-2</v>
      </c>
      <c r="U25" s="1326">
        <v>42643</v>
      </c>
      <c r="V25" s="1314">
        <v>27.73</v>
      </c>
      <c r="W25" s="1314">
        <f t="shared" si="5"/>
        <v>7.2648020341445439E-3</v>
      </c>
      <c r="Y25" s="1326">
        <v>42643</v>
      </c>
      <c r="Z25" s="1314">
        <v>14.09</v>
      </c>
      <c r="AA25" s="1314">
        <f t="shared" si="6"/>
        <v>2.1337126600284037E-3</v>
      </c>
      <c r="AC25" s="1326">
        <v>42643</v>
      </c>
      <c r="AD25" s="1314">
        <v>12.16</v>
      </c>
      <c r="AE25" s="1314">
        <f t="shared" si="7"/>
        <v>3.3135089209855612E-2</v>
      </c>
      <c r="AG25" s="1326">
        <v>42643</v>
      </c>
      <c r="AH25" s="1314">
        <v>5.7</v>
      </c>
      <c r="AI25" s="1314">
        <f t="shared" si="8"/>
        <v>1.9677996422182525E-2</v>
      </c>
      <c r="AK25" s="1326">
        <v>42643</v>
      </c>
      <c r="AL25" s="1314">
        <v>-0.18</v>
      </c>
      <c r="AN25" s="1326">
        <v>42643</v>
      </c>
      <c r="AO25" s="1314">
        <v>1.24</v>
      </c>
      <c r="AQ25" s="1326">
        <v>42643</v>
      </c>
      <c r="AR25" s="1327">
        <v>2.17</v>
      </c>
      <c r="AT25" s="1326">
        <v>42643</v>
      </c>
      <c r="AU25" s="1314">
        <v>1284.6030000000001</v>
      </c>
      <c r="AV25" s="1314">
        <f t="shared" si="9"/>
        <v>7.846370867141253E-3</v>
      </c>
      <c r="AX25" s="1314">
        <v>2.3153999999999999</v>
      </c>
      <c r="AY25" s="1314">
        <f t="shared" si="10"/>
        <v>-5.5247266198792305E-2</v>
      </c>
    </row>
    <row r="26" spans="1:51" x14ac:dyDescent="0.75">
      <c r="A26" s="1326">
        <v>42636</v>
      </c>
      <c r="B26" s="1314">
        <v>1283.075</v>
      </c>
      <c r="C26" s="1314">
        <f t="shared" si="0"/>
        <v>-1.1894725452143737E-3</v>
      </c>
      <c r="E26" s="1326">
        <v>42636</v>
      </c>
      <c r="F26" s="1314">
        <v>11.88</v>
      </c>
      <c r="G26" s="1314">
        <f t="shared" si="1"/>
        <v>-1.4107883817427379E-2</v>
      </c>
      <c r="I26" s="1326">
        <v>42636</v>
      </c>
      <c r="J26" s="1314">
        <v>12.54</v>
      </c>
      <c r="K26" s="1314">
        <f t="shared" si="2"/>
        <v>3.1999999999999316E-3</v>
      </c>
      <c r="M26" s="1326">
        <v>42636</v>
      </c>
      <c r="N26" s="1314">
        <v>9.0399999999999991</v>
      </c>
      <c r="O26" s="1314">
        <f t="shared" si="3"/>
        <v>-2.9001074113856211E-2</v>
      </c>
      <c r="Q26" s="1326">
        <v>42636</v>
      </c>
      <c r="R26" s="1314">
        <v>20.66</v>
      </c>
      <c r="S26" s="1314">
        <f t="shared" si="4"/>
        <v>-4.8802946593001786E-2</v>
      </c>
      <c r="U26" s="1326">
        <v>42636</v>
      </c>
      <c r="V26" s="1314">
        <v>27.58</v>
      </c>
      <c r="W26" s="1314">
        <f t="shared" si="5"/>
        <v>-5.4093040028850388E-3</v>
      </c>
      <c r="Y26" s="1326">
        <v>42636</v>
      </c>
      <c r="Z26" s="1314">
        <v>13.98</v>
      </c>
      <c r="AA26" s="1314">
        <f t="shared" si="6"/>
        <v>-7.8069552874378591E-3</v>
      </c>
      <c r="AC26" s="1326">
        <v>42636</v>
      </c>
      <c r="AD26" s="1314">
        <v>11.78</v>
      </c>
      <c r="AE26" s="1314">
        <f t="shared" si="7"/>
        <v>-3.1250000000000062E-2</v>
      </c>
      <c r="AG26" s="1326">
        <v>42636</v>
      </c>
      <c r="AH26" s="1314">
        <v>5.23</v>
      </c>
      <c r="AI26" s="1314">
        <f t="shared" si="8"/>
        <v>-8.2456140350877144E-2</v>
      </c>
      <c r="AK26" s="1326">
        <v>42636</v>
      </c>
      <c r="AL26" s="1314">
        <v>1.1000000000000001</v>
      </c>
      <c r="AN26" s="1326">
        <v>42636</v>
      </c>
      <c r="AO26" s="1314">
        <v>-0.25</v>
      </c>
      <c r="AQ26" s="1326">
        <v>42636</v>
      </c>
      <c r="AR26" s="1327">
        <v>2.2200000000000002</v>
      </c>
      <c r="AT26" s="1326">
        <v>42636</v>
      </c>
      <c r="AU26" s="1314">
        <v>1283.075</v>
      </c>
      <c r="AV26" s="1314">
        <f t="shared" si="9"/>
        <v>-1.1894725452143737E-3</v>
      </c>
      <c r="AX26" s="1314">
        <v>2.3471000000000002</v>
      </c>
      <c r="AY26" s="1314">
        <f t="shared" si="10"/>
        <v>1.3690938930638458E-2</v>
      </c>
    </row>
    <row r="27" spans="1:51" x14ac:dyDescent="0.75">
      <c r="A27" s="1326">
        <v>42629</v>
      </c>
      <c r="B27" s="1314">
        <v>1265.8679999999999</v>
      </c>
      <c r="C27" s="1314">
        <f t="shared" si="0"/>
        <v>-1.3410751514915423E-2</v>
      </c>
      <c r="E27" s="1326">
        <v>42629</v>
      </c>
      <c r="F27" s="1314">
        <v>11.84</v>
      </c>
      <c r="G27" s="1314">
        <f t="shared" si="1"/>
        <v>-3.3670033670034445E-3</v>
      </c>
      <c r="I27" s="1326">
        <v>42629</v>
      </c>
      <c r="J27" s="1314">
        <v>13.03</v>
      </c>
      <c r="K27" s="1314">
        <f t="shared" si="2"/>
        <v>3.9074960127591728E-2</v>
      </c>
      <c r="M27" s="1326">
        <v>42629</v>
      </c>
      <c r="N27" s="1314">
        <v>8.99</v>
      </c>
      <c r="O27" s="1314">
        <f t="shared" si="3"/>
        <v>-5.5309734513273165E-3</v>
      </c>
      <c r="Q27" s="1326">
        <v>42629</v>
      </c>
      <c r="R27" s="1314">
        <v>21.44</v>
      </c>
      <c r="S27" s="1314">
        <f t="shared" si="4"/>
        <v>3.7754114230396957E-2</v>
      </c>
      <c r="U27" s="1326">
        <v>42629</v>
      </c>
      <c r="V27" s="1314">
        <v>27.12</v>
      </c>
      <c r="W27" s="1314">
        <f t="shared" si="5"/>
        <v>-1.6678752719361759E-2</v>
      </c>
      <c r="Y27" s="1326">
        <v>42629</v>
      </c>
      <c r="Z27" s="1314">
        <v>13.8</v>
      </c>
      <c r="AA27" s="1314">
        <f t="shared" si="6"/>
        <v>-1.2875536480686674E-2</v>
      </c>
      <c r="AC27" s="1326">
        <v>42629</v>
      </c>
      <c r="AD27" s="1314">
        <v>11.9</v>
      </c>
      <c r="AE27" s="1314">
        <f t="shared" si="7"/>
        <v>1.018675721561978E-2</v>
      </c>
      <c r="AG27" s="1326">
        <v>42629</v>
      </c>
      <c r="AH27" s="1314">
        <v>5.12</v>
      </c>
      <c r="AI27" s="1314">
        <f t="shared" si="8"/>
        <v>-2.1032504780114782E-2</v>
      </c>
      <c r="AK27" s="1326">
        <v>42629</v>
      </c>
      <c r="AL27" s="1314">
        <v>0.54</v>
      </c>
      <c r="AN27" s="1326">
        <v>42629</v>
      </c>
      <c r="AO27" s="1314">
        <v>-2.57</v>
      </c>
      <c r="AQ27" s="1326">
        <v>42629</v>
      </c>
      <c r="AR27" s="1327">
        <v>2.2400000000000002</v>
      </c>
      <c r="AT27" s="1326">
        <v>42629</v>
      </c>
      <c r="AU27" s="1314">
        <v>1265.8679999999999</v>
      </c>
      <c r="AV27" s="1314">
        <f t="shared" si="9"/>
        <v>-1.3410751514915423E-2</v>
      </c>
      <c r="AX27" s="1314">
        <v>2.4451999999999998</v>
      </c>
      <c r="AY27" s="1314">
        <f t="shared" si="10"/>
        <v>4.1796259213497347E-2</v>
      </c>
    </row>
    <row r="28" spans="1:51" x14ac:dyDescent="0.75">
      <c r="A28" s="1326">
        <v>42622</v>
      </c>
      <c r="B28" s="1314">
        <v>1259.941</v>
      </c>
      <c r="C28" s="1314">
        <f t="shared" si="0"/>
        <v>-4.6821627531463848E-3</v>
      </c>
      <c r="E28" s="1326">
        <v>42622</v>
      </c>
      <c r="F28" s="1314">
        <v>11.37</v>
      </c>
      <c r="G28" s="1314">
        <f t="shared" si="1"/>
        <v>-3.9695945945945998E-2</v>
      </c>
      <c r="I28" s="1326">
        <v>42622</v>
      </c>
      <c r="J28" s="1314">
        <v>13.1</v>
      </c>
      <c r="K28" s="1314">
        <f t="shared" si="2"/>
        <v>5.3722179585571975E-3</v>
      </c>
      <c r="M28" s="1326">
        <v>42622</v>
      </c>
      <c r="N28" s="1314">
        <v>9</v>
      </c>
      <c r="O28" s="1314">
        <f t="shared" si="3"/>
        <v>1.1123470522802878E-3</v>
      </c>
      <c r="Q28" s="1326">
        <v>42622</v>
      </c>
      <c r="R28" s="1314">
        <v>21.86</v>
      </c>
      <c r="S28" s="1314">
        <f t="shared" si="4"/>
        <v>1.9589552238805884E-2</v>
      </c>
      <c r="U28" s="1326">
        <v>42622</v>
      </c>
      <c r="V28" s="1314">
        <v>26.11</v>
      </c>
      <c r="W28" s="1314">
        <f t="shared" si="5"/>
        <v>-3.7241887905604773E-2</v>
      </c>
      <c r="Y28" s="1326">
        <v>42622</v>
      </c>
      <c r="Z28" s="1314">
        <v>13.69</v>
      </c>
      <c r="AA28" s="1314">
        <f t="shared" si="6"/>
        <v>-7.9710144927537096E-3</v>
      </c>
      <c r="AC28" s="1326">
        <v>42622</v>
      </c>
      <c r="AD28" s="1314">
        <v>11.64</v>
      </c>
      <c r="AE28" s="1314">
        <f t="shared" si="7"/>
        <v>-2.1848739495798301E-2</v>
      </c>
      <c r="AG28" s="1326">
        <v>42622</v>
      </c>
      <c r="AH28" s="1314">
        <v>5.0599999999999996</v>
      </c>
      <c r="AI28" s="1314">
        <f t="shared" si="8"/>
        <v>-1.1718750000000097E-2</v>
      </c>
      <c r="AK28" s="1326">
        <v>42622</v>
      </c>
      <c r="AL28" s="1314">
        <v>0.09</v>
      </c>
      <c r="AN28" s="1326">
        <v>42622</v>
      </c>
      <c r="AO28" s="1314">
        <v>0.39</v>
      </c>
      <c r="AQ28" s="1326">
        <v>42622</v>
      </c>
      <c r="AR28" s="1327">
        <v>2.16</v>
      </c>
      <c r="AT28" s="1326">
        <v>42622</v>
      </c>
      <c r="AU28" s="1314">
        <v>1259.941</v>
      </c>
      <c r="AV28" s="1314">
        <f t="shared" si="9"/>
        <v>-4.6821627531463848E-3</v>
      </c>
      <c r="AX28" s="1314">
        <v>2.3946000000000001</v>
      </c>
      <c r="AY28" s="1314">
        <f t="shared" si="10"/>
        <v>-2.0693603795190481E-2</v>
      </c>
    </row>
    <row r="29" spans="1:51" x14ac:dyDescent="0.75">
      <c r="A29" s="1326">
        <v>42615</v>
      </c>
      <c r="B29" s="1314">
        <v>1291.22</v>
      </c>
      <c r="C29" s="1314">
        <f t="shared" si="0"/>
        <v>2.482576565093127E-2</v>
      </c>
      <c r="E29" s="1326">
        <v>42615</v>
      </c>
      <c r="F29" s="1314">
        <v>11.96</v>
      </c>
      <c r="G29" s="1314">
        <f t="shared" si="1"/>
        <v>5.1890941072999269E-2</v>
      </c>
      <c r="I29" s="1326">
        <v>42615</v>
      </c>
      <c r="J29" s="1314">
        <v>14.36</v>
      </c>
      <c r="K29" s="1314">
        <f t="shared" si="2"/>
        <v>9.6183206106870214E-2</v>
      </c>
      <c r="M29" s="1326">
        <v>42615</v>
      </c>
      <c r="N29" s="1314">
        <v>9.33</v>
      </c>
      <c r="O29" s="1314">
        <f t="shared" si="3"/>
        <v>3.6666666666666674E-2</v>
      </c>
      <c r="Q29" s="1326">
        <v>42615</v>
      </c>
      <c r="R29" s="1314">
        <v>21.59</v>
      </c>
      <c r="S29" s="1314">
        <f t="shared" si="4"/>
        <v>-1.2351326623970704E-2</v>
      </c>
      <c r="U29" s="1326">
        <v>42615</v>
      </c>
      <c r="V29" s="1314">
        <v>28.07</v>
      </c>
      <c r="W29" s="1314">
        <f t="shared" si="5"/>
        <v>7.5067024128686363E-2</v>
      </c>
      <c r="Y29" s="1326">
        <v>42615</v>
      </c>
      <c r="Z29" s="1314">
        <v>14.2</v>
      </c>
      <c r="AA29" s="1314">
        <f t="shared" si="6"/>
        <v>3.7253469685902103E-2</v>
      </c>
      <c r="AC29" s="1326">
        <v>42615</v>
      </c>
      <c r="AD29" s="1314">
        <v>12.19</v>
      </c>
      <c r="AE29" s="1314">
        <f t="shared" si="7"/>
        <v>4.7250859106529118E-2</v>
      </c>
      <c r="AG29" s="1326">
        <v>42615</v>
      </c>
      <c r="AH29" s="1314">
        <v>5.08</v>
      </c>
      <c r="AI29" s="1314">
        <f t="shared" si="8"/>
        <v>3.952569169960566E-3</v>
      </c>
      <c r="AK29" s="1326">
        <v>42615</v>
      </c>
      <c r="AL29" s="1314">
        <v>0.15</v>
      </c>
      <c r="AN29" s="1326">
        <v>42615</v>
      </c>
      <c r="AO29" s="1314">
        <v>0.62</v>
      </c>
      <c r="AQ29" s="1326">
        <v>42615</v>
      </c>
      <c r="AR29" s="1327">
        <v>2.14</v>
      </c>
      <c r="AT29" s="1326">
        <v>42615</v>
      </c>
      <c r="AU29" s="1314">
        <v>1291.22</v>
      </c>
      <c r="AV29" s="1314">
        <f t="shared" si="9"/>
        <v>2.482576565093127E-2</v>
      </c>
      <c r="AX29" s="1314">
        <v>2.2782</v>
      </c>
      <c r="AY29" s="1314">
        <f t="shared" si="10"/>
        <v>-4.8609371084941143E-2</v>
      </c>
    </row>
    <row r="30" spans="1:51" x14ac:dyDescent="0.75">
      <c r="A30" s="1326">
        <v>42608</v>
      </c>
      <c r="B30" s="1314">
        <v>1283.0329999999999</v>
      </c>
      <c r="C30" s="1314">
        <f t="shared" si="0"/>
        <v>-6.3405151716981814E-3</v>
      </c>
      <c r="E30" s="1326">
        <v>42608</v>
      </c>
      <c r="F30" s="1314">
        <v>11.58</v>
      </c>
      <c r="G30" s="1314">
        <f t="shared" si="1"/>
        <v>-3.1772575250836183E-2</v>
      </c>
      <c r="I30" s="1326">
        <v>42608</v>
      </c>
      <c r="J30" s="1314">
        <v>13.91</v>
      </c>
      <c r="K30" s="1314">
        <f t="shared" si="2"/>
        <v>-3.1337047353760396E-2</v>
      </c>
      <c r="M30" s="1326">
        <v>42608</v>
      </c>
      <c r="N30" s="1314">
        <v>9.0500000000000007</v>
      </c>
      <c r="O30" s="1314">
        <f t="shared" si="3"/>
        <v>-3.0010718113611935E-2</v>
      </c>
      <c r="Q30" s="1326">
        <v>42608</v>
      </c>
      <c r="R30" s="1314">
        <v>20.63</v>
      </c>
      <c r="S30" s="1314">
        <f t="shared" si="4"/>
        <v>-4.4465030106530842E-2</v>
      </c>
      <c r="U30" s="1326">
        <v>42608</v>
      </c>
      <c r="V30" s="1314">
        <v>26.21</v>
      </c>
      <c r="W30" s="1314">
        <f t="shared" si="5"/>
        <v>-6.6262914143213378E-2</v>
      </c>
      <c r="Y30" s="1326">
        <v>42608</v>
      </c>
      <c r="Z30" s="1314">
        <v>14.15</v>
      </c>
      <c r="AA30" s="1314">
        <f t="shared" si="6"/>
        <v>-3.5211267605633053E-3</v>
      </c>
      <c r="AC30" s="1326">
        <v>42608</v>
      </c>
      <c r="AD30" s="1314">
        <v>11.16</v>
      </c>
      <c r="AE30" s="1314">
        <f t="shared" si="7"/>
        <v>-8.4495488105004055E-2</v>
      </c>
      <c r="AG30" s="1326">
        <v>42608</v>
      </c>
      <c r="AH30" s="1314">
        <v>4.97</v>
      </c>
      <c r="AI30" s="1314">
        <f t="shared" si="8"/>
        <v>-2.1653543307086676E-2</v>
      </c>
      <c r="AK30" s="1326">
        <v>42608</v>
      </c>
      <c r="AL30" s="1314">
        <v>0.65</v>
      </c>
      <c r="AN30" s="1326">
        <v>42608</v>
      </c>
      <c r="AO30" s="1314">
        <v>0.36</v>
      </c>
      <c r="AQ30" s="1326">
        <v>42608</v>
      </c>
      <c r="AR30" s="1327">
        <v>2.12</v>
      </c>
      <c r="AT30" s="1326">
        <v>42608</v>
      </c>
      <c r="AU30" s="1314">
        <v>1283.0329999999999</v>
      </c>
      <c r="AV30" s="1314">
        <f t="shared" si="9"/>
        <v>-6.3405151716981814E-3</v>
      </c>
      <c r="AX30" s="1314">
        <v>2.2869000000000002</v>
      </c>
      <c r="AY30" s="1314">
        <f t="shared" si="10"/>
        <v>3.8188043191994345E-3</v>
      </c>
    </row>
    <row r="31" spans="1:51" x14ac:dyDescent="0.75">
      <c r="A31" s="1326">
        <v>42601</v>
      </c>
      <c r="B31" s="1314">
        <v>1290.5920000000001</v>
      </c>
      <c r="C31" s="1314">
        <f t="shared" si="0"/>
        <v>5.8915086361770877E-3</v>
      </c>
      <c r="E31" s="1326">
        <v>42601</v>
      </c>
      <c r="F31" s="1314">
        <v>11.51</v>
      </c>
      <c r="G31" s="1314">
        <f t="shared" si="1"/>
        <v>-6.0449050086356032E-3</v>
      </c>
      <c r="I31" s="1326">
        <v>42601</v>
      </c>
      <c r="J31" s="1314">
        <v>13.84</v>
      </c>
      <c r="K31" s="1314">
        <f t="shared" si="2"/>
        <v>-5.0323508267433705E-3</v>
      </c>
      <c r="M31" s="1326">
        <v>42601</v>
      </c>
      <c r="N31" s="1314">
        <v>9.07</v>
      </c>
      <c r="O31" s="1314">
        <f t="shared" si="3"/>
        <v>2.2099447513811684E-3</v>
      </c>
      <c r="Q31" s="1326">
        <v>42601</v>
      </c>
      <c r="R31" s="1314">
        <v>20.38</v>
      </c>
      <c r="S31" s="1314">
        <f t="shared" si="4"/>
        <v>-1.2118274357731459E-2</v>
      </c>
      <c r="U31" s="1326">
        <v>42601</v>
      </c>
      <c r="V31" s="1314">
        <v>26.22</v>
      </c>
      <c r="W31" s="1314">
        <f t="shared" si="5"/>
        <v>3.8153376573819191E-4</v>
      </c>
      <c r="Y31" s="1326">
        <v>42601</v>
      </c>
      <c r="Z31" s="1314">
        <v>13.88</v>
      </c>
      <c r="AA31" s="1314">
        <f t="shared" si="6"/>
        <v>-1.9081272084805624E-2</v>
      </c>
      <c r="AC31" s="1326">
        <v>42601</v>
      </c>
      <c r="AD31" s="1314">
        <v>11.3</v>
      </c>
      <c r="AE31" s="1314">
        <f t="shared" si="7"/>
        <v>1.2544802867383563E-2</v>
      </c>
      <c r="AG31" s="1326">
        <v>42601</v>
      </c>
      <c r="AH31" s="1314">
        <v>5.09</v>
      </c>
      <c r="AI31" s="1314">
        <f t="shared" si="8"/>
        <v>2.4144869215291773E-2</v>
      </c>
      <c r="AK31" s="1326">
        <v>42601</v>
      </c>
      <c r="AL31" s="1314">
        <v>0.39</v>
      </c>
      <c r="AN31" s="1326">
        <v>42601</v>
      </c>
      <c r="AO31" s="1314">
        <v>1.47</v>
      </c>
      <c r="AQ31" s="1326">
        <v>42601</v>
      </c>
      <c r="AR31" s="1327">
        <v>2.12</v>
      </c>
      <c r="AT31" s="1326">
        <v>42601</v>
      </c>
      <c r="AU31" s="1314">
        <v>1290.5920000000001</v>
      </c>
      <c r="AV31" s="1314">
        <f t="shared" si="9"/>
        <v>5.8915086361770877E-3</v>
      </c>
      <c r="AX31" s="1314">
        <v>2.2869000000000002</v>
      </c>
      <c r="AY31" s="1314">
        <f t="shared" si="10"/>
        <v>0</v>
      </c>
    </row>
    <row r="32" spans="1:51" x14ac:dyDescent="0.75">
      <c r="A32" s="1326">
        <v>42594</v>
      </c>
      <c r="B32" s="1314">
        <v>1290.172</v>
      </c>
      <c r="C32" s="1314">
        <f t="shared" si="0"/>
        <v>-3.2543204978806062E-4</v>
      </c>
      <c r="E32" s="1326">
        <v>42594</v>
      </c>
      <c r="F32" s="1314">
        <v>11.2</v>
      </c>
      <c r="G32" s="1314">
        <f t="shared" si="1"/>
        <v>-2.6933101650738533E-2</v>
      </c>
      <c r="I32" s="1326">
        <v>42594</v>
      </c>
      <c r="J32" s="1314">
        <v>13.6</v>
      </c>
      <c r="K32" s="1314">
        <f t="shared" si="2"/>
        <v>-1.7341040462427761E-2</v>
      </c>
      <c r="M32" s="1326">
        <v>42594</v>
      </c>
      <c r="N32" s="1314">
        <v>9.1199999999999992</v>
      </c>
      <c r="O32" s="1314">
        <f t="shared" si="3"/>
        <v>5.5126791620726499E-3</v>
      </c>
      <c r="Q32" s="1326">
        <v>42594</v>
      </c>
      <c r="R32" s="1314">
        <v>19.63</v>
      </c>
      <c r="S32" s="1314">
        <f t="shared" si="4"/>
        <v>-3.6800785083415118E-2</v>
      </c>
      <c r="U32" s="1326">
        <v>42594</v>
      </c>
      <c r="V32" s="1314">
        <v>25.48</v>
      </c>
      <c r="W32" s="1314">
        <f t="shared" si="5"/>
        <v>-2.8222730739893152E-2</v>
      </c>
      <c r="Y32" s="1326">
        <v>42594</v>
      </c>
      <c r="Z32" s="1314">
        <v>13.92</v>
      </c>
      <c r="AA32" s="1314">
        <f t="shared" si="6"/>
        <v>2.8818443804033964E-3</v>
      </c>
      <c r="AC32" s="1326">
        <v>42594</v>
      </c>
      <c r="AD32" s="1314">
        <v>11</v>
      </c>
      <c r="AE32" s="1314">
        <f t="shared" si="7"/>
        <v>-2.6548672566371743E-2</v>
      </c>
      <c r="AG32" s="1326">
        <v>42594</v>
      </c>
      <c r="AH32" s="1314">
        <v>5.24</v>
      </c>
      <c r="AI32" s="1314">
        <f t="shared" si="8"/>
        <v>2.9469548133595355E-2</v>
      </c>
      <c r="AK32" s="1326">
        <v>42594</v>
      </c>
      <c r="AL32" s="1314">
        <v>-0.31</v>
      </c>
      <c r="AN32" s="1326">
        <v>42594</v>
      </c>
      <c r="AO32" s="1314">
        <v>-0.09</v>
      </c>
      <c r="AQ32" s="1326">
        <v>42594</v>
      </c>
      <c r="AR32" s="1327">
        <v>2.13</v>
      </c>
      <c r="AT32" s="1326">
        <v>42594</v>
      </c>
      <c r="AU32" s="1314">
        <v>1290.172</v>
      </c>
      <c r="AV32" s="1314">
        <f t="shared" si="9"/>
        <v>-3.2543204978806062E-4</v>
      </c>
      <c r="AX32" s="1314">
        <v>2.2305999999999999</v>
      </c>
      <c r="AY32" s="1314">
        <f t="shared" si="10"/>
        <v>-2.4618479163933813E-2</v>
      </c>
    </row>
    <row r="33" spans="1:51" x14ac:dyDescent="0.75">
      <c r="A33" s="1326">
        <v>42587</v>
      </c>
      <c r="B33" s="1314">
        <v>1289.597</v>
      </c>
      <c r="C33" s="1314">
        <f t="shared" si="0"/>
        <v>-4.4567701050716139E-4</v>
      </c>
      <c r="E33" s="1326">
        <v>42587</v>
      </c>
      <c r="F33" s="1314">
        <v>11.41</v>
      </c>
      <c r="G33" s="1314">
        <f t="shared" si="1"/>
        <v>1.8750000000000076E-2</v>
      </c>
      <c r="I33" s="1326">
        <v>42587</v>
      </c>
      <c r="J33" s="1314">
        <v>13.67</v>
      </c>
      <c r="K33" s="1314">
        <f t="shared" si="2"/>
        <v>5.1470588235294325E-3</v>
      </c>
      <c r="M33" s="1326">
        <v>42587</v>
      </c>
      <c r="N33" s="1314">
        <v>8.7799999999999994</v>
      </c>
      <c r="O33" s="1314">
        <f t="shared" si="3"/>
        <v>-3.7280701754385956E-2</v>
      </c>
      <c r="Q33" s="1326">
        <v>42587</v>
      </c>
      <c r="R33" s="1314">
        <v>14.47</v>
      </c>
      <c r="S33" s="1314">
        <f t="shared" si="4"/>
        <v>-0.26286296484971977</v>
      </c>
      <c r="U33" s="1326">
        <v>42587</v>
      </c>
      <c r="V33" s="1314">
        <v>24.81</v>
      </c>
      <c r="W33" s="1314">
        <f t="shared" si="5"/>
        <v>-2.6295133437990649E-2</v>
      </c>
      <c r="Y33" s="1326">
        <v>42587</v>
      </c>
      <c r="Z33" s="1314">
        <v>13.5</v>
      </c>
      <c r="AA33" s="1314">
        <f t="shared" si="6"/>
        <v>-3.0172413793103443E-2</v>
      </c>
      <c r="AC33" s="1326">
        <v>42587</v>
      </c>
      <c r="AD33" s="1314">
        <v>11.55</v>
      </c>
      <c r="AE33" s="1314">
        <f t="shared" si="7"/>
        <v>5.0000000000000065E-2</v>
      </c>
      <c r="AG33" s="1326">
        <v>42587</v>
      </c>
      <c r="AH33" s="1314">
        <v>4.93</v>
      </c>
      <c r="AI33" s="1314">
        <f t="shared" si="8"/>
        <v>-5.9160305343511542E-2</v>
      </c>
      <c r="AK33" s="1326">
        <v>42587</v>
      </c>
      <c r="AL33" s="1314">
        <v>0.5</v>
      </c>
      <c r="AN33" s="1326">
        <v>42587</v>
      </c>
      <c r="AO33" s="1314">
        <v>0.68</v>
      </c>
      <c r="AQ33" s="1326">
        <v>42587</v>
      </c>
      <c r="AR33" s="1327">
        <v>2.12</v>
      </c>
      <c r="AT33" s="1326">
        <v>42587</v>
      </c>
      <c r="AU33" s="1314">
        <v>1289.597</v>
      </c>
      <c r="AV33" s="1314">
        <f t="shared" si="9"/>
        <v>-4.4567701050716139E-4</v>
      </c>
      <c r="AX33" s="1314">
        <v>2.3140000000000001</v>
      </c>
      <c r="AY33" s="1314">
        <f t="shared" si="10"/>
        <v>3.7389043306733677E-2</v>
      </c>
    </row>
    <row r="34" spans="1:51" x14ac:dyDescent="0.75">
      <c r="A34" s="1326">
        <v>42580</v>
      </c>
      <c r="B34" s="1314">
        <v>1284.268</v>
      </c>
      <c r="C34" s="1314">
        <f t="shared" si="0"/>
        <v>-4.1322986948635508E-3</v>
      </c>
      <c r="E34" s="1326">
        <v>42580</v>
      </c>
      <c r="F34" s="1314">
        <v>10.94</v>
      </c>
      <c r="G34" s="1314">
        <f t="shared" si="1"/>
        <v>-4.1191936897458425E-2</v>
      </c>
      <c r="I34" s="1326">
        <v>42580</v>
      </c>
      <c r="J34" s="1314">
        <v>13.52</v>
      </c>
      <c r="K34" s="1314">
        <f t="shared" si="2"/>
        <v>-1.0972933430870545E-2</v>
      </c>
      <c r="M34" s="1326">
        <v>42580</v>
      </c>
      <c r="N34" s="1314">
        <v>8.3800000000000008</v>
      </c>
      <c r="O34" s="1314">
        <f t="shared" si="3"/>
        <v>-4.5558086560364308E-2</v>
      </c>
      <c r="Q34" s="1326">
        <v>42580</v>
      </c>
      <c r="R34" s="1314">
        <v>14.29</v>
      </c>
      <c r="S34" s="1314">
        <f t="shared" si="4"/>
        <v>-1.2439530062197753E-2</v>
      </c>
      <c r="U34" s="1326">
        <v>42580</v>
      </c>
      <c r="V34" s="1314">
        <v>25.42</v>
      </c>
      <c r="W34" s="1314">
        <f t="shared" si="5"/>
        <v>2.4586860137041637E-2</v>
      </c>
      <c r="Y34" s="1326">
        <v>42580</v>
      </c>
      <c r="Z34" s="1314">
        <v>13.33</v>
      </c>
      <c r="AA34" s="1314">
        <f t="shared" si="6"/>
        <v>-1.2592592592592588E-2</v>
      </c>
      <c r="AC34" s="1326">
        <v>42580</v>
      </c>
      <c r="AD34" s="1314">
        <v>11.64</v>
      </c>
      <c r="AE34" s="1314">
        <f t="shared" si="7"/>
        <v>7.7922077922077792E-3</v>
      </c>
      <c r="AG34" s="1326">
        <v>42580</v>
      </c>
      <c r="AH34" s="1314">
        <v>6.48</v>
      </c>
      <c r="AI34" s="1314">
        <f t="shared" si="8"/>
        <v>0.31440162271805289</v>
      </c>
      <c r="AK34" s="1326">
        <v>42580</v>
      </c>
      <c r="AL34" s="1314">
        <v>0.77</v>
      </c>
      <c r="AN34" s="1326">
        <v>42580</v>
      </c>
      <c r="AO34" s="1314">
        <v>-0.31</v>
      </c>
      <c r="AQ34" s="1326">
        <v>42580</v>
      </c>
      <c r="AR34" s="1327">
        <v>2.12</v>
      </c>
      <c r="AT34" s="1326">
        <v>42580</v>
      </c>
      <c r="AU34" s="1314">
        <v>1284.268</v>
      </c>
      <c r="AV34" s="1314">
        <f t="shared" si="9"/>
        <v>-4.1322986948635508E-3</v>
      </c>
      <c r="AX34" s="1314">
        <v>2.1827000000000001</v>
      </c>
      <c r="AY34" s="1314">
        <f t="shared" si="10"/>
        <v>-5.6741573033707852E-2</v>
      </c>
    </row>
    <row r="35" spans="1:51" x14ac:dyDescent="0.75">
      <c r="A35" s="1326">
        <v>42573</v>
      </c>
      <c r="B35" s="1314">
        <v>1283.5709999999999</v>
      </c>
      <c r="C35" s="1314">
        <f t="shared" si="0"/>
        <v>-5.4272161262300107E-4</v>
      </c>
      <c r="E35" s="1326">
        <v>42573</v>
      </c>
      <c r="F35" s="1314">
        <v>11.32</v>
      </c>
      <c r="G35" s="1314">
        <f t="shared" si="1"/>
        <v>3.4734917733089656E-2</v>
      </c>
      <c r="I35" s="1326">
        <v>42573</v>
      </c>
      <c r="J35" s="1314">
        <v>13.56</v>
      </c>
      <c r="K35" s="1314">
        <f t="shared" si="2"/>
        <v>2.9585798816568732E-3</v>
      </c>
      <c r="M35" s="1326">
        <v>42573</v>
      </c>
      <c r="N35" s="1314">
        <v>8.26</v>
      </c>
      <c r="O35" s="1314">
        <f t="shared" si="3"/>
        <v>-1.4319809069212527E-2</v>
      </c>
      <c r="Q35" s="1326">
        <v>42573</v>
      </c>
      <c r="R35" s="1314">
        <v>14.39</v>
      </c>
      <c r="S35" s="1314">
        <f t="shared" si="4"/>
        <v>6.9979006298111568E-3</v>
      </c>
      <c r="U35" s="1326">
        <v>42573</v>
      </c>
      <c r="V35" s="1314">
        <v>24</v>
      </c>
      <c r="W35" s="1314">
        <f t="shared" si="5"/>
        <v>-5.5861526357199119E-2</v>
      </c>
      <c r="Y35" s="1326">
        <v>42573</v>
      </c>
      <c r="Z35" s="1314">
        <v>12.9</v>
      </c>
      <c r="AA35" s="1314">
        <f t="shared" si="6"/>
        <v>-3.2258064516129011E-2</v>
      </c>
      <c r="AC35" s="1326">
        <v>42573</v>
      </c>
      <c r="AD35" s="1314">
        <v>11.3</v>
      </c>
      <c r="AE35" s="1314">
        <f t="shared" si="7"/>
        <v>-2.9209621993127134E-2</v>
      </c>
      <c r="AG35" s="1326">
        <v>42573</v>
      </c>
      <c r="AH35" s="1314">
        <v>6.44</v>
      </c>
      <c r="AI35" s="1314">
        <f t="shared" si="8"/>
        <v>-6.1728395061728444E-3</v>
      </c>
      <c r="AK35" s="1326">
        <v>42573</v>
      </c>
      <c r="AL35" s="1314">
        <v>0.03</v>
      </c>
      <c r="AN35" s="1326">
        <v>42573</v>
      </c>
      <c r="AO35" s="1314">
        <v>-1.1100000000000001</v>
      </c>
      <c r="AQ35" s="1326">
        <v>42573</v>
      </c>
      <c r="AR35" s="1327">
        <v>2.14</v>
      </c>
      <c r="AT35" s="1326">
        <v>42573</v>
      </c>
      <c r="AU35" s="1314">
        <v>1283.5709999999999</v>
      </c>
      <c r="AV35" s="1314">
        <f t="shared" si="9"/>
        <v>-5.4272161262300107E-4</v>
      </c>
      <c r="AX35" s="1314">
        <v>2.2829999999999999</v>
      </c>
      <c r="AY35" s="1314">
        <f t="shared" si="10"/>
        <v>4.5952260961194771E-2</v>
      </c>
    </row>
    <row r="36" spans="1:51" x14ac:dyDescent="0.75">
      <c r="A36" s="1326">
        <v>42566</v>
      </c>
      <c r="B36" s="1314">
        <v>1275.3309999999999</v>
      </c>
      <c r="C36" s="1314">
        <f t="shared" si="0"/>
        <v>-6.4195903459956715E-3</v>
      </c>
      <c r="E36" s="1326">
        <v>42566</v>
      </c>
      <c r="F36" s="1314">
        <v>11.37</v>
      </c>
      <c r="G36" s="1314">
        <f t="shared" si="1"/>
        <v>4.4169611307419551E-3</v>
      </c>
      <c r="I36" s="1326">
        <v>42566</v>
      </c>
      <c r="J36" s="1314">
        <v>12.75</v>
      </c>
      <c r="K36" s="1314">
        <f t="shared" si="2"/>
        <v>-5.9734513274336321E-2</v>
      </c>
      <c r="M36" s="1326">
        <v>42566</v>
      </c>
      <c r="N36" s="1314">
        <v>8.2799999999999994</v>
      </c>
      <c r="O36" s="1314">
        <f t="shared" si="3"/>
        <v>2.4213075060532173E-3</v>
      </c>
      <c r="Q36" s="1326">
        <v>42566</v>
      </c>
      <c r="R36" s="1314">
        <v>14.15</v>
      </c>
      <c r="S36" s="1314">
        <f t="shared" si="4"/>
        <v>-1.6678248783877705E-2</v>
      </c>
      <c r="U36" s="1326">
        <v>42566</v>
      </c>
      <c r="V36" s="1314">
        <v>24.44</v>
      </c>
      <c r="W36" s="1314">
        <f t="shared" si="5"/>
        <v>1.8333333333333385E-2</v>
      </c>
      <c r="Y36" s="1326">
        <v>42566</v>
      </c>
      <c r="Z36" s="1314">
        <v>12.66</v>
      </c>
      <c r="AA36" s="1314">
        <f t="shared" si="6"/>
        <v>-1.8604651162790715E-2</v>
      </c>
      <c r="AC36" s="1326">
        <v>42566</v>
      </c>
      <c r="AD36" s="1314">
        <v>11.36</v>
      </c>
      <c r="AE36" s="1314">
        <f t="shared" si="7"/>
        <v>5.3097345132742226E-3</v>
      </c>
      <c r="AG36" s="1326">
        <v>42566</v>
      </c>
      <c r="AH36" s="1314">
        <v>6.52</v>
      </c>
      <c r="AI36" s="1314">
        <f t="shared" si="8"/>
        <v>1.2422360248447077E-2</v>
      </c>
      <c r="AK36" s="1326">
        <v>42566</v>
      </c>
      <c r="AL36" s="1314">
        <v>0.59</v>
      </c>
      <c r="AN36" s="1326">
        <v>42566</v>
      </c>
      <c r="AO36" s="1314">
        <v>2.2999999999999998</v>
      </c>
      <c r="AQ36" s="1326">
        <v>42566</v>
      </c>
      <c r="AR36" s="1327">
        <v>2.11</v>
      </c>
      <c r="AT36" s="1326">
        <v>42566</v>
      </c>
      <c r="AU36" s="1314">
        <v>1275.3309999999999</v>
      </c>
      <c r="AV36" s="1314">
        <f t="shared" si="9"/>
        <v>-6.4195903459956715E-3</v>
      </c>
      <c r="AX36" s="1314">
        <v>2.2654999999999998</v>
      </c>
      <c r="AY36" s="1314">
        <f t="shared" si="10"/>
        <v>-7.6653526062199174E-3</v>
      </c>
    </row>
    <row r="37" spans="1:51" x14ac:dyDescent="0.75">
      <c r="A37" s="1326">
        <v>42559</v>
      </c>
      <c r="B37" s="1314">
        <v>1255.971</v>
      </c>
      <c r="C37" s="1314">
        <f t="shared" si="0"/>
        <v>-1.5180372781654254E-2</v>
      </c>
      <c r="E37" s="1326">
        <v>42559</v>
      </c>
      <c r="F37" s="1314">
        <v>10.77</v>
      </c>
      <c r="G37" s="1314">
        <f t="shared" si="1"/>
        <v>-5.2770448548812639E-2</v>
      </c>
      <c r="I37" s="1326">
        <v>42559</v>
      </c>
      <c r="J37" s="1314">
        <v>12.11</v>
      </c>
      <c r="K37" s="1314">
        <f t="shared" si="2"/>
        <v>-5.0196078431372596E-2</v>
      </c>
      <c r="M37" s="1326">
        <v>42559</v>
      </c>
      <c r="N37" s="1314">
        <v>7.95</v>
      </c>
      <c r="O37" s="1314">
        <f t="shared" si="3"/>
        <v>-3.9855072463768022E-2</v>
      </c>
      <c r="Q37" s="1326">
        <v>42559</v>
      </c>
      <c r="R37" s="1314">
        <v>13.92</v>
      </c>
      <c r="S37" s="1314">
        <f t="shared" si="4"/>
        <v>-1.6254416961130773E-2</v>
      </c>
      <c r="U37" s="1326">
        <v>42559</v>
      </c>
      <c r="V37" s="1314">
        <v>24.21</v>
      </c>
      <c r="W37" s="1314">
        <f t="shared" si="5"/>
        <v>-9.41080196399347E-3</v>
      </c>
      <c r="Y37" s="1326">
        <v>42559</v>
      </c>
      <c r="Z37" s="1314">
        <v>12.08</v>
      </c>
      <c r="AA37" s="1314">
        <f t="shared" si="6"/>
        <v>-4.5813586097946293E-2</v>
      </c>
      <c r="AC37" s="1326">
        <v>42559</v>
      </c>
      <c r="AD37" s="1314">
        <v>10.53</v>
      </c>
      <c r="AE37" s="1314">
        <f t="shared" si="7"/>
        <v>-7.3063380281690155E-2</v>
      </c>
      <c r="AG37" s="1326">
        <v>42559</v>
      </c>
      <c r="AH37" s="1314">
        <v>6.31</v>
      </c>
      <c r="AI37" s="1314">
        <f t="shared" si="8"/>
        <v>-3.2208588957055209E-2</v>
      </c>
      <c r="AK37" s="1326">
        <v>42559</v>
      </c>
      <c r="AL37" s="1314">
        <v>0.82</v>
      </c>
      <c r="AN37" s="1326">
        <v>42559</v>
      </c>
      <c r="AO37" s="1314">
        <v>-1.4</v>
      </c>
      <c r="AQ37" s="1326">
        <v>42559</v>
      </c>
      <c r="AR37" s="1327">
        <v>2.06</v>
      </c>
      <c r="AT37" s="1326">
        <v>42559</v>
      </c>
      <c r="AU37" s="1314">
        <v>1255.971</v>
      </c>
      <c r="AV37" s="1314">
        <f t="shared" si="9"/>
        <v>-1.5180372781654254E-2</v>
      </c>
      <c r="AX37" s="1314">
        <v>2.0983000000000001</v>
      </c>
      <c r="AY37" s="1314">
        <f t="shared" si="10"/>
        <v>-7.3802692562348185E-2</v>
      </c>
    </row>
    <row r="38" spans="1:51" x14ac:dyDescent="0.75">
      <c r="A38" s="1326">
        <v>42552</v>
      </c>
      <c r="B38" s="1314">
        <v>1239.52</v>
      </c>
      <c r="C38" s="1314">
        <f t="shared" si="0"/>
        <v>-1.3098232363645356E-2</v>
      </c>
      <c r="E38" s="1326">
        <v>42552</v>
      </c>
      <c r="F38" s="1314">
        <v>10.31</v>
      </c>
      <c r="G38" s="1314">
        <f t="shared" si="1"/>
        <v>-4.2711234911791927E-2</v>
      </c>
      <c r="I38" s="1326">
        <v>42552</v>
      </c>
      <c r="J38" s="1314">
        <v>11.95</v>
      </c>
      <c r="K38" s="1314">
        <f t="shared" si="2"/>
        <v>-1.3212221304706865E-2</v>
      </c>
      <c r="M38" s="1326">
        <v>42552</v>
      </c>
      <c r="N38" s="1314">
        <v>7.8</v>
      </c>
      <c r="O38" s="1314">
        <f t="shared" si="3"/>
        <v>-1.8867924528301931E-2</v>
      </c>
      <c r="Q38" s="1326">
        <v>42552</v>
      </c>
      <c r="R38" s="1314">
        <v>13.77</v>
      </c>
      <c r="S38" s="1314">
        <f t="shared" si="4"/>
        <v>-1.0775862068965542E-2</v>
      </c>
      <c r="U38" s="1326">
        <v>42552</v>
      </c>
      <c r="V38" s="1314">
        <v>23.67</v>
      </c>
      <c r="W38" s="1314">
        <f t="shared" si="5"/>
        <v>-2.2304832713754611E-2</v>
      </c>
      <c r="Y38" s="1326">
        <v>42552</v>
      </c>
      <c r="Z38" s="1314">
        <v>12.34</v>
      </c>
      <c r="AA38" s="1314">
        <f t="shared" si="6"/>
        <v>2.1523178807947001E-2</v>
      </c>
      <c r="AC38" s="1326">
        <v>42552</v>
      </c>
      <c r="AD38" s="1314">
        <v>10.635</v>
      </c>
      <c r="AE38" s="1314">
        <f t="shared" si="7"/>
        <v>9.971509971510013E-3</v>
      </c>
      <c r="AG38" s="1326">
        <v>42552</v>
      </c>
      <c r="AH38" s="1314">
        <v>5.82</v>
      </c>
      <c r="AI38" s="1314">
        <f t="shared" si="8"/>
        <v>-7.7654516640253468E-2</v>
      </c>
      <c r="AK38" s="1326">
        <v>42552</v>
      </c>
      <c r="AL38" s="1314">
        <v>-0.66</v>
      </c>
      <c r="AN38" s="1326">
        <v>42552</v>
      </c>
      <c r="AO38" s="1314">
        <v>-0.7</v>
      </c>
      <c r="AQ38" s="1326">
        <v>42552</v>
      </c>
      <c r="AR38" s="1327">
        <v>2.13</v>
      </c>
      <c r="AT38" s="1326">
        <v>42552</v>
      </c>
      <c r="AU38" s="1314">
        <v>1239.52</v>
      </c>
      <c r="AV38" s="1314">
        <f t="shared" si="9"/>
        <v>-1.3098232363645356E-2</v>
      </c>
      <c r="AX38" s="1314">
        <v>2.2252999999999998</v>
      </c>
      <c r="AY38" s="1314">
        <f t="shared" si="10"/>
        <v>6.0525187056188236E-2</v>
      </c>
    </row>
    <row r="39" spans="1:51" x14ac:dyDescent="0.75">
      <c r="A39" s="1326">
        <v>42545</v>
      </c>
      <c r="B39" s="1314">
        <v>1201.623</v>
      </c>
      <c r="C39" s="1314">
        <f t="shared" si="0"/>
        <v>-3.0573931844584949E-2</v>
      </c>
      <c r="E39" s="1326">
        <v>42545</v>
      </c>
      <c r="F39" s="1314">
        <v>10.18</v>
      </c>
      <c r="G39" s="1314">
        <f t="shared" si="1"/>
        <v>-1.2609117361784751E-2</v>
      </c>
      <c r="I39" s="1326">
        <v>42545</v>
      </c>
      <c r="J39" s="1314">
        <v>11.77</v>
      </c>
      <c r="K39" s="1314">
        <f t="shared" si="2"/>
        <v>-1.5062761506276128E-2</v>
      </c>
      <c r="M39" s="1326">
        <v>42545</v>
      </c>
      <c r="N39" s="1314">
        <v>7.87</v>
      </c>
      <c r="O39" s="1314">
        <f t="shared" si="3"/>
        <v>8.9743589743590119E-3</v>
      </c>
      <c r="Q39" s="1326">
        <v>42545</v>
      </c>
      <c r="R39" s="1314">
        <v>14.36</v>
      </c>
      <c r="S39" s="1314">
        <f t="shared" si="4"/>
        <v>4.2846768336964408E-2</v>
      </c>
      <c r="U39" s="1326">
        <v>42545</v>
      </c>
      <c r="V39" s="1314">
        <v>23.16</v>
      </c>
      <c r="W39" s="1314">
        <f t="shared" si="5"/>
        <v>-2.154626108998739E-2</v>
      </c>
      <c r="Y39" s="1326">
        <v>42545</v>
      </c>
      <c r="Z39" s="1314">
        <v>12.5</v>
      </c>
      <c r="AA39" s="1314">
        <f t="shared" si="6"/>
        <v>1.2965964343598067E-2</v>
      </c>
      <c r="AC39" s="1326">
        <v>42545</v>
      </c>
      <c r="AD39" s="1314">
        <v>10.1</v>
      </c>
      <c r="AE39" s="1314">
        <f t="shared" si="7"/>
        <v>-5.0305594734367666E-2</v>
      </c>
      <c r="AG39" s="1326">
        <v>42545</v>
      </c>
      <c r="AH39" s="1314">
        <v>5.96</v>
      </c>
      <c r="AI39" s="1314">
        <f t="shared" si="8"/>
        <v>2.4054982817869358E-2</v>
      </c>
      <c r="AK39" s="1326">
        <v>42545</v>
      </c>
      <c r="AL39" s="1314">
        <v>0.3</v>
      </c>
      <c r="AN39" s="1326">
        <v>42545</v>
      </c>
      <c r="AO39" s="1314">
        <v>-0.23</v>
      </c>
      <c r="AQ39" s="1326">
        <v>42545</v>
      </c>
      <c r="AR39" s="1327">
        <v>2.2599999999999998</v>
      </c>
      <c r="AT39" s="1326">
        <v>42545</v>
      </c>
      <c r="AU39" s="1314">
        <v>1201.623</v>
      </c>
      <c r="AV39" s="1314">
        <f t="shared" si="9"/>
        <v>-3.0573931844584949E-2</v>
      </c>
      <c r="AX39" s="1314">
        <v>2.4100999999999999</v>
      </c>
      <c r="AY39" s="1314">
        <f t="shared" si="10"/>
        <v>8.3044982698961975E-2</v>
      </c>
    </row>
    <row r="40" spans="1:51" x14ac:dyDescent="0.75">
      <c r="A40" s="1326">
        <v>42538</v>
      </c>
      <c r="B40" s="1314">
        <v>1221.5730000000001</v>
      </c>
      <c r="C40" s="1314">
        <f t="shared" si="0"/>
        <v>1.6602545057809351E-2</v>
      </c>
      <c r="E40" s="1326">
        <v>42538</v>
      </c>
      <c r="F40" s="1314">
        <v>10.55</v>
      </c>
      <c r="G40" s="1314">
        <f t="shared" si="1"/>
        <v>3.6345776031434282E-2</v>
      </c>
      <c r="I40" s="1326">
        <v>42538</v>
      </c>
      <c r="J40" s="1314">
        <v>11.91</v>
      </c>
      <c r="K40" s="1314">
        <f t="shared" si="2"/>
        <v>1.1894647408666149E-2</v>
      </c>
      <c r="M40" s="1326">
        <v>42538</v>
      </c>
      <c r="N40" s="1314">
        <v>8.0299999999999994</v>
      </c>
      <c r="O40" s="1314">
        <f t="shared" si="3"/>
        <v>2.0330368487928747E-2</v>
      </c>
      <c r="Q40" s="1326">
        <v>42538</v>
      </c>
      <c r="R40" s="1314">
        <v>14.17</v>
      </c>
      <c r="S40" s="1314">
        <f t="shared" si="4"/>
        <v>-1.3231197771587709E-2</v>
      </c>
      <c r="U40" s="1326">
        <v>42538</v>
      </c>
      <c r="V40" s="1314">
        <v>24.08</v>
      </c>
      <c r="W40" s="1314">
        <f t="shared" si="5"/>
        <v>3.9723661485319438E-2</v>
      </c>
      <c r="Y40" s="1326">
        <v>42538</v>
      </c>
      <c r="Z40" s="1314">
        <v>13.08</v>
      </c>
      <c r="AA40" s="1314">
        <f t="shared" si="6"/>
        <v>4.6400000000000004E-2</v>
      </c>
      <c r="AC40" s="1326">
        <v>42538</v>
      </c>
      <c r="AD40" s="1314">
        <v>10.62</v>
      </c>
      <c r="AE40" s="1314">
        <f t="shared" si="7"/>
        <v>5.1485148514851448E-2</v>
      </c>
      <c r="AG40" s="1326">
        <v>42538</v>
      </c>
      <c r="AH40" s="1314">
        <v>6</v>
      </c>
      <c r="AI40" s="1314">
        <f t="shared" si="8"/>
        <v>6.7114093959731603E-3</v>
      </c>
      <c r="AK40" s="1326">
        <v>42538</v>
      </c>
      <c r="AL40" s="1314">
        <v>-0.3</v>
      </c>
      <c r="AN40" s="1326">
        <v>42538</v>
      </c>
      <c r="AO40" s="1314">
        <v>-0.14000000000000001</v>
      </c>
      <c r="AQ40" s="1326">
        <v>42538</v>
      </c>
      <c r="AR40" s="1327">
        <v>2.23</v>
      </c>
      <c r="AT40" s="1326">
        <v>42538</v>
      </c>
      <c r="AU40" s="1314">
        <v>1221.5730000000001</v>
      </c>
      <c r="AV40" s="1314">
        <f t="shared" si="9"/>
        <v>1.6602545057809351E-2</v>
      </c>
      <c r="AX40" s="1314">
        <v>2.4196</v>
      </c>
      <c r="AY40" s="1314">
        <f t="shared" si="10"/>
        <v>3.9417451558026902E-3</v>
      </c>
    </row>
    <row r="41" spans="1:51" x14ac:dyDescent="0.75">
      <c r="A41" s="1326">
        <v>42531</v>
      </c>
      <c r="B41" s="1314">
        <v>1236.385</v>
      </c>
      <c r="C41" s="1314">
        <f t="shared" si="0"/>
        <v>1.2125349856291762E-2</v>
      </c>
      <c r="E41" s="1326">
        <v>42531</v>
      </c>
      <c r="F41" s="1314">
        <v>10.86</v>
      </c>
      <c r="G41" s="1314">
        <f t="shared" si="1"/>
        <v>2.9383886255924047E-2</v>
      </c>
      <c r="I41" s="1326">
        <v>42531</v>
      </c>
      <c r="J41" s="1314">
        <v>12.145</v>
      </c>
      <c r="K41" s="1314">
        <f t="shared" si="2"/>
        <v>1.9731318219983158E-2</v>
      </c>
      <c r="M41" s="1326">
        <v>42531</v>
      </c>
      <c r="N41" s="1314">
        <v>8.02</v>
      </c>
      <c r="O41" s="1314">
        <f t="shared" si="3"/>
        <v>-1.2453300124532737E-3</v>
      </c>
      <c r="Q41" s="1326">
        <v>42531</v>
      </c>
      <c r="R41" s="1314">
        <v>13.63</v>
      </c>
      <c r="S41" s="1314">
        <f t="shared" si="4"/>
        <v>-3.8108680310515113E-2</v>
      </c>
      <c r="U41" s="1326">
        <v>42531</v>
      </c>
      <c r="V41" s="1314">
        <v>23.8</v>
      </c>
      <c r="W41" s="1314">
        <f t="shared" si="5"/>
        <v>-1.1627906976744087E-2</v>
      </c>
      <c r="Y41" s="1326">
        <v>42531</v>
      </c>
      <c r="Z41" s="1314">
        <v>13.26</v>
      </c>
      <c r="AA41" s="1314">
        <f t="shared" si="6"/>
        <v>1.3761467889908235E-2</v>
      </c>
      <c r="AC41" s="1326">
        <v>42531</v>
      </c>
      <c r="AD41" s="1314">
        <v>10.61</v>
      </c>
      <c r="AE41" s="1314">
        <f t="shared" si="7"/>
        <v>-9.4161958568736231E-4</v>
      </c>
      <c r="AG41" s="1326">
        <v>42531</v>
      </c>
      <c r="AH41" s="1314">
        <v>5.67</v>
      </c>
      <c r="AI41" s="1314">
        <f t="shared" si="8"/>
        <v>-5.5000000000000014E-2</v>
      </c>
      <c r="AK41" s="1326">
        <v>42531</v>
      </c>
      <c r="AL41" s="1314">
        <v>0.54</v>
      </c>
      <c r="AN41" s="1326">
        <v>42531</v>
      </c>
      <c r="AO41" s="1314">
        <v>-0.08</v>
      </c>
      <c r="AQ41" s="1326">
        <v>42531</v>
      </c>
      <c r="AR41" s="1327">
        <v>2.2799999999999998</v>
      </c>
      <c r="AT41" s="1326">
        <v>42531</v>
      </c>
      <c r="AU41" s="1314">
        <v>1236.385</v>
      </c>
      <c r="AV41" s="1314">
        <f t="shared" si="9"/>
        <v>1.2125349856291762E-2</v>
      </c>
      <c r="AX41" s="1314">
        <v>2.4510999999999998</v>
      </c>
      <c r="AY41" s="1314">
        <f t="shared" si="10"/>
        <v>1.3018680773681544E-2</v>
      </c>
    </row>
    <row r="42" spans="1:51" x14ac:dyDescent="0.75">
      <c r="A42" s="1326">
        <v>42524</v>
      </c>
      <c r="B42" s="1314">
        <v>1238.82</v>
      </c>
      <c r="C42" s="1314">
        <f t="shared" si="0"/>
        <v>1.9694512631582761E-3</v>
      </c>
      <c r="E42" s="1326">
        <v>42524</v>
      </c>
      <c r="F42" s="1314">
        <v>10.86</v>
      </c>
      <c r="G42" s="1314">
        <f t="shared" si="1"/>
        <v>0</v>
      </c>
      <c r="I42" s="1326">
        <v>42524</v>
      </c>
      <c r="J42" s="1314">
        <v>12.28</v>
      </c>
      <c r="K42" s="1314">
        <f t="shared" si="2"/>
        <v>1.1115685467270464E-2</v>
      </c>
      <c r="M42" s="1326">
        <v>42524</v>
      </c>
      <c r="N42" s="1314">
        <v>7.87</v>
      </c>
      <c r="O42" s="1314">
        <f t="shared" si="3"/>
        <v>-1.870324189526178E-2</v>
      </c>
      <c r="Q42" s="1326">
        <v>42524</v>
      </c>
      <c r="R42" s="1314">
        <v>13.78</v>
      </c>
      <c r="S42" s="1314">
        <f t="shared" si="4"/>
        <v>1.1005135730007233E-2</v>
      </c>
      <c r="U42" s="1326">
        <v>42524</v>
      </c>
      <c r="V42" s="1314">
        <v>23.9</v>
      </c>
      <c r="W42" s="1314">
        <f t="shared" si="5"/>
        <v>4.201680672268818E-3</v>
      </c>
      <c r="Y42" s="1326">
        <v>42524</v>
      </c>
      <c r="Z42" s="1314">
        <v>13.17</v>
      </c>
      <c r="AA42" s="1314">
        <f t="shared" si="6"/>
        <v>-6.7873303167420712E-3</v>
      </c>
      <c r="AC42" s="1326">
        <v>42524</v>
      </c>
      <c r="AD42" s="1314">
        <v>11.05</v>
      </c>
      <c r="AE42" s="1314">
        <f t="shared" si="7"/>
        <v>4.1470311027332826E-2</v>
      </c>
      <c r="AG42" s="1326">
        <v>42524</v>
      </c>
      <c r="AH42" s="1314">
        <v>5.62</v>
      </c>
      <c r="AI42" s="1314">
        <f t="shared" si="8"/>
        <v>-8.8183421516754533E-3</v>
      </c>
      <c r="AK42" s="1326">
        <v>42524</v>
      </c>
      <c r="AL42" s="1314">
        <v>1.32</v>
      </c>
      <c r="AN42" s="1326">
        <v>42524</v>
      </c>
      <c r="AO42" s="1314">
        <v>-1.29</v>
      </c>
      <c r="AQ42" s="1326">
        <v>42524</v>
      </c>
      <c r="AR42" s="1327">
        <v>2.37</v>
      </c>
      <c r="AT42" s="1326">
        <v>42524</v>
      </c>
      <c r="AU42" s="1314">
        <v>1238.82</v>
      </c>
      <c r="AV42" s="1314">
        <f t="shared" si="9"/>
        <v>1.9694512631582761E-3</v>
      </c>
      <c r="AX42" s="1314">
        <v>2.5097</v>
      </c>
      <c r="AY42" s="1314">
        <f t="shared" si="10"/>
        <v>2.390763330749468E-2</v>
      </c>
    </row>
    <row r="43" spans="1:51" x14ac:dyDescent="0.75">
      <c r="A43" s="1326">
        <v>42517</v>
      </c>
      <c r="B43" s="1314">
        <v>1236.6199999999999</v>
      </c>
      <c r="C43" s="1314">
        <f t="shared" si="0"/>
        <v>-1.7758835020423029E-3</v>
      </c>
      <c r="E43" s="1326">
        <v>42517</v>
      </c>
      <c r="F43" s="1314">
        <v>10.99</v>
      </c>
      <c r="G43" s="1314">
        <f t="shared" si="1"/>
        <v>1.1970534069981656E-2</v>
      </c>
      <c r="I43" s="1326">
        <v>42517</v>
      </c>
      <c r="J43" s="1314">
        <v>11.96</v>
      </c>
      <c r="K43" s="1314">
        <f t="shared" si="2"/>
        <v>-2.6058631921823984E-2</v>
      </c>
      <c r="M43" s="1326">
        <v>42517</v>
      </c>
      <c r="N43" s="1314">
        <v>6.81</v>
      </c>
      <c r="O43" s="1314">
        <f t="shared" si="3"/>
        <v>-0.13468869123252866</v>
      </c>
      <c r="Q43" s="1326">
        <v>42517</v>
      </c>
      <c r="R43" s="1314">
        <v>13.79</v>
      </c>
      <c r="S43" s="1314">
        <f t="shared" si="4"/>
        <v>7.2568940493467256E-4</v>
      </c>
      <c r="U43" s="1326">
        <v>42517</v>
      </c>
      <c r="V43" s="1314">
        <v>23.01</v>
      </c>
      <c r="W43" s="1314">
        <f t="shared" si="5"/>
        <v>-3.7238493723849249E-2</v>
      </c>
      <c r="Y43" s="1326">
        <v>42517</v>
      </c>
      <c r="Z43" s="1314">
        <v>12.85</v>
      </c>
      <c r="AA43" s="1314">
        <f t="shared" si="6"/>
        <v>-2.4297646165527736E-2</v>
      </c>
      <c r="AC43" s="1326">
        <v>42517</v>
      </c>
      <c r="AD43" s="1314">
        <v>10.26</v>
      </c>
      <c r="AE43" s="1314">
        <f t="shared" si="7"/>
        <v>-7.1493212669683337E-2</v>
      </c>
      <c r="AG43" s="1326">
        <v>42517</v>
      </c>
      <c r="AH43" s="1314">
        <v>5.65</v>
      </c>
      <c r="AI43" s="1314">
        <f t="shared" si="8"/>
        <v>5.338078291814991E-3</v>
      </c>
      <c r="AK43" s="1326">
        <v>42517</v>
      </c>
      <c r="AL43" s="1314">
        <v>1</v>
      </c>
      <c r="AN43" s="1326">
        <v>42517</v>
      </c>
      <c r="AO43" s="1314">
        <v>-0.86</v>
      </c>
      <c r="AQ43" s="1326">
        <v>42517</v>
      </c>
      <c r="AR43" s="1327">
        <v>2.39</v>
      </c>
      <c r="AT43" s="1326">
        <v>42517</v>
      </c>
      <c r="AU43" s="1314">
        <v>1236.6199999999999</v>
      </c>
      <c r="AV43" s="1314">
        <f t="shared" si="9"/>
        <v>-1.7758835020423029E-3</v>
      </c>
      <c r="AX43" s="1314">
        <v>2.6463999999999999</v>
      </c>
      <c r="AY43" s="1314">
        <f t="shared" si="10"/>
        <v>5.4468661593019017E-2</v>
      </c>
    </row>
    <row r="44" spans="1:51" x14ac:dyDescent="0.75">
      <c r="A44" s="1326">
        <v>42510</v>
      </c>
      <c r="B44" s="1314">
        <v>1208.0809999999999</v>
      </c>
      <c r="C44" s="1314">
        <f t="shared" si="0"/>
        <v>-2.3078229367145923E-2</v>
      </c>
      <c r="E44" s="1326">
        <v>42510</v>
      </c>
      <c r="F44" s="1314">
        <v>10.3</v>
      </c>
      <c r="G44" s="1314">
        <f t="shared" si="1"/>
        <v>-6.2784349408553181E-2</v>
      </c>
      <c r="I44" s="1326">
        <v>42510</v>
      </c>
      <c r="J44" s="1314">
        <v>11.65</v>
      </c>
      <c r="K44" s="1314">
        <f t="shared" si="2"/>
        <v>-2.591973244147161E-2</v>
      </c>
      <c r="M44" s="1326">
        <v>42510</v>
      </c>
      <c r="N44" s="1314">
        <v>6.41</v>
      </c>
      <c r="O44" s="1314">
        <f t="shared" si="3"/>
        <v>-5.8737151248164386E-2</v>
      </c>
      <c r="Q44" s="1326">
        <v>42510</v>
      </c>
      <c r="R44" s="1314">
        <v>12.91</v>
      </c>
      <c r="S44" s="1314">
        <f t="shared" si="4"/>
        <v>-6.3814358230601817E-2</v>
      </c>
      <c r="U44" s="1326">
        <v>42510</v>
      </c>
      <c r="V44" s="1314">
        <v>21.23</v>
      </c>
      <c r="W44" s="1314">
        <f t="shared" si="5"/>
        <v>-7.7357670578009602E-2</v>
      </c>
      <c r="Y44" s="1326">
        <v>42510</v>
      </c>
      <c r="Z44" s="1314">
        <v>12.36</v>
      </c>
      <c r="AA44" s="1314">
        <f t="shared" si="6"/>
        <v>-3.8132295719844375E-2</v>
      </c>
      <c r="AC44" s="1326">
        <v>42510</v>
      </c>
      <c r="AD44" s="1314">
        <v>9.69</v>
      </c>
      <c r="AE44" s="1314">
        <f t="shared" si="7"/>
        <v>-5.5555555555555587E-2</v>
      </c>
      <c r="AG44" s="1326">
        <v>42510</v>
      </c>
      <c r="AH44" s="1314">
        <v>5.29</v>
      </c>
      <c r="AI44" s="1314">
        <f t="shared" si="8"/>
        <v>-6.371681415929209E-2</v>
      </c>
      <c r="AK44" s="1326">
        <v>42510</v>
      </c>
      <c r="AL44" s="1314">
        <v>0.17</v>
      </c>
      <c r="AN44" s="1326">
        <v>42510</v>
      </c>
      <c r="AO44" s="1314">
        <v>0.63</v>
      </c>
      <c r="AQ44" s="1326">
        <v>42510</v>
      </c>
      <c r="AR44" s="1327">
        <v>2.37</v>
      </c>
      <c r="AT44" s="1326">
        <v>42510</v>
      </c>
      <c r="AU44" s="1314">
        <v>1208.0809999999999</v>
      </c>
      <c r="AV44" s="1314">
        <f t="shared" si="9"/>
        <v>-2.3078229367145923E-2</v>
      </c>
      <c r="AX44" s="1314">
        <v>2.6286</v>
      </c>
      <c r="AY44" s="1314">
        <f t="shared" si="10"/>
        <v>-6.7261185006045254E-3</v>
      </c>
    </row>
    <row r="45" spans="1:51" x14ac:dyDescent="0.75">
      <c r="A45" s="1326">
        <v>42503</v>
      </c>
      <c r="B45" s="1314">
        <v>1203.5309999999999</v>
      </c>
      <c r="C45" s="1314">
        <f t="shared" si="0"/>
        <v>-3.7663037495002031E-3</v>
      </c>
      <c r="E45" s="1326">
        <v>42503</v>
      </c>
      <c r="F45" s="1314">
        <v>10.11</v>
      </c>
      <c r="G45" s="1314">
        <f t="shared" si="1"/>
        <v>-1.8446601941747697E-2</v>
      </c>
      <c r="I45" s="1326">
        <v>42503</v>
      </c>
      <c r="J45" s="1314">
        <v>11.33</v>
      </c>
      <c r="K45" s="1314">
        <f t="shared" si="2"/>
        <v>-2.7467811158798306E-2</v>
      </c>
      <c r="M45" s="1326">
        <v>42503</v>
      </c>
      <c r="N45" s="1314">
        <v>6.29</v>
      </c>
      <c r="O45" s="1314">
        <f t="shared" si="3"/>
        <v>-1.8720748829953213E-2</v>
      </c>
      <c r="Q45" s="1326">
        <v>42503</v>
      </c>
      <c r="R45" s="1314">
        <v>13.32</v>
      </c>
      <c r="S45" s="1314">
        <f t="shared" si="4"/>
        <v>3.1758326878388858E-2</v>
      </c>
      <c r="U45" s="1326">
        <v>42503</v>
      </c>
      <c r="V45" s="1314">
        <v>20.97</v>
      </c>
      <c r="W45" s="1314">
        <f t="shared" si="5"/>
        <v>-1.2246820536976051E-2</v>
      </c>
      <c r="Y45" s="1326">
        <v>42503</v>
      </c>
      <c r="Z45" s="1314">
        <v>12.09</v>
      </c>
      <c r="AA45" s="1314">
        <f t="shared" si="6"/>
        <v>-2.1844660194174723E-2</v>
      </c>
      <c r="AC45" s="1326">
        <v>42503</v>
      </c>
      <c r="AD45" s="1314">
        <v>9.1199999999999992</v>
      </c>
      <c r="AE45" s="1314">
        <f t="shared" si="7"/>
        <v>-5.882352941176474E-2</v>
      </c>
      <c r="AG45" s="1326">
        <v>42503</v>
      </c>
      <c r="AH45" s="1314">
        <v>5.32</v>
      </c>
      <c r="AI45" s="1314">
        <f t="shared" si="8"/>
        <v>5.6710775047259451E-3</v>
      </c>
      <c r="AK45" s="1326">
        <v>42503</v>
      </c>
      <c r="AL45" s="1314">
        <v>-0.57999999999999996</v>
      </c>
      <c r="AN45" s="1326">
        <v>42503</v>
      </c>
      <c r="AO45" s="1314">
        <v>-0.76</v>
      </c>
      <c r="AQ45" s="1326">
        <v>42503</v>
      </c>
      <c r="AR45" s="1327">
        <v>2.2799999999999998</v>
      </c>
      <c r="AT45" s="1326">
        <v>42503</v>
      </c>
      <c r="AU45" s="1314">
        <v>1203.5309999999999</v>
      </c>
      <c r="AV45" s="1314">
        <f t="shared" si="9"/>
        <v>-3.7663037495002031E-3</v>
      </c>
      <c r="AX45" s="1314">
        <v>2.5486</v>
      </c>
      <c r="AY45" s="1314">
        <f t="shared" si="10"/>
        <v>-3.043445179943699E-2</v>
      </c>
    </row>
    <row r="46" spans="1:51" x14ac:dyDescent="0.75">
      <c r="A46" s="1326">
        <v>42496</v>
      </c>
      <c r="B46" s="1314">
        <v>1210.547</v>
      </c>
      <c r="C46" s="1314">
        <f t="shared" si="0"/>
        <v>5.8295133237117091E-3</v>
      </c>
      <c r="E46" s="1326">
        <v>42496</v>
      </c>
      <c r="F46" s="1314">
        <v>10.62</v>
      </c>
      <c r="G46" s="1314">
        <f t="shared" si="1"/>
        <v>5.0445103857566745E-2</v>
      </c>
      <c r="I46" s="1326">
        <v>42496</v>
      </c>
      <c r="J46" s="1314">
        <v>11.4</v>
      </c>
      <c r="K46" s="1314">
        <f t="shared" si="2"/>
        <v>6.1782877316858146E-3</v>
      </c>
      <c r="M46" s="1326">
        <v>42496</v>
      </c>
      <c r="N46" s="1314">
        <v>6.14</v>
      </c>
      <c r="O46" s="1314">
        <f t="shared" si="3"/>
        <v>-2.3847376788553316E-2</v>
      </c>
      <c r="Q46" s="1326">
        <v>42496</v>
      </c>
      <c r="R46" s="1314">
        <v>13.89</v>
      </c>
      <c r="S46" s="1314">
        <f t="shared" si="4"/>
        <v>4.2792792792792814E-2</v>
      </c>
      <c r="U46" s="1326">
        <v>42496</v>
      </c>
      <c r="V46" s="1314">
        <v>21.67</v>
      </c>
      <c r="W46" s="1314">
        <f t="shared" si="5"/>
        <v>3.3381020505484159E-2</v>
      </c>
      <c r="Y46" s="1326">
        <v>42496</v>
      </c>
      <c r="Z46" s="1314">
        <v>12.38</v>
      </c>
      <c r="AA46" s="1314">
        <f t="shared" si="6"/>
        <v>2.398676592224987E-2</v>
      </c>
      <c r="AC46" s="1326">
        <v>42496</v>
      </c>
      <c r="AD46" s="1314">
        <v>9.32</v>
      </c>
      <c r="AE46" s="1314">
        <f t="shared" si="7"/>
        <v>2.1929824561403629E-2</v>
      </c>
      <c r="AG46" s="1326">
        <v>42496</v>
      </c>
      <c r="AH46" s="1314">
        <v>5.62</v>
      </c>
      <c r="AI46" s="1314">
        <f t="shared" si="8"/>
        <v>5.6390977443608985E-2</v>
      </c>
      <c r="AK46" s="1326">
        <v>42496</v>
      </c>
      <c r="AL46" s="1314">
        <v>-1.23</v>
      </c>
      <c r="AN46" s="1326">
        <v>42496</v>
      </c>
      <c r="AO46" s="1314">
        <v>-0.52</v>
      </c>
      <c r="AQ46" s="1326">
        <v>42496</v>
      </c>
      <c r="AR46" s="1327">
        <v>2.2999999999999998</v>
      </c>
      <c r="AT46" s="1326">
        <v>42496</v>
      </c>
      <c r="AU46" s="1314">
        <v>1210.547</v>
      </c>
      <c r="AV46" s="1314">
        <f t="shared" si="9"/>
        <v>5.8295133237117091E-3</v>
      </c>
      <c r="AX46" s="1314">
        <v>2.6276000000000002</v>
      </c>
      <c r="AY46" s="1314">
        <f t="shared" si="10"/>
        <v>3.0997410342933445E-2</v>
      </c>
    </row>
    <row r="47" spans="1:51" x14ac:dyDescent="0.75">
      <c r="A47" s="1326">
        <v>42489</v>
      </c>
      <c r="B47" s="1314">
        <v>1217.365</v>
      </c>
      <c r="C47" s="1314">
        <f t="shared" si="0"/>
        <v>5.6321646330129965E-3</v>
      </c>
      <c r="E47" s="1326">
        <v>42489</v>
      </c>
      <c r="F47" s="1314">
        <v>10.8</v>
      </c>
      <c r="G47" s="1314">
        <f t="shared" si="1"/>
        <v>1.6949152542373024E-2</v>
      </c>
      <c r="I47" s="1326">
        <v>42489</v>
      </c>
      <c r="J47" s="1314">
        <v>11.62</v>
      </c>
      <c r="K47" s="1314">
        <f t="shared" si="2"/>
        <v>1.9298245614034988E-2</v>
      </c>
      <c r="M47" s="1326">
        <v>42489</v>
      </c>
      <c r="N47" s="1314">
        <v>6.1</v>
      </c>
      <c r="O47" s="1314">
        <f t="shared" si="3"/>
        <v>-6.5146579804560324E-3</v>
      </c>
      <c r="Q47" s="1326">
        <v>42489</v>
      </c>
      <c r="R47" s="1314">
        <v>12.99</v>
      </c>
      <c r="S47" s="1314">
        <f t="shared" si="4"/>
        <v>-6.4794816414686845E-2</v>
      </c>
      <c r="U47" s="1326">
        <v>42489</v>
      </c>
      <c r="V47" s="1314">
        <v>21.64</v>
      </c>
      <c r="W47" s="1314">
        <f t="shared" si="5"/>
        <v>-1.3844023996308784E-3</v>
      </c>
      <c r="Y47" s="1326">
        <v>42489</v>
      </c>
      <c r="Z47" s="1314">
        <v>12.16</v>
      </c>
      <c r="AA47" s="1314">
        <f t="shared" si="6"/>
        <v>-1.7770597738287611E-2</v>
      </c>
      <c r="AC47" s="1326">
        <v>42489</v>
      </c>
      <c r="AD47" s="1314">
        <v>9.0299999999999994</v>
      </c>
      <c r="AE47" s="1314">
        <f t="shared" si="7"/>
        <v>-3.1115879828326278E-2</v>
      </c>
      <c r="AG47" s="1326">
        <v>42489</v>
      </c>
      <c r="AH47" s="1314">
        <v>5.7</v>
      </c>
      <c r="AI47" s="1314">
        <f t="shared" si="8"/>
        <v>1.4234875444839871E-2</v>
      </c>
      <c r="AK47" s="1326">
        <v>42489</v>
      </c>
      <c r="AL47" s="1314">
        <v>-0.1</v>
      </c>
      <c r="AN47" s="1326">
        <v>42489</v>
      </c>
      <c r="AO47" s="1314">
        <v>1.75</v>
      </c>
      <c r="AQ47" s="1326">
        <v>42489</v>
      </c>
      <c r="AR47" s="1327">
        <v>2.34</v>
      </c>
      <c r="AT47" s="1326">
        <v>42489</v>
      </c>
      <c r="AU47" s="1314">
        <v>1217.365</v>
      </c>
      <c r="AV47" s="1314">
        <f t="shared" si="9"/>
        <v>5.6321646330129965E-3</v>
      </c>
      <c r="AX47" s="1314">
        <v>2.6781000000000001</v>
      </c>
      <c r="AY47" s="1314">
        <f t="shared" si="10"/>
        <v>1.9219059217536912E-2</v>
      </c>
    </row>
    <row r="48" spans="1:51" x14ac:dyDescent="0.75">
      <c r="A48" s="1326">
        <v>42482</v>
      </c>
      <c r="B48" s="1314">
        <v>1232.808</v>
      </c>
      <c r="C48" s="1314">
        <f t="shared" si="0"/>
        <v>1.2685595528046217E-2</v>
      </c>
      <c r="E48" s="1326">
        <v>42482</v>
      </c>
      <c r="F48" s="1314">
        <v>11.4</v>
      </c>
      <c r="G48" s="1314">
        <f t="shared" si="1"/>
        <v>5.5555555555555518E-2</v>
      </c>
      <c r="I48" s="1326">
        <v>42482</v>
      </c>
      <c r="J48" s="1314">
        <v>11.93</v>
      </c>
      <c r="K48" s="1314">
        <f t="shared" si="2"/>
        <v>2.6678141135972507E-2</v>
      </c>
      <c r="M48" s="1326">
        <v>42482</v>
      </c>
      <c r="N48" s="1314">
        <v>6.22</v>
      </c>
      <c r="O48" s="1314">
        <f t="shared" si="3"/>
        <v>1.9672131147541003E-2</v>
      </c>
      <c r="Q48" s="1326">
        <v>42482</v>
      </c>
      <c r="R48" s="1314">
        <v>13.34</v>
      </c>
      <c r="S48" s="1314">
        <f t="shared" si="4"/>
        <v>2.6943802925327148E-2</v>
      </c>
      <c r="U48" s="1326">
        <v>42482</v>
      </c>
      <c r="V48" s="1314">
        <v>22.75</v>
      </c>
      <c r="W48" s="1314">
        <f t="shared" si="5"/>
        <v>5.1293900184842853E-2</v>
      </c>
      <c r="Y48" s="1326">
        <v>42482</v>
      </c>
      <c r="Z48" s="1314">
        <v>11.99</v>
      </c>
      <c r="AA48" s="1314">
        <f t="shared" si="6"/>
        <v>-1.398026315789473E-2</v>
      </c>
      <c r="AC48" s="1326">
        <v>42482</v>
      </c>
      <c r="AD48" s="1314">
        <v>8.7799999999999994</v>
      </c>
      <c r="AE48" s="1314">
        <f t="shared" si="7"/>
        <v>-2.7685492801771874E-2</v>
      </c>
      <c r="AG48" s="1326">
        <v>42482</v>
      </c>
      <c r="AH48" s="1314">
        <v>5.81</v>
      </c>
      <c r="AI48" s="1314">
        <f t="shared" si="8"/>
        <v>1.9298245614034988E-2</v>
      </c>
      <c r="AK48" s="1326">
        <v>42482</v>
      </c>
      <c r="AL48" s="1314">
        <v>0.6</v>
      </c>
      <c r="AN48" s="1326">
        <v>42482</v>
      </c>
      <c r="AO48" s="1314">
        <v>1.74</v>
      </c>
      <c r="AQ48" s="1326">
        <v>42482</v>
      </c>
      <c r="AR48" s="1327">
        <v>2.34</v>
      </c>
      <c r="AT48" s="1326">
        <v>42482</v>
      </c>
      <c r="AU48" s="1314">
        <v>1232.808</v>
      </c>
      <c r="AV48" s="1314">
        <f t="shared" si="9"/>
        <v>1.2685595528046217E-2</v>
      </c>
      <c r="AX48" s="1314">
        <v>2.7069999999999999</v>
      </c>
      <c r="AY48" s="1314">
        <f t="shared" si="10"/>
        <v>1.0791232590269109E-2</v>
      </c>
    </row>
    <row r="49" spans="1:51" x14ac:dyDescent="0.75">
      <c r="A49" s="1326">
        <v>42475</v>
      </c>
      <c r="B49" s="1314">
        <v>1224.816</v>
      </c>
      <c r="C49" s="1314">
        <f t="shared" si="0"/>
        <v>-6.4827613058967507E-3</v>
      </c>
      <c r="E49" s="1326">
        <v>42475</v>
      </c>
      <c r="F49" s="1314">
        <v>11.58</v>
      </c>
      <c r="G49" s="1314">
        <f t="shared" si="1"/>
        <v>1.5789473684210503E-2</v>
      </c>
      <c r="I49" s="1326">
        <v>42475</v>
      </c>
      <c r="J49" s="1314">
        <v>13.67</v>
      </c>
      <c r="K49" s="1314">
        <f t="shared" si="2"/>
        <v>0.14585079631181896</v>
      </c>
      <c r="M49" s="1326">
        <v>42475</v>
      </c>
      <c r="N49" s="1314">
        <v>5.69</v>
      </c>
      <c r="O49" s="1314">
        <f t="shared" si="3"/>
        <v>-8.5209003215433982E-2</v>
      </c>
      <c r="Q49" s="1326">
        <v>42475</v>
      </c>
      <c r="R49" s="1314">
        <v>13.52</v>
      </c>
      <c r="S49" s="1314">
        <f t="shared" si="4"/>
        <v>1.3493253373313321E-2</v>
      </c>
      <c r="U49" s="1326">
        <v>42475</v>
      </c>
      <c r="V49" s="1314">
        <v>23</v>
      </c>
      <c r="W49" s="1314">
        <f t="shared" si="5"/>
        <v>1.098901098901099E-2</v>
      </c>
      <c r="Y49" s="1326">
        <v>42475</v>
      </c>
      <c r="Z49" s="1314">
        <v>12.14</v>
      </c>
      <c r="AA49" s="1314">
        <f t="shared" si="6"/>
        <v>1.2510425354462082E-2</v>
      </c>
      <c r="AC49" s="1326">
        <v>42475</v>
      </c>
      <c r="AD49" s="1314">
        <v>8.33</v>
      </c>
      <c r="AE49" s="1314">
        <f t="shared" si="7"/>
        <v>-5.1252847380409944E-2</v>
      </c>
      <c r="AG49" s="1326">
        <v>42475</v>
      </c>
      <c r="AH49" s="1314">
        <v>5.82</v>
      </c>
      <c r="AI49" s="1314">
        <f t="shared" si="8"/>
        <v>1.7211703958693073E-3</v>
      </c>
      <c r="AK49" s="1326">
        <v>42475</v>
      </c>
      <c r="AL49" s="1314">
        <v>0.74</v>
      </c>
      <c r="AN49" s="1326">
        <v>42475</v>
      </c>
      <c r="AO49" s="1314">
        <v>2.0699999999999998</v>
      </c>
      <c r="AQ49" s="1326">
        <v>42475</v>
      </c>
      <c r="AR49" s="1327">
        <v>2.3199999999999998</v>
      </c>
      <c r="AT49" s="1326">
        <v>42475</v>
      </c>
      <c r="AU49" s="1314">
        <v>1224.816</v>
      </c>
      <c r="AV49" s="1314">
        <f t="shared" si="9"/>
        <v>-6.4827613058967507E-3</v>
      </c>
      <c r="AX49" s="1314">
        <v>2.5592999999999999</v>
      </c>
      <c r="AY49" s="1314">
        <f t="shared" si="10"/>
        <v>-5.4562246028814168E-2</v>
      </c>
    </row>
    <row r="50" spans="1:51" x14ac:dyDescent="0.75">
      <c r="A50" s="1326">
        <v>42468</v>
      </c>
      <c r="B50" s="1314">
        <v>1203.163</v>
      </c>
      <c r="C50" s="1314">
        <f t="shared" si="0"/>
        <v>-1.7678573761283345E-2</v>
      </c>
      <c r="E50" s="1326">
        <v>42468</v>
      </c>
      <c r="F50" s="1314">
        <v>11.32</v>
      </c>
      <c r="G50" s="1314">
        <f t="shared" si="1"/>
        <v>-2.2452504317789272E-2</v>
      </c>
      <c r="I50" s="1326">
        <v>42468</v>
      </c>
      <c r="J50" s="1314">
        <v>13.49</v>
      </c>
      <c r="K50" s="1314">
        <f t="shared" si="2"/>
        <v>-1.3167520117044602E-2</v>
      </c>
      <c r="M50" s="1326">
        <v>42468</v>
      </c>
      <c r="N50" s="1314">
        <v>5.34</v>
      </c>
      <c r="O50" s="1314">
        <f t="shared" si="3"/>
        <v>-6.1511423550087964E-2</v>
      </c>
      <c r="Q50" s="1326">
        <v>42468</v>
      </c>
      <c r="R50" s="1314">
        <v>12.22</v>
      </c>
      <c r="S50" s="1314">
        <f t="shared" si="4"/>
        <v>-9.6153846153846076E-2</v>
      </c>
      <c r="U50" s="1326">
        <v>42468</v>
      </c>
      <c r="V50" s="1314">
        <v>21.93</v>
      </c>
      <c r="W50" s="1314">
        <f t="shared" si="5"/>
        <v>-4.6521739130434794E-2</v>
      </c>
      <c r="Y50" s="1326">
        <v>42468</v>
      </c>
      <c r="Z50" s="1314">
        <v>11.64</v>
      </c>
      <c r="AA50" s="1314">
        <f t="shared" si="6"/>
        <v>-4.118616144975288E-2</v>
      </c>
      <c r="AC50" s="1326">
        <v>42468</v>
      </c>
      <c r="AD50" s="1314">
        <v>8.1999999999999993</v>
      </c>
      <c r="AE50" s="1314">
        <f t="shared" si="7"/>
        <v>-1.5606242496998893E-2</v>
      </c>
      <c r="AG50" s="1326">
        <v>42468</v>
      </c>
      <c r="AH50" s="1314">
        <v>5.0199999999999996</v>
      </c>
      <c r="AI50" s="1314">
        <f t="shared" si="8"/>
        <v>-0.13745704467353964</v>
      </c>
      <c r="AK50" s="1326">
        <v>42468</v>
      </c>
      <c r="AL50" s="1314">
        <v>-0.18</v>
      </c>
      <c r="AN50" s="1326">
        <v>42468</v>
      </c>
      <c r="AO50" s="1314">
        <v>-1.67</v>
      </c>
      <c r="AQ50" s="1326">
        <v>42468</v>
      </c>
      <c r="AR50" s="1327">
        <v>2.31</v>
      </c>
      <c r="AT50" s="1326">
        <v>42468</v>
      </c>
      <c r="AU50" s="1314">
        <v>1203.163</v>
      </c>
      <c r="AV50" s="1314">
        <f t="shared" si="9"/>
        <v>-1.7678573761283345E-2</v>
      </c>
      <c r="AX50" s="1314">
        <v>2.5525000000000002</v>
      </c>
      <c r="AY50" s="1314">
        <f t="shared" si="10"/>
        <v>-2.6569765170162529E-3</v>
      </c>
    </row>
    <row r="51" spans="1:51" x14ac:dyDescent="0.75">
      <c r="A51" s="1326">
        <v>42461</v>
      </c>
      <c r="B51" s="1314">
        <v>1218.2909999999999</v>
      </c>
      <c r="C51" s="1314">
        <f t="shared" si="0"/>
        <v>1.2573524950484622E-2</v>
      </c>
      <c r="E51" s="1326">
        <v>42461</v>
      </c>
      <c r="F51" s="1314">
        <v>11.91</v>
      </c>
      <c r="G51" s="1314">
        <f t="shared" si="1"/>
        <v>5.2120141342756172E-2</v>
      </c>
      <c r="I51" s="1326">
        <v>42461</v>
      </c>
      <c r="J51" s="1314">
        <v>13.85</v>
      </c>
      <c r="K51" s="1314">
        <f t="shared" si="2"/>
        <v>2.6686434395848734E-2</v>
      </c>
      <c r="M51" s="1326">
        <v>42461</v>
      </c>
      <c r="N51" s="1314">
        <v>5.74</v>
      </c>
      <c r="O51" s="1314">
        <f t="shared" si="3"/>
        <v>7.4906367041198574E-2</v>
      </c>
      <c r="Q51" s="1326">
        <v>42461</v>
      </c>
      <c r="R51" s="1314">
        <v>11.89</v>
      </c>
      <c r="S51" s="1314">
        <f t="shared" si="4"/>
        <v>-2.7004909983633391E-2</v>
      </c>
      <c r="U51" s="1326">
        <v>42461</v>
      </c>
      <c r="V51" s="1314">
        <v>22.57</v>
      </c>
      <c r="W51" s="1314">
        <f t="shared" si="5"/>
        <v>2.9183766529867788E-2</v>
      </c>
      <c r="Y51" s="1326">
        <v>42461</v>
      </c>
      <c r="Z51" s="1314">
        <v>12.08</v>
      </c>
      <c r="AA51" s="1314">
        <f t="shared" si="6"/>
        <v>3.7800687285223324E-2</v>
      </c>
      <c r="AC51" s="1326">
        <v>42461</v>
      </c>
      <c r="AD51" s="1314">
        <v>8.76</v>
      </c>
      <c r="AE51" s="1314">
        <f t="shared" si="7"/>
        <v>6.8292682926829329E-2</v>
      </c>
      <c r="AG51" s="1326">
        <v>42461</v>
      </c>
      <c r="AH51" s="1314">
        <v>5</v>
      </c>
      <c r="AI51" s="1314">
        <f t="shared" si="8"/>
        <v>-3.9840637450198361E-3</v>
      </c>
      <c r="AK51" s="1326">
        <v>42461</v>
      </c>
      <c r="AL51" s="1314">
        <v>1.62</v>
      </c>
      <c r="AN51" s="1326">
        <v>42461</v>
      </c>
      <c r="AO51" s="1314">
        <v>-2.0099999999999998</v>
      </c>
      <c r="AQ51" s="1326">
        <v>42461</v>
      </c>
      <c r="AR51" s="1327">
        <v>2.4</v>
      </c>
      <c r="AT51" s="1326">
        <v>42461</v>
      </c>
      <c r="AU51" s="1314">
        <v>1218.2909999999999</v>
      </c>
      <c r="AV51" s="1314">
        <f t="shared" si="9"/>
        <v>1.2573524950484622E-2</v>
      </c>
      <c r="AX51" s="1314">
        <v>2.5996999999999999</v>
      </c>
      <c r="AY51" s="1314">
        <f t="shared" si="10"/>
        <v>1.8491674828599289E-2</v>
      </c>
    </row>
    <row r="52" spans="1:51" x14ac:dyDescent="0.75">
      <c r="A52" s="1326">
        <v>42454</v>
      </c>
      <c r="B52" s="1314">
        <v>1194.2660000000001</v>
      </c>
      <c r="C52" s="1314">
        <f t="shared" si="0"/>
        <v>-1.9720247461402787E-2</v>
      </c>
      <c r="E52" s="1326">
        <v>42454</v>
      </c>
      <c r="F52" s="1314">
        <v>11.6</v>
      </c>
      <c r="G52" s="1314">
        <f t="shared" si="1"/>
        <v>-2.6028547439126824E-2</v>
      </c>
      <c r="I52" s="1326">
        <v>42454</v>
      </c>
      <c r="J52" s="1314">
        <v>13.51</v>
      </c>
      <c r="K52" s="1314">
        <f t="shared" si="2"/>
        <v>-2.4548736462093854E-2</v>
      </c>
      <c r="M52" s="1326">
        <v>42454</v>
      </c>
      <c r="N52" s="1314">
        <v>5.26</v>
      </c>
      <c r="O52" s="1314">
        <f t="shared" si="3"/>
        <v>-8.3623693379791017E-2</v>
      </c>
      <c r="Q52" s="1326">
        <v>42454</v>
      </c>
      <c r="R52" s="1314">
        <v>10.85</v>
      </c>
      <c r="S52" s="1314">
        <f t="shared" si="4"/>
        <v>-8.7468460891505534E-2</v>
      </c>
      <c r="U52" s="1326">
        <v>42454</v>
      </c>
      <c r="V52" s="1314">
        <v>21.45</v>
      </c>
      <c r="W52" s="1314">
        <f t="shared" si="5"/>
        <v>-4.962339388568901E-2</v>
      </c>
      <c r="Y52" s="1326">
        <v>42454</v>
      </c>
      <c r="Z52" s="1314">
        <v>12.15</v>
      </c>
      <c r="AA52" s="1314">
        <f t="shared" si="6"/>
        <v>5.7947019867549904E-3</v>
      </c>
      <c r="AC52" s="1326">
        <v>42454</v>
      </c>
      <c r="AD52" s="1314">
        <v>8.5</v>
      </c>
      <c r="AE52" s="1314">
        <f t="shared" si="7"/>
        <v>-2.9680365296803631E-2</v>
      </c>
      <c r="AG52" s="1326">
        <v>42454</v>
      </c>
      <c r="AH52" s="1314">
        <v>5.08</v>
      </c>
      <c r="AI52" s="1314">
        <f t="shared" si="8"/>
        <v>1.6000000000000014E-2</v>
      </c>
      <c r="AK52" s="1326">
        <v>42454</v>
      </c>
      <c r="AL52" s="1314">
        <v>-0.87</v>
      </c>
      <c r="AN52" s="1326">
        <v>42454</v>
      </c>
      <c r="AO52" s="1314">
        <v>-0.97</v>
      </c>
      <c r="AQ52" s="1326">
        <v>42454</v>
      </c>
      <c r="AR52" s="1327">
        <v>2.4900000000000002</v>
      </c>
      <c r="AT52" s="1326">
        <v>42454</v>
      </c>
      <c r="AU52" s="1314">
        <v>1194.2660000000001</v>
      </c>
      <c r="AV52" s="1314">
        <f t="shared" si="9"/>
        <v>-1.9720247461402787E-2</v>
      </c>
      <c r="AX52" s="1314">
        <v>2.673</v>
      </c>
      <c r="AY52" s="1314">
        <f t="shared" si="10"/>
        <v>2.8195561026272319E-2</v>
      </c>
    </row>
    <row r="53" spans="1:51" x14ac:dyDescent="0.75">
      <c r="A53" s="1326">
        <v>42447</v>
      </c>
      <c r="B53" s="1314">
        <v>1203.8409999999999</v>
      </c>
      <c r="C53" s="1314">
        <f t="shared" si="0"/>
        <v>8.0174768435171198E-3</v>
      </c>
      <c r="E53" s="1326">
        <v>42447</v>
      </c>
      <c r="F53" s="1314">
        <v>12.3</v>
      </c>
      <c r="G53" s="1314">
        <f t="shared" si="1"/>
        <v>6.0344827586206989E-2</v>
      </c>
      <c r="I53" s="1326">
        <v>42447</v>
      </c>
      <c r="J53" s="1314">
        <v>13.44</v>
      </c>
      <c r="K53" s="1314">
        <f t="shared" si="2"/>
        <v>-5.1813471502590884E-3</v>
      </c>
      <c r="M53" s="1326">
        <v>42447</v>
      </c>
      <c r="N53" s="1314">
        <v>5.76</v>
      </c>
      <c r="O53" s="1314">
        <f t="shared" si="3"/>
        <v>9.5057034220532327E-2</v>
      </c>
      <c r="Q53" s="1326">
        <v>42447</v>
      </c>
      <c r="R53" s="1314">
        <v>10.75</v>
      </c>
      <c r="S53" s="1314">
        <f t="shared" si="4"/>
        <v>-9.2165898617511191E-3</v>
      </c>
      <c r="U53" s="1326">
        <v>42447</v>
      </c>
      <c r="V53" s="1314">
        <v>21.92</v>
      </c>
      <c r="W53" s="1314">
        <f t="shared" si="5"/>
        <v>2.1911421911422025E-2</v>
      </c>
      <c r="Y53" s="1326">
        <v>42447</v>
      </c>
      <c r="Z53" s="1314">
        <v>12.49</v>
      </c>
      <c r="AA53" s="1314">
        <f t="shared" si="6"/>
        <v>2.7983539094650192E-2</v>
      </c>
      <c r="AC53" s="1326">
        <v>42447</v>
      </c>
      <c r="AD53" s="1314">
        <v>8.82</v>
      </c>
      <c r="AE53" s="1314">
        <f t="shared" si="7"/>
        <v>3.7647058823529443E-2</v>
      </c>
      <c r="AG53" s="1326">
        <v>42447</v>
      </c>
      <c r="AH53" s="1314">
        <v>5.15</v>
      </c>
      <c r="AI53" s="1314">
        <f t="shared" si="8"/>
        <v>1.3779527559055173E-2</v>
      </c>
      <c r="AK53" s="1326">
        <v>42447</v>
      </c>
      <c r="AL53" s="1314">
        <v>-0.3</v>
      </c>
      <c r="AN53" s="1326">
        <v>42447</v>
      </c>
      <c r="AO53" s="1314">
        <v>0.2</v>
      </c>
      <c r="AQ53" s="1326">
        <v>42447</v>
      </c>
      <c r="AR53" s="1327">
        <v>2.57</v>
      </c>
      <c r="AT53" s="1326">
        <v>42447</v>
      </c>
      <c r="AU53" s="1314">
        <v>1203.8409999999999</v>
      </c>
      <c r="AV53" s="1314">
        <f t="shared" si="9"/>
        <v>8.0174768435171198E-3</v>
      </c>
      <c r="AX53" s="1314">
        <v>2.6753</v>
      </c>
      <c r="AY53" s="1314">
        <f t="shared" si="10"/>
        <v>8.6045641601195991E-4</v>
      </c>
    </row>
    <row r="54" spans="1:51" x14ac:dyDescent="0.75">
      <c r="A54" s="1326">
        <v>42440</v>
      </c>
      <c r="B54" s="1314">
        <v>1187.788</v>
      </c>
      <c r="C54" s="1314">
        <f t="shared" si="0"/>
        <v>-1.3334817471742436E-2</v>
      </c>
      <c r="E54" s="1326">
        <v>42440</v>
      </c>
      <c r="F54" s="1314">
        <v>11.83</v>
      </c>
      <c r="G54" s="1314">
        <f t="shared" si="1"/>
        <v>-3.8211382113821191E-2</v>
      </c>
      <c r="I54" s="1326">
        <v>42440</v>
      </c>
      <c r="J54" s="1314">
        <v>13.25</v>
      </c>
      <c r="K54" s="1314">
        <f t="shared" si="2"/>
        <v>-1.4136904761904726E-2</v>
      </c>
      <c r="M54" s="1326">
        <v>42440</v>
      </c>
      <c r="N54" s="1314">
        <v>5.69</v>
      </c>
      <c r="O54" s="1314">
        <f t="shared" si="3"/>
        <v>-1.2152777777777674E-2</v>
      </c>
      <c r="Q54" s="1326">
        <v>42440</v>
      </c>
      <c r="R54" s="1314">
        <v>11.95</v>
      </c>
      <c r="S54" s="1314">
        <f t="shared" si="4"/>
        <v>0.11162790697674412</v>
      </c>
      <c r="U54" s="1326">
        <v>42440</v>
      </c>
      <c r="V54" s="1314">
        <v>20.9</v>
      </c>
      <c r="W54" s="1314">
        <f t="shared" si="5"/>
        <v>-4.6532846715328605E-2</v>
      </c>
      <c r="Y54" s="1326">
        <v>42440</v>
      </c>
      <c r="Z54" s="1314">
        <v>12.16</v>
      </c>
      <c r="AA54" s="1314">
        <f t="shared" si="6"/>
        <v>-2.6421136909527628E-2</v>
      </c>
      <c r="AC54" s="1326">
        <v>42440</v>
      </c>
      <c r="AD54" s="1314">
        <v>8.7100000000000009</v>
      </c>
      <c r="AE54" s="1314">
        <f t="shared" si="7"/>
        <v>-1.2471655328798121E-2</v>
      </c>
      <c r="AG54" s="1326">
        <v>42440</v>
      </c>
      <c r="AH54" s="1314">
        <v>5.33</v>
      </c>
      <c r="AI54" s="1314">
        <f t="shared" si="8"/>
        <v>3.4951456310679557E-2</v>
      </c>
      <c r="AK54" s="1326">
        <v>42440</v>
      </c>
      <c r="AL54" s="1314">
        <v>-0.5</v>
      </c>
      <c r="AN54" s="1326">
        <v>42440</v>
      </c>
      <c r="AO54" s="1314">
        <v>1.26</v>
      </c>
      <c r="AQ54" s="1326">
        <v>42440</v>
      </c>
      <c r="AR54" s="1327">
        <v>2.65</v>
      </c>
      <c r="AT54" s="1326">
        <v>42440</v>
      </c>
      <c r="AU54" s="1314">
        <v>1187.788</v>
      </c>
      <c r="AV54" s="1314">
        <f t="shared" si="9"/>
        <v>-1.3334817471742436E-2</v>
      </c>
      <c r="AX54" s="1314">
        <v>2.7532000000000001</v>
      </c>
      <c r="AY54" s="1314">
        <f t="shared" si="10"/>
        <v>2.9118229731245122E-2</v>
      </c>
    </row>
    <row r="55" spans="1:51" x14ac:dyDescent="0.75">
      <c r="A55" s="1326">
        <v>42433</v>
      </c>
      <c r="B55" s="1314">
        <v>1175.8240000000001</v>
      </c>
      <c r="C55" s="1314">
        <f t="shared" si="0"/>
        <v>-1.0072504521008751E-2</v>
      </c>
      <c r="E55" s="1326">
        <v>42433</v>
      </c>
      <c r="F55" s="1314">
        <v>11.68</v>
      </c>
      <c r="G55" s="1314">
        <f t="shared" si="1"/>
        <v>-1.2679628064243479E-2</v>
      </c>
      <c r="I55" s="1326">
        <v>42433</v>
      </c>
      <c r="J55" s="1314">
        <v>13.27</v>
      </c>
      <c r="K55" s="1314">
        <f t="shared" si="2"/>
        <v>1.5094339622641188E-3</v>
      </c>
      <c r="M55" s="1326">
        <v>42433</v>
      </c>
      <c r="N55" s="1314">
        <v>5.57</v>
      </c>
      <c r="O55" s="1314">
        <f t="shared" si="3"/>
        <v>-2.1089630931458717E-2</v>
      </c>
      <c r="Q55" s="1326">
        <v>42433</v>
      </c>
      <c r="R55" s="1314">
        <v>11.86</v>
      </c>
      <c r="S55" s="1314">
        <f t="shared" si="4"/>
        <v>-7.5313807531380639E-3</v>
      </c>
      <c r="U55" s="1326">
        <v>42433</v>
      </c>
      <c r="V55" s="1314">
        <v>21.01</v>
      </c>
      <c r="W55" s="1314">
        <f t="shared" si="5"/>
        <v>5.2631578947369851E-3</v>
      </c>
      <c r="Y55" s="1326">
        <v>42433</v>
      </c>
      <c r="Z55" s="1314">
        <v>12.05</v>
      </c>
      <c r="AA55" s="1314">
        <f t="shared" si="6"/>
        <v>-9.0460526315789009E-3</v>
      </c>
      <c r="AC55" s="1326">
        <v>42433</v>
      </c>
      <c r="AD55" s="1314">
        <v>8.58</v>
      </c>
      <c r="AE55" s="1314">
        <f t="shared" si="7"/>
        <v>-1.4925373134328446E-2</v>
      </c>
      <c r="AG55" s="1326">
        <v>42433</v>
      </c>
      <c r="AH55" s="1314">
        <v>5.45</v>
      </c>
      <c r="AI55" s="1314">
        <f t="shared" si="8"/>
        <v>2.251407129455912E-2</v>
      </c>
      <c r="AK55" s="1326">
        <v>42433</v>
      </c>
      <c r="AL55" s="1314">
        <v>1.17</v>
      </c>
      <c r="AN55" s="1326">
        <v>42433</v>
      </c>
      <c r="AO55" s="1314">
        <v>2.42</v>
      </c>
      <c r="AQ55" s="1326">
        <v>42433</v>
      </c>
      <c r="AR55" s="1327">
        <v>2.64</v>
      </c>
      <c r="AT55" s="1326">
        <v>42433</v>
      </c>
      <c r="AU55" s="1314">
        <v>1175.8240000000001</v>
      </c>
      <c r="AV55" s="1314">
        <f t="shared" si="9"/>
        <v>-1.0072504521008751E-2</v>
      </c>
      <c r="AX55" s="1314">
        <v>2.6947000000000001</v>
      </c>
      <c r="AY55" s="1314">
        <f t="shared" si="10"/>
        <v>-2.1248002324567774E-2</v>
      </c>
    </row>
    <row r="56" spans="1:51" x14ac:dyDescent="0.75">
      <c r="A56" s="1326">
        <v>42426</v>
      </c>
      <c r="B56" s="1314">
        <v>1141.8330000000001</v>
      </c>
      <c r="C56" s="1314">
        <f t="shared" si="0"/>
        <v>-2.8908237967586972E-2</v>
      </c>
      <c r="E56" s="1326">
        <v>42426</v>
      </c>
      <c r="F56" s="1314">
        <v>11.34</v>
      </c>
      <c r="G56" s="1314">
        <f t="shared" si="1"/>
        <v>-2.9109589041095878E-2</v>
      </c>
      <c r="I56" s="1326">
        <v>42426</v>
      </c>
      <c r="J56" s="1314">
        <v>12.98</v>
      </c>
      <c r="K56" s="1314">
        <f t="shared" si="2"/>
        <v>-2.1853805576488257E-2</v>
      </c>
      <c r="M56" s="1326">
        <v>42426</v>
      </c>
      <c r="N56" s="1314">
        <v>5.25</v>
      </c>
      <c r="O56" s="1314">
        <f t="shared" si="3"/>
        <v>-5.7450628366247806E-2</v>
      </c>
      <c r="Q56" s="1326">
        <v>42426</v>
      </c>
      <c r="R56" s="1314">
        <v>11.785</v>
      </c>
      <c r="S56" s="1314">
        <f t="shared" si="4"/>
        <v>-6.3237774030353534E-3</v>
      </c>
      <c r="U56" s="1326">
        <v>42426</v>
      </c>
      <c r="V56" s="1314">
        <v>18.59</v>
      </c>
      <c r="W56" s="1314">
        <f t="shared" si="5"/>
        <v>-0.1151832460732985</v>
      </c>
      <c r="Y56" s="1326">
        <v>42426</v>
      </c>
      <c r="Z56" s="1314">
        <v>11.78</v>
      </c>
      <c r="AA56" s="1314">
        <f t="shared" si="6"/>
        <v>-2.2406639004149489E-2</v>
      </c>
      <c r="AC56" s="1326">
        <v>42426</v>
      </c>
      <c r="AD56" s="1314">
        <v>7.86</v>
      </c>
      <c r="AE56" s="1314">
        <f t="shared" si="7"/>
        <v>-8.3916083916083892E-2</v>
      </c>
      <c r="AG56" s="1326">
        <v>42426</v>
      </c>
      <c r="AH56" s="1314">
        <v>5.51</v>
      </c>
      <c r="AI56" s="1314">
        <f t="shared" si="8"/>
        <v>1.1009174311926533E-2</v>
      </c>
      <c r="AK56" s="1326">
        <v>42426</v>
      </c>
      <c r="AL56" s="1314">
        <v>1.28</v>
      </c>
      <c r="AN56" s="1326">
        <v>42426</v>
      </c>
      <c r="AO56" s="1314">
        <v>-0.06</v>
      </c>
      <c r="AQ56" s="1326">
        <v>42426</v>
      </c>
      <c r="AR56" s="1327">
        <v>2.58</v>
      </c>
      <c r="AT56" s="1326">
        <v>42426</v>
      </c>
      <c r="AU56" s="1314">
        <v>1141.8330000000001</v>
      </c>
      <c r="AV56" s="1314">
        <f t="shared" si="9"/>
        <v>-2.8908237967586972E-2</v>
      </c>
      <c r="AX56" s="1314">
        <v>2.6362999999999999</v>
      </c>
      <c r="AY56" s="1314">
        <f t="shared" si="10"/>
        <v>-2.1672171299217065E-2</v>
      </c>
    </row>
    <row r="57" spans="1:51" x14ac:dyDescent="0.75">
      <c r="A57" s="1326">
        <v>42419</v>
      </c>
      <c r="B57" s="1314">
        <v>1121.44</v>
      </c>
      <c r="C57" s="1314">
        <f t="shared" si="0"/>
        <v>-1.7859879684682459E-2</v>
      </c>
      <c r="E57" s="1326">
        <v>42419</v>
      </c>
      <c r="F57" s="1314">
        <v>10.98</v>
      </c>
      <c r="G57" s="1314">
        <f t="shared" si="1"/>
        <v>-3.1746031746031696E-2</v>
      </c>
      <c r="I57" s="1326">
        <v>42419</v>
      </c>
      <c r="J57" s="1314">
        <v>12.41</v>
      </c>
      <c r="K57" s="1314">
        <f t="shared" si="2"/>
        <v>-4.3913713405238849E-2</v>
      </c>
      <c r="M57" s="1326">
        <v>42419</v>
      </c>
      <c r="N57" s="1314">
        <v>5.27</v>
      </c>
      <c r="O57" s="1314">
        <f t="shared" si="3"/>
        <v>3.8095238095237284E-3</v>
      </c>
      <c r="Q57" s="1326">
        <v>42419</v>
      </c>
      <c r="R57" s="1314">
        <v>11.87</v>
      </c>
      <c r="S57" s="1314">
        <f t="shared" si="4"/>
        <v>7.2125583368688228E-3</v>
      </c>
      <c r="U57" s="1326">
        <v>42419</v>
      </c>
      <c r="V57" s="1314">
        <v>17.63</v>
      </c>
      <c r="W57" s="1314">
        <f t="shared" si="5"/>
        <v>-5.1640667025282458E-2</v>
      </c>
      <c r="Y57" s="1326">
        <v>42419</v>
      </c>
      <c r="Z57" s="1314">
        <v>11.72</v>
      </c>
      <c r="AA57" s="1314">
        <f t="shared" si="6"/>
        <v>-5.0933786078097391E-3</v>
      </c>
      <c r="AC57" s="1326">
        <v>42419</v>
      </c>
      <c r="AD57" s="1314">
        <v>7.42</v>
      </c>
      <c r="AE57" s="1314">
        <f t="shared" si="7"/>
        <v>-5.5979643765903357E-2</v>
      </c>
      <c r="AG57" s="1326">
        <v>42419</v>
      </c>
      <c r="AH57" s="1314">
        <v>5.38</v>
      </c>
      <c r="AI57" s="1314">
        <f t="shared" si="8"/>
        <v>-2.3593466424682377E-2</v>
      </c>
      <c r="AK57" s="1326">
        <v>42419</v>
      </c>
      <c r="AL57" s="1314">
        <v>0.96</v>
      </c>
      <c r="AN57" s="1326">
        <v>42419</v>
      </c>
      <c r="AO57" s="1314">
        <v>-1.67</v>
      </c>
      <c r="AQ57" s="1326">
        <v>42419</v>
      </c>
      <c r="AR57" s="1327">
        <v>2.62</v>
      </c>
      <c r="AT57" s="1326">
        <v>42419</v>
      </c>
      <c r="AU57" s="1314">
        <v>1121.44</v>
      </c>
      <c r="AV57" s="1314">
        <f t="shared" si="9"/>
        <v>-1.7859879684682459E-2</v>
      </c>
      <c r="AX57" s="1314">
        <v>2.6048</v>
      </c>
      <c r="AY57" s="1314">
        <f t="shared" si="10"/>
        <v>-1.1948564275689362E-2</v>
      </c>
    </row>
    <row r="58" spans="1:51" x14ac:dyDescent="0.75">
      <c r="A58" s="1326">
        <v>42412</v>
      </c>
      <c r="B58" s="1314">
        <v>1088.258</v>
      </c>
      <c r="C58" s="1314">
        <f t="shared" si="0"/>
        <v>-2.9588743044656883E-2</v>
      </c>
      <c r="E58" s="1326">
        <v>42412</v>
      </c>
      <c r="F58" s="1314">
        <v>10.74</v>
      </c>
      <c r="G58" s="1314">
        <f t="shared" si="1"/>
        <v>-2.1857923497267777E-2</v>
      </c>
      <c r="I58" s="1326">
        <v>42412</v>
      </c>
      <c r="J58" s="1314">
        <v>11.97</v>
      </c>
      <c r="K58" s="1314">
        <f t="shared" si="2"/>
        <v>-3.5455278001611565E-2</v>
      </c>
      <c r="M58" s="1326">
        <v>42412</v>
      </c>
      <c r="N58" s="1314">
        <v>5</v>
      </c>
      <c r="O58" s="1314">
        <f t="shared" si="3"/>
        <v>-5.123339658444015E-2</v>
      </c>
      <c r="Q58" s="1326">
        <v>42412</v>
      </c>
      <c r="R58" s="1314">
        <v>11.25</v>
      </c>
      <c r="S58" s="1314">
        <f t="shared" si="4"/>
        <v>-5.2232518955349555E-2</v>
      </c>
      <c r="U58" s="1326">
        <v>42412</v>
      </c>
      <c r="V58" s="1314">
        <v>16.25</v>
      </c>
      <c r="W58" s="1314">
        <f t="shared" si="5"/>
        <v>-7.8275666477594957E-2</v>
      </c>
      <c r="Y58" s="1326">
        <v>42412</v>
      </c>
      <c r="Z58" s="1314">
        <v>11.19</v>
      </c>
      <c r="AA58" s="1314">
        <f t="shared" si="6"/>
        <v>-4.5221843003413066E-2</v>
      </c>
      <c r="AC58" s="1326">
        <v>42412</v>
      </c>
      <c r="AD58" s="1314">
        <v>6.55</v>
      </c>
      <c r="AE58" s="1314">
        <f t="shared" si="7"/>
        <v>-0.11725067385444746</v>
      </c>
      <c r="AG58" s="1326">
        <v>42412</v>
      </c>
      <c r="AH58" s="1314">
        <v>5.07</v>
      </c>
      <c r="AI58" s="1314">
        <f t="shared" si="8"/>
        <v>-5.76208178438661E-2</v>
      </c>
      <c r="AK58" s="1326">
        <v>42412</v>
      </c>
      <c r="AL58" s="1314">
        <v>-0.5</v>
      </c>
      <c r="AN58" s="1326">
        <v>42412</v>
      </c>
      <c r="AO58" s="1314">
        <v>-0.39</v>
      </c>
      <c r="AQ58" s="1326">
        <v>42412</v>
      </c>
      <c r="AR58" s="1327">
        <v>2.56</v>
      </c>
      <c r="AT58" s="1326">
        <v>42412</v>
      </c>
      <c r="AU58" s="1314">
        <v>1088.258</v>
      </c>
      <c r="AV58" s="1314">
        <f t="shared" si="9"/>
        <v>-2.9588743044656883E-2</v>
      </c>
      <c r="AX58" s="1314">
        <v>2.6040000000000001</v>
      </c>
      <c r="AY58" s="1314">
        <f t="shared" si="10"/>
        <v>-3.0712530712527329E-4</v>
      </c>
    </row>
    <row r="59" spans="1:51" x14ac:dyDescent="0.75">
      <c r="A59" s="1326">
        <v>42405</v>
      </c>
      <c r="B59" s="1314">
        <v>1099.559</v>
      </c>
      <c r="C59" s="1314">
        <f t="shared" si="0"/>
        <v>1.0384486031804894E-2</v>
      </c>
      <c r="E59" s="1326">
        <v>42405</v>
      </c>
      <c r="F59" s="1314">
        <v>10.74</v>
      </c>
      <c r="G59" s="1314">
        <f t="shared" si="1"/>
        <v>0</v>
      </c>
      <c r="I59" s="1326">
        <v>42405</v>
      </c>
      <c r="J59" s="1314">
        <v>12</v>
      </c>
      <c r="K59" s="1314">
        <f t="shared" si="2"/>
        <v>2.5062656641603475E-3</v>
      </c>
      <c r="M59" s="1326">
        <v>42405</v>
      </c>
      <c r="N59" s="1314">
        <v>5.48</v>
      </c>
      <c r="O59" s="1314">
        <f t="shared" si="3"/>
        <v>9.6000000000000085E-2</v>
      </c>
      <c r="Q59" s="1326">
        <v>42405</v>
      </c>
      <c r="R59" s="1314">
        <v>11.06</v>
      </c>
      <c r="S59" s="1314">
        <f t="shared" si="4"/>
        <v>-1.6888888888888846E-2</v>
      </c>
      <c r="U59" s="1326">
        <v>42405</v>
      </c>
      <c r="V59" s="1314">
        <v>17.309999999999999</v>
      </c>
      <c r="W59" s="1314">
        <f t="shared" si="5"/>
        <v>6.5230769230769148E-2</v>
      </c>
      <c r="Y59" s="1326">
        <v>42405</v>
      </c>
      <c r="Z59" s="1314">
        <v>10.95</v>
      </c>
      <c r="AA59" s="1314">
        <f t="shared" si="6"/>
        <v>-2.1447721179624686E-2</v>
      </c>
      <c r="AC59" s="1326">
        <v>42405</v>
      </c>
      <c r="AD59" s="1314">
        <v>7.23</v>
      </c>
      <c r="AE59" s="1314">
        <f t="shared" si="7"/>
        <v>0.10381679389312987</v>
      </c>
      <c r="AG59" s="1326">
        <v>42405</v>
      </c>
      <c r="AH59" s="1314">
        <v>5.2649999999999997</v>
      </c>
      <c r="AI59" s="1314">
        <f t="shared" si="8"/>
        <v>3.8461538461538339E-2</v>
      </c>
      <c r="AK59" s="1326">
        <v>42405</v>
      </c>
      <c r="AL59" s="1314">
        <v>-1.36</v>
      </c>
      <c r="AN59" s="1326">
        <v>42405</v>
      </c>
      <c r="AO59" s="1314">
        <v>1.22</v>
      </c>
      <c r="AQ59" s="1326">
        <v>42405</v>
      </c>
      <c r="AR59" s="1327">
        <v>2.61</v>
      </c>
      <c r="AT59" s="1326">
        <v>42405</v>
      </c>
      <c r="AU59" s="1314">
        <v>1099.559</v>
      </c>
      <c r="AV59" s="1314">
        <f t="shared" si="9"/>
        <v>1.0384486031804894E-2</v>
      </c>
      <c r="AX59" s="1314">
        <v>2.6682999999999999</v>
      </c>
      <c r="AY59" s="1314">
        <f t="shared" si="10"/>
        <v>2.4692780337941551E-2</v>
      </c>
    </row>
    <row r="60" spans="1:51" x14ac:dyDescent="0.75">
      <c r="A60" s="1326">
        <v>42398</v>
      </c>
      <c r="B60" s="1314">
        <v>1136.837</v>
      </c>
      <c r="C60" s="1314">
        <f t="shared" si="0"/>
        <v>3.390268280283279E-2</v>
      </c>
      <c r="E60" s="1326">
        <v>42398</v>
      </c>
      <c r="F60" s="1314">
        <v>11.93</v>
      </c>
      <c r="G60" s="1314">
        <f t="shared" si="1"/>
        <v>0.11080074487895712</v>
      </c>
      <c r="I60" s="1326">
        <v>42398</v>
      </c>
      <c r="J60" s="1314">
        <v>12.24</v>
      </c>
      <c r="K60" s="1314">
        <f t="shared" si="2"/>
        <v>2.0000000000000018E-2</v>
      </c>
      <c r="M60" s="1326">
        <v>42398</v>
      </c>
      <c r="N60" s="1314">
        <v>5.5</v>
      </c>
      <c r="O60" s="1314">
        <f t="shared" si="3"/>
        <v>3.6496350364962722E-3</v>
      </c>
      <c r="Q60" s="1326">
        <v>42398</v>
      </c>
      <c r="R60" s="1314">
        <v>9.5500000000000007</v>
      </c>
      <c r="S60" s="1314">
        <f t="shared" si="4"/>
        <v>-0.13652802893309221</v>
      </c>
      <c r="U60" s="1326">
        <v>42398</v>
      </c>
      <c r="V60" s="1314">
        <v>20.100000000000001</v>
      </c>
      <c r="W60" s="1314">
        <f t="shared" si="5"/>
        <v>0.16117850953206256</v>
      </c>
      <c r="Y60" s="1326">
        <v>42398</v>
      </c>
      <c r="Z60" s="1314">
        <v>11.46</v>
      </c>
      <c r="AA60" s="1314">
        <f t="shared" si="6"/>
        <v>4.6575342465753573E-2</v>
      </c>
      <c r="AC60" s="1326">
        <v>42398</v>
      </c>
      <c r="AD60" s="1314">
        <v>7.86</v>
      </c>
      <c r="AE60" s="1314">
        <f t="shared" si="7"/>
        <v>8.7136929460580895E-2</v>
      </c>
      <c r="AG60" s="1326">
        <v>42398</v>
      </c>
      <c r="AH60" s="1314">
        <v>6.06</v>
      </c>
      <c r="AI60" s="1314">
        <f t="shared" si="8"/>
        <v>0.150997150997151</v>
      </c>
      <c r="AK60" s="1326">
        <v>42398</v>
      </c>
      <c r="AL60" s="1314">
        <v>-0.67</v>
      </c>
      <c r="AN60" s="1326">
        <v>42398</v>
      </c>
      <c r="AO60" s="1314">
        <v>3.78</v>
      </c>
      <c r="AQ60" s="1326">
        <v>42398</v>
      </c>
      <c r="AR60" s="1327">
        <v>2.69</v>
      </c>
      <c r="AT60" s="1326">
        <v>42398</v>
      </c>
      <c r="AU60" s="1314">
        <v>1136.837</v>
      </c>
      <c r="AV60" s="1314">
        <f t="shared" si="9"/>
        <v>3.390268280283279E-2</v>
      </c>
      <c r="AX60" s="1314">
        <v>2.7437999999999998</v>
      </c>
      <c r="AY60" s="1314">
        <f t="shared" si="10"/>
        <v>2.8295169208859536E-2</v>
      </c>
    </row>
    <row r="61" spans="1:51" x14ac:dyDescent="0.75">
      <c r="A61" s="1326">
        <v>42391</v>
      </c>
      <c r="B61" s="1314">
        <v>1118.28</v>
      </c>
      <c r="C61" s="1314">
        <f t="shared" si="0"/>
        <v>-1.632336034101636E-2</v>
      </c>
      <c r="E61" s="1326">
        <v>42391</v>
      </c>
      <c r="F61" s="1314">
        <v>11.61</v>
      </c>
      <c r="G61" s="1314">
        <f t="shared" si="1"/>
        <v>-2.6823134953897761E-2</v>
      </c>
      <c r="I61" s="1326">
        <v>42391</v>
      </c>
      <c r="J61" s="1314">
        <v>11.4</v>
      </c>
      <c r="K61" s="1314">
        <f t="shared" si="2"/>
        <v>-6.8627450980392149E-2</v>
      </c>
      <c r="M61" s="1326">
        <v>42391</v>
      </c>
      <c r="N61" s="1314">
        <v>5.48</v>
      </c>
      <c r="O61" s="1314">
        <f t="shared" si="3"/>
        <v>-3.6363636363635587E-3</v>
      </c>
      <c r="Q61" s="1326">
        <v>42391</v>
      </c>
      <c r="R61" s="1314">
        <v>9.1999999999999993</v>
      </c>
      <c r="S61" s="1314">
        <f t="shared" si="4"/>
        <v>-3.6649214659686007E-2</v>
      </c>
      <c r="U61" s="1326">
        <v>42391</v>
      </c>
      <c r="V61" s="1314">
        <v>18.38</v>
      </c>
      <c r="W61" s="1314">
        <f t="shared" si="5"/>
        <v>-8.5572139303482703E-2</v>
      </c>
      <c r="Y61" s="1326">
        <v>42391</v>
      </c>
      <c r="Z61" s="1314">
        <v>10.67</v>
      </c>
      <c r="AA61" s="1314">
        <f t="shared" si="6"/>
        <v>-6.8935427574171107E-2</v>
      </c>
      <c r="AC61" s="1326">
        <v>42391</v>
      </c>
      <c r="AD61" s="1314">
        <v>8.3000000000000007</v>
      </c>
      <c r="AE61" s="1314">
        <f t="shared" si="7"/>
        <v>5.5979643765903357E-2</v>
      </c>
      <c r="AG61" s="1326">
        <v>42391</v>
      </c>
      <c r="AH61" s="1314">
        <v>5.84</v>
      </c>
      <c r="AI61" s="1314">
        <f t="shared" si="8"/>
        <v>-3.6303630363036264E-2</v>
      </c>
      <c r="AK61" s="1326">
        <v>42391</v>
      </c>
      <c r="AL61" s="1314">
        <v>0.24</v>
      </c>
      <c r="AN61" s="1326">
        <v>42391</v>
      </c>
      <c r="AO61" s="1314">
        <v>-1.51</v>
      </c>
      <c r="AQ61" s="1326">
        <v>42391</v>
      </c>
      <c r="AR61" s="1327">
        <v>2.68</v>
      </c>
      <c r="AT61" s="1326">
        <v>42391</v>
      </c>
      <c r="AU61" s="1314">
        <v>1118.28</v>
      </c>
      <c r="AV61" s="1314">
        <f t="shared" si="9"/>
        <v>-1.632336034101636E-2</v>
      </c>
      <c r="AX61" s="1314">
        <v>2.8237999999999999</v>
      </c>
      <c r="AY61" s="1314">
        <f t="shared" si="10"/>
        <v>2.9156644070267541E-2</v>
      </c>
    </row>
    <row r="62" spans="1:51" x14ac:dyDescent="0.75">
      <c r="A62" s="1326">
        <v>42384</v>
      </c>
      <c r="B62" s="1314">
        <v>1103.3420000000001</v>
      </c>
      <c r="C62" s="1314">
        <f t="shared" si="0"/>
        <v>-1.3358014093071391E-2</v>
      </c>
      <c r="E62" s="1326">
        <v>42384</v>
      </c>
      <c r="F62" s="1314">
        <v>10.98</v>
      </c>
      <c r="G62" s="1314">
        <f t="shared" si="1"/>
        <v>-5.4263565891472784E-2</v>
      </c>
      <c r="I62" s="1326">
        <v>42384</v>
      </c>
      <c r="J62" s="1314">
        <v>10.98</v>
      </c>
      <c r="K62" s="1314">
        <f t="shared" si="2"/>
        <v>-3.6842105263157884E-2</v>
      </c>
      <c r="M62" s="1326">
        <v>42384</v>
      </c>
      <c r="N62" s="1314">
        <v>5.28</v>
      </c>
      <c r="O62" s="1314">
        <f t="shared" si="3"/>
        <v>-3.6496350364963535E-2</v>
      </c>
      <c r="Q62" s="1326">
        <v>42384</v>
      </c>
      <c r="R62" s="1314">
        <v>8.5</v>
      </c>
      <c r="S62" s="1314">
        <f t="shared" si="4"/>
        <v>-7.6086956521739066E-2</v>
      </c>
      <c r="U62" s="1326">
        <v>42384</v>
      </c>
      <c r="V62" s="1314">
        <v>18.62</v>
      </c>
      <c r="W62" s="1314">
        <f t="shared" si="5"/>
        <v>1.3057671381936998E-2</v>
      </c>
      <c r="Y62" s="1326">
        <v>42384</v>
      </c>
      <c r="Z62" s="1314">
        <v>10.34</v>
      </c>
      <c r="AA62" s="1314">
        <f t="shared" si="6"/>
        <v>-3.09278350515464E-2</v>
      </c>
      <c r="AC62" s="1326">
        <v>42384</v>
      </c>
      <c r="AD62" s="1314">
        <v>8.06</v>
      </c>
      <c r="AE62" s="1314">
        <f t="shared" si="7"/>
        <v>-2.8915662650602431E-2</v>
      </c>
      <c r="AG62" s="1326">
        <v>42384</v>
      </c>
      <c r="AH62" s="1314">
        <v>5.66</v>
      </c>
      <c r="AI62" s="1314">
        <f t="shared" si="8"/>
        <v>-3.0821917808219131E-2</v>
      </c>
      <c r="AK62" s="1326">
        <v>42384</v>
      </c>
      <c r="AL62" s="1314">
        <v>-1.33</v>
      </c>
      <c r="AN62" s="1326">
        <v>42384</v>
      </c>
      <c r="AO62" s="1314">
        <v>-0.13</v>
      </c>
      <c r="AQ62" s="1326">
        <v>42384</v>
      </c>
      <c r="AR62" s="1327">
        <v>2.67</v>
      </c>
      <c r="AT62" s="1326">
        <v>42384</v>
      </c>
      <c r="AU62" s="1314">
        <v>1103.3420000000001</v>
      </c>
      <c r="AV62" s="1314">
        <f t="shared" si="9"/>
        <v>-1.3358014093071391E-2</v>
      </c>
      <c r="AX62" s="1314">
        <v>2.8140000000000001</v>
      </c>
      <c r="AY62" s="1314">
        <f t="shared" si="10"/>
        <v>-3.4705007436786634E-3</v>
      </c>
    </row>
    <row r="63" spans="1:51" x14ac:dyDescent="0.75">
      <c r="A63" s="1326">
        <v>42377</v>
      </c>
      <c r="B63" s="1314">
        <v>1131.5830000000001</v>
      </c>
      <c r="C63" s="1314">
        <f t="shared" si="0"/>
        <v>2.5595871452369242E-2</v>
      </c>
      <c r="E63" s="1326">
        <v>42377</v>
      </c>
      <c r="F63" s="1314">
        <v>10.81</v>
      </c>
      <c r="G63" s="1314">
        <f t="shared" si="1"/>
        <v>-1.5482695810564657E-2</v>
      </c>
      <c r="I63" s="1326">
        <v>42377</v>
      </c>
      <c r="J63" s="1314">
        <v>10.95</v>
      </c>
      <c r="K63" s="1314">
        <f t="shared" si="2"/>
        <v>-2.7322404371585736E-3</v>
      </c>
      <c r="M63" s="1326">
        <v>42377</v>
      </c>
      <c r="N63" s="1314">
        <v>5.55</v>
      </c>
      <c r="O63" s="1314">
        <f t="shared" si="3"/>
        <v>5.1136363636363556E-2</v>
      </c>
      <c r="Q63" s="1326">
        <v>42377</v>
      </c>
      <c r="R63" s="1314">
        <v>8.23</v>
      </c>
      <c r="S63" s="1314">
        <f t="shared" si="4"/>
        <v>-3.1764705882352889E-2</v>
      </c>
      <c r="U63" s="1326">
        <v>42377</v>
      </c>
      <c r="V63" s="1314">
        <v>18.25</v>
      </c>
      <c r="W63" s="1314">
        <f t="shared" si="5"/>
        <v>-1.9871106337271804E-2</v>
      </c>
      <c r="Y63" s="1326">
        <v>42377</v>
      </c>
      <c r="Z63" s="1314">
        <v>10.55</v>
      </c>
      <c r="AA63" s="1314">
        <f t="shared" si="6"/>
        <v>2.0309477756286349E-2</v>
      </c>
      <c r="AC63" s="1326">
        <v>42377</v>
      </c>
      <c r="AD63" s="1314">
        <v>8.5</v>
      </c>
      <c r="AE63" s="1314">
        <f t="shared" si="7"/>
        <v>5.459057071960291E-2</v>
      </c>
      <c r="AG63" s="1326">
        <v>42377</v>
      </c>
      <c r="AH63" s="1314">
        <v>5.58</v>
      </c>
      <c r="AI63" s="1314">
        <f t="shared" si="8"/>
        <v>-1.413427561837457E-2</v>
      </c>
      <c r="AK63" s="1326">
        <v>42377</v>
      </c>
      <c r="AL63" s="1314">
        <v>-1.76</v>
      </c>
      <c r="AN63" s="1326">
        <v>42377</v>
      </c>
      <c r="AO63" s="1314">
        <v>0.56000000000000005</v>
      </c>
      <c r="AQ63" s="1326">
        <v>42377</v>
      </c>
      <c r="AR63" s="1327">
        <v>2.74</v>
      </c>
      <c r="AT63" s="1326">
        <v>42377</v>
      </c>
      <c r="AU63" s="1314">
        <v>1131.5830000000001</v>
      </c>
      <c r="AV63" s="1314">
        <f t="shared" si="9"/>
        <v>2.5595871452369242E-2</v>
      </c>
      <c r="AX63" s="1314">
        <v>2.9094000000000002</v>
      </c>
      <c r="AY63" s="1314">
        <f t="shared" si="10"/>
        <v>3.3901918976545896E-2</v>
      </c>
    </row>
    <row r="64" spans="1:51" x14ac:dyDescent="0.75">
      <c r="A64" s="1326">
        <v>42370</v>
      </c>
      <c r="B64" s="1314">
        <v>1206.1030000000001</v>
      </c>
      <c r="C64" s="1314">
        <f t="shared" si="0"/>
        <v>6.5854647869400637E-2</v>
      </c>
      <c r="E64" s="1326">
        <v>42370</v>
      </c>
      <c r="F64" s="1314">
        <v>12.63</v>
      </c>
      <c r="G64" s="1314">
        <f t="shared" si="1"/>
        <v>0.16836262719703979</v>
      </c>
      <c r="I64" s="1326">
        <v>42370</v>
      </c>
      <c r="J64" s="1314">
        <v>11.59</v>
      </c>
      <c r="K64" s="1314">
        <f t="shared" si="2"/>
        <v>5.8447488584474939E-2</v>
      </c>
      <c r="M64" s="1326">
        <v>42370</v>
      </c>
      <c r="N64" s="1314">
        <v>6.13</v>
      </c>
      <c r="O64" s="1314">
        <f t="shared" si="3"/>
        <v>0.10450450450450452</v>
      </c>
      <c r="Q64" s="1326">
        <v>42370</v>
      </c>
      <c r="R64" s="1314">
        <v>9.19</v>
      </c>
      <c r="S64" s="1314">
        <f t="shared" si="4"/>
        <v>0.11664641555285529</v>
      </c>
      <c r="U64" s="1326">
        <v>42370</v>
      </c>
      <c r="V64" s="1314">
        <v>18.920000000000002</v>
      </c>
      <c r="W64" s="1314">
        <f t="shared" si="5"/>
        <v>3.6712328767123381E-2</v>
      </c>
      <c r="Y64" s="1326">
        <v>42370</v>
      </c>
      <c r="Z64" s="1314">
        <v>12.05</v>
      </c>
      <c r="AA64" s="1314">
        <f t="shared" si="6"/>
        <v>0.14218009478672985</v>
      </c>
      <c r="AC64" s="1326">
        <v>42370</v>
      </c>
      <c r="AD64" s="1314">
        <v>9.81</v>
      </c>
      <c r="AE64" s="1314">
        <f t="shared" si="7"/>
        <v>0.15411764705882358</v>
      </c>
      <c r="AG64" s="1326">
        <v>42370</v>
      </c>
      <c r="AH64" s="1314">
        <v>6.13</v>
      </c>
      <c r="AI64" s="1314">
        <f t="shared" si="8"/>
        <v>9.8566308243727571E-2</v>
      </c>
      <c r="AK64" s="1326">
        <v>42370</v>
      </c>
      <c r="AL64" s="1314">
        <v>-0.78</v>
      </c>
      <c r="AN64" s="1326">
        <v>42370</v>
      </c>
      <c r="AO64" s="1314">
        <v>-0.56999999999999995</v>
      </c>
      <c r="AQ64" s="1326">
        <v>42370</v>
      </c>
      <c r="AR64" s="1327">
        <v>2.83</v>
      </c>
      <c r="AT64" s="1326">
        <v>42370</v>
      </c>
      <c r="AU64" s="1314">
        <v>1206.1030000000001</v>
      </c>
      <c r="AV64" s="1314">
        <f t="shared" si="9"/>
        <v>6.5854647869400637E-2</v>
      </c>
      <c r="AX64" s="1314">
        <v>3.0158</v>
      </c>
      <c r="AY64" s="1314">
        <f t="shared" si="10"/>
        <v>3.657111431910353E-2</v>
      </c>
    </row>
    <row r="65" spans="1:51" x14ac:dyDescent="0.75">
      <c r="A65" s="1326">
        <v>42363</v>
      </c>
      <c r="B65" s="1314">
        <v>1217.05</v>
      </c>
      <c r="C65" s="1314">
        <f t="shared" si="0"/>
        <v>9.0763392512910497E-3</v>
      </c>
      <c r="E65" s="1326">
        <v>42363</v>
      </c>
      <c r="F65" s="1314">
        <v>12.83</v>
      </c>
      <c r="G65" s="1314">
        <f t="shared" si="1"/>
        <v>1.5835312747426705E-2</v>
      </c>
      <c r="I65" s="1326">
        <v>42363</v>
      </c>
      <c r="J65" s="1314">
        <v>11.84</v>
      </c>
      <c r="K65" s="1314">
        <f t="shared" si="2"/>
        <v>2.1570319240724764E-2</v>
      </c>
      <c r="M65" s="1326">
        <v>42363</v>
      </c>
      <c r="N65" s="1314">
        <v>6.44</v>
      </c>
      <c r="O65" s="1314">
        <f t="shared" si="3"/>
        <v>5.0570962479608565E-2</v>
      </c>
      <c r="Q65" s="1326">
        <v>42363</v>
      </c>
      <c r="R65" s="1314">
        <v>9.5299999999999994</v>
      </c>
      <c r="S65" s="1314">
        <f t="shared" si="4"/>
        <v>3.6996735582154501E-2</v>
      </c>
      <c r="U65" s="1326">
        <v>42363</v>
      </c>
      <c r="V65" s="1314">
        <v>19.329999999999998</v>
      </c>
      <c r="W65" s="1314">
        <f t="shared" si="5"/>
        <v>2.1670190274841256E-2</v>
      </c>
      <c r="Y65" s="1326">
        <v>42363</v>
      </c>
      <c r="Z65" s="1314">
        <v>11.96</v>
      </c>
      <c r="AA65" s="1314">
        <f t="shared" si="6"/>
        <v>-7.4688796680497799E-3</v>
      </c>
      <c r="AC65" s="1326">
        <v>42363</v>
      </c>
      <c r="AD65" s="1314">
        <v>9.73</v>
      </c>
      <c r="AE65" s="1314">
        <f t="shared" si="7"/>
        <v>-8.1549439347604561E-3</v>
      </c>
      <c r="AG65" s="1326">
        <v>42363</v>
      </c>
      <c r="AH65" s="1314">
        <v>6.31</v>
      </c>
      <c r="AI65" s="1314">
        <f t="shared" si="8"/>
        <v>2.9363784665579075E-2</v>
      </c>
      <c r="AK65" s="1326">
        <v>42363</v>
      </c>
      <c r="AL65" s="1314">
        <v>0.22</v>
      </c>
      <c r="AN65" s="1326">
        <v>42363</v>
      </c>
      <c r="AO65" s="1314">
        <v>0.98</v>
      </c>
      <c r="AQ65" s="1326">
        <v>42363</v>
      </c>
      <c r="AR65" s="1327">
        <v>2.79</v>
      </c>
      <c r="AT65" s="1326">
        <v>42363</v>
      </c>
      <c r="AU65" s="1314">
        <v>1217.05</v>
      </c>
      <c r="AV65" s="1314">
        <f t="shared" si="9"/>
        <v>9.0763392512910497E-3</v>
      </c>
      <c r="AX65" s="1314">
        <v>2.9603000000000002</v>
      </c>
      <c r="AY65" s="1314">
        <f t="shared" si="10"/>
        <v>-1.8403077127130407E-2</v>
      </c>
    </row>
    <row r="66" spans="1:51" x14ac:dyDescent="0.75">
      <c r="A66" s="1326">
        <v>42356</v>
      </c>
      <c r="B66" s="1314">
        <v>1184.0840000000001</v>
      </c>
      <c r="C66" s="1314">
        <f t="shared" si="0"/>
        <v>-2.7086808265888745E-2</v>
      </c>
      <c r="E66" s="1326">
        <v>42356</v>
      </c>
      <c r="F66" s="1314">
        <v>12.1</v>
      </c>
      <c r="G66" s="1314">
        <f t="shared" si="1"/>
        <v>-5.6897895557287644E-2</v>
      </c>
      <c r="I66" s="1326">
        <v>42356</v>
      </c>
      <c r="J66" s="1314">
        <v>11.61</v>
      </c>
      <c r="K66" s="1314">
        <f t="shared" si="2"/>
        <v>-1.9425675675675713E-2</v>
      </c>
      <c r="M66" s="1326">
        <v>42356</v>
      </c>
      <c r="N66" s="1314">
        <v>6.22</v>
      </c>
      <c r="O66" s="1314">
        <f t="shared" si="3"/>
        <v>-3.4161490683229913E-2</v>
      </c>
      <c r="Q66" s="1326">
        <v>42356</v>
      </c>
      <c r="R66" s="1314">
        <v>9.17</v>
      </c>
      <c r="S66" s="1314">
        <f t="shared" si="4"/>
        <v>-3.7775445960125859E-2</v>
      </c>
      <c r="U66" s="1326">
        <v>42356</v>
      </c>
      <c r="V66" s="1314">
        <v>18.84</v>
      </c>
      <c r="W66" s="1314">
        <f t="shared" si="5"/>
        <v>-2.5349198137609854E-2</v>
      </c>
      <c r="Y66" s="1326">
        <v>42356</v>
      </c>
      <c r="Z66" s="1314">
        <v>11.4</v>
      </c>
      <c r="AA66" s="1314">
        <f t="shared" si="6"/>
        <v>-4.6822742474916426E-2</v>
      </c>
      <c r="AC66" s="1326">
        <v>42356</v>
      </c>
      <c r="AD66" s="1314">
        <v>9.52</v>
      </c>
      <c r="AE66" s="1314">
        <f t="shared" si="7"/>
        <v>-2.1582733812949728E-2</v>
      </c>
      <c r="AG66" s="1326">
        <v>42356</v>
      </c>
      <c r="AH66" s="1314">
        <v>6.56</v>
      </c>
      <c r="AI66" s="1314">
        <f t="shared" si="8"/>
        <v>3.9619651347068151E-2</v>
      </c>
      <c r="AK66" s="1326">
        <v>42356</v>
      </c>
      <c r="AL66" s="1314">
        <v>0.16</v>
      </c>
      <c r="AN66" s="1326">
        <v>42356</v>
      </c>
      <c r="AO66" s="1314">
        <v>-0.76</v>
      </c>
      <c r="AQ66" s="1326">
        <v>42356</v>
      </c>
      <c r="AR66" s="1327">
        <v>2.78</v>
      </c>
      <c r="AT66" s="1326">
        <v>42356</v>
      </c>
      <c r="AU66" s="1314">
        <v>1184.0840000000001</v>
      </c>
      <c r="AV66" s="1314">
        <f t="shared" si="9"/>
        <v>-2.7086808265888745E-2</v>
      </c>
      <c r="AX66" s="1314">
        <v>2.9220000000000002</v>
      </c>
      <c r="AY66" s="1314">
        <f t="shared" si="10"/>
        <v>-1.2937877917778604E-2</v>
      </c>
    </row>
    <row r="67" spans="1:51" x14ac:dyDescent="0.75">
      <c r="A67" s="1326">
        <v>42349</v>
      </c>
      <c r="B67" s="1314">
        <v>1188.124</v>
      </c>
      <c r="C67" s="1314">
        <f t="shared" si="0"/>
        <v>3.4119201002631261E-3</v>
      </c>
      <c r="E67" s="1326">
        <v>42349</v>
      </c>
      <c r="F67" s="1314">
        <v>11.97</v>
      </c>
      <c r="G67" s="1314">
        <f t="shared" si="1"/>
        <v>-1.074380165289248E-2</v>
      </c>
      <c r="I67" s="1326">
        <v>42349</v>
      </c>
      <c r="J67" s="1314">
        <v>11.46</v>
      </c>
      <c r="K67" s="1314">
        <f t="shared" si="2"/>
        <v>-1.2919896640826751E-2</v>
      </c>
      <c r="M67" s="1326">
        <v>42349</v>
      </c>
      <c r="N67" s="1314">
        <v>6.47</v>
      </c>
      <c r="O67" s="1314">
        <f t="shared" si="3"/>
        <v>4.0192926045016078E-2</v>
      </c>
      <c r="Q67" s="1326">
        <v>42349</v>
      </c>
      <c r="R67" s="1314">
        <v>9.0500000000000007</v>
      </c>
      <c r="S67" s="1314">
        <f t="shared" si="4"/>
        <v>-1.3086150490730558E-2</v>
      </c>
      <c r="U67" s="1326">
        <v>42349</v>
      </c>
      <c r="V67" s="1314">
        <v>19.010000000000002</v>
      </c>
      <c r="W67" s="1314">
        <f t="shared" si="5"/>
        <v>9.0233545647559286E-3</v>
      </c>
      <c r="Y67" s="1326">
        <v>42349</v>
      </c>
      <c r="Z67" s="1314">
        <v>11.59</v>
      </c>
      <c r="AA67" s="1314">
        <f t="shared" si="6"/>
        <v>1.6666666666666621E-2</v>
      </c>
      <c r="AC67" s="1326">
        <v>42349</v>
      </c>
      <c r="AD67" s="1314">
        <v>9.8249999999999993</v>
      </c>
      <c r="AE67" s="1314">
        <f t="shared" si="7"/>
        <v>3.203781512605039E-2</v>
      </c>
      <c r="AG67" s="1326">
        <v>42349</v>
      </c>
      <c r="AH67" s="1314">
        <v>6.82</v>
      </c>
      <c r="AI67" s="1314">
        <f t="shared" si="8"/>
        <v>3.9634146341463519E-2</v>
      </c>
      <c r="AK67" s="1326">
        <v>42349</v>
      </c>
      <c r="AL67" s="1314">
        <v>-0.86</v>
      </c>
      <c r="AN67" s="1326">
        <v>42349</v>
      </c>
      <c r="AO67" s="1314">
        <v>-1.63</v>
      </c>
      <c r="AQ67" s="1326">
        <v>42349</v>
      </c>
      <c r="AR67" s="1327">
        <v>2.71</v>
      </c>
      <c r="AT67" s="1326">
        <v>42349</v>
      </c>
      <c r="AU67" s="1314">
        <v>1188.124</v>
      </c>
      <c r="AV67" s="1314">
        <f t="shared" si="9"/>
        <v>3.4119201002631261E-3</v>
      </c>
      <c r="AX67" s="1314">
        <v>2.8708999999999998</v>
      </c>
      <c r="AY67" s="1314">
        <f t="shared" si="10"/>
        <v>-1.7488021902806423E-2</v>
      </c>
    </row>
    <row r="68" spans="1:51" x14ac:dyDescent="0.75">
      <c r="A68" s="1326">
        <v>42342</v>
      </c>
      <c r="B68" s="1314">
        <v>1236.904</v>
      </c>
      <c r="C68" s="1314">
        <f t="shared" si="0"/>
        <v>4.1056320720732828E-2</v>
      </c>
      <c r="E68" s="1326">
        <v>42342</v>
      </c>
      <c r="F68" s="1314">
        <v>12.54</v>
      </c>
      <c r="G68" s="1314">
        <f t="shared" si="1"/>
        <v>4.7619047619047492E-2</v>
      </c>
      <c r="I68" s="1326">
        <v>42342</v>
      </c>
      <c r="J68" s="1314">
        <v>11.92</v>
      </c>
      <c r="K68" s="1314">
        <f t="shared" si="2"/>
        <v>4.0139616055846337E-2</v>
      </c>
      <c r="M68" s="1326">
        <v>42342</v>
      </c>
      <c r="N68" s="1314">
        <v>6.79</v>
      </c>
      <c r="O68" s="1314">
        <f t="shared" si="3"/>
        <v>4.9459041731066508E-2</v>
      </c>
      <c r="Q68" s="1326">
        <v>42342</v>
      </c>
      <c r="R68" s="1314">
        <v>9.8800000000000008</v>
      </c>
      <c r="S68" s="1314">
        <f t="shared" si="4"/>
        <v>9.1712707182320441E-2</v>
      </c>
      <c r="U68" s="1326">
        <v>42342</v>
      </c>
      <c r="V68" s="1314">
        <v>20.04</v>
      </c>
      <c r="W68" s="1314">
        <f t="shared" si="5"/>
        <v>5.4182009468700554E-2</v>
      </c>
      <c r="Y68" s="1326">
        <v>42342</v>
      </c>
      <c r="Z68" s="1314">
        <v>11.86</v>
      </c>
      <c r="AA68" s="1314">
        <f t="shared" si="6"/>
        <v>2.3295944779982706E-2</v>
      </c>
      <c r="AC68" s="1326">
        <v>42342</v>
      </c>
      <c r="AD68" s="1314">
        <v>10.66</v>
      </c>
      <c r="AE68" s="1314">
        <f t="shared" si="7"/>
        <v>8.4987277353689661E-2</v>
      </c>
      <c r="AG68" s="1326">
        <v>42342</v>
      </c>
      <c r="AH68" s="1314">
        <v>8.4</v>
      </c>
      <c r="AI68" s="1314">
        <f t="shared" si="8"/>
        <v>0.2316715542521994</v>
      </c>
      <c r="AK68" s="1326">
        <v>42342</v>
      </c>
      <c r="AL68" s="1314">
        <v>-1.51</v>
      </c>
      <c r="AN68" s="1326">
        <v>42342</v>
      </c>
      <c r="AO68" s="1314">
        <v>0.2</v>
      </c>
      <c r="AQ68" s="1326">
        <v>42342</v>
      </c>
      <c r="AR68" s="1327">
        <v>2.71</v>
      </c>
      <c r="AT68" s="1326">
        <v>42342</v>
      </c>
      <c r="AU68" s="1314">
        <v>1236.904</v>
      </c>
      <c r="AV68" s="1314">
        <f t="shared" si="9"/>
        <v>4.1056320720732828E-2</v>
      </c>
      <c r="AX68" s="1314">
        <v>3.0095000000000001</v>
      </c>
      <c r="AY68" s="1314">
        <f t="shared" si="10"/>
        <v>4.8277543627434007E-2</v>
      </c>
    </row>
    <row r="69" spans="1:51" x14ac:dyDescent="0.75">
      <c r="A69" s="1326">
        <v>42335</v>
      </c>
      <c r="B69" s="1314">
        <v>1239.3040000000001</v>
      </c>
      <c r="C69" s="1314">
        <f t="shared" ref="C69:C81" si="11">(B69-B68)/B68</f>
        <v>1.9403284329261535E-3</v>
      </c>
      <c r="E69" s="1326">
        <v>42335</v>
      </c>
      <c r="F69" s="1314">
        <v>12.65</v>
      </c>
      <c r="G69" s="1314">
        <f t="shared" ref="G69:G132" si="12">(F69-F68)/F68</f>
        <v>8.7719298245615002E-3</v>
      </c>
      <c r="I69" s="1326">
        <v>42335</v>
      </c>
      <c r="J69" s="1314">
        <v>11.67</v>
      </c>
      <c r="K69" s="1314">
        <f t="shared" ref="K69:K132" si="13">(J69-J68)/J68</f>
        <v>-2.0973154362416108E-2</v>
      </c>
      <c r="M69" s="1326">
        <v>42335</v>
      </c>
      <c r="N69" s="1314">
        <v>6.15</v>
      </c>
      <c r="O69" s="1314">
        <f t="shared" ref="O69:O132" si="14">(N69-N68)/N68</f>
        <v>-9.425625920471277E-2</v>
      </c>
      <c r="Q69" s="1326">
        <v>42335</v>
      </c>
      <c r="R69" s="1314">
        <v>9.4499999999999993</v>
      </c>
      <c r="S69" s="1314">
        <f t="shared" ref="S69:S132" si="15">(R69-R68)/R68</f>
        <v>-4.352226720647788E-2</v>
      </c>
      <c r="U69" s="1326">
        <v>42335</v>
      </c>
      <c r="V69" s="1314">
        <v>19.25</v>
      </c>
      <c r="W69" s="1314">
        <f t="shared" ref="W69:W132" si="16">(V69-V68)/V68</f>
        <v>-3.9421157684630698E-2</v>
      </c>
      <c r="Y69" s="1326">
        <v>42335</v>
      </c>
      <c r="Z69" s="1314">
        <v>11.89</v>
      </c>
      <c r="AA69" s="1314">
        <f t="shared" ref="AA69:AA132" si="17">(Z69-Z68)/Z68</f>
        <v>2.5295109612142614E-3</v>
      </c>
      <c r="AC69" s="1326">
        <v>42335</v>
      </c>
      <c r="AD69" s="1314">
        <v>10.55</v>
      </c>
      <c r="AE69" s="1314">
        <f t="shared" ref="AE69:AE132" si="18">(AD69-AD68)/AD68</f>
        <v>-1.0318949343339533E-2</v>
      </c>
      <c r="AG69" s="1326">
        <v>42335</v>
      </c>
      <c r="AH69" s="1314">
        <v>7.3</v>
      </c>
      <c r="AI69" s="1314">
        <f t="shared" ref="AI69:AI132" si="19">(AH69-AH68)/AH68</f>
        <v>-0.13095238095238101</v>
      </c>
      <c r="AK69" s="1326">
        <v>42335</v>
      </c>
      <c r="AL69" s="1314">
        <v>2.4300000000000002</v>
      </c>
      <c r="AN69" s="1326">
        <v>42335</v>
      </c>
      <c r="AO69" s="1314">
        <v>-0.92</v>
      </c>
      <c r="AQ69" s="1326">
        <v>42335</v>
      </c>
      <c r="AR69" s="1327">
        <v>2.73</v>
      </c>
      <c r="AT69" s="1326">
        <v>42335</v>
      </c>
      <c r="AU69" s="1314">
        <v>1239.3040000000001</v>
      </c>
      <c r="AV69" s="1314">
        <f t="shared" ref="AV69:AV132" si="20">(AU69-AU68)/AU68</f>
        <v>1.9403284329261535E-3</v>
      </c>
      <c r="AX69" s="1314">
        <v>2.9967999999999999</v>
      </c>
      <c r="AY69" s="1314">
        <f t="shared" ref="AY69:AY132" si="21">(AX69-AX68)/AX68</f>
        <v>-4.2199700947001678E-3</v>
      </c>
    </row>
    <row r="70" spans="1:51" x14ac:dyDescent="0.75">
      <c r="A70" s="1326">
        <v>42328</v>
      </c>
      <c r="B70" s="1314">
        <v>1235.1759999999999</v>
      </c>
      <c r="C70" s="1314">
        <f t="shared" si="11"/>
        <v>-3.3309018610447124E-3</v>
      </c>
      <c r="E70" s="1326">
        <v>42328</v>
      </c>
      <c r="F70" s="1314">
        <v>12.25</v>
      </c>
      <c r="G70" s="1314">
        <f t="shared" si="12"/>
        <v>-3.162055335968382E-2</v>
      </c>
      <c r="I70" s="1326">
        <v>42328</v>
      </c>
      <c r="J70" s="1314">
        <v>11.12</v>
      </c>
      <c r="K70" s="1314">
        <f t="shared" si="13"/>
        <v>-4.7129391602399373E-2</v>
      </c>
      <c r="M70" s="1326">
        <v>42328</v>
      </c>
      <c r="N70" s="1314">
        <v>5.87</v>
      </c>
      <c r="O70" s="1314">
        <f t="shared" si="14"/>
        <v>-4.5528455284552884E-2</v>
      </c>
      <c r="Q70" s="1326">
        <v>42328</v>
      </c>
      <c r="R70" s="1314">
        <v>9.6199999999999992</v>
      </c>
      <c r="S70" s="1314">
        <f t="shared" si="15"/>
        <v>1.7989417989417982E-2</v>
      </c>
      <c r="U70" s="1326">
        <v>42328</v>
      </c>
      <c r="V70" s="1314">
        <v>19.29</v>
      </c>
      <c r="W70" s="1314">
        <f t="shared" si="16"/>
        <v>2.0779220779220337E-3</v>
      </c>
      <c r="Y70" s="1326">
        <v>42328</v>
      </c>
      <c r="Z70" s="1314">
        <v>11.91</v>
      </c>
      <c r="AA70" s="1314">
        <f t="shared" si="17"/>
        <v>1.6820857863750693E-3</v>
      </c>
      <c r="AC70" s="1326">
        <v>42328</v>
      </c>
      <c r="AD70" s="1314">
        <v>9.8800000000000008</v>
      </c>
      <c r="AE70" s="1314">
        <f t="shared" si="18"/>
        <v>-6.3507109004739326E-2</v>
      </c>
      <c r="AG70" s="1326">
        <v>42328</v>
      </c>
      <c r="AH70" s="1314">
        <v>7.23</v>
      </c>
      <c r="AI70" s="1314">
        <f t="shared" si="19"/>
        <v>-9.5890410958903282E-3</v>
      </c>
      <c r="AK70" s="1326">
        <v>42328</v>
      </c>
      <c r="AL70" s="1314">
        <v>-0.51</v>
      </c>
      <c r="AN70" s="1326">
        <v>42328</v>
      </c>
      <c r="AO70" s="1314">
        <v>-0.86</v>
      </c>
      <c r="AQ70" s="1326">
        <v>42328</v>
      </c>
      <c r="AR70" s="1327">
        <v>2.74</v>
      </c>
      <c r="AT70" s="1326">
        <v>42328</v>
      </c>
      <c r="AU70" s="1314">
        <v>1235.1759999999999</v>
      </c>
      <c r="AV70" s="1314">
        <f t="shared" si="20"/>
        <v>-3.3309018610447124E-3</v>
      </c>
      <c r="AX70" s="1314">
        <v>3.0198999999999998</v>
      </c>
      <c r="AY70" s="1314">
        <f t="shared" si="21"/>
        <v>7.7082221035771155E-3</v>
      </c>
    </row>
    <row r="71" spans="1:51" x14ac:dyDescent="0.75">
      <c r="A71" s="1326">
        <v>42321</v>
      </c>
      <c r="B71" s="1314">
        <v>1197.6690000000001</v>
      </c>
      <c r="C71" s="1314">
        <f t="shared" si="11"/>
        <v>-3.0365713064372881E-2</v>
      </c>
      <c r="E71" s="1326">
        <v>42321</v>
      </c>
      <c r="F71" s="1314">
        <v>11.86</v>
      </c>
      <c r="G71" s="1314">
        <f t="shared" si="12"/>
        <v>-3.18367346938776E-2</v>
      </c>
      <c r="I71" s="1326">
        <v>42321</v>
      </c>
      <c r="J71" s="1314">
        <v>10.73</v>
      </c>
      <c r="K71" s="1314">
        <f t="shared" si="13"/>
        <v>-3.5071942446043058E-2</v>
      </c>
      <c r="M71" s="1326">
        <v>42321</v>
      </c>
      <c r="N71" s="1314">
        <v>5.96</v>
      </c>
      <c r="O71" s="1314">
        <f t="shared" si="14"/>
        <v>1.5332197614991458E-2</v>
      </c>
      <c r="Q71" s="1326">
        <v>42321</v>
      </c>
      <c r="R71" s="1314">
        <v>9.27</v>
      </c>
      <c r="S71" s="1314">
        <f t="shared" si="15"/>
        <v>-3.638253638253635E-2</v>
      </c>
      <c r="U71" s="1326">
        <v>42321</v>
      </c>
      <c r="V71" s="1314">
        <v>18.21</v>
      </c>
      <c r="W71" s="1314">
        <f t="shared" si="16"/>
        <v>-5.5987558320373165E-2</v>
      </c>
      <c r="Y71" s="1326">
        <v>42321</v>
      </c>
      <c r="Z71" s="1314">
        <v>11.13</v>
      </c>
      <c r="AA71" s="1314">
        <f t="shared" si="17"/>
        <v>-6.549118387909314E-2</v>
      </c>
      <c r="AC71" s="1326">
        <v>42321</v>
      </c>
      <c r="AD71" s="1314">
        <v>10.039999999999999</v>
      </c>
      <c r="AE71" s="1314">
        <f t="shared" si="18"/>
        <v>1.6194331983805502E-2</v>
      </c>
      <c r="AG71" s="1326">
        <v>42321</v>
      </c>
      <c r="AH71" s="1314">
        <v>7.08</v>
      </c>
      <c r="AI71" s="1314">
        <f t="shared" si="19"/>
        <v>-2.0746887966805027E-2</v>
      </c>
      <c r="AK71" s="1326">
        <v>42321</v>
      </c>
      <c r="AL71" s="1314">
        <v>-0.89</v>
      </c>
      <c r="AN71" s="1326">
        <v>42321</v>
      </c>
      <c r="AO71" s="1314">
        <v>-0.06</v>
      </c>
      <c r="AQ71" s="1326">
        <v>42321</v>
      </c>
      <c r="AR71" s="1327">
        <v>2.78</v>
      </c>
      <c r="AT71" s="1326">
        <v>42321</v>
      </c>
      <c r="AU71" s="1314">
        <v>1197.6690000000001</v>
      </c>
      <c r="AV71" s="1314">
        <f t="shared" si="20"/>
        <v>-3.0365713064372881E-2</v>
      </c>
      <c r="AX71" s="1314">
        <v>3.0518999999999998</v>
      </c>
      <c r="AY71" s="1314">
        <f t="shared" si="21"/>
        <v>1.0596377363488868E-2</v>
      </c>
    </row>
    <row r="72" spans="1:51" x14ac:dyDescent="0.75">
      <c r="A72" s="1326">
        <v>42314</v>
      </c>
      <c r="B72" s="1314">
        <v>1243.5640000000001</v>
      </c>
      <c r="C72" s="1314">
        <f t="shared" si="11"/>
        <v>3.8320270458699339E-2</v>
      </c>
      <c r="E72" s="1326">
        <v>42314</v>
      </c>
      <c r="F72" s="1314">
        <v>13</v>
      </c>
      <c r="G72" s="1314">
        <f t="shared" si="12"/>
        <v>9.6121416526138329E-2</v>
      </c>
      <c r="I72" s="1326">
        <v>42314</v>
      </c>
      <c r="J72" s="1314">
        <v>11.11</v>
      </c>
      <c r="K72" s="1314">
        <f t="shared" si="13"/>
        <v>3.5414725069897388E-2</v>
      </c>
      <c r="M72" s="1326">
        <v>42314</v>
      </c>
      <c r="N72" s="1314">
        <v>6.24</v>
      </c>
      <c r="O72" s="1314">
        <f t="shared" si="14"/>
        <v>4.6979865771812124E-2</v>
      </c>
      <c r="Q72" s="1326">
        <v>42314</v>
      </c>
      <c r="R72" s="1314">
        <v>9.5</v>
      </c>
      <c r="S72" s="1314">
        <f t="shared" si="15"/>
        <v>2.4811218985976314E-2</v>
      </c>
      <c r="U72" s="1326">
        <v>42314</v>
      </c>
      <c r="V72" s="1314">
        <v>19.12</v>
      </c>
      <c r="W72" s="1314">
        <f t="shared" si="16"/>
        <v>4.9972542559033502E-2</v>
      </c>
      <c r="Y72" s="1326">
        <v>42314</v>
      </c>
      <c r="Z72" s="1314">
        <v>11.89</v>
      </c>
      <c r="AA72" s="1314">
        <f t="shared" si="17"/>
        <v>6.8283917340521097E-2</v>
      </c>
      <c r="AC72" s="1326">
        <v>42314</v>
      </c>
      <c r="AD72" s="1314">
        <v>10.64</v>
      </c>
      <c r="AE72" s="1314">
        <f t="shared" si="18"/>
        <v>5.9760956175298953E-2</v>
      </c>
      <c r="AG72" s="1326">
        <v>42314</v>
      </c>
      <c r="AH72" s="1314">
        <v>7.19</v>
      </c>
      <c r="AI72" s="1314">
        <f t="shared" si="19"/>
        <v>1.5536723163841852E-2</v>
      </c>
      <c r="AK72" s="1326">
        <v>42314</v>
      </c>
      <c r="AL72" s="1314">
        <v>2.61</v>
      </c>
      <c r="AN72" s="1326">
        <v>42314</v>
      </c>
      <c r="AO72" s="1314">
        <v>0.51</v>
      </c>
      <c r="AQ72" s="1326">
        <v>42314</v>
      </c>
      <c r="AR72" s="1327">
        <v>2.73</v>
      </c>
      <c r="AT72" s="1326">
        <v>42314</v>
      </c>
      <c r="AU72" s="1314">
        <v>1243.5640000000001</v>
      </c>
      <c r="AV72" s="1314">
        <f t="shared" si="20"/>
        <v>3.8320270458699339E-2</v>
      </c>
      <c r="AX72" s="1314">
        <v>3.0853000000000002</v>
      </c>
      <c r="AY72" s="1314">
        <f t="shared" si="21"/>
        <v>1.0944002097054399E-2</v>
      </c>
    </row>
    <row r="73" spans="1:51" x14ac:dyDescent="0.75">
      <c r="A73" s="1326">
        <v>42307</v>
      </c>
      <c r="B73" s="1314">
        <v>1229.5250000000001</v>
      </c>
      <c r="C73" s="1314">
        <f t="shared" si="11"/>
        <v>-1.1289326484201848E-2</v>
      </c>
      <c r="E73" s="1326">
        <v>42307</v>
      </c>
      <c r="F73" s="1314">
        <v>12.46</v>
      </c>
      <c r="G73" s="1314">
        <f t="shared" si="12"/>
        <v>-4.1538461538461476E-2</v>
      </c>
      <c r="I73" s="1326">
        <v>42307</v>
      </c>
      <c r="J73" s="1314">
        <v>10.32</v>
      </c>
      <c r="K73" s="1314">
        <f t="shared" si="13"/>
        <v>-7.1107110711071037E-2</v>
      </c>
      <c r="M73" s="1326">
        <v>42307</v>
      </c>
      <c r="N73" s="1314">
        <v>5.69</v>
      </c>
      <c r="O73" s="1314">
        <f t="shared" si="14"/>
        <v>-8.8141025641025605E-2</v>
      </c>
      <c r="Q73" s="1326">
        <v>42307</v>
      </c>
      <c r="R73" s="1314">
        <v>8.8800000000000008</v>
      </c>
      <c r="S73" s="1314">
        <f t="shared" si="15"/>
        <v>-6.5263157894736759E-2</v>
      </c>
      <c r="U73" s="1326">
        <v>42307</v>
      </c>
      <c r="V73" s="1314">
        <v>17.5</v>
      </c>
      <c r="W73" s="1314">
        <f t="shared" si="16"/>
        <v>-8.4728033472803402E-2</v>
      </c>
      <c r="Y73" s="1326">
        <v>42307</v>
      </c>
      <c r="Z73" s="1314">
        <v>10.6</v>
      </c>
      <c r="AA73" s="1314">
        <f t="shared" si="17"/>
        <v>-0.10849453322119436</v>
      </c>
      <c r="AC73" s="1326">
        <v>42307</v>
      </c>
      <c r="AD73" s="1314">
        <v>10.54</v>
      </c>
      <c r="AE73" s="1314">
        <f t="shared" si="18"/>
        <v>-9.3984962406016368E-3</v>
      </c>
      <c r="AG73" s="1326">
        <v>42307</v>
      </c>
      <c r="AH73" s="1314">
        <v>6.84</v>
      </c>
      <c r="AI73" s="1314">
        <f t="shared" si="19"/>
        <v>-4.8678720445062655E-2</v>
      </c>
      <c r="AK73" s="1326">
        <v>42307</v>
      </c>
      <c r="AL73" s="1314">
        <v>-0.44</v>
      </c>
      <c r="AN73" s="1326">
        <v>42307</v>
      </c>
      <c r="AO73" s="1314">
        <v>-1.46</v>
      </c>
      <c r="AQ73" s="1326">
        <v>42307</v>
      </c>
      <c r="AR73" s="1327">
        <v>2.6</v>
      </c>
      <c r="AT73" s="1326">
        <v>42307</v>
      </c>
      <c r="AU73" s="1314">
        <v>1229.5250000000001</v>
      </c>
      <c r="AV73" s="1314">
        <f t="shared" si="20"/>
        <v>-1.1289326484201848E-2</v>
      </c>
      <c r="AX73" s="1314">
        <v>2.9222000000000001</v>
      </c>
      <c r="AY73" s="1314">
        <f t="shared" si="21"/>
        <v>-5.2863578906427254E-2</v>
      </c>
    </row>
    <row r="74" spans="1:51" x14ac:dyDescent="0.75">
      <c r="A74" s="1326">
        <v>42300</v>
      </c>
      <c r="B74" s="1314">
        <v>1227.1010000000001</v>
      </c>
      <c r="C74" s="1314">
        <f t="shared" si="11"/>
        <v>-1.9714930562615466E-3</v>
      </c>
      <c r="E74" s="1326">
        <v>42300</v>
      </c>
      <c r="F74" s="1314">
        <v>13.87</v>
      </c>
      <c r="G74" s="1314">
        <f t="shared" si="12"/>
        <v>0.11316211878009617</v>
      </c>
      <c r="I74" s="1326">
        <v>42300</v>
      </c>
      <c r="J74" s="1314">
        <v>10.65</v>
      </c>
      <c r="K74" s="1314">
        <f t="shared" si="13"/>
        <v>3.197674418604652E-2</v>
      </c>
      <c r="M74" s="1326">
        <v>42300</v>
      </c>
      <c r="N74" s="1314">
        <v>5.73</v>
      </c>
      <c r="O74" s="1314">
        <f t="shared" si="14"/>
        <v>7.0298769771529055E-3</v>
      </c>
      <c r="Q74" s="1326">
        <v>42300</v>
      </c>
      <c r="R74" s="1314">
        <v>8.8000000000000007</v>
      </c>
      <c r="S74" s="1314">
        <f t="shared" si="15"/>
        <v>-9.0090090090090159E-3</v>
      </c>
      <c r="U74" s="1326">
        <v>42300</v>
      </c>
      <c r="V74" s="1314">
        <v>17.739999999999998</v>
      </c>
      <c r="W74" s="1314">
        <f t="shared" si="16"/>
        <v>1.3714285714285625E-2</v>
      </c>
      <c r="Y74" s="1326">
        <v>42300</v>
      </c>
      <c r="Z74" s="1314">
        <v>10.63</v>
      </c>
      <c r="AA74" s="1314">
        <f t="shared" si="17"/>
        <v>2.8301886792453904E-3</v>
      </c>
      <c r="AC74" s="1326">
        <v>42300</v>
      </c>
      <c r="AD74" s="1314">
        <v>10.25</v>
      </c>
      <c r="AE74" s="1314">
        <f t="shared" si="18"/>
        <v>-2.7514231499051155E-2</v>
      </c>
      <c r="AG74" s="1326">
        <v>42300</v>
      </c>
      <c r="AH74" s="1314">
        <v>6.84</v>
      </c>
      <c r="AI74" s="1314">
        <f t="shared" si="19"/>
        <v>0</v>
      </c>
      <c r="AK74" s="1326">
        <v>42300</v>
      </c>
      <c r="AL74" s="1314">
        <v>-1.53</v>
      </c>
      <c r="AN74" s="1326">
        <v>42300</v>
      </c>
      <c r="AO74" s="1314">
        <v>0.25</v>
      </c>
      <c r="AQ74" s="1326">
        <v>42300</v>
      </c>
      <c r="AR74" s="1327">
        <v>2.57</v>
      </c>
      <c r="AT74" s="1326">
        <v>42300</v>
      </c>
      <c r="AU74" s="1314">
        <v>1227.1010000000001</v>
      </c>
      <c r="AV74" s="1314">
        <f t="shared" si="20"/>
        <v>-1.9714930562615466E-3</v>
      </c>
      <c r="AX74" s="1314">
        <v>2.9007999999999998</v>
      </c>
      <c r="AY74" s="1314">
        <f t="shared" si="21"/>
        <v>-7.3232496064609904E-3</v>
      </c>
    </row>
    <row r="75" spans="1:51" x14ac:dyDescent="0.75">
      <c r="A75" s="1326">
        <v>42293</v>
      </c>
      <c r="B75" s="1314">
        <v>1206.4949999999999</v>
      </c>
      <c r="C75" s="1314">
        <f t="shared" si="11"/>
        <v>-1.6792423769518745E-2</v>
      </c>
      <c r="E75" s="1326">
        <v>42293</v>
      </c>
      <c r="F75" s="1314">
        <v>12.9</v>
      </c>
      <c r="G75" s="1314">
        <f t="shared" si="12"/>
        <v>-6.9935111751982623E-2</v>
      </c>
      <c r="I75" s="1326">
        <v>42293</v>
      </c>
      <c r="J75" s="1314">
        <v>13.77</v>
      </c>
      <c r="K75" s="1314">
        <f t="shared" si="13"/>
        <v>0.29295774647887318</v>
      </c>
      <c r="M75" s="1326">
        <v>42293</v>
      </c>
      <c r="N75" s="1314">
        <v>6.67</v>
      </c>
      <c r="O75" s="1314">
        <f t="shared" si="14"/>
        <v>0.16404886561954615</v>
      </c>
      <c r="Q75" s="1326">
        <v>42293</v>
      </c>
      <c r="R75" s="1314">
        <v>8.8000000000000007</v>
      </c>
      <c r="S75" s="1314">
        <f t="shared" si="15"/>
        <v>0</v>
      </c>
      <c r="U75" s="1326">
        <v>42293</v>
      </c>
      <c r="V75" s="1314">
        <v>17.2</v>
      </c>
      <c r="W75" s="1314">
        <f t="shared" si="16"/>
        <v>-3.0439684329199503E-2</v>
      </c>
      <c r="Y75" s="1326">
        <v>42293</v>
      </c>
      <c r="Z75" s="1314">
        <v>10.76</v>
      </c>
      <c r="AA75" s="1314">
        <f t="shared" si="17"/>
        <v>1.2229539040451457E-2</v>
      </c>
      <c r="AC75" s="1326">
        <v>42293</v>
      </c>
      <c r="AD75" s="1314">
        <v>9.94</v>
      </c>
      <c r="AE75" s="1314">
        <f t="shared" si="18"/>
        <v>-3.0243902439024438E-2</v>
      </c>
      <c r="AG75" s="1326">
        <v>42293</v>
      </c>
      <c r="AH75" s="1314">
        <v>6.66</v>
      </c>
      <c r="AI75" s="1314">
        <f t="shared" si="19"/>
        <v>-2.6315789473684171E-2</v>
      </c>
      <c r="AK75" s="1326">
        <v>42293</v>
      </c>
      <c r="AL75" s="1314">
        <v>-1.24</v>
      </c>
      <c r="AN75" s="1326">
        <v>42293</v>
      </c>
      <c r="AO75" s="1314">
        <v>0.08</v>
      </c>
      <c r="AQ75" s="1326">
        <v>42293</v>
      </c>
      <c r="AR75" s="1327">
        <v>2.58</v>
      </c>
      <c r="AT75" s="1326">
        <v>42293</v>
      </c>
      <c r="AU75" s="1314">
        <v>1206.4949999999999</v>
      </c>
      <c r="AV75" s="1314">
        <f t="shared" si="20"/>
        <v>-1.6792423769518745E-2</v>
      </c>
      <c r="AX75" s="1314">
        <v>2.8812000000000002</v>
      </c>
      <c r="AY75" s="1314">
        <f t="shared" si="21"/>
        <v>-6.7567567567566253E-3</v>
      </c>
    </row>
    <row r="76" spans="1:51" x14ac:dyDescent="0.75">
      <c r="A76" s="1326">
        <v>42286</v>
      </c>
      <c r="B76" s="1314">
        <v>1198.3</v>
      </c>
      <c r="C76" s="1314">
        <f t="shared" si="11"/>
        <v>-6.7924027865842269E-3</v>
      </c>
      <c r="E76" s="1326">
        <v>42286</v>
      </c>
      <c r="F76" s="1314">
        <v>12.07</v>
      </c>
      <c r="G76" s="1314">
        <f t="shared" si="12"/>
        <v>-6.4341085271317836E-2</v>
      </c>
      <c r="I76" s="1326">
        <v>42286</v>
      </c>
      <c r="J76" s="1314">
        <v>12.65</v>
      </c>
      <c r="K76" s="1314">
        <f t="shared" si="13"/>
        <v>-8.1336238198983238E-2</v>
      </c>
      <c r="M76" s="1326">
        <v>42286</v>
      </c>
      <c r="N76" s="1314">
        <v>6.25</v>
      </c>
      <c r="O76" s="1314">
        <f t="shared" si="14"/>
        <v>-6.296851574212893E-2</v>
      </c>
      <c r="Q76" s="1326">
        <v>42286</v>
      </c>
      <c r="R76" s="1314">
        <v>8.7899999999999991</v>
      </c>
      <c r="S76" s="1314">
        <f t="shared" si="15"/>
        <v>-1.1363636363638139E-3</v>
      </c>
      <c r="U76" s="1326">
        <v>42286</v>
      </c>
      <c r="V76" s="1314">
        <v>16.73</v>
      </c>
      <c r="W76" s="1314">
        <f t="shared" si="16"/>
        <v>-2.7325581395348773E-2</v>
      </c>
      <c r="Y76" s="1326">
        <v>42286</v>
      </c>
      <c r="Z76" s="1314">
        <v>10.58</v>
      </c>
      <c r="AA76" s="1314">
        <f t="shared" si="17"/>
        <v>-1.6728624535315959E-2</v>
      </c>
      <c r="AC76" s="1326">
        <v>42286</v>
      </c>
      <c r="AD76" s="1314">
        <v>9.1999999999999993</v>
      </c>
      <c r="AE76" s="1314">
        <f t="shared" si="18"/>
        <v>-7.4446680080482927E-2</v>
      </c>
      <c r="AG76" s="1326">
        <v>42286</v>
      </c>
      <c r="AH76" s="1314">
        <v>6.77</v>
      </c>
      <c r="AI76" s="1314">
        <f t="shared" si="19"/>
        <v>1.6516516516516432E-2</v>
      </c>
      <c r="AK76" s="1326">
        <v>42286</v>
      </c>
      <c r="AL76" s="1314">
        <v>1.52</v>
      </c>
      <c r="AN76" s="1326">
        <v>42286</v>
      </c>
      <c r="AO76" s="1314">
        <v>2.02</v>
      </c>
      <c r="AQ76" s="1326">
        <v>42286</v>
      </c>
      <c r="AR76" s="1327">
        <v>2.63</v>
      </c>
      <c r="AT76" s="1326">
        <v>42286</v>
      </c>
      <c r="AU76" s="1314">
        <v>1198.3</v>
      </c>
      <c r="AV76" s="1314">
        <f t="shared" si="20"/>
        <v>-6.7924027865842269E-3</v>
      </c>
      <c r="AX76" s="1314">
        <v>2.9174000000000002</v>
      </c>
      <c r="AY76" s="1314">
        <f t="shared" si="21"/>
        <v>1.2564209357212275E-2</v>
      </c>
    </row>
    <row r="77" spans="1:51" x14ac:dyDescent="0.75">
      <c r="A77" s="1326">
        <v>42279</v>
      </c>
      <c r="B77" s="1314">
        <v>1159.3030000000001</v>
      </c>
      <c r="C77" s="1314">
        <f t="shared" si="11"/>
        <v>-3.2543603438203991E-2</v>
      </c>
      <c r="E77" s="1326">
        <v>42279</v>
      </c>
      <c r="F77" s="1314">
        <v>11.18</v>
      </c>
      <c r="G77" s="1314">
        <f t="shared" si="12"/>
        <v>-7.3736536868268476E-2</v>
      </c>
      <c r="I77" s="1326">
        <v>42279</v>
      </c>
      <c r="J77" s="1314">
        <v>11.94</v>
      </c>
      <c r="K77" s="1314">
        <f t="shared" si="13"/>
        <v>-5.61264822134388E-2</v>
      </c>
      <c r="M77" s="1326">
        <v>42279</v>
      </c>
      <c r="N77" s="1314">
        <v>5.76</v>
      </c>
      <c r="O77" s="1314">
        <f t="shared" si="14"/>
        <v>-7.8400000000000039E-2</v>
      </c>
      <c r="Q77" s="1326">
        <v>42279</v>
      </c>
      <c r="R77" s="1314">
        <v>8.15</v>
      </c>
      <c r="S77" s="1314">
        <f t="shared" si="15"/>
        <v>-7.2810011376564149E-2</v>
      </c>
      <c r="U77" s="1326">
        <v>42279</v>
      </c>
      <c r="V77" s="1314">
        <v>14.87</v>
      </c>
      <c r="W77" s="1314">
        <f t="shared" si="16"/>
        <v>-0.1111775254034669</v>
      </c>
      <c r="Y77" s="1326">
        <v>42279</v>
      </c>
      <c r="Z77" s="1314">
        <v>9.81</v>
      </c>
      <c r="AA77" s="1314">
        <f t="shared" si="17"/>
        <v>-7.2778827977315649E-2</v>
      </c>
      <c r="AC77" s="1326">
        <v>42279</v>
      </c>
      <c r="AD77" s="1314">
        <v>8.6999999999999993</v>
      </c>
      <c r="AE77" s="1314">
        <f t="shared" si="18"/>
        <v>-5.4347826086956527E-2</v>
      </c>
      <c r="AG77" s="1326">
        <v>42279</v>
      </c>
      <c r="AH77" s="1314">
        <v>6.97</v>
      </c>
      <c r="AI77" s="1314">
        <f t="shared" si="19"/>
        <v>2.9542097488921743E-2</v>
      </c>
      <c r="AK77" s="1326">
        <v>42279</v>
      </c>
      <c r="AL77" s="1314">
        <v>-1.55</v>
      </c>
      <c r="AN77" s="1326">
        <v>42279</v>
      </c>
      <c r="AO77" s="1314">
        <v>0.59</v>
      </c>
      <c r="AQ77" s="1326">
        <v>42279</v>
      </c>
      <c r="AR77" s="1327">
        <v>2.62</v>
      </c>
      <c r="AT77" s="1326">
        <v>42279</v>
      </c>
      <c r="AU77" s="1314">
        <v>1159.3030000000001</v>
      </c>
      <c r="AV77" s="1314">
        <f t="shared" si="20"/>
        <v>-3.2543603438203991E-2</v>
      </c>
      <c r="AX77" s="1314">
        <v>2.8273999999999999</v>
      </c>
      <c r="AY77" s="1314">
        <f t="shared" si="21"/>
        <v>-3.0849386439980905E-2</v>
      </c>
    </row>
    <row r="78" spans="1:51" x14ac:dyDescent="0.75">
      <c r="A78" s="1326">
        <v>42272</v>
      </c>
      <c r="B78" s="1314">
        <v>1150.6759999999999</v>
      </c>
      <c r="C78" s="1314">
        <f t="shared" si="11"/>
        <v>-7.4415403048212411E-3</v>
      </c>
      <c r="E78" s="1326">
        <v>42272</v>
      </c>
      <c r="F78" s="1314">
        <v>10.99</v>
      </c>
      <c r="G78" s="1314">
        <f t="shared" si="12"/>
        <v>-1.6994633273702996E-2</v>
      </c>
      <c r="I78" s="1326">
        <v>42272</v>
      </c>
      <c r="J78" s="1314">
        <v>11.25</v>
      </c>
      <c r="K78" s="1314">
        <f t="shared" si="13"/>
        <v>-5.7788944723618049E-2</v>
      </c>
      <c r="M78" s="1326">
        <v>42272</v>
      </c>
      <c r="N78" s="1314">
        <v>6.07</v>
      </c>
      <c r="O78" s="1314">
        <f t="shared" si="14"/>
        <v>5.3819444444444531E-2</v>
      </c>
      <c r="Q78" s="1326">
        <v>42272</v>
      </c>
      <c r="R78" s="1314">
        <v>7.76</v>
      </c>
      <c r="S78" s="1314">
        <f t="shared" si="15"/>
        <v>-4.785276073619639E-2</v>
      </c>
      <c r="U78" s="1326">
        <v>42272</v>
      </c>
      <c r="V78" s="1314">
        <v>15.07</v>
      </c>
      <c r="W78" s="1314">
        <f t="shared" si="16"/>
        <v>1.3449899125756629E-2</v>
      </c>
      <c r="Y78" s="1326">
        <v>42272</v>
      </c>
      <c r="Z78" s="1314">
        <v>9.52</v>
      </c>
      <c r="AA78" s="1314">
        <f t="shared" si="17"/>
        <v>-2.9561671763506717E-2</v>
      </c>
      <c r="AC78" s="1326">
        <v>42272</v>
      </c>
      <c r="AD78" s="1314">
        <v>8.76</v>
      </c>
      <c r="AE78" s="1314">
        <f t="shared" si="18"/>
        <v>6.8965517241379891E-3</v>
      </c>
      <c r="AG78" s="1326">
        <v>42272</v>
      </c>
      <c r="AH78" s="1314">
        <v>6.76</v>
      </c>
      <c r="AI78" s="1314">
        <f t="shared" si="19"/>
        <v>-3.0129124820659967E-2</v>
      </c>
      <c r="AK78" s="1326">
        <v>42272</v>
      </c>
      <c r="AL78" s="1314">
        <v>-2.71</v>
      </c>
      <c r="AN78" s="1326">
        <v>42272</v>
      </c>
      <c r="AO78" s="1314">
        <v>3.69</v>
      </c>
      <c r="AQ78" s="1326">
        <v>42272</v>
      </c>
      <c r="AR78" s="1327">
        <v>2.66</v>
      </c>
      <c r="AT78" s="1326">
        <v>42272</v>
      </c>
      <c r="AU78" s="1314">
        <v>1150.6759999999999</v>
      </c>
      <c r="AV78" s="1314">
        <f t="shared" si="20"/>
        <v>-7.4415403048212411E-3</v>
      </c>
      <c r="AX78" s="1314">
        <v>2.9556</v>
      </c>
      <c r="AY78" s="1314">
        <f t="shared" si="21"/>
        <v>4.5342010327509404E-2</v>
      </c>
    </row>
    <row r="79" spans="1:51" x14ac:dyDescent="0.75">
      <c r="A79" s="1326">
        <v>42265</v>
      </c>
      <c r="B79" s="1314">
        <v>1170.8979999999999</v>
      </c>
      <c r="C79" s="1314">
        <f t="shared" si="11"/>
        <v>1.7574017360229972E-2</v>
      </c>
      <c r="E79" s="1326">
        <v>42265</v>
      </c>
      <c r="F79" s="1314">
        <v>11.41</v>
      </c>
      <c r="G79" s="1314">
        <f t="shared" si="12"/>
        <v>3.8216560509554132E-2</v>
      </c>
      <c r="I79" s="1326">
        <v>42265</v>
      </c>
      <c r="J79" s="1314">
        <v>11.64</v>
      </c>
      <c r="K79" s="1314">
        <f t="shared" si="13"/>
        <v>3.4666666666666721E-2</v>
      </c>
      <c r="M79" s="1326">
        <v>42265</v>
      </c>
      <c r="N79" s="1314">
        <v>5.98</v>
      </c>
      <c r="O79" s="1314">
        <f t="shared" si="14"/>
        <v>-1.4827018121911013E-2</v>
      </c>
      <c r="Q79" s="1326">
        <v>42265</v>
      </c>
      <c r="R79" s="1314">
        <v>8</v>
      </c>
      <c r="S79" s="1314">
        <f t="shared" si="15"/>
        <v>3.0927835051546421E-2</v>
      </c>
      <c r="U79" s="1326">
        <v>42265</v>
      </c>
      <c r="V79" s="1314">
        <v>16.18</v>
      </c>
      <c r="W79" s="1314">
        <f t="shared" si="16"/>
        <v>7.3656270736562668E-2</v>
      </c>
      <c r="Y79" s="1326">
        <v>42265</v>
      </c>
      <c r="Z79" s="1314">
        <v>9.9</v>
      </c>
      <c r="AA79" s="1314">
        <f t="shared" si="17"/>
        <v>3.9915966386554709E-2</v>
      </c>
      <c r="AC79" s="1326">
        <v>42265</v>
      </c>
      <c r="AD79" s="1314">
        <v>9.34</v>
      </c>
      <c r="AE79" s="1314">
        <f t="shared" si="18"/>
        <v>6.6210045662100467E-2</v>
      </c>
      <c r="AG79" s="1326">
        <v>42265</v>
      </c>
      <c r="AH79" s="1314">
        <v>7.07</v>
      </c>
      <c r="AI79" s="1314">
        <f t="shared" si="19"/>
        <v>4.5857988165680548E-2</v>
      </c>
      <c r="AK79" s="1326">
        <v>42265</v>
      </c>
      <c r="AL79" s="1314">
        <v>1.18</v>
      </c>
      <c r="AN79" s="1326">
        <v>42265</v>
      </c>
      <c r="AO79" s="1314">
        <v>-1.78</v>
      </c>
      <c r="AQ79" s="1326">
        <v>42265</v>
      </c>
      <c r="AR79" s="1327">
        <v>2.75</v>
      </c>
      <c r="AT79" s="1326">
        <v>42265</v>
      </c>
      <c r="AU79" s="1314">
        <v>1170.8979999999999</v>
      </c>
      <c r="AV79" s="1314">
        <f t="shared" si="20"/>
        <v>1.7574017360229972E-2</v>
      </c>
      <c r="AX79" s="1314">
        <v>2.9356</v>
      </c>
      <c r="AY79" s="1314">
        <f t="shared" si="21"/>
        <v>-6.7668155366084779E-3</v>
      </c>
    </row>
    <row r="80" spans="1:51" x14ac:dyDescent="0.75">
      <c r="A80" s="1326">
        <v>42258</v>
      </c>
      <c r="B80" s="1314">
        <v>1171.4880000000001</v>
      </c>
      <c r="C80" s="1314">
        <f t="shared" si="11"/>
        <v>5.0388676041819656E-4</v>
      </c>
      <c r="E80" s="1326">
        <v>42258</v>
      </c>
      <c r="F80" s="1314">
        <v>11.41</v>
      </c>
      <c r="G80" s="1314">
        <f t="shared" si="12"/>
        <v>0</v>
      </c>
      <c r="I80" s="1326">
        <v>42258</v>
      </c>
      <c r="J80" s="1314">
        <v>13.65</v>
      </c>
      <c r="K80" s="1314">
        <f t="shared" si="13"/>
        <v>0.17268041237113399</v>
      </c>
      <c r="M80" s="1326">
        <v>42258</v>
      </c>
      <c r="N80" s="1314">
        <v>6</v>
      </c>
      <c r="O80" s="1314">
        <f t="shared" si="14"/>
        <v>3.344481605351099E-3</v>
      </c>
      <c r="Q80" s="1326">
        <v>42258</v>
      </c>
      <c r="R80" s="1314">
        <v>7.89</v>
      </c>
      <c r="S80" s="1314">
        <f t="shared" si="15"/>
        <v>-1.375000000000004E-2</v>
      </c>
      <c r="U80" s="1326">
        <v>42258</v>
      </c>
      <c r="V80" s="1314">
        <v>16.95</v>
      </c>
      <c r="W80" s="1314">
        <f t="shared" si="16"/>
        <v>4.7589616810877602E-2</v>
      </c>
      <c r="Y80" s="1326">
        <v>42258</v>
      </c>
      <c r="Z80" s="1314">
        <v>9.9</v>
      </c>
      <c r="AA80" s="1314">
        <f t="shared" si="17"/>
        <v>0</v>
      </c>
      <c r="AC80" s="1326">
        <v>42258</v>
      </c>
      <c r="AD80" s="1314">
        <v>10.039999999999999</v>
      </c>
      <c r="AE80" s="1314">
        <f t="shared" si="18"/>
        <v>7.4946466809421769E-2</v>
      </c>
      <c r="AG80" s="1326">
        <v>42258</v>
      </c>
      <c r="AH80" s="1314">
        <v>6.88</v>
      </c>
      <c r="AI80" s="1314">
        <f t="shared" si="19"/>
        <v>-2.6874115983026928E-2</v>
      </c>
      <c r="AK80" s="1326">
        <v>42258</v>
      </c>
      <c r="AL80" s="1314">
        <v>-0.43</v>
      </c>
      <c r="AN80" s="1326">
        <v>42258</v>
      </c>
      <c r="AO80" s="1314">
        <v>-1.52</v>
      </c>
      <c r="AQ80" s="1326">
        <v>42258</v>
      </c>
      <c r="AR80" s="1327">
        <v>2.74</v>
      </c>
      <c r="AT80" s="1326">
        <v>42258</v>
      </c>
      <c r="AU80" s="1314">
        <v>1171.4880000000001</v>
      </c>
      <c r="AV80" s="1314">
        <f t="shared" si="20"/>
        <v>5.0388676041819656E-4</v>
      </c>
      <c r="AX80" s="1314">
        <v>2.9523999999999999</v>
      </c>
      <c r="AY80" s="1314">
        <f t="shared" si="21"/>
        <v>5.7228505245946063E-3</v>
      </c>
    </row>
    <row r="81" spans="1:51" x14ac:dyDescent="0.75">
      <c r="A81" s="1326">
        <v>42251</v>
      </c>
      <c r="B81" s="1314">
        <v>1148.25</v>
      </c>
      <c r="C81" s="1314">
        <f t="shared" si="11"/>
        <v>-1.9836310743259901E-2</v>
      </c>
      <c r="E81" s="1326">
        <v>42251</v>
      </c>
      <c r="F81" s="1314">
        <v>11.34</v>
      </c>
      <c r="G81" s="1314">
        <f t="shared" si="12"/>
        <v>-6.1349693251533987E-3</v>
      </c>
      <c r="I81" s="1326">
        <v>42251</v>
      </c>
      <c r="J81" s="1314">
        <v>13.51</v>
      </c>
      <c r="K81" s="1314">
        <f t="shared" si="13"/>
        <v>-1.0256410256410298E-2</v>
      </c>
      <c r="M81" s="1326">
        <v>42251</v>
      </c>
      <c r="N81" s="1314">
        <v>5.85</v>
      </c>
      <c r="O81" s="1314">
        <f t="shared" si="14"/>
        <v>-2.500000000000006E-2</v>
      </c>
      <c r="Q81" s="1326">
        <v>42251</v>
      </c>
      <c r="R81" s="1314">
        <v>8.1</v>
      </c>
      <c r="S81" s="1314">
        <f t="shared" si="15"/>
        <v>2.6615969581749045E-2</v>
      </c>
      <c r="U81" s="1326">
        <v>42251</v>
      </c>
      <c r="V81" s="1314">
        <v>16.510000000000002</v>
      </c>
      <c r="W81" s="1314">
        <f t="shared" si="16"/>
        <v>-2.5958702064896623E-2</v>
      </c>
      <c r="Y81" s="1326">
        <v>42251</v>
      </c>
      <c r="Z81" s="1314">
        <v>9.85</v>
      </c>
      <c r="AA81" s="1314">
        <f t="shared" si="17"/>
        <v>-5.0505050505051221E-3</v>
      </c>
      <c r="AC81" s="1326">
        <v>42251</v>
      </c>
      <c r="AD81" s="1314">
        <v>9.91</v>
      </c>
      <c r="AE81" s="1314">
        <f t="shared" si="18"/>
        <v>-1.2948207171314643E-2</v>
      </c>
      <c r="AG81" s="1326">
        <v>42251</v>
      </c>
      <c r="AH81" s="1314">
        <v>6.75</v>
      </c>
      <c r="AI81" s="1314">
        <f t="shared" si="19"/>
        <v>-1.8895348837209287E-2</v>
      </c>
      <c r="AK81" s="1326">
        <v>42251</v>
      </c>
      <c r="AL81" s="1314">
        <v>1.45</v>
      </c>
      <c r="AN81" s="1326">
        <v>42251</v>
      </c>
      <c r="AO81" s="1314">
        <v>0.13</v>
      </c>
      <c r="AQ81" s="1326">
        <v>42251</v>
      </c>
      <c r="AR81" s="1327">
        <v>2.75</v>
      </c>
      <c r="AT81" s="1326">
        <v>42251</v>
      </c>
      <c r="AU81" s="1314">
        <v>1148.25</v>
      </c>
      <c r="AV81" s="1314">
        <f t="shared" si="20"/>
        <v>-1.9836310743259901E-2</v>
      </c>
      <c r="AX81" s="1314">
        <v>2.8835999999999999</v>
      </c>
      <c r="AY81" s="1314">
        <f t="shared" si="21"/>
        <v>-2.3303075464029255E-2</v>
      </c>
    </row>
    <row r="82" spans="1:51" x14ac:dyDescent="0.75">
      <c r="A82" s="1326">
        <v>42244</v>
      </c>
      <c r="B82" s="1314">
        <v>1186.598</v>
      </c>
      <c r="C82" s="1314">
        <f>(B82-B81)/B81</f>
        <v>3.3396908338776364E-2</v>
      </c>
      <c r="E82" s="1326">
        <v>42244</v>
      </c>
      <c r="F82" s="1314">
        <v>11.14</v>
      </c>
      <c r="G82" s="1314">
        <f t="shared" si="12"/>
        <v>-1.7636684303350907E-2</v>
      </c>
      <c r="I82" s="1326">
        <v>42244</v>
      </c>
      <c r="J82" s="1314">
        <v>13.45</v>
      </c>
      <c r="K82" s="1314">
        <f t="shared" si="13"/>
        <v>-4.4411547002220948E-3</v>
      </c>
      <c r="M82" s="1326">
        <v>42244</v>
      </c>
      <c r="N82" s="1314">
        <v>5.95</v>
      </c>
      <c r="O82" s="1314">
        <f t="shared" si="14"/>
        <v>1.7094017094017186E-2</v>
      </c>
      <c r="Q82" s="1326">
        <v>42244</v>
      </c>
      <c r="R82" s="1314">
        <v>7.31</v>
      </c>
      <c r="S82" s="1314">
        <f t="shared" si="15"/>
        <v>-9.7530864197530875E-2</v>
      </c>
      <c r="U82" s="1326">
        <v>42244</v>
      </c>
      <c r="V82" s="1314">
        <v>17.02</v>
      </c>
      <c r="W82" s="1314">
        <f t="shared" si="16"/>
        <v>3.0890369473046516E-2</v>
      </c>
      <c r="Y82" s="1326">
        <v>42244</v>
      </c>
      <c r="Z82" s="1314">
        <v>9.9</v>
      </c>
      <c r="AA82" s="1314">
        <f t="shared" si="17"/>
        <v>5.0761421319797679E-3</v>
      </c>
      <c r="AC82" s="1326">
        <v>42244</v>
      </c>
      <c r="AD82" s="1314">
        <v>10.09</v>
      </c>
      <c r="AE82" s="1314">
        <f>(AD82-AD81)/AD81</f>
        <v>1.8163471241170504E-2</v>
      </c>
      <c r="AG82" s="1326">
        <v>42244</v>
      </c>
      <c r="AH82" s="1314">
        <v>7.06</v>
      </c>
      <c r="AI82" s="1314">
        <f t="shared" si="19"/>
        <v>4.592592592592587E-2</v>
      </c>
      <c r="AK82" s="1326">
        <v>42244</v>
      </c>
      <c r="AL82" s="1314">
        <v>0.02</v>
      </c>
      <c r="AN82" s="1326">
        <v>42244</v>
      </c>
      <c r="AO82" s="1314">
        <v>-0.76</v>
      </c>
      <c r="AQ82" s="1326">
        <v>42244</v>
      </c>
      <c r="AR82" s="1327">
        <v>2.71</v>
      </c>
      <c r="AT82" s="1326">
        <v>42244</v>
      </c>
      <c r="AU82" s="1314">
        <v>1186.598</v>
      </c>
      <c r="AV82" s="1314">
        <f t="shared" si="20"/>
        <v>3.3396908338776364E-2</v>
      </c>
      <c r="AX82" s="1314">
        <v>2.9119000000000002</v>
      </c>
      <c r="AY82" s="1314">
        <f t="shared" si="21"/>
        <v>9.814121237342285E-3</v>
      </c>
    </row>
    <row r="83" spans="1:51" x14ac:dyDescent="0.75">
      <c r="A83" s="1326">
        <v>42237</v>
      </c>
      <c r="B83" s="1314">
        <v>1176.231</v>
      </c>
      <c r="C83" s="1314">
        <f t="shared" ref="C83:C146" si="22">(B83-B82)/B82</f>
        <v>-8.7367415080759972E-3</v>
      </c>
      <c r="E83" s="1326">
        <v>42237</v>
      </c>
      <c r="F83" s="1314">
        <v>10.57</v>
      </c>
      <c r="G83" s="1314">
        <f t="shared" si="12"/>
        <v>-5.1166965888689429E-2</v>
      </c>
      <c r="I83" s="1326">
        <v>42237</v>
      </c>
      <c r="J83" s="1314">
        <v>12.84</v>
      </c>
      <c r="K83" s="1314">
        <f t="shared" si="13"/>
        <v>-4.5353159851301075E-2</v>
      </c>
      <c r="M83" s="1326">
        <v>42237</v>
      </c>
      <c r="N83" s="1314">
        <v>5.81</v>
      </c>
      <c r="O83" s="1314">
        <f t="shared" si="14"/>
        <v>-2.3529411764705976E-2</v>
      </c>
      <c r="Q83" s="1326">
        <v>42237</v>
      </c>
      <c r="R83" s="1314">
        <v>7.21</v>
      </c>
      <c r="S83" s="1314">
        <f t="shared" si="15"/>
        <v>-1.3679890560875466E-2</v>
      </c>
      <c r="U83" s="1326">
        <v>42237</v>
      </c>
      <c r="V83" s="1314">
        <v>16.195</v>
      </c>
      <c r="W83" s="1314">
        <f t="shared" si="16"/>
        <v>-4.8472385428907125E-2</v>
      </c>
      <c r="Y83" s="1326">
        <v>42237</v>
      </c>
      <c r="Z83" s="1314">
        <v>9.92</v>
      </c>
      <c r="AA83" s="1314">
        <f t="shared" si="17"/>
        <v>2.0202020202019773E-3</v>
      </c>
      <c r="AC83" s="1326">
        <v>42237</v>
      </c>
      <c r="AD83" s="1314">
        <v>9.2799999999999994</v>
      </c>
      <c r="AE83" s="1314">
        <f t="shared" si="18"/>
        <v>-8.0277502477700741E-2</v>
      </c>
      <c r="AG83" s="1326">
        <v>42237</v>
      </c>
      <c r="AH83" s="1314">
        <v>7.16</v>
      </c>
      <c r="AI83" s="1314">
        <f t="shared" si="19"/>
        <v>1.4164305949008575E-2</v>
      </c>
      <c r="AK83" s="1326">
        <v>42237</v>
      </c>
      <c r="AL83" s="1314">
        <v>1.23</v>
      </c>
      <c r="AN83" s="1326">
        <v>42237</v>
      </c>
      <c r="AO83" s="1314">
        <v>0.02</v>
      </c>
      <c r="AQ83" s="1326">
        <v>42237</v>
      </c>
      <c r="AR83" s="1327">
        <v>2.68</v>
      </c>
      <c r="AT83" s="1326">
        <v>42237</v>
      </c>
      <c r="AU83" s="1314">
        <v>1176.231</v>
      </c>
      <c r="AV83" s="1314">
        <f t="shared" si="20"/>
        <v>-8.7367415080759972E-3</v>
      </c>
      <c r="AX83" s="1314">
        <v>2.7233000000000001</v>
      </c>
      <c r="AY83" s="1314">
        <f t="shared" si="21"/>
        <v>-6.4768707716611182E-2</v>
      </c>
    </row>
    <row r="84" spans="1:51" x14ac:dyDescent="0.75">
      <c r="A84" s="1326">
        <v>42230</v>
      </c>
      <c r="B84" s="1314">
        <v>1246.5609999999999</v>
      </c>
      <c r="C84" s="1314">
        <f t="shared" si="22"/>
        <v>5.9792676778625903E-2</v>
      </c>
      <c r="E84" s="1326">
        <v>42230</v>
      </c>
      <c r="F84" s="1314">
        <v>11.08</v>
      </c>
      <c r="G84" s="1314">
        <f t="shared" si="12"/>
        <v>4.8249763481551543E-2</v>
      </c>
      <c r="I84" s="1326">
        <v>42230</v>
      </c>
      <c r="J84" s="1314">
        <v>13.45</v>
      </c>
      <c r="K84" s="1314">
        <f t="shared" si="13"/>
        <v>4.7507788161993726E-2</v>
      </c>
      <c r="M84" s="1326">
        <v>42230</v>
      </c>
      <c r="N84" s="1314">
        <v>6.12</v>
      </c>
      <c r="O84" s="1314">
        <f t="shared" si="14"/>
        <v>5.3356282271945013E-2</v>
      </c>
      <c r="Q84" s="1326">
        <v>42230</v>
      </c>
      <c r="R84" s="1314">
        <v>7.51</v>
      </c>
      <c r="S84" s="1314">
        <f t="shared" si="15"/>
        <v>4.1608876560332846E-2</v>
      </c>
      <c r="U84" s="1326">
        <v>42230</v>
      </c>
      <c r="V84" s="1314">
        <v>17.13</v>
      </c>
      <c r="W84" s="1314">
        <f t="shared" si="16"/>
        <v>5.7733868477925207E-2</v>
      </c>
      <c r="Y84" s="1326">
        <v>42230</v>
      </c>
      <c r="Z84" s="1314">
        <v>10.66</v>
      </c>
      <c r="AA84" s="1314">
        <f t="shared" si="17"/>
        <v>7.4596774193548404E-2</v>
      </c>
      <c r="AC84" s="1326">
        <v>42230</v>
      </c>
      <c r="AD84" s="1314">
        <v>10.199999999999999</v>
      </c>
      <c r="AE84" s="1314">
        <f t="shared" si="18"/>
        <v>9.9137931034482762E-2</v>
      </c>
      <c r="AG84" s="1326">
        <v>42230</v>
      </c>
      <c r="AH84" s="1314">
        <v>7.22</v>
      </c>
      <c r="AI84" s="1314">
        <f t="shared" si="19"/>
        <v>8.3798882681563706E-3</v>
      </c>
      <c r="AK84" s="1326">
        <v>42230</v>
      </c>
      <c r="AL84" s="1314">
        <v>-0.31</v>
      </c>
      <c r="AN84" s="1326">
        <v>42230</v>
      </c>
      <c r="AO84" s="1314">
        <v>1.26</v>
      </c>
      <c r="AQ84" s="1326">
        <v>42230</v>
      </c>
      <c r="AR84" s="1327">
        <v>2.7</v>
      </c>
      <c r="AT84" s="1326">
        <v>42230</v>
      </c>
      <c r="AU84" s="1314">
        <v>1246.5609999999999</v>
      </c>
      <c r="AV84" s="1314">
        <f t="shared" si="20"/>
        <v>5.9792676778625903E-2</v>
      </c>
      <c r="AX84" s="1314">
        <v>2.8416000000000001</v>
      </c>
      <c r="AY84" s="1314">
        <f t="shared" si="21"/>
        <v>4.3439944185363372E-2</v>
      </c>
    </row>
    <row r="85" spans="1:51" x14ac:dyDescent="0.75">
      <c r="A85" s="1326">
        <v>42223</v>
      </c>
      <c r="B85" s="1314">
        <v>1238.2840000000001</v>
      </c>
      <c r="C85" s="1314">
        <f t="shared" si="22"/>
        <v>-6.6398676037512936E-3</v>
      </c>
      <c r="E85" s="1326">
        <v>42223</v>
      </c>
      <c r="F85" s="1314">
        <v>11.05</v>
      </c>
      <c r="G85" s="1314">
        <f t="shared" si="12"/>
        <v>-2.7075812274367653E-3</v>
      </c>
      <c r="I85" s="1326">
        <v>42223</v>
      </c>
      <c r="J85" s="1314">
        <v>13.48</v>
      </c>
      <c r="K85" s="1314">
        <f t="shared" si="13"/>
        <v>2.2304832713755493E-3</v>
      </c>
      <c r="M85" s="1326">
        <v>42223</v>
      </c>
      <c r="N85" s="1314">
        <v>6.43</v>
      </c>
      <c r="O85" s="1314">
        <f t="shared" si="14"/>
        <v>5.0653594771241768E-2</v>
      </c>
      <c r="Q85" s="1326">
        <v>42223</v>
      </c>
      <c r="R85" s="1314">
        <v>7.46</v>
      </c>
      <c r="S85" s="1314">
        <f t="shared" si="15"/>
        <v>-6.6577896138481788E-3</v>
      </c>
      <c r="U85" s="1326">
        <v>42223</v>
      </c>
      <c r="V85" s="1314">
        <v>17.18</v>
      </c>
      <c r="W85" s="1314">
        <f t="shared" si="16"/>
        <v>2.9188558085231006E-3</v>
      </c>
      <c r="Y85" s="1326">
        <v>42223</v>
      </c>
      <c r="Z85" s="1314">
        <v>10.53</v>
      </c>
      <c r="AA85" s="1314">
        <f t="shared" si="17"/>
        <v>-1.2195121951219585E-2</v>
      </c>
      <c r="AC85" s="1326">
        <v>42223</v>
      </c>
      <c r="AD85" s="1314">
        <v>11.14</v>
      </c>
      <c r="AE85" s="1314">
        <f t="shared" si="18"/>
        <v>9.215686274509817E-2</v>
      </c>
      <c r="AG85" s="1326">
        <v>42223</v>
      </c>
      <c r="AH85" s="1314">
        <v>7.23</v>
      </c>
      <c r="AI85" s="1314">
        <f t="shared" si="19"/>
        <v>1.3850415512466309E-3</v>
      </c>
      <c r="AK85" s="1326">
        <v>42223</v>
      </c>
      <c r="AL85" s="1314">
        <v>-1.21</v>
      </c>
      <c r="AN85" s="1326">
        <v>42223</v>
      </c>
      <c r="AO85" s="1314">
        <v>0.89</v>
      </c>
      <c r="AQ85" s="1326">
        <v>42223</v>
      </c>
      <c r="AR85" s="1327">
        <v>2.7</v>
      </c>
      <c r="AT85" s="1326">
        <v>42223</v>
      </c>
      <c r="AU85" s="1314">
        <v>1238.2840000000001</v>
      </c>
      <c r="AV85" s="1314">
        <f t="shared" si="20"/>
        <v>-6.6398676037512936E-3</v>
      </c>
      <c r="AX85" s="1314">
        <v>2.8191000000000002</v>
      </c>
      <c r="AY85" s="1314">
        <f t="shared" si="21"/>
        <v>-7.9180743243243111E-3</v>
      </c>
    </row>
    <row r="86" spans="1:51" x14ac:dyDescent="0.75">
      <c r="A86" s="1326">
        <v>42216</v>
      </c>
      <c r="B86" s="1314">
        <v>1255.444</v>
      </c>
      <c r="C86" s="1314">
        <f t="shared" si="22"/>
        <v>1.3857887205196751E-2</v>
      </c>
      <c r="E86" s="1326">
        <v>42216</v>
      </c>
      <c r="F86" s="1314">
        <v>10.46</v>
      </c>
      <c r="G86" s="1314">
        <f t="shared" si="12"/>
        <v>-5.3393665158371025E-2</v>
      </c>
      <c r="I86" s="1326">
        <v>42216</v>
      </c>
      <c r="J86" s="1314">
        <v>13.09</v>
      </c>
      <c r="K86" s="1314">
        <f t="shared" si="13"/>
        <v>-2.8931750741839804E-2</v>
      </c>
      <c r="M86" s="1326">
        <v>42216</v>
      </c>
      <c r="N86" s="1314">
        <v>7.87</v>
      </c>
      <c r="O86" s="1314">
        <f t="shared" si="14"/>
        <v>0.22395023328149308</v>
      </c>
      <c r="Q86" s="1326">
        <v>42216</v>
      </c>
      <c r="R86" s="1314">
        <v>7.85</v>
      </c>
      <c r="S86" s="1314">
        <f t="shared" si="15"/>
        <v>5.2278820375335079E-2</v>
      </c>
      <c r="U86" s="1326">
        <v>42216</v>
      </c>
      <c r="V86" s="1314">
        <v>17.59</v>
      </c>
      <c r="W86" s="1314">
        <f t="shared" si="16"/>
        <v>2.3864959254947624E-2</v>
      </c>
      <c r="Y86" s="1326">
        <v>42216</v>
      </c>
      <c r="Z86" s="1314">
        <v>11.48</v>
      </c>
      <c r="AA86" s="1314">
        <f t="shared" si="17"/>
        <v>9.0218423551756993E-2</v>
      </c>
      <c r="AC86" s="1326">
        <v>42216</v>
      </c>
      <c r="AD86" s="1314">
        <v>11.48</v>
      </c>
      <c r="AE86" s="1314">
        <f t="shared" si="18"/>
        <v>3.0520646319569106E-2</v>
      </c>
      <c r="AG86" s="1326">
        <v>42216</v>
      </c>
      <c r="AH86" s="1314">
        <v>6.19</v>
      </c>
      <c r="AI86" s="1314">
        <f t="shared" si="19"/>
        <v>-0.14384508990318118</v>
      </c>
      <c r="AK86" s="1326">
        <v>42216</v>
      </c>
      <c r="AL86" s="1314">
        <v>0.04</v>
      </c>
      <c r="AN86" s="1326">
        <v>42216</v>
      </c>
      <c r="AO86" s="1314">
        <v>-0.81</v>
      </c>
      <c r="AQ86" s="1326">
        <v>42216</v>
      </c>
      <c r="AR86" s="1327">
        <v>2.67</v>
      </c>
      <c r="AT86" s="1326">
        <v>42216</v>
      </c>
      <c r="AU86" s="1314">
        <v>1255.444</v>
      </c>
      <c r="AV86" s="1314">
        <f t="shared" si="20"/>
        <v>1.3857887205196751E-2</v>
      </c>
      <c r="AX86" s="1314">
        <v>2.9060999999999999</v>
      </c>
      <c r="AY86" s="1314">
        <f t="shared" si="21"/>
        <v>3.0860913057358639E-2</v>
      </c>
    </row>
    <row r="87" spans="1:51" x14ac:dyDescent="0.75">
      <c r="A87" s="1326">
        <v>42209</v>
      </c>
      <c r="B87" s="1314">
        <v>1240.6669999999999</v>
      </c>
      <c r="C87" s="1314">
        <f t="shared" si="22"/>
        <v>-1.1770337824705877E-2</v>
      </c>
      <c r="E87" s="1326">
        <v>42209</v>
      </c>
      <c r="F87" s="1314">
        <v>13.33</v>
      </c>
      <c r="G87" s="1314">
        <f t="shared" si="12"/>
        <v>0.27437858508604196</v>
      </c>
      <c r="I87" s="1326">
        <v>42209</v>
      </c>
      <c r="J87" s="1314">
        <v>13.11</v>
      </c>
      <c r="K87" s="1314">
        <f t="shared" si="13"/>
        <v>1.5278838808250247E-3</v>
      </c>
      <c r="M87" s="1326">
        <v>42209</v>
      </c>
      <c r="N87" s="1314">
        <v>8.24</v>
      </c>
      <c r="O87" s="1314">
        <f t="shared" si="14"/>
        <v>4.7013977128335466E-2</v>
      </c>
      <c r="Q87" s="1326">
        <v>42209</v>
      </c>
      <c r="R87" s="1314">
        <v>7.89</v>
      </c>
      <c r="S87" s="1314">
        <f t="shared" si="15"/>
        <v>5.0955414012738903E-3</v>
      </c>
      <c r="U87" s="1326">
        <v>42209</v>
      </c>
      <c r="V87" s="1314">
        <v>17.93</v>
      </c>
      <c r="W87" s="1314">
        <f t="shared" si="16"/>
        <v>1.9329164297896523E-2</v>
      </c>
      <c r="Y87" s="1326">
        <v>42209</v>
      </c>
      <c r="Z87" s="1314">
        <v>11.3</v>
      </c>
      <c r="AA87" s="1314">
        <f t="shared" si="17"/>
        <v>-1.5679442508710777E-2</v>
      </c>
      <c r="AC87" s="1326">
        <v>42209</v>
      </c>
      <c r="AD87" s="1314">
        <v>11.88</v>
      </c>
      <c r="AE87" s="1314">
        <f t="shared" si="18"/>
        <v>3.4843205574912925E-2</v>
      </c>
      <c r="AG87" s="1326">
        <v>42209</v>
      </c>
      <c r="AH87" s="1314">
        <v>5.78</v>
      </c>
      <c r="AI87" s="1314">
        <f t="shared" si="19"/>
        <v>-6.6235864297253658E-2</v>
      </c>
      <c r="AK87" s="1326">
        <v>42209</v>
      </c>
      <c r="AL87" s="1314">
        <v>-1.44</v>
      </c>
      <c r="AN87" s="1326">
        <v>42209</v>
      </c>
      <c r="AO87" s="1314">
        <v>-0.42</v>
      </c>
      <c r="AQ87" s="1326">
        <v>42209</v>
      </c>
      <c r="AR87" s="1327">
        <v>2.7</v>
      </c>
      <c r="AT87" s="1326">
        <v>42209</v>
      </c>
      <c r="AU87" s="1314">
        <v>1240.6669999999999</v>
      </c>
      <c r="AV87" s="1314">
        <f t="shared" si="20"/>
        <v>-1.1770337824705877E-2</v>
      </c>
      <c r="AX87" s="1314">
        <v>2.9618000000000002</v>
      </c>
      <c r="AY87" s="1314">
        <f t="shared" si="21"/>
        <v>1.9166580640721347E-2</v>
      </c>
    </row>
    <row r="88" spans="1:51" x14ac:dyDescent="0.75">
      <c r="A88" s="1326">
        <v>42202</v>
      </c>
      <c r="B88" s="1314">
        <v>1269.4490000000001</v>
      </c>
      <c r="C88" s="1314">
        <f t="shared" si="22"/>
        <v>2.3198811606982499E-2</v>
      </c>
      <c r="E88" s="1326">
        <v>42202</v>
      </c>
      <c r="F88" s="1314">
        <v>14.27</v>
      </c>
      <c r="G88" s="1314">
        <f t="shared" si="12"/>
        <v>7.0517629407351803E-2</v>
      </c>
      <c r="I88" s="1326">
        <v>42202</v>
      </c>
      <c r="J88" s="1314">
        <v>13.03</v>
      </c>
      <c r="K88" s="1314">
        <f t="shared" si="13"/>
        <v>-6.1022120518688079E-3</v>
      </c>
      <c r="M88" s="1326">
        <v>42202</v>
      </c>
      <c r="N88" s="1314">
        <v>9.0500000000000007</v>
      </c>
      <c r="O88" s="1314">
        <f t="shared" si="14"/>
        <v>9.8300970873786461E-2</v>
      </c>
      <c r="Q88" s="1326">
        <v>42202</v>
      </c>
      <c r="R88" s="1314">
        <v>8.33</v>
      </c>
      <c r="S88" s="1314">
        <f t="shared" si="15"/>
        <v>5.5766793409379012E-2</v>
      </c>
      <c r="U88" s="1326">
        <v>42202</v>
      </c>
      <c r="V88" s="1314">
        <v>18.41</v>
      </c>
      <c r="W88" s="1314">
        <f t="shared" si="16"/>
        <v>2.6770775237032932E-2</v>
      </c>
      <c r="Y88" s="1326">
        <v>42202</v>
      </c>
      <c r="Z88" s="1314">
        <v>11.72</v>
      </c>
      <c r="AA88" s="1314">
        <f t="shared" si="17"/>
        <v>3.7168141592920347E-2</v>
      </c>
      <c r="AC88" s="1326">
        <v>42202</v>
      </c>
      <c r="AD88" s="1314">
        <v>11.67</v>
      </c>
      <c r="AE88" s="1314">
        <f t="shared" si="18"/>
        <v>-1.7676767676767749E-2</v>
      </c>
      <c r="AG88" s="1326">
        <v>42202</v>
      </c>
      <c r="AH88" s="1314">
        <v>6.06</v>
      </c>
      <c r="AI88" s="1314">
        <f t="shared" si="19"/>
        <v>4.8442906574394352E-2</v>
      </c>
      <c r="AK88" s="1326">
        <v>42202</v>
      </c>
      <c r="AL88" s="1314">
        <v>-1.44</v>
      </c>
      <c r="AN88" s="1326">
        <v>42202</v>
      </c>
      <c r="AO88" s="1314">
        <v>-1.71</v>
      </c>
      <c r="AQ88" s="1326">
        <v>42202</v>
      </c>
      <c r="AR88" s="1327">
        <v>2.71</v>
      </c>
      <c r="AT88" s="1326">
        <v>42202</v>
      </c>
      <c r="AU88" s="1314">
        <v>1269.4490000000001</v>
      </c>
      <c r="AV88" s="1314">
        <f t="shared" si="20"/>
        <v>2.3198811606982499E-2</v>
      </c>
      <c r="AX88" s="1314">
        <v>3.0828000000000002</v>
      </c>
      <c r="AY88" s="1314">
        <f t="shared" si="21"/>
        <v>4.0853535012492399E-2</v>
      </c>
    </row>
    <row r="89" spans="1:51" x14ac:dyDescent="0.75">
      <c r="A89" s="1326">
        <v>42195</v>
      </c>
      <c r="B89" s="1314">
        <v>1242.627</v>
      </c>
      <c r="C89" s="1314">
        <f t="shared" si="22"/>
        <v>-2.1128851966483186E-2</v>
      </c>
      <c r="E89" s="1326">
        <v>42195</v>
      </c>
      <c r="F89" s="1314">
        <v>14.6</v>
      </c>
      <c r="G89" s="1314">
        <f t="shared" si="12"/>
        <v>2.3125437981779965E-2</v>
      </c>
      <c r="I89" s="1326">
        <v>42195</v>
      </c>
      <c r="J89" s="1314">
        <v>13.35</v>
      </c>
      <c r="K89" s="1314">
        <f t="shared" si="13"/>
        <v>2.455871066768997E-2</v>
      </c>
      <c r="M89" s="1326">
        <v>42195</v>
      </c>
      <c r="N89" s="1314">
        <v>9.26</v>
      </c>
      <c r="O89" s="1314">
        <f t="shared" si="14"/>
        <v>2.3204419889502659E-2</v>
      </c>
      <c r="Q89" s="1326">
        <v>42195</v>
      </c>
      <c r="R89" s="1314">
        <v>8.4499999999999993</v>
      </c>
      <c r="S89" s="1314">
        <f t="shared" si="15"/>
        <v>1.4405762304921875E-2</v>
      </c>
      <c r="U89" s="1326">
        <v>42195</v>
      </c>
      <c r="V89" s="1314">
        <v>18.72</v>
      </c>
      <c r="W89" s="1314">
        <f t="shared" si="16"/>
        <v>1.6838674633351369E-2</v>
      </c>
      <c r="Y89" s="1326">
        <v>42195</v>
      </c>
      <c r="Z89" s="1314">
        <v>11.9</v>
      </c>
      <c r="AA89" s="1314">
        <f t="shared" si="17"/>
        <v>1.5358361774744003E-2</v>
      </c>
      <c r="AC89" s="1326">
        <v>42195</v>
      </c>
      <c r="AD89" s="1314">
        <v>11.73</v>
      </c>
      <c r="AE89" s="1314">
        <f t="shared" si="18"/>
        <v>5.1413881748072409E-3</v>
      </c>
      <c r="AG89" s="1326">
        <v>42195</v>
      </c>
      <c r="AH89" s="1314">
        <v>5.9</v>
      </c>
      <c r="AI89" s="1314">
        <f t="shared" si="19"/>
        <v>-2.6402640264026282E-2</v>
      </c>
      <c r="AK89" s="1326">
        <v>42195</v>
      </c>
      <c r="AL89" s="1314">
        <v>0.12</v>
      </c>
      <c r="AN89" s="1326">
        <v>42195</v>
      </c>
      <c r="AO89" s="1314">
        <v>-1.33</v>
      </c>
      <c r="AQ89" s="1326">
        <v>42195</v>
      </c>
      <c r="AR89" s="1327">
        <v>2.64</v>
      </c>
      <c r="AT89" s="1326">
        <v>42195</v>
      </c>
      <c r="AU89" s="1314">
        <v>1242.627</v>
      </c>
      <c r="AV89" s="1314">
        <f t="shared" si="20"/>
        <v>-2.1128851966483186E-2</v>
      </c>
      <c r="AX89" s="1314">
        <v>3.1899000000000002</v>
      </c>
      <c r="AY89" s="1314">
        <f t="shared" si="21"/>
        <v>3.4741144414168923E-2</v>
      </c>
    </row>
    <row r="90" spans="1:51" x14ac:dyDescent="0.75">
      <c r="A90" s="1326">
        <v>42188</v>
      </c>
      <c r="B90" s="1314">
        <v>1242.683</v>
      </c>
      <c r="C90" s="1314">
        <f t="shared" si="22"/>
        <v>4.5065816210367248E-5</v>
      </c>
      <c r="E90" s="1326">
        <v>42188</v>
      </c>
      <c r="F90" s="1314">
        <v>15.42</v>
      </c>
      <c r="G90" s="1314">
        <f t="shared" si="12"/>
        <v>5.6164383561643855E-2</v>
      </c>
      <c r="I90" s="1326">
        <v>42188</v>
      </c>
      <c r="J90" s="1314">
        <v>14.47</v>
      </c>
      <c r="K90" s="1314">
        <f t="shared" si="13"/>
        <v>8.3895131086142397E-2</v>
      </c>
      <c r="M90" s="1326">
        <v>42188</v>
      </c>
      <c r="N90" s="1314">
        <v>9.5</v>
      </c>
      <c r="O90" s="1314">
        <f t="shared" si="14"/>
        <v>2.5917926565874754E-2</v>
      </c>
      <c r="Q90" s="1326">
        <v>42188</v>
      </c>
      <c r="R90" s="1314">
        <v>8.82</v>
      </c>
      <c r="S90" s="1314">
        <f t="shared" si="15"/>
        <v>4.3786982248520831E-2</v>
      </c>
      <c r="U90" s="1326">
        <v>42188</v>
      </c>
      <c r="V90" s="1314">
        <v>19.95</v>
      </c>
      <c r="W90" s="1314">
        <f t="shared" si="16"/>
        <v>6.5705128205128235E-2</v>
      </c>
      <c r="Y90" s="1326">
        <v>42188</v>
      </c>
      <c r="Z90" s="1314">
        <v>11.63</v>
      </c>
      <c r="AA90" s="1314">
        <f t="shared" si="17"/>
        <v>-2.2689075630252065E-2</v>
      </c>
      <c r="AC90" s="1326">
        <v>42188</v>
      </c>
      <c r="AD90" s="1314">
        <v>11.87</v>
      </c>
      <c r="AE90" s="1314">
        <f t="shared" si="18"/>
        <v>1.1935208866155055E-2</v>
      </c>
      <c r="AG90" s="1326">
        <v>42188</v>
      </c>
      <c r="AH90" s="1314">
        <v>6</v>
      </c>
      <c r="AI90" s="1314">
        <f t="shared" si="19"/>
        <v>1.6949152542372819E-2</v>
      </c>
      <c r="AK90" s="1326">
        <v>42188</v>
      </c>
      <c r="AL90" s="1314">
        <v>-1.56</v>
      </c>
      <c r="AN90" s="1326">
        <v>42188</v>
      </c>
      <c r="AO90" s="1314">
        <v>-0.7</v>
      </c>
      <c r="AQ90" s="1326">
        <v>42188</v>
      </c>
      <c r="AR90" s="1327">
        <v>2.7</v>
      </c>
      <c r="AT90" s="1326">
        <v>42188</v>
      </c>
      <c r="AU90" s="1314">
        <v>1242.683</v>
      </c>
      <c r="AV90" s="1314">
        <f t="shared" si="20"/>
        <v>4.5065816210367248E-5</v>
      </c>
      <c r="AX90" s="1314">
        <v>3.1865000000000001</v>
      </c>
      <c r="AY90" s="1314">
        <f t="shared" si="21"/>
        <v>-1.0658641336719237E-3</v>
      </c>
    </row>
    <row r="91" spans="1:51" x14ac:dyDescent="0.75">
      <c r="A91" s="1326">
        <v>42181</v>
      </c>
      <c r="B91" s="1314">
        <v>1259.079</v>
      </c>
      <c r="C91" s="1314">
        <f t="shared" si="22"/>
        <v>1.3194032589163896E-2</v>
      </c>
      <c r="E91" s="1326">
        <v>42181</v>
      </c>
      <c r="F91" s="1314">
        <v>15.79</v>
      </c>
      <c r="G91" s="1314">
        <f t="shared" si="12"/>
        <v>2.3994811932555073E-2</v>
      </c>
      <c r="I91" s="1326">
        <v>42181</v>
      </c>
      <c r="J91" s="1314">
        <v>15.21</v>
      </c>
      <c r="K91" s="1314">
        <f t="shared" si="13"/>
        <v>5.1140290255701465E-2</v>
      </c>
      <c r="M91" s="1326">
        <v>42181</v>
      </c>
      <c r="N91" s="1314">
        <v>10.18</v>
      </c>
      <c r="O91" s="1314">
        <f t="shared" si="14"/>
        <v>7.157894736842102E-2</v>
      </c>
      <c r="Q91" s="1326">
        <v>42181</v>
      </c>
      <c r="R91" s="1314">
        <v>8.9700000000000006</v>
      </c>
      <c r="S91" s="1314">
        <f t="shared" si="15"/>
        <v>1.7006802721088475E-2</v>
      </c>
      <c r="U91" s="1326">
        <v>42181</v>
      </c>
      <c r="V91" s="1314">
        <v>21.1</v>
      </c>
      <c r="W91" s="1314">
        <f t="shared" si="16"/>
        <v>5.7644110275689331E-2</v>
      </c>
      <c r="Y91" s="1326">
        <v>42181</v>
      </c>
      <c r="Z91" s="1314">
        <v>11.99</v>
      </c>
      <c r="AA91" s="1314">
        <f t="shared" si="17"/>
        <v>3.0954428202923424E-2</v>
      </c>
      <c r="AC91" s="1326">
        <v>42181</v>
      </c>
      <c r="AD91" s="1314">
        <v>11.8</v>
      </c>
      <c r="AE91" s="1314">
        <f t="shared" si="18"/>
        <v>-5.8972198820554768E-3</v>
      </c>
      <c r="AG91" s="1326">
        <v>42181</v>
      </c>
      <c r="AH91" s="1314">
        <v>6.12</v>
      </c>
      <c r="AI91" s="1314">
        <f t="shared" si="19"/>
        <v>2.0000000000000018E-2</v>
      </c>
      <c r="AK91" s="1326">
        <v>42181</v>
      </c>
      <c r="AL91" s="1314">
        <v>0.35</v>
      </c>
      <c r="AN91" s="1326">
        <v>42181</v>
      </c>
      <c r="AO91" s="1314">
        <v>0.63</v>
      </c>
      <c r="AQ91" s="1326">
        <v>42181</v>
      </c>
      <c r="AR91" s="1327">
        <v>2.71</v>
      </c>
      <c r="AT91" s="1326">
        <v>42181</v>
      </c>
      <c r="AU91" s="1314">
        <v>1259.079</v>
      </c>
      <c r="AV91" s="1314">
        <f t="shared" si="20"/>
        <v>1.3194032589163896E-2</v>
      </c>
      <c r="AX91" s="1314">
        <v>3.2402000000000002</v>
      </c>
      <c r="AY91" s="1314">
        <f t="shared" si="21"/>
        <v>1.6852345833987158E-2</v>
      </c>
    </row>
    <row r="92" spans="1:51" x14ac:dyDescent="0.75">
      <c r="A92" s="1326">
        <v>42174</v>
      </c>
      <c r="B92" s="1314">
        <v>1264.8510000000001</v>
      </c>
      <c r="C92" s="1314">
        <f t="shared" si="22"/>
        <v>4.5843032883561416E-3</v>
      </c>
      <c r="E92" s="1326">
        <v>42174</v>
      </c>
      <c r="F92" s="1314">
        <v>14.97</v>
      </c>
      <c r="G92" s="1314">
        <f t="shared" si="12"/>
        <v>-5.1931602279923911E-2</v>
      </c>
      <c r="I92" s="1326">
        <v>42174</v>
      </c>
      <c r="J92" s="1314">
        <v>14.98</v>
      </c>
      <c r="K92" s="1314">
        <f t="shared" si="13"/>
        <v>-1.5121630506245917E-2</v>
      </c>
      <c r="M92" s="1326">
        <v>42174</v>
      </c>
      <c r="N92" s="1314">
        <v>10.57</v>
      </c>
      <c r="O92" s="1314">
        <f t="shared" si="14"/>
        <v>3.831041257367393E-2</v>
      </c>
      <c r="Q92" s="1326">
        <v>42174</v>
      </c>
      <c r="R92" s="1314">
        <v>8.8000000000000007</v>
      </c>
      <c r="S92" s="1314">
        <f t="shared" si="15"/>
        <v>-1.895206243032329E-2</v>
      </c>
      <c r="U92" s="1326">
        <v>42174</v>
      </c>
      <c r="V92" s="1314">
        <v>21.47</v>
      </c>
      <c r="W92" s="1314">
        <f t="shared" si="16"/>
        <v>1.7535545023696562E-2</v>
      </c>
      <c r="Y92" s="1326">
        <v>42174</v>
      </c>
      <c r="Z92" s="1314">
        <v>12.24</v>
      </c>
      <c r="AA92" s="1314">
        <f t="shared" si="17"/>
        <v>2.0850708924103418E-2</v>
      </c>
      <c r="AC92" s="1326">
        <v>42174</v>
      </c>
      <c r="AD92" s="1314">
        <v>12.68</v>
      </c>
      <c r="AE92" s="1314">
        <f t="shared" si="18"/>
        <v>7.4576271186440585E-2</v>
      </c>
      <c r="AG92" s="1326">
        <v>42174</v>
      </c>
      <c r="AH92" s="1314">
        <v>6.23</v>
      </c>
      <c r="AI92" s="1314">
        <f t="shared" si="19"/>
        <v>1.7973856209150377E-2</v>
      </c>
      <c r="AK92" s="1326">
        <v>42174</v>
      </c>
      <c r="AL92" s="1314">
        <v>0.71</v>
      </c>
      <c r="AN92" s="1326">
        <v>42174</v>
      </c>
      <c r="AO92" s="1314">
        <v>-1.37</v>
      </c>
      <c r="AQ92" s="1326">
        <v>42174</v>
      </c>
      <c r="AR92" s="1327">
        <v>2.66</v>
      </c>
      <c r="AT92" s="1326">
        <v>42174</v>
      </c>
      <c r="AU92" s="1314">
        <v>1264.8510000000001</v>
      </c>
      <c r="AV92" s="1314">
        <f t="shared" si="20"/>
        <v>4.5843032883561416E-3</v>
      </c>
      <c r="AX92" s="1314">
        <v>3.0470999999999999</v>
      </c>
      <c r="AY92" s="1314">
        <f t="shared" si="21"/>
        <v>-5.9595086723041868E-2</v>
      </c>
    </row>
    <row r="93" spans="1:51" x14ac:dyDescent="0.75">
      <c r="A93" s="1326">
        <v>42167</v>
      </c>
      <c r="B93" s="1314">
        <v>1254.489</v>
      </c>
      <c r="C93" s="1314">
        <f t="shared" si="22"/>
        <v>-8.1922692870544274E-3</v>
      </c>
      <c r="E93" s="1326">
        <v>42167</v>
      </c>
      <c r="F93" s="1314">
        <v>14.4</v>
      </c>
      <c r="G93" s="1314">
        <f t="shared" si="12"/>
        <v>-3.8076152304609236E-2</v>
      </c>
      <c r="I93" s="1326">
        <v>42167</v>
      </c>
      <c r="J93" s="1314">
        <v>15.28</v>
      </c>
      <c r="K93" s="1314">
        <f t="shared" si="13"/>
        <v>2.0026702269692852E-2</v>
      </c>
      <c r="M93" s="1326">
        <v>42167</v>
      </c>
      <c r="N93" s="1314">
        <v>10.76</v>
      </c>
      <c r="O93" s="1314">
        <f t="shared" si="14"/>
        <v>1.79754020813623E-2</v>
      </c>
      <c r="Q93" s="1326">
        <v>42167</v>
      </c>
      <c r="R93" s="1314">
        <v>8.83</v>
      </c>
      <c r="S93" s="1314">
        <f t="shared" si="15"/>
        <v>3.4090909090908361E-3</v>
      </c>
      <c r="U93" s="1326">
        <v>42167</v>
      </c>
      <c r="V93" s="1314">
        <v>20.99</v>
      </c>
      <c r="W93" s="1314">
        <f t="shared" si="16"/>
        <v>-2.2356776897997227E-2</v>
      </c>
      <c r="Y93" s="1326">
        <v>42167</v>
      </c>
      <c r="Z93" s="1314">
        <v>12.4</v>
      </c>
      <c r="AA93" s="1314">
        <f t="shared" si="17"/>
        <v>1.3071895424836612E-2</v>
      </c>
      <c r="AC93" s="1326">
        <v>42167</v>
      </c>
      <c r="AD93" s="1314">
        <v>12.84</v>
      </c>
      <c r="AE93" s="1314">
        <f t="shared" si="18"/>
        <v>1.2618296529968466E-2</v>
      </c>
      <c r="AG93" s="1326">
        <v>42167</v>
      </c>
      <c r="AH93" s="1314">
        <v>6.53</v>
      </c>
      <c r="AI93" s="1314">
        <f t="shared" si="19"/>
        <v>4.8154093097913291E-2</v>
      </c>
      <c r="AK93" s="1326">
        <v>42167</v>
      </c>
      <c r="AL93" s="1314">
        <v>0.09</v>
      </c>
      <c r="AN93" s="1326">
        <v>42167</v>
      </c>
      <c r="AO93" s="1314">
        <v>0.57999999999999996</v>
      </c>
      <c r="AQ93" s="1326">
        <v>42167</v>
      </c>
      <c r="AR93" s="1327">
        <v>2.7</v>
      </c>
      <c r="AT93" s="1326">
        <v>42167</v>
      </c>
      <c r="AU93" s="1314">
        <v>1254.489</v>
      </c>
      <c r="AV93" s="1314">
        <f t="shared" si="20"/>
        <v>-8.1922692870544274E-3</v>
      </c>
      <c r="AX93" s="1314">
        <v>3.1030000000000002</v>
      </c>
      <c r="AY93" s="1314">
        <f t="shared" si="21"/>
        <v>1.8345311935939183E-2</v>
      </c>
    </row>
    <row r="94" spans="1:51" x14ac:dyDescent="0.75">
      <c r="A94" s="1326">
        <v>42160</v>
      </c>
      <c r="B94" s="1314">
        <v>1253.529</v>
      </c>
      <c r="C94" s="1314">
        <f t="shared" si="22"/>
        <v>-7.6525182763662047E-4</v>
      </c>
      <c r="E94" s="1326">
        <v>42160</v>
      </c>
      <c r="F94" s="1314">
        <v>12.56</v>
      </c>
      <c r="G94" s="1314">
        <f t="shared" si="12"/>
        <v>-0.12777777777777777</v>
      </c>
      <c r="I94" s="1326">
        <v>42160</v>
      </c>
      <c r="J94" s="1314">
        <v>15.2</v>
      </c>
      <c r="K94" s="1314">
        <f t="shared" si="13"/>
        <v>-5.2356020942408424E-3</v>
      </c>
      <c r="M94" s="1326">
        <v>42160</v>
      </c>
      <c r="N94" s="1314">
        <v>10.86</v>
      </c>
      <c r="O94" s="1314">
        <f t="shared" si="14"/>
        <v>9.293680297397737E-3</v>
      </c>
      <c r="Q94" s="1326">
        <v>42160</v>
      </c>
      <c r="R94" s="1314">
        <v>8.3699999999999992</v>
      </c>
      <c r="S94" s="1314">
        <f t="shared" si="15"/>
        <v>-5.2095130237825693E-2</v>
      </c>
      <c r="U94" s="1326">
        <v>42160</v>
      </c>
      <c r="V94" s="1314">
        <v>21.62</v>
      </c>
      <c r="W94" s="1314">
        <f t="shared" si="16"/>
        <v>3.001429252024786E-2</v>
      </c>
      <c r="Y94" s="1326">
        <v>42160</v>
      </c>
      <c r="Z94" s="1314">
        <v>12.68</v>
      </c>
      <c r="AA94" s="1314">
        <f t="shared" si="17"/>
        <v>2.2580645161290269E-2</v>
      </c>
      <c r="AC94" s="1326">
        <v>42160</v>
      </c>
      <c r="AD94" s="1314">
        <v>13.38</v>
      </c>
      <c r="AE94" s="1314">
        <f t="shared" si="18"/>
        <v>4.2056074766355214E-2</v>
      </c>
      <c r="AG94" s="1326">
        <v>42160</v>
      </c>
      <c r="AH94" s="1314">
        <v>6.49</v>
      </c>
      <c r="AI94" s="1314">
        <f t="shared" si="19"/>
        <v>-6.1255742725880606E-3</v>
      </c>
      <c r="AK94" s="1326">
        <v>42160</v>
      </c>
      <c r="AL94" s="1314">
        <v>1.83</v>
      </c>
      <c r="AN94" s="1326">
        <v>42160</v>
      </c>
      <c r="AO94" s="1314">
        <v>-0.11</v>
      </c>
      <c r="AQ94" s="1326">
        <v>42160</v>
      </c>
      <c r="AR94" s="1327">
        <v>2.6</v>
      </c>
      <c r="AT94" s="1326">
        <v>42160</v>
      </c>
      <c r="AU94" s="1314">
        <v>1253.529</v>
      </c>
      <c r="AV94" s="1314">
        <f t="shared" si="20"/>
        <v>-7.6525182763662047E-4</v>
      </c>
      <c r="AX94" s="1314">
        <v>3.1135999999999999</v>
      </c>
      <c r="AY94" s="1314">
        <f t="shared" si="21"/>
        <v>3.4160489848532776E-3</v>
      </c>
    </row>
    <row r="95" spans="1:51" x14ac:dyDescent="0.75">
      <c r="A95" s="1326">
        <v>42153</v>
      </c>
      <c r="B95" s="1314">
        <v>1259.2650000000001</v>
      </c>
      <c r="C95" s="1314">
        <f t="shared" si="22"/>
        <v>4.5758813717114676E-3</v>
      </c>
      <c r="E95" s="1326">
        <v>42153</v>
      </c>
      <c r="F95" s="1314">
        <v>12.19</v>
      </c>
      <c r="G95" s="1314">
        <f t="shared" si="12"/>
        <v>-2.9458598726114726E-2</v>
      </c>
      <c r="I95" s="1326">
        <v>42153</v>
      </c>
      <c r="J95" s="1314">
        <v>15.29</v>
      </c>
      <c r="K95" s="1314">
        <f t="shared" si="13"/>
        <v>5.921052631578938E-3</v>
      </c>
      <c r="M95" s="1326">
        <v>42153</v>
      </c>
      <c r="N95" s="1314">
        <v>10.86</v>
      </c>
      <c r="O95" s="1314">
        <f t="shared" si="14"/>
        <v>0</v>
      </c>
      <c r="Q95" s="1326">
        <v>42153</v>
      </c>
      <c r="R95" s="1314">
        <v>8.1999999999999993</v>
      </c>
      <c r="S95" s="1314">
        <f t="shared" si="15"/>
        <v>-2.0310633213859015E-2</v>
      </c>
      <c r="U95" s="1326">
        <v>42153</v>
      </c>
      <c r="V95" s="1314">
        <v>21.36</v>
      </c>
      <c r="W95" s="1314">
        <f t="shared" si="16"/>
        <v>-1.2025901942645771E-2</v>
      </c>
      <c r="Y95" s="1326">
        <v>42153</v>
      </c>
      <c r="Z95" s="1314">
        <v>13.02</v>
      </c>
      <c r="AA95" s="1314">
        <f t="shared" si="17"/>
        <v>2.6813880126182955E-2</v>
      </c>
      <c r="AC95" s="1326">
        <v>42153</v>
      </c>
      <c r="AD95" s="1314">
        <v>13.73</v>
      </c>
      <c r="AE95" s="1314">
        <f t="shared" si="18"/>
        <v>2.6158445440956624E-2</v>
      </c>
      <c r="AG95" s="1326">
        <v>42153</v>
      </c>
      <c r="AH95" s="1314">
        <v>6.37</v>
      </c>
      <c r="AI95" s="1314">
        <f t="shared" si="19"/>
        <v>-1.8489984591679522E-2</v>
      </c>
      <c r="AK95" s="1326">
        <v>42153</v>
      </c>
      <c r="AL95" s="1314">
        <v>0.44</v>
      </c>
      <c r="AN95" s="1326">
        <v>42153</v>
      </c>
      <c r="AO95" s="1314">
        <v>-0.15</v>
      </c>
      <c r="AQ95" s="1326">
        <v>42153</v>
      </c>
      <c r="AR95" s="1327">
        <v>2.44</v>
      </c>
      <c r="AT95" s="1326">
        <v>42153</v>
      </c>
      <c r="AU95" s="1314">
        <v>1259.2650000000001</v>
      </c>
      <c r="AV95" s="1314">
        <f t="shared" si="20"/>
        <v>4.5758813717114676E-3</v>
      </c>
      <c r="AX95" s="1314">
        <v>2.8818000000000001</v>
      </c>
      <c r="AY95" s="1314">
        <f t="shared" si="21"/>
        <v>-7.4447584789311336E-2</v>
      </c>
    </row>
    <row r="96" spans="1:51" x14ac:dyDescent="0.75">
      <c r="A96" s="1326">
        <v>42146</v>
      </c>
      <c r="B96" s="1314">
        <v>1269.981</v>
      </c>
      <c r="C96" s="1314">
        <f t="shared" si="22"/>
        <v>8.5097259115435534E-3</v>
      </c>
      <c r="E96" s="1326">
        <v>42146</v>
      </c>
      <c r="F96" s="1314">
        <v>11.87</v>
      </c>
      <c r="G96" s="1314">
        <f t="shared" si="12"/>
        <v>-2.6251025430680912E-2</v>
      </c>
      <c r="I96" s="1326">
        <v>42146</v>
      </c>
      <c r="J96" s="1314">
        <v>14.4</v>
      </c>
      <c r="K96" s="1314">
        <f t="shared" si="13"/>
        <v>-5.820797907128835E-2</v>
      </c>
      <c r="M96" s="1326">
        <v>42146</v>
      </c>
      <c r="N96" s="1314">
        <v>11.02</v>
      </c>
      <c r="O96" s="1314">
        <f t="shared" si="14"/>
        <v>1.4732965009208118E-2</v>
      </c>
      <c r="Q96" s="1326">
        <v>42146</v>
      </c>
      <c r="R96" s="1314">
        <v>8.36</v>
      </c>
      <c r="S96" s="1314">
        <f t="shared" si="15"/>
        <v>1.9512195121951237E-2</v>
      </c>
      <c r="U96" s="1326">
        <v>42146</v>
      </c>
      <c r="V96" s="1314">
        <v>23.63</v>
      </c>
      <c r="W96" s="1314">
        <f t="shared" si="16"/>
        <v>0.10627340823970036</v>
      </c>
      <c r="Y96" s="1326">
        <v>42146</v>
      </c>
      <c r="Z96" s="1314">
        <v>12.97</v>
      </c>
      <c r="AA96" s="1314">
        <f t="shared" si="17"/>
        <v>-3.8402457757295652E-3</v>
      </c>
      <c r="AC96" s="1326">
        <v>42146</v>
      </c>
      <c r="AD96" s="1314">
        <v>13.74</v>
      </c>
      <c r="AE96" s="1314">
        <f t="shared" si="18"/>
        <v>7.2833211944645202E-4</v>
      </c>
      <c r="AG96" s="1326">
        <v>42146</v>
      </c>
      <c r="AH96" s="1314">
        <v>6.29</v>
      </c>
      <c r="AI96" s="1314">
        <f t="shared" si="19"/>
        <v>-1.2558869701726856E-2</v>
      </c>
      <c r="AK96" s="1326">
        <v>42146</v>
      </c>
      <c r="AL96" s="1314">
        <v>0.43</v>
      </c>
      <c r="AN96" s="1326">
        <v>42146</v>
      </c>
      <c r="AO96" s="1314">
        <v>-0.11</v>
      </c>
      <c r="AQ96" s="1326">
        <v>42146</v>
      </c>
      <c r="AR96" s="1327">
        <v>2.4700000000000002</v>
      </c>
      <c r="AT96" s="1326">
        <v>42146</v>
      </c>
      <c r="AU96" s="1314">
        <v>1269.981</v>
      </c>
      <c r="AV96" s="1314">
        <f t="shared" si="20"/>
        <v>8.5097259115435534E-3</v>
      </c>
      <c r="AX96" s="1314">
        <v>2.9841000000000002</v>
      </c>
      <c r="AY96" s="1314">
        <f t="shared" si="21"/>
        <v>3.5498646679158877E-2</v>
      </c>
    </row>
    <row r="97" spans="1:51" x14ac:dyDescent="0.75">
      <c r="A97" s="1326">
        <v>42139</v>
      </c>
      <c r="B97" s="1314">
        <v>1267.02</v>
      </c>
      <c r="C97" s="1314">
        <f t="shared" si="22"/>
        <v>-2.3315309441637416E-3</v>
      </c>
      <c r="E97" s="1326">
        <v>42139</v>
      </c>
      <c r="F97" s="1314">
        <v>11.85</v>
      </c>
      <c r="G97" s="1314">
        <f t="shared" si="12"/>
        <v>-1.6849199663015648E-3</v>
      </c>
      <c r="I97" s="1326">
        <v>42139</v>
      </c>
      <c r="J97" s="1314">
        <v>14.17</v>
      </c>
      <c r="K97" s="1314">
        <f t="shared" si="13"/>
        <v>-1.5972222222222252E-2</v>
      </c>
      <c r="M97" s="1326">
        <v>42139</v>
      </c>
      <c r="N97" s="1314">
        <v>10.68</v>
      </c>
      <c r="O97" s="1314">
        <f t="shared" si="14"/>
        <v>-3.085299455535389E-2</v>
      </c>
      <c r="Q97" s="1326">
        <v>42139</v>
      </c>
      <c r="R97" s="1314">
        <v>8.69</v>
      </c>
      <c r="S97" s="1314">
        <f t="shared" si="15"/>
        <v>3.9473684210526327E-2</v>
      </c>
      <c r="U97" s="1326">
        <v>42139</v>
      </c>
      <c r="V97" s="1314">
        <v>23.55</v>
      </c>
      <c r="W97" s="1314">
        <f t="shared" si="16"/>
        <v>-3.3855268726194795E-3</v>
      </c>
      <c r="Y97" s="1326">
        <v>42139</v>
      </c>
      <c r="Z97" s="1314">
        <v>12.9</v>
      </c>
      <c r="AA97" s="1314">
        <f t="shared" si="17"/>
        <v>-5.3970701619121264E-3</v>
      </c>
      <c r="AC97" s="1326">
        <v>42139</v>
      </c>
      <c r="AD97" s="1314">
        <v>13.07</v>
      </c>
      <c r="AE97" s="1314">
        <f t="shared" si="18"/>
        <v>-4.8762736535662293E-2</v>
      </c>
      <c r="AG97" s="1326">
        <v>42139</v>
      </c>
      <c r="AH97" s="1314">
        <v>6.24</v>
      </c>
      <c r="AI97" s="1314">
        <f t="shared" si="19"/>
        <v>-7.9491255961843914E-3</v>
      </c>
      <c r="AK97" s="1326">
        <v>42139</v>
      </c>
      <c r="AL97" s="1314">
        <v>0.32</v>
      </c>
      <c r="AN97" s="1326">
        <v>42139</v>
      </c>
      <c r="AO97" s="1314">
        <v>-0.47</v>
      </c>
      <c r="AQ97" s="1326">
        <v>42139</v>
      </c>
      <c r="AR97" s="1327">
        <v>2.4700000000000002</v>
      </c>
      <c r="AT97" s="1326">
        <v>42139</v>
      </c>
      <c r="AU97" s="1314">
        <v>1267.02</v>
      </c>
      <c r="AV97" s="1314">
        <f t="shared" si="20"/>
        <v>-2.3315309441637416E-3</v>
      </c>
      <c r="AX97" s="1314">
        <v>2.9291999999999998</v>
      </c>
      <c r="AY97" s="1314">
        <f t="shared" si="21"/>
        <v>-1.8397506785965748E-2</v>
      </c>
    </row>
    <row r="98" spans="1:51" x14ac:dyDescent="0.75">
      <c r="A98" s="1326">
        <v>42132</v>
      </c>
      <c r="B98" s="1314">
        <v>1262.0340000000001</v>
      </c>
      <c r="C98" s="1314">
        <f t="shared" si="22"/>
        <v>-3.9352180707485883E-3</v>
      </c>
      <c r="E98" s="1326">
        <v>42132</v>
      </c>
      <c r="F98" s="1314">
        <v>11.68</v>
      </c>
      <c r="G98" s="1314">
        <f t="shared" si="12"/>
        <v>-1.4345991561181428E-2</v>
      </c>
      <c r="I98" s="1326">
        <v>42132</v>
      </c>
      <c r="J98" s="1314">
        <v>13.92</v>
      </c>
      <c r="K98" s="1314">
        <f t="shared" si="13"/>
        <v>-1.7642907551164433E-2</v>
      </c>
      <c r="M98" s="1326">
        <v>42132</v>
      </c>
      <c r="N98" s="1314">
        <v>10.01</v>
      </c>
      <c r="O98" s="1314">
        <f t="shared" si="14"/>
        <v>-6.2734082397003746E-2</v>
      </c>
      <c r="Q98" s="1326">
        <v>42132</v>
      </c>
      <c r="R98" s="1314">
        <v>8.27</v>
      </c>
      <c r="S98" s="1314">
        <f t="shared" si="15"/>
        <v>-4.8331415420023012E-2</v>
      </c>
      <c r="U98" s="1326">
        <v>42132</v>
      </c>
      <c r="V98" s="1314">
        <v>23.25</v>
      </c>
      <c r="W98" s="1314">
        <f t="shared" si="16"/>
        <v>-1.2738853503184744E-2</v>
      </c>
      <c r="Y98" s="1326">
        <v>42132</v>
      </c>
      <c r="Z98" s="1314">
        <v>12.89</v>
      </c>
      <c r="AA98" s="1314">
        <f t="shared" si="17"/>
        <v>-7.751937984495958E-4</v>
      </c>
      <c r="AC98" s="1326">
        <v>42132</v>
      </c>
      <c r="AD98" s="1314">
        <v>12.88</v>
      </c>
      <c r="AE98" s="1314">
        <f t="shared" si="18"/>
        <v>-1.4537107880642655E-2</v>
      </c>
      <c r="AG98" s="1326">
        <v>42132</v>
      </c>
      <c r="AH98" s="1314">
        <v>5.93</v>
      </c>
      <c r="AI98" s="1314">
        <f t="shared" si="19"/>
        <v>-4.967948717948726E-2</v>
      </c>
      <c r="AK98" s="1326">
        <v>42132</v>
      </c>
      <c r="AL98" s="1314">
        <v>-0.04</v>
      </c>
      <c r="AN98" s="1326">
        <v>42132</v>
      </c>
      <c r="AO98" s="1314">
        <v>0.1</v>
      </c>
      <c r="AQ98" s="1326">
        <v>42132</v>
      </c>
      <c r="AR98" s="1327">
        <v>2.4500000000000002</v>
      </c>
      <c r="AT98" s="1326">
        <v>42132</v>
      </c>
      <c r="AU98" s="1314">
        <v>1262.0340000000001</v>
      </c>
      <c r="AV98" s="1314">
        <f t="shared" si="20"/>
        <v>-3.9352180707485883E-3</v>
      </c>
      <c r="AX98" s="1314">
        <v>2.9005999999999998</v>
      </c>
      <c r="AY98" s="1314">
        <f t="shared" si="21"/>
        <v>-9.7637580226682917E-3</v>
      </c>
    </row>
    <row r="99" spans="1:51" x14ac:dyDescent="0.75">
      <c r="A99" s="1326">
        <v>42125</v>
      </c>
      <c r="B99" s="1314">
        <v>1257.3910000000001</v>
      </c>
      <c r="C99" s="1314">
        <f t="shared" si="22"/>
        <v>-3.6789817073074327E-3</v>
      </c>
      <c r="E99" s="1326">
        <v>42125</v>
      </c>
      <c r="F99" s="1314">
        <v>11.53</v>
      </c>
      <c r="G99" s="1314">
        <f t="shared" si="12"/>
        <v>-1.2842465753424688E-2</v>
      </c>
      <c r="I99" s="1326">
        <v>42125</v>
      </c>
      <c r="J99" s="1314">
        <v>14.16</v>
      </c>
      <c r="K99" s="1314">
        <f t="shared" si="13"/>
        <v>1.7241379310344845E-2</v>
      </c>
      <c r="M99" s="1326">
        <v>42125</v>
      </c>
      <c r="N99" s="1314">
        <v>9.99</v>
      </c>
      <c r="O99" s="1314">
        <f t="shared" si="14"/>
        <v>-1.9980019980019555E-3</v>
      </c>
      <c r="Q99" s="1326">
        <v>42125</v>
      </c>
      <c r="R99" s="1314">
        <v>8.19</v>
      </c>
      <c r="S99" s="1314">
        <f t="shared" si="15"/>
        <v>-9.6735187424425734E-3</v>
      </c>
      <c r="U99" s="1326">
        <v>42125</v>
      </c>
      <c r="V99" s="1314">
        <v>23.65</v>
      </c>
      <c r="W99" s="1314">
        <f t="shared" si="16"/>
        <v>1.7204301075268755E-2</v>
      </c>
      <c r="Y99" s="1326">
        <v>42125</v>
      </c>
      <c r="Z99" s="1314">
        <v>12.78</v>
      </c>
      <c r="AA99" s="1314">
        <f t="shared" si="17"/>
        <v>-8.5337470907681304E-3</v>
      </c>
      <c r="AC99" s="1326">
        <v>42125</v>
      </c>
      <c r="AD99" s="1314">
        <v>13.34</v>
      </c>
      <c r="AE99" s="1314">
        <f t="shared" si="18"/>
        <v>3.5714285714285643E-2</v>
      </c>
      <c r="AG99" s="1326">
        <v>42125</v>
      </c>
      <c r="AH99" s="1314">
        <v>5.43</v>
      </c>
      <c r="AI99" s="1314">
        <f t="shared" si="19"/>
        <v>-8.4317032040472181E-2</v>
      </c>
      <c r="AK99" s="1326">
        <v>42125</v>
      </c>
      <c r="AL99" s="1314">
        <v>-2.61</v>
      </c>
      <c r="AN99" s="1326">
        <v>42125</v>
      </c>
      <c r="AO99" s="1314">
        <v>2.41</v>
      </c>
      <c r="AQ99" s="1326">
        <v>42125</v>
      </c>
      <c r="AR99" s="1327">
        <v>2.33</v>
      </c>
      <c r="AT99" s="1326">
        <v>42125</v>
      </c>
      <c r="AU99" s="1314">
        <v>1257.3910000000001</v>
      </c>
      <c r="AV99" s="1314">
        <f t="shared" si="20"/>
        <v>-3.6789817073074327E-3</v>
      </c>
      <c r="AX99" s="1314">
        <v>2.8273000000000001</v>
      </c>
      <c r="AY99" s="1314">
        <f t="shared" si="21"/>
        <v>-2.5270633662000865E-2</v>
      </c>
    </row>
    <row r="100" spans="1:51" x14ac:dyDescent="0.75">
      <c r="A100" s="1326">
        <v>42118</v>
      </c>
      <c r="B100" s="1314">
        <v>1267.3520000000001</v>
      </c>
      <c r="C100" s="1314">
        <f t="shared" si="22"/>
        <v>7.9219590405848403E-3</v>
      </c>
      <c r="E100" s="1326">
        <v>42118</v>
      </c>
      <c r="F100" s="1314">
        <v>11.64</v>
      </c>
      <c r="G100" s="1314">
        <f t="shared" si="12"/>
        <v>9.5403295750217873E-3</v>
      </c>
      <c r="I100" s="1326">
        <v>42118</v>
      </c>
      <c r="J100" s="1314">
        <v>13.99</v>
      </c>
      <c r="K100" s="1314">
        <f t="shared" si="13"/>
        <v>-1.2005649717514119E-2</v>
      </c>
      <c r="M100" s="1326">
        <v>42118</v>
      </c>
      <c r="N100" s="1314">
        <v>10.220000000000001</v>
      </c>
      <c r="O100" s="1314">
        <f t="shared" si="14"/>
        <v>2.3023023023023066E-2</v>
      </c>
      <c r="Q100" s="1326">
        <v>42118</v>
      </c>
      <c r="R100" s="1314">
        <v>8.57</v>
      </c>
      <c r="S100" s="1314">
        <f t="shared" si="15"/>
        <v>4.6398046398046497E-2</v>
      </c>
      <c r="U100" s="1326">
        <v>42118</v>
      </c>
      <c r="V100" s="1314">
        <v>23.6</v>
      </c>
      <c r="W100" s="1314">
        <f t="shared" si="16"/>
        <v>-2.1141649048624592E-3</v>
      </c>
      <c r="Y100" s="1326">
        <v>42118</v>
      </c>
      <c r="Z100" s="1314">
        <v>12.78</v>
      </c>
      <c r="AA100" s="1314">
        <f t="shared" si="17"/>
        <v>0</v>
      </c>
      <c r="AC100" s="1326">
        <v>42118</v>
      </c>
      <c r="AD100" s="1314">
        <v>12.775</v>
      </c>
      <c r="AE100" s="1314">
        <f t="shared" si="18"/>
        <v>-4.2353823088455735E-2</v>
      </c>
      <c r="AG100" s="1326">
        <v>42118</v>
      </c>
      <c r="AH100" s="1314">
        <v>5.59</v>
      </c>
      <c r="AI100" s="1314">
        <f t="shared" si="19"/>
        <v>2.9465930018416235E-2</v>
      </c>
      <c r="AK100" s="1326">
        <v>42118</v>
      </c>
      <c r="AL100" s="1314">
        <v>-0.22</v>
      </c>
      <c r="AN100" s="1326">
        <v>42118</v>
      </c>
      <c r="AO100" s="1314">
        <v>-1.35</v>
      </c>
      <c r="AQ100" s="1326">
        <v>42118</v>
      </c>
      <c r="AR100" s="1327">
        <v>2.2599999999999998</v>
      </c>
      <c r="AT100" s="1326">
        <v>42118</v>
      </c>
      <c r="AU100" s="1314">
        <v>1267.3520000000001</v>
      </c>
      <c r="AV100" s="1314">
        <f t="shared" si="20"/>
        <v>7.9219590405848403E-3</v>
      </c>
      <c r="AX100" s="1314">
        <v>2.6097999999999999</v>
      </c>
      <c r="AY100" s="1314">
        <f t="shared" si="21"/>
        <v>-7.6928518374420912E-2</v>
      </c>
    </row>
    <row r="101" spans="1:51" x14ac:dyDescent="0.75">
      <c r="A101" s="1326">
        <v>42111</v>
      </c>
      <c r="B101" s="1314">
        <v>1246.6669999999999</v>
      </c>
      <c r="C101" s="1314">
        <f t="shared" si="22"/>
        <v>-1.6321432403941582E-2</v>
      </c>
      <c r="E101" s="1326">
        <v>42111</v>
      </c>
      <c r="F101" s="1314">
        <v>11.92</v>
      </c>
      <c r="G101" s="1314">
        <f t="shared" si="12"/>
        <v>2.4054982817869358E-2</v>
      </c>
      <c r="I101" s="1326">
        <v>42111</v>
      </c>
      <c r="J101" s="1314">
        <v>12.91</v>
      </c>
      <c r="K101" s="1314">
        <f t="shared" si="13"/>
        <v>-7.7197998570407433E-2</v>
      </c>
      <c r="M101" s="1326">
        <v>42111</v>
      </c>
      <c r="N101" s="1314">
        <v>10.45</v>
      </c>
      <c r="O101" s="1314">
        <f t="shared" si="14"/>
        <v>2.2504892367905933E-2</v>
      </c>
      <c r="Q101" s="1326">
        <v>42111</v>
      </c>
      <c r="R101" s="1314">
        <v>8.51</v>
      </c>
      <c r="S101" s="1314">
        <f t="shared" si="15"/>
        <v>-7.0011668611435814E-3</v>
      </c>
      <c r="U101" s="1326">
        <v>42111</v>
      </c>
      <c r="V101" s="1314">
        <v>25.41</v>
      </c>
      <c r="W101" s="1314">
        <f t="shared" si="16"/>
        <v>7.6694915254237231E-2</v>
      </c>
      <c r="Y101" s="1326">
        <v>42111</v>
      </c>
      <c r="Z101" s="1314">
        <v>13.36</v>
      </c>
      <c r="AA101" s="1314">
        <f t="shared" si="17"/>
        <v>4.5383411580594689E-2</v>
      </c>
      <c r="AC101" s="1326">
        <v>42111</v>
      </c>
      <c r="AD101" s="1314">
        <v>13.23</v>
      </c>
      <c r="AE101" s="1314">
        <f t="shared" si="18"/>
        <v>3.561643835616439E-2</v>
      </c>
      <c r="AG101" s="1326">
        <v>42111</v>
      </c>
      <c r="AH101" s="1314">
        <v>5.4649999999999999</v>
      </c>
      <c r="AI101" s="1314">
        <f t="shared" si="19"/>
        <v>-2.2361359570661897E-2</v>
      </c>
      <c r="AK101" s="1326">
        <v>42111</v>
      </c>
      <c r="AL101" s="1314">
        <v>0</v>
      </c>
      <c r="AN101" s="1326">
        <v>42111</v>
      </c>
      <c r="AO101" s="1314">
        <v>0.72</v>
      </c>
      <c r="AQ101" s="1326">
        <v>42111</v>
      </c>
      <c r="AR101" s="1327">
        <v>2.2400000000000002</v>
      </c>
      <c r="AT101" s="1326">
        <v>42111</v>
      </c>
      <c r="AU101" s="1314">
        <v>1246.6669999999999</v>
      </c>
      <c r="AV101" s="1314">
        <f t="shared" si="20"/>
        <v>-1.6321432403941582E-2</v>
      </c>
      <c r="AX101" s="1314">
        <v>2.5194000000000001</v>
      </c>
      <c r="AY101" s="1314">
        <f t="shared" si="21"/>
        <v>-3.4638669629856622E-2</v>
      </c>
    </row>
    <row r="102" spans="1:51" x14ac:dyDescent="0.75">
      <c r="A102" s="1326">
        <v>42104</v>
      </c>
      <c r="B102" s="1314">
        <v>1259.328</v>
      </c>
      <c r="C102" s="1314">
        <f t="shared" si="22"/>
        <v>1.0155879637465386E-2</v>
      </c>
      <c r="E102" s="1326">
        <v>42104</v>
      </c>
      <c r="F102" s="1314">
        <v>12.25</v>
      </c>
      <c r="G102" s="1314">
        <f t="shared" si="12"/>
        <v>2.7684563758389267E-2</v>
      </c>
      <c r="I102" s="1326">
        <v>42104</v>
      </c>
      <c r="J102" s="1314">
        <v>13.73</v>
      </c>
      <c r="K102" s="1314">
        <f t="shared" si="13"/>
        <v>6.3516653756777716E-2</v>
      </c>
      <c r="M102" s="1326">
        <v>42104</v>
      </c>
      <c r="N102" s="1314">
        <v>10.59</v>
      </c>
      <c r="O102" s="1314">
        <f t="shared" si="14"/>
        <v>1.3397129186602926E-2</v>
      </c>
      <c r="Q102" s="1326">
        <v>42104</v>
      </c>
      <c r="R102" s="1314">
        <v>8.67</v>
      </c>
      <c r="S102" s="1314">
        <f t="shared" si="15"/>
        <v>1.8801410105757949E-2</v>
      </c>
      <c r="U102" s="1326">
        <v>42104</v>
      </c>
      <c r="V102" s="1314">
        <v>26.46</v>
      </c>
      <c r="W102" s="1314">
        <f t="shared" si="16"/>
        <v>4.1322314049586806E-2</v>
      </c>
      <c r="Y102" s="1326">
        <v>42104</v>
      </c>
      <c r="Z102" s="1314">
        <v>13.84</v>
      </c>
      <c r="AA102" s="1314">
        <f t="shared" si="17"/>
        <v>3.5928143712574884E-2</v>
      </c>
      <c r="AC102" s="1326">
        <v>42104</v>
      </c>
      <c r="AD102" s="1314">
        <v>14.11</v>
      </c>
      <c r="AE102" s="1314">
        <f t="shared" si="18"/>
        <v>6.6515495086923587E-2</v>
      </c>
      <c r="AG102" s="1326">
        <v>42104</v>
      </c>
      <c r="AH102" s="1314">
        <v>5.69</v>
      </c>
      <c r="AI102" s="1314">
        <f t="shared" si="19"/>
        <v>4.1171088746569176E-2</v>
      </c>
      <c r="AK102" s="1326">
        <v>42104</v>
      </c>
      <c r="AL102" s="1314">
        <v>-0.71</v>
      </c>
      <c r="AN102" s="1326">
        <v>42104</v>
      </c>
      <c r="AO102" s="1314">
        <v>-1.35</v>
      </c>
      <c r="AQ102" s="1326">
        <v>42104</v>
      </c>
      <c r="AR102" s="1327">
        <v>2.2799999999999998</v>
      </c>
      <c r="AT102" s="1326">
        <v>42104</v>
      </c>
      <c r="AU102" s="1314">
        <v>1259.328</v>
      </c>
      <c r="AV102" s="1314">
        <f t="shared" si="20"/>
        <v>1.0155879637465386E-2</v>
      </c>
      <c r="AX102" s="1314">
        <v>2.5790999999999999</v>
      </c>
      <c r="AY102" s="1314">
        <f t="shared" si="21"/>
        <v>2.3696118123362652E-2</v>
      </c>
    </row>
    <row r="103" spans="1:51" x14ac:dyDescent="0.75">
      <c r="A103" s="1326">
        <v>42097</v>
      </c>
      <c r="B103" s="1314">
        <v>1240.1030000000001</v>
      </c>
      <c r="C103" s="1314">
        <f t="shared" si="22"/>
        <v>-1.5266078416425195E-2</v>
      </c>
      <c r="E103" s="1326">
        <v>42097</v>
      </c>
      <c r="F103" s="1314">
        <v>12.34</v>
      </c>
      <c r="G103" s="1314">
        <f t="shared" si="12"/>
        <v>7.3469387755101924E-3</v>
      </c>
      <c r="I103" s="1326">
        <v>42097</v>
      </c>
      <c r="J103" s="1314">
        <v>12.61</v>
      </c>
      <c r="K103" s="1314">
        <f t="shared" si="13"/>
        <v>-8.1573197378004433E-2</v>
      </c>
      <c r="M103" s="1326">
        <v>42097</v>
      </c>
      <c r="N103" s="1314">
        <v>10.1</v>
      </c>
      <c r="O103" s="1314">
        <f t="shared" si="14"/>
        <v>-4.6270066100094452E-2</v>
      </c>
      <c r="Q103" s="1326">
        <v>42097</v>
      </c>
      <c r="R103" s="1314">
        <v>8.9</v>
      </c>
      <c r="S103" s="1314">
        <f t="shared" si="15"/>
        <v>2.6528258362168447E-2</v>
      </c>
      <c r="U103" s="1326">
        <v>42097</v>
      </c>
      <c r="V103" s="1314">
        <v>26.44</v>
      </c>
      <c r="W103" s="1314">
        <f t="shared" si="16"/>
        <v>-7.5585789871502544E-4</v>
      </c>
      <c r="Y103" s="1326">
        <v>42097</v>
      </c>
      <c r="Z103" s="1314">
        <v>13.87</v>
      </c>
      <c r="AA103" s="1314">
        <f t="shared" si="17"/>
        <v>2.167630057803422E-3</v>
      </c>
      <c r="AC103" s="1326">
        <v>42097</v>
      </c>
      <c r="AD103" s="1314">
        <v>13.86</v>
      </c>
      <c r="AE103" s="1314">
        <f t="shared" si="18"/>
        <v>-1.771793054571226E-2</v>
      </c>
      <c r="AG103" s="1326">
        <v>42097</v>
      </c>
      <c r="AH103" s="1314">
        <v>5.48</v>
      </c>
      <c r="AI103" s="1314">
        <f t="shared" si="19"/>
        <v>-3.6906854130052714E-2</v>
      </c>
      <c r="AK103" s="1326">
        <v>42097</v>
      </c>
      <c r="AL103" s="1314">
        <v>0.7</v>
      </c>
      <c r="AN103" s="1326">
        <v>42097</v>
      </c>
      <c r="AO103" s="1314">
        <v>1.06</v>
      </c>
      <c r="AQ103" s="1326">
        <v>42097</v>
      </c>
      <c r="AR103" s="1327">
        <v>2.2999999999999998</v>
      </c>
      <c r="AT103" s="1326">
        <v>42097</v>
      </c>
      <c r="AU103" s="1314">
        <v>1240.1030000000001</v>
      </c>
      <c r="AV103" s="1314">
        <f t="shared" si="20"/>
        <v>-1.5266078416425195E-2</v>
      </c>
      <c r="AX103" s="1314">
        <v>2.4857999999999998</v>
      </c>
      <c r="AY103" s="1314">
        <f t="shared" si="21"/>
        <v>-3.6175410026753584E-2</v>
      </c>
    </row>
    <row r="104" spans="1:51" x14ac:dyDescent="0.75">
      <c r="A104" s="1326">
        <v>42090</v>
      </c>
      <c r="B104" s="1314">
        <v>1234.874</v>
      </c>
      <c r="C104" s="1314">
        <f t="shared" si="22"/>
        <v>-4.216585235258718E-3</v>
      </c>
      <c r="E104" s="1326">
        <v>42090</v>
      </c>
      <c r="F104" s="1314">
        <v>11.8</v>
      </c>
      <c r="G104" s="1314">
        <f t="shared" si="12"/>
        <v>-4.3760129659643369E-2</v>
      </c>
      <c r="I104" s="1326">
        <v>42090</v>
      </c>
      <c r="J104" s="1314">
        <v>12.71</v>
      </c>
      <c r="K104" s="1314">
        <f t="shared" si="13"/>
        <v>7.9302141157812384E-3</v>
      </c>
      <c r="M104" s="1326">
        <v>42090</v>
      </c>
      <c r="N104" s="1314">
        <v>10.3</v>
      </c>
      <c r="O104" s="1314">
        <f t="shared" si="14"/>
        <v>1.980198019801991E-2</v>
      </c>
      <c r="Q104" s="1326">
        <v>42090</v>
      </c>
      <c r="R104" s="1314">
        <v>8.8000000000000007</v>
      </c>
      <c r="S104" s="1314">
        <f t="shared" si="15"/>
        <v>-1.1235955056179735E-2</v>
      </c>
      <c r="U104" s="1326">
        <v>42090</v>
      </c>
      <c r="V104" s="1314">
        <v>26.64</v>
      </c>
      <c r="W104" s="1314">
        <f t="shared" si="16"/>
        <v>7.564296520423573E-3</v>
      </c>
      <c r="Y104" s="1326">
        <v>42090</v>
      </c>
      <c r="Z104" s="1314">
        <v>13.41</v>
      </c>
      <c r="AA104" s="1314">
        <f t="shared" si="17"/>
        <v>-3.3165104542177297E-2</v>
      </c>
      <c r="AC104" s="1326">
        <v>42090</v>
      </c>
      <c r="AD104" s="1314">
        <v>14.36</v>
      </c>
      <c r="AE104" s="1314">
        <f t="shared" si="18"/>
        <v>3.6075036075036079E-2</v>
      </c>
      <c r="AG104" s="1326">
        <v>42090</v>
      </c>
      <c r="AH104" s="1314">
        <v>5.4</v>
      </c>
      <c r="AI104" s="1314">
        <f t="shared" si="19"/>
        <v>-1.4598540145985413E-2</v>
      </c>
      <c r="AK104" s="1326">
        <v>42090</v>
      </c>
      <c r="AL104" s="1314">
        <v>0.4</v>
      </c>
      <c r="AN104" s="1326">
        <v>42090</v>
      </c>
      <c r="AO104" s="1314">
        <v>0.24</v>
      </c>
      <c r="AQ104" s="1326">
        <v>42090</v>
      </c>
      <c r="AR104" s="1327">
        <v>2.31</v>
      </c>
      <c r="AT104" s="1326">
        <v>42090</v>
      </c>
      <c r="AU104" s="1314">
        <v>1234.874</v>
      </c>
      <c r="AV104" s="1314">
        <f t="shared" si="20"/>
        <v>-4.216585235258718E-3</v>
      </c>
      <c r="AX104" s="1314">
        <v>2.5404</v>
      </c>
      <c r="AY104" s="1314">
        <f t="shared" si="21"/>
        <v>2.1964759835867813E-2</v>
      </c>
    </row>
    <row r="105" spans="1:51" x14ac:dyDescent="0.75">
      <c r="A105" s="1326">
        <v>42083</v>
      </c>
      <c r="B105" s="1314">
        <v>1262.422</v>
      </c>
      <c r="C105" s="1314">
        <f t="shared" si="22"/>
        <v>2.2308348867981675E-2</v>
      </c>
      <c r="E105" s="1326">
        <v>42083</v>
      </c>
      <c r="F105" s="1314">
        <v>12.12</v>
      </c>
      <c r="G105" s="1314">
        <f t="shared" si="12"/>
        <v>2.7118644067796481E-2</v>
      </c>
      <c r="I105" s="1326">
        <v>42083</v>
      </c>
      <c r="J105" s="1314">
        <v>12.74</v>
      </c>
      <c r="K105" s="1314">
        <f t="shared" si="13"/>
        <v>2.3603461841069521E-3</v>
      </c>
      <c r="M105" s="1326">
        <v>42083</v>
      </c>
      <c r="N105" s="1314">
        <v>10.69</v>
      </c>
      <c r="O105" s="1314">
        <f t="shared" si="14"/>
        <v>3.7864077669902796E-2</v>
      </c>
      <c r="Q105" s="1326">
        <v>42083</v>
      </c>
      <c r="R105" s="1314">
        <v>8.9600000000000009</v>
      </c>
      <c r="S105" s="1314">
        <f t="shared" si="15"/>
        <v>1.8181818181818195E-2</v>
      </c>
      <c r="U105" s="1326">
        <v>42083</v>
      </c>
      <c r="V105" s="1314">
        <v>28.47</v>
      </c>
      <c r="W105" s="1314">
        <f t="shared" si="16"/>
        <v>6.869369369369363E-2</v>
      </c>
      <c r="Y105" s="1326">
        <v>42083</v>
      </c>
      <c r="Z105" s="1314">
        <v>13.94</v>
      </c>
      <c r="AA105" s="1314">
        <f t="shared" si="17"/>
        <v>3.9522744220730752E-2</v>
      </c>
      <c r="AC105" s="1326">
        <v>42083</v>
      </c>
      <c r="AD105" s="1314">
        <v>15.7</v>
      </c>
      <c r="AE105" s="1314">
        <f t="shared" si="18"/>
        <v>9.3314763231197764E-2</v>
      </c>
      <c r="AG105" s="1326">
        <v>42083</v>
      </c>
      <c r="AH105" s="1314">
        <v>5.41</v>
      </c>
      <c r="AI105" s="1314">
        <f t="shared" si="19"/>
        <v>1.8518518518518122E-3</v>
      </c>
      <c r="AK105" s="1326">
        <v>42083</v>
      </c>
      <c r="AL105" s="1314">
        <v>0.03</v>
      </c>
      <c r="AN105" s="1326">
        <v>42083</v>
      </c>
      <c r="AO105" s="1314">
        <v>-1.02</v>
      </c>
      <c r="AQ105" s="1326">
        <v>42083</v>
      </c>
      <c r="AR105" s="1327">
        <v>2.36</v>
      </c>
      <c r="AT105" s="1326">
        <v>42083</v>
      </c>
      <c r="AU105" s="1314">
        <v>1262.422</v>
      </c>
      <c r="AV105" s="1314">
        <f t="shared" si="20"/>
        <v>2.2308348867981675E-2</v>
      </c>
      <c r="AX105" s="1314">
        <v>2.5059</v>
      </c>
      <c r="AY105" s="1314">
        <f t="shared" si="21"/>
        <v>-1.358053849787434E-2</v>
      </c>
    </row>
    <row r="106" spans="1:51" x14ac:dyDescent="0.75">
      <c r="A106" s="1326">
        <v>42076</v>
      </c>
      <c r="B106" s="1314">
        <v>1229.1869999999999</v>
      </c>
      <c r="C106" s="1314">
        <f t="shared" si="22"/>
        <v>-2.6326378976285369E-2</v>
      </c>
      <c r="E106" s="1326">
        <v>42076</v>
      </c>
      <c r="F106" s="1314">
        <v>12.04</v>
      </c>
      <c r="G106" s="1314">
        <f t="shared" si="12"/>
        <v>-6.6006600660066068E-3</v>
      </c>
      <c r="I106" s="1326">
        <v>42076</v>
      </c>
      <c r="J106" s="1314">
        <v>12.43</v>
      </c>
      <c r="K106" s="1314">
        <f t="shared" si="13"/>
        <v>-2.4332810047095799E-2</v>
      </c>
      <c r="M106" s="1326">
        <v>42076</v>
      </c>
      <c r="N106" s="1314">
        <v>10.7</v>
      </c>
      <c r="O106" s="1314">
        <f t="shared" si="14"/>
        <v>9.3545369504207548E-4</v>
      </c>
      <c r="Q106" s="1326">
        <v>42076</v>
      </c>
      <c r="R106" s="1314">
        <v>8.9</v>
      </c>
      <c r="S106" s="1314">
        <f t="shared" si="15"/>
        <v>-6.6964285714286266E-3</v>
      </c>
      <c r="U106" s="1326">
        <v>42076</v>
      </c>
      <c r="V106" s="1314">
        <v>27.83</v>
      </c>
      <c r="W106" s="1314">
        <f t="shared" si="16"/>
        <v>-2.247980330172113E-2</v>
      </c>
      <c r="Y106" s="1326">
        <v>42076</v>
      </c>
      <c r="Z106" s="1314">
        <v>13.62</v>
      </c>
      <c r="AA106" s="1314">
        <f t="shared" si="17"/>
        <v>-2.295552367288381E-2</v>
      </c>
      <c r="AC106" s="1326">
        <v>42076</v>
      </c>
      <c r="AD106" s="1314">
        <v>15.95</v>
      </c>
      <c r="AE106" s="1314">
        <f t="shared" si="18"/>
        <v>1.5923566878980892E-2</v>
      </c>
      <c r="AG106" s="1326">
        <v>42076</v>
      </c>
      <c r="AH106" s="1314">
        <v>5.48</v>
      </c>
      <c r="AI106" s="1314">
        <f t="shared" si="19"/>
        <v>1.2939001848428888E-2</v>
      </c>
      <c r="AK106" s="1326">
        <v>42076</v>
      </c>
      <c r="AL106" s="1314">
        <v>1.68</v>
      </c>
      <c r="AN106" s="1326">
        <v>42076</v>
      </c>
      <c r="AO106" s="1314">
        <v>0.5</v>
      </c>
      <c r="AQ106" s="1326">
        <v>42076</v>
      </c>
      <c r="AR106" s="1327">
        <v>2.4300000000000002</v>
      </c>
      <c r="AT106" s="1326">
        <v>42076</v>
      </c>
      <c r="AU106" s="1314">
        <v>1229.1869999999999</v>
      </c>
      <c r="AV106" s="1314">
        <f t="shared" si="20"/>
        <v>-2.6326378976285369E-2</v>
      </c>
      <c r="AX106" s="1314">
        <v>2.6987000000000001</v>
      </c>
      <c r="AY106" s="1314">
        <f t="shared" si="21"/>
        <v>7.6938425316253667E-2</v>
      </c>
    </row>
    <row r="107" spans="1:51" x14ac:dyDescent="0.75">
      <c r="A107" s="1326">
        <v>42069</v>
      </c>
      <c r="B107" s="1314">
        <v>1236.3589999999999</v>
      </c>
      <c r="C107" s="1314">
        <f t="shared" si="22"/>
        <v>5.83475093700147E-3</v>
      </c>
      <c r="E107" s="1326">
        <v>42069</v>
      </c>
      <c r="F107" s="1314">
        <v>11.9</v>
      </c>
      <c r="G107" s="1314">
        <f t="shared" si="12"/>
        <v>-1.1627906976744087E-2</v>
      </c>
      <c r="I107" s="1326">
        <v>42069</v>
      </c>
      <c r="J107" s="1314">
        <v>12.25</v>
      </c>
      <c r="K107" s="1314">
        <f t="shared" si="13"/>
        <v>-1.4481094127111804E-2</v>
      </c>
      <c r="M107" s="1326">
        <v>42069</v>
      </c>
      <c r="N107" s="1314">
        <v>10.71</v>
      </c>
      <c r="O107" s="1314">
        <f t="shared" si="14"/>
        <v>9.3457943925248264E-4</v>
      </c>
      <c r="Q107" s="1326">
        <v>42069</v>
      </c>
      <c r="R107" s="1314">
        <v>8.77</v>
      </c>
      <c r="S107" s="1314">
        <f t="shared" si="15"/>
        <v>-1.4606741573033795E-2</v>
      </c>
      <c r="U107" s="1326">
        <v>42069</v>
      </c>
      <c r="V107" s="1314">
        <v>27.06</v>
      </c>
      <c r="W107" s="1314">
        <f t="shared" si="16"/>
        <v>-2.7667984189723306E-2</v>
      </c>
      <c r="Y107" s="1326">
        <v>42069</v>
      </c>
      <c r="Z107" s="1314">
        <v>14.2</v>
      </c>
      <c r="AA107" s="1314">
        <f t="shared" si="17"/>
        <v>4.2584434654919241E-2</v>
      </c>
      <c r="AC107" s="1326">
        <v>42069</v>
      </c>
      <c r="AD107" s="1314">
        <v>15.1</v>
      </c>
      <c r="AE107" s="1314">
        <f t="shared" si="18"/>
        <v>-5.329153605015672E-2</v>
      </c>
      <c r="AG107" s="1326">
        <v>42069</v>
      </c>
      <c r="AH107" s="1314">
        <v>5.47</v>
      </c>
      <c r="AI107" s="1314">
        <f t="shared" si="19"/>
        <v>-1.8248175182482983E-3</v>
      </c>
      <c r="AK107" s="1326">
        <v>42069</v>
      </c>
      <c r="AL107" s="1314">
        <v>0.59</v>
      </c>
      <c r="AN107" s="1326">
        <v>42069</v>
      </c>
      <c r="AO107" s="1314">
        <v>-0.53</v>
      </c>
      <c r="AQ107" s="1326">
        <v>42069</v>
      </c>
      <c r="AR107" s="1327">
        <v>2.42</v>
      </c>
      <c r="AT107" s="1326">
        <v>42069</v>
      </c>
      <c r="AU107" s="1314">
        <v>1236.3589999999999</v>
      </c>
      <c r="AV107" s="1314">
        <f t="shared" si="20"/>
        <v>5.83475093700147E-3</v>
      </c>
      <c r="AX107" s="1314">
        <v>2.8409</v>
      </c>
      <c r="AY107" s="1314">
        <f t="shared" si="21"/>
        <v>5.2692036906658718E-2</v>
      </c>
    </row>
    <row r="108" spans="1:51" x14ac:dyDescent="0.75">
      <c r="A108" s="1326">
        <v>42062</v>
      </c>
      <c r="B108" s="1314">
        <v>1255.07</v>
      </c>
      <c r="C108" s="1314">
        <f t="shared" si="22"/>
        <v>1.5133953811150333E-2</v>
      </c>
      <c r="E108" s="1326">
        <v>42062</v>
      </c>
      <c r="F108" s="1314">
        <v>11.97</v>
      </c>
      <c r="G108" s="1314">
        <f t="shared" si="12"/>
        <v>5.8823529411764939E-3</v>
      </c>
      <c r="I108" s="1326">
        <v>42062</v>
      </c>
      <c r="J108" s="1314">
        <v>12</v>
      </c>
      <c r="K108" s="1314">
        <f t="shared" si="13"/>
        <v>-2.0408163265306121E-2</v>
      </c>
      <c r="M108" s="1326">
        <v>42062</v>
      </c>
      <c r="N108" s="1314">
        <v>10.72</v>
      </c>
      <c r="O108" s="1314">
        <f t="shared" si="14"/>
        <v>9.3370681605973722E-4</v>
      </c>
      <c r="Q108" s="1326">
        <v>42062</v>
      </c>
      <c r="R108" s="1314">
        <v>8.8699999999999992</v>
      </c>
      <c r="S108" s="1314">
        <f t="shared" si="15"/>
        <v>1.1402508551881374E-2</v>
      </c>
      <c r="U108" s="1326">
        <v>42062</v>
      </c>
      <c r="V108" s="1314">
        <v>28.93</v>
      </c>
      <c r="W108" s="1314">
        <f t="shared" si="16"/>
        <v>6.9105691056910612E-2</v>
      </c>
      <c r="Y108" s="1326">
        <v>42062</v>
      </c>
      <c r="Z108" s="1314">
        <v>14.24</v>
      </c>
      <c r="AA108" s="1314">
        <f t="shared" si="17"/>
        <v>2.8169014084507694E-3</v>
      </c>
      <c r="AC108" s="1326">
        <v>42062</v>
      </c>
      <c r="AD108" s="1314">
        <v>14.75</v>
      </c>
      <c r="AE108" s="1314">
        <f t="shared" si="18"/>
        <v>-2.3178807947019844E-2</v>
      </c>
      <c r="AG108" s="1326">
        <v>42062</v>
      </c>
      <c r="AH108" s="1314">
        <v>5.41</v>
      </c>
      <c r="AI108" s="1314">
        <f t="shared" si="19"/>
        <v>-1.0968921389396638E-2</v>
      </c>
      <c r="AK108" s="1326">
        <v>42062</v>
      </c>
      <c r="AL108" s="1314">
        <v>0.65</v>
      </c>
      <c r="AN108" s="1326">
        <v>42062</v>
      </c>
      <c r="AO108" s="1314">
        <v>-0.46</v>
      </c>
      <c r="AQ108" s="1326">
        <v>42062</v>
      </c>
      <c r="AR108" s="1327">
        <v>2.33</v>
      </c>
      <c r="AT108" s="1326">
        <v>42062</v>
      </c>
      <c r="AU108" s="1314">
        <v>1255.07</v>
      </c>
      <c r="AV108" s="1314">
        <f t="shared" si="20"/>
        <v>1.5133953811150333E-2</v>
      </c>
      <c r="AX108" s="1314">
        <v>2.5903</v>
      </c>
      <c r="AY108" s="1314">
        <f t="shared" si="21"/>
        <v>-8.8211482276743261E-2</v>
      </c>
    </row>
    <row r="109" spans="1:51" x14ac:dyDescent="0.75">
      <c r="A109" s="1326">
        <v>42055</v>
      </c>
      <c r="B109" s="1314">
        <v>1258.68</v>
      </c>
      <c r="C109" s="1314">
        <f t="shared" si="22"/>
        <v>2.8763335909551876E-3</v>
      </c>
      <c r="E109" s="1326">
        <v>42055</v>
      </c>
      <c r="F109" s="1314">
        <v>12.14</v>
      </c>
      <c r="G109" s="1314">
        <f t="shared" si="12"/>
        <v>1.4202172096908933E-2</v>
      </c>
      <c r="I109" s="1326">
        <v>42055</v>
      </c>
      <c r="J109" s="1314">
        <v>12.06</v>
      </c>
      <c r="K109" s="1314">
        <f t="shared" si="13"/>
        <v>5.0000000000000417E-3</v>
      </c>
      <c r="M109" s="1326">
        <v>42055</v>
      </c>
      <c r="N109" s="1314">
        <v>10.59</v>
      </c>
      <c r="O109" s="1314">
        <f t="shared" si="14"/>
        <v>-1.2126865671641862E-2</v>
      </c>
      <c r="Q109" s="1326">
        <v>42055</v>
      </c>
      <c r="R109" s="1314">
        <v>8.7899999999999991</v>
      </c>
      <c r="S109" s="1314">
        <f t="shared" si="15"/>
        <v>-9.019165727170245E-3</v>
      </c>
      <c r="U109" s="1326">
        <v>42055</v>
      </c>
      <c r="V109" s="1314">
        <v>27.58</v>
      </c>
      <c r="W109" s="1314">
        <f t="shared" si="16"/>
        <v>-4.6664362253715917E-2</v>
      </c>
      <c r="Y109" s="1326">
        <v>42055</v>
      </c>
      <c r="Z109" s="1314">
        <v>14.32</v>
      </c>
      <c r="AA109" s="1314">
        <f t="shared" si="17"/>
        <v>5.6179775280898927E-3</v>
      </c>
      <c r="AC109" s="1326">
        <v>42055</v>
      </c>
      <c r="AD109" s="1314">
        <v>14.95</v>
      </c>
      <c r="AE109" s="1314">
        <f t="shared" si="18"/>
        <v>1.3559322033898256E-2</v>
      </c>
      <c r="AG109" s="1326">
        <v>42055</v>
      </c>
      <c r="AH109" s="1314">
        <v>5.5</v>
      </c>
      <c r="AI109" s="1314">
        <f t="shared" si="19"/>
        <v>1.6635859519408477E-2</v>
      </c>
      <c r="AK109" s="1326">
        <v>42055</v>
      </c>
      <c r="AL109" s="1314">
        <v>0.15</v>
      </c>
      <c r="AN109" s="1326">
        <v>42055</v>
      </c>
      <c r="AO109" s="1314">
        <v>-1.41</v>
      </c>
      <c r="AQ109" s="1326">
        <v>42055</v>
      </c>
      <c r="AR109" s="1327">
        <v>2.42</v>
      </c>
      <c r="AT109" s="1326">
        <v>42055</v>
      </c>
      <c r="AU109" s="1314">
        <v>1258.68</v>
      </c>
      <c r="AV109" s="1314">
        <f t="shared" si="20"/>
        <v>2.8763335909551876E-3</v>
      </c>
      <c r="AX109" s="1314">
        <v>2.7141999999999999</v>
      </c>
      <c r="AY109" s="1314">
        <f t="shared" si="21"/>
        <v>4.7832297417287534E-2</v>
      </c>
    </row>
    <row r="110" spans="1:51" x14ac:dyDescent="0.75">
      <c r="A110" s="1326">
        <v>42048</v>
      </c>
      <c r="B110" s="1314">
        <v>1249.759</v>
      </c>
      <c r="C110" s="1314">
        <f t="shared" si="22"/>
        <v>-7.0875838179680689E-3</v>
      </c>
      <c r="E110" s="1326">
        <v>42048</v>
      </c>
      <c r="F110" s="1314">
        <v>11.92</v>
      </c>
      <c r="G110" s="1314">
        <f t="shared" si="12"/>
        <v>-1.812191103789132E-2</v>
      </c>
      <c r="I110" s="1326">
        <v>42048</v>
      </c>
      <c r="J110" s="1314">
        <v>12.12</v>
      </c>
      <c r="K110" s="1314">
        <f t="shared" si="13"/>
        <v>4.9751243781093468E-3</v>
      </c>
      <c r="M110" s="1326">
        <v>42048</v>
      </c>
      <c r="N110" s="1314">
        <v>10.75</v>
      </c>
      <c r="O110" s="1314">
        <f t="shared" si="14"/>
        <v>1.5108593012275745E-2</v>
      </c>
      <c r="Q110" s="1326">
        <v>42048</v>
      </c>
      <c r="R110" s="1314">
        <v>9.0500000000000007</v>
      </c>
      <c r="S110" s="1314">
        <f t="shared" si="15"/>
        <v>2.9579067121729419E-2</v>
      </c>
      <c r="U110" s="1326">
        <v>42048</v>
      </c>
      <c r="V110" s="1314">
        <v>27.12</v>
      </c>
      <c r="W110" s="1314">
        <f t="shared" si="16"/>
        <v>-1.6678752719361759E-2</v>
      </c>
      <c r="Y110" s="1326">
        <v>42048</v>
      </c>
      <c r="Z110" s="1314">
        <v>14.23</v>
      </c>
      <c r="AA110" s="1314">
        <f t="shared" si="17"/>
        <v>-6.2849162011173083E-3</v>
      </c>
      <c r="AC110" s="1326">
        <v>42048</v>
      </c>
      <c r="AD110" s="1314">
        <v>14.76</v>
      </c>
      <c r="AE110" s="1314">
        <f t="shared" si="18"/>
        <v>-1.2709030100334416E-2</v>
      </c>
      <c r="AG110" s="1326">
        <v>42048</v>
      </c>
      <c r="AH110" s="1314">
        <v>5.4</v>
      </c>
      <c r="AI110" s="1314">
        <f t="shared" si="19"/>
        <v>-1.8181818181818118E-2</v>
      </c>
      <c r="AK110" s="1326">
        <v>42048</v>
      </c>
      <c r="AL110" s="1314">
        <v>-0.45</v>
      </c>
      <c r="AN110" s="1326">
        <v>42048</v>
      </c>
      <c r="AO110" s="1314">
        <v>-1.29</v>
      </c>
      <c r="AQ110" s="1326">
        <v>42048</v>
      </c>
      <c r="AR110" s="1327">
        <v>2.38</v>
      </c>
      <c r="AT110" s="1326">
        <v>42048</v>
      </c>
      <c r="AU110" s="1314">
        <v>1249.759</v>
      </c>
      <c r="AV110" s="1314">
        <f t="shared" si="20"/>
        <v>-7.0875838179680689E-3</v>
      </c>
      <c r="AX110" s="1314">
        <v>2.6478000000000002</v>
      </c>
      <c r="AY110" s="1314">
        <f t="shared" si="21"/>
        <v>-2.4463930439908552E-2</v>
      </c>
    </row>
    <row r="111" spans="1:51" x14ac:dyDescent="0.75">
      <c r="A111" s="1326">
        <v>42041</v>
      </c>
      <c r="B111" s="1314">
        <v>1225.443</v>
      </c>
      <c r="C111" s="1314">
        <f t="shared" si="22"/>
        <v>-1.9456551223075835E-2</v>
      </c>
      <c r="E111" s="1326">
        <v>42041</v>
      </c>
      <c r="F111" s="1314">
        <v>12</v>
      </c>
      <c r="G111" s="1314">
        <f t="shared" si="12"/>
        <v>6.7114093959731603E-3</v>
      </c>
      <c r="I111" s="1326">
        <v>42041</v>
      </c>
      <c r="J111" s="1314">
        <v>11.635</v>
      </c>
      <c r="K111" s="1314">
        <f t="shared" si="13"/>
        <v>-4.0016501650164973E-2</v>
      </c>
      <c r="M111" s="1326">
        <v>42041</v>
      </c>
      <c r="N111" s="1314">
        <v>10.64</v>
      </c>
      <c r="O111" s="1314">
        <f t="shared" si="14"/>
        <v>-1.0232558139534831E-2</v>
      </c>
      <c r="Q111" s="1326">
        <v>42041</v>
      </c>
      <c r="R111" s="1314">
        <v>8.9</v>
      </c>
      <c r="S111" s="1314">
        <f t="shared" si="15"/>
        <v>-1.6574585635359153E-2</v>
      </c>
      <c r="U111" s="1326">
        <v>42041</v>
      </c>
      <c r="V111" s="1314">
        <v>26.89</v>
      </c>
      <c r="W111" s="1314">
        <f t="shared" si="16"/>
        <v>-8.4808259587020804E-3</v>
      </c>
      <c r="Y111" s="1326">
        <v>42041</v>
      </c>
      <c r="Z111" s="1314">
        <v>13.63</v>
      </c>
      <c r="AA111" s="1314">
        <f t="shared" si="17"/>
        <v>-4.216444132115247E-2</v>
      </c>
      <c r="AC111" s="1326">
        <v>42041</v>
      </c>
      <c r="AD111" s="1314">
        <v>14.67</v>
      </c>
      <c r="AE111" s="1314">
        <f t="shared" si="18"/>
        <v>-6.0975609756097468E-3</v>
      </c>
      <c r="AG111" s="1326">
        <v>42041</v>
      </c>
      <c r="AH111" s="1314">
        <v>5.23</v>
      </c>
      <c r="AI111" s="1314">
        <f t="shared" si="19"/>
        <v>-3.1481481481481464E-2</v>
      </c>
      <c r="AK111" s="1326">
        <v>42041</v>
      </c>
      <c r="AL111" s="1314">
        <v>0.19</v>
      </c>
      <c r="AN111" s="1326">
        <v>42041</v>
      </c>
      <c r="AO111" s="1314">
        <v>1.55</v>
      </c>
      <c r="AQ111" s="1326">
        <v>42041</v>
      </c>
      <c r="AR111" s="1327">
        <v>2.2400000000000002</v>
      </c>
      <c r="AT111" s="1326">
        <v>42041</v>
      </c>
      <c r="AU111" s="1314">
        <v>1225.443</v>
      </c>
      <c r="AV111" s="1314">
        <f t="shared" si="20"/>
        <v>-1.9456551223075835E-2</v>
      </c>
      <c r="AX111" s="1314">
        <v>2.5287000000000002</v>
      </c>
      <c r="AY111" s="1314">
        <f t="shared" si="21"/>
        <v>-4.4980738726489909E-2</v>
      </c>
    </row>
    <row r="112" spans="1:51" x14ac:dyDescent="0.75">
      <c r="A112" s="1326">
        <v>42034</v>
      </c>
      <c r="B112" s="1314">
        <v>1188.932</v>
      </c>
      <c r="C112" s="1314">
        <f t="shared" si="22"/>
        <v>-2.9794123431281558E-2</v>
      </c>
      <c r="E112" s="1326">
        <v>42034</v>
      </c>
      <c r="F112" s="1314">
        <v>11.3</v>
      </c>
      <c r="G112" s="1314">
        <f t="shared" si="12"/>
        <v>-5.8333333333333272E-2</v>
      </c>
      <c r="I112" s="1326">
        <v>42034</v>
      </c>
      <c r="J112" s="1314">
        <v>11.25</v>
      </c>
      <c r="K112" s="1314">
        <f t="shared" si="13"/>
        <v>-3.3089815212720225E-2</v>
      </c>
      <c r="M112" s="1326">
        <v>42034</v>
      </c>
      <c r="N112" s="1314">
        <v>9.02</v>
      </c>
      <c r="O112" s="1314">
        <f t="shared" si="14"/>
        <v>-0.15225563909774445</v>
      </c>
      <c r="Q112" s="1326">
        <v>42034</v>
      </c>
      <c r="R112" s="1314">
        <v>8.77</v>
      </c>
      <c r="S112" s="1314">
        <f t="shared" si="15"/>
        <v>-1.4606741573033795E-2</v>
      </c>
      <c r="U112" s="1326">
        <v>42034</v>
      </c>
      <c r="V112" s="1314">
        <v>25.46</v>
      </c>
      <c r="W112" s="1314">
        <f t="shared" si="16"/>
        <v>-5.3179620676831525E-2</v>
      </c>
      <c r="Y112" s="1326">
        <v>42034</v>
      </c>
      <c r="Z112" s="1314">
        <v>13.62</v>
      </c>
      <c r="AA112" s="1314">
        <f t="shared" si="17"/>
        <v>-7.3367571533393709E-4</v>
      </c>
      <c r="AC112" s="1326">
        <v>42034</v>
      </c>
      <c r="AD112" s="1314">
        <v>14.73</v>
      </c>
      <c r="AE112" s="1314">
        <f t="shared" si="18"/>
        <v>4.0899795501022837E-3</v>
      </c>
      <c r="AG112" s="1326">
        <v>42034</v>
      </c>
      <c r="AH112" s="1314">
        <v>5.17</v>
      </c>
      <c r="AI112" s="1314">
        <f t="shared" si="19"/>
        <v>-1.1472275334608125E-2</v>
      </c>
      <c r="AK112" s="1326">
        <v>42034</v>
      </c>
      <c r="AL112" s="1314">
        <v>0.6</v>
      </c>
      <c r="AN112" s="1326">
        <v>42034</v>
      </c>
      <c r="AO112" s="1314">
        <v>-0.55000000000000004</v>
      </c>
      <c r="AQ112" s="1326">
        <v>42034</v>
      </c>
      <c r="AR112" s="1327">
        <v>2.2200000000000002</v>
      </c>
      <c r="AT112" s="1326">
        <v>42034</v>
      </c>
      <c r="AU112" s="1314">
        <v>1188.932</v>
      </c>
      <c r="AV112" s="1314">
        <f t="shared" si="20"/>
        <v>-2.9794123431281558E-2</v>
      </c>
      <c r="AX112" s="1314">
        <v>2.2222</v>
      </c>
      <c r="AY112" s="1314">
        <f t="shared" si="21"/>
        <v>-0.12120852612014087</v>
      </c>
    </row>
    <row r="113" spans="1:51" x14ac:dyDescent="0.75">
      <c r="A113" s="1326">
        <v>42027</v>
      </c>
      <c r="B113" s="1314">
        <v>1220.2149999999999</v>
      </c>
      <c r="C113" s="1314">
        <f t="shared" si="22"/>
        <v>2.6311849626387298E-2</v>
      </c>
      <c r="E113" s="1326">
        <v>42027</v>
      </c>
      <c r="F113" s="1314">
        <v>11.51</v>
      </c>
      <c r="G113" s="1314">
        <f t="shared" si="12"/>
        <v>1.8584070796460093E-2</v>
      </c>
      <c r="I113" s="1326">
        <v>42027</v>
      </c>
      <c r="J113" s="1314">
        <v>10.63</v>
      </c>
      <c r="K113" s="1314">
        <f t="shared" si="13"/>
        <v>-5.5111111111111041E-2</v>
      </c>
      <c r="M113" s="1326">
        <v>42027</v>
      </c>
      <c r="N113" s="1314">
        <v>9.7100000000000009</v>
      </c>
      <c r="O113" s="1314">
        <f t="shared" si="14"/>
        <v>7.6496674057649816E-2</v>
      </c>
      <c r="Q113" s="1326">
        <v>42027</v>
      </c>
      <c r="R113" s="1314">
        <v>9.02</v>
      </c>
      <c r="S113" s="1314">
        <f t="shared" si="15"/>
        <v>2.8506271379703536E-2</v>
      </c>
      <c r="U113" s="1326">
        <v>42027</v>
      </c>
      <c r="V113" s="1314">
        <v>27.07</v>
      </c>
      <c r="W113" s="1314">
        <f t="shared" si="16"/>
        <v>6.3236449332285921E-2</v>
      </c>
      <c r="Y113" s="1326">
        <v>42027</v>
      </c>
      <c r="Z113" s="1314">
        <v>13.41</v>
      </c>
      <c r="AA113" s="1314">
        <f t="shared" si="17"/>
        <v>-1.5418502202643104E-2</v>
      </c>
      <c r="AC113" s="1326">
        <v>42027</v>
      </c>
      <c r="AD113" s="1314">
        <v>15.26</v>
      </c>
      <c r="AE113" s="1314">
        <f t="shared" si="18"/>
        <v>3.5980991174473821E-2</v>
      </c>
      <c r="AG113" s="1326">
        <v>42027</v>
      </c>
      <c r="AH113" s="1314">
        <v>5.18</v>
      </c>
      <c r="AI113" s="1314">
        <f t="shared" si="19"/>
        <v>1.9342359767891271E-3</v>
      </c>
      <c r="AK113" s="1326">
        <v>42027</v>
      </c>
      <c r="AL113" s="1314">
        <v>-0.69</v>
      </c>
      <c r="AN113" s="1326">
        <v>42027</v>
      </c>
      <c r="AO113" s="1314">
        <v>-0.42</v>
      </c>
      <c r="AQ113" s="1326">
        <v>42027</v>
      </c>
      <c r="AR113" s="1327">
        <v>2.29</v>
      </c>
      <c r="AT113" s="1326">
        <v>42027</v>
      </c>
      <c r="AU113" s="1314">
        <v>1220.2149999999999</v>
      </c>
      <c r="AV113" s="1314">
        <f t="shared" si="20"/>
        <v>2.6311849626387298E-2</v>
      </c>
      <c r="AX113" s="1314">
        <v>2.3734999999999999</v>
      </c>
      <c r="AY113" s="1314">
        <f t="shared" si="21"/>
        <v>6.8085680856808564E-2</v>
      </c>
    </row>
    <row r="114" spans="1:51" x14ac:dyDescent="0.75">
      <c r="A114" s="1326">
        <v>42020</v>
      </c>
      <c r="B114" s="1314">
        <v>1200.93</v>
      </c>
      <c r="C114" s="1314">
        <f t="shared" si="22"/>
        <v>-1.5804591813737626E-2</v>
      </c>
      <c r="E114" s="1326">
        <v>42020</v>
      </c>
      <c r="F114" s="1314">
        <v>12.03</v>
      </c>
      <c r="G114" s="1314">
        <f t="shared" si="12"/>
        <v>4.5178105994787103E-2</v>
      </c>
      <c r="I114" s="1326">
        <v>42020</v>
      </c>
      <c r="J114" s="1314">
        <v>10.28</v>
      </c>
      <c r="K114" s="1314">
        <f t="shared" si="13"/>
        <v>-3.2925682031985079E-2</v>
      </c>
      <c r="M114" s="1326">
        <v>42020</v>
      </c>
      <c r="N114" s="1314">
        <v>9.5399999999999991</v>
      </c>
      <c r="O114" s="1314">
        <f t="shared" si="14"/>
        <v>-1.7507723995880711E-2</v>
      </c>
      <c r="Q114" s="1326">
        <v>42020</v>
      </c>
      <c r="R114" s="1314">
        <v>8.94</v>
      </c>
      <c r="S114" s="1314">
        <f t="shared" si="15"/>
        <v>-8.8691796008869266E-3</v>
      </c>
      <c r="U114" s="1326">
        <v>42020</v>
      </c>
      <c r="V114" s="1314">
        <v>26.26</v>
      </c>
      <c r="W114" s="1314">
        <f t="shared" si="16"/>
        <v>-2.9922423346878415E-2</v>
      </c>
      <c r="Y114" s="1326">
        <v>42020</v>
      </c>
      <c r="Z114" s="1314">
        <v>13.36</v>
      </c>
      <c r="AA114" s="1314">
        <f t="shared" si="17"/>
        <v>-3.7285607755406943E-3</v>
      </c>
      <c r="AC114" s="1326">
        <v>42020</v>
      </c>
      <c r="AD114" s="1314">
        <v>13.99</v>
      </c>
      <c r="AE114" s="1314">
        <f t="shared" si="18"/>
        <v>-8.3224115334207052E-2</v>
      </c>
      <c r="AG114" s="1326">
        <v>42020</v>
      </c>
      <c r="AH114" s="1314">
        <v>5.19</v>
      </c>
      <c r="AI114" s="1314">
        <f t="shared" si="19"/>
        <v>1.9305019305020609E-3</v>
      </c>
      <c r="AK114" s="1326">
        <v>42020</v>
      </c>
      <c r="AL114" s="1314">
        <v>0.43</v>
      </c>
      <c r="AN114" s="1326">
        <v>42020</v>
      </c>
      <c r="AO114" s="1314">
        <v>-0.3</v>
      </c>
      <c r="AQ114" s="1326">
        <v>42020</v>
      </c>
      <c r="AR114" s="1327">
        <v>2.29</v>
      </c>
      <c r="AT114" s="1326">
        <v>42020</v>
      </c>
      <c r="AU114" s="1314">
        <v>1200.93</v>
      </c>
      <c r="AV114" s="1314">
        <f t="shared" si="20"/>
        <v>-1.5804591813737626E-2</v>
      </c>
      <c r="AX114" s="1314">
        <v>2.4531000000000001</v>
      </c>
      <c r="AY114" s="1314">
        <f t="shared" si="21"/>
        <v>3.3536970718348477E-2</v>
      </c>
    </row>
    <row r="115" spans="1:51" x14ac:dyDescent="0.75">
      <c r="A115" s="1326">
        <v>42013</v>
      </c>
      <c r="B115" s="1314">
        <v>1215.068</v>
      </c>
      <c r="C115" s="1314">
        <f t="shared" si="22"/>
        <v>1.177254294588354E-2</v>
      </c>
      <c r="E115" s="1326">
        <v>42013</v>
      </c>
      <c r="F115" s="1314">
        <v>12.43</v>
      </c>
      <c r="G115" s="1314">
        <f t="shared" si="12"/>
        <v>3.3250207813798865E-2</v>
      </c>
      <c r="I115" s="1326">
        <v>42013</v>
      </c>
      <c r="J115" s="1314">
        <v>11.27</v>
      </c>
      <c r="K115" s="1314">
        <f t="shared" si="13"/>
        <v>9.6303501945525324E-2</v>
      </c>
      <c r="M115" s="1326">
        <v>42013</v>
      </c>
      <c r="N115" s="1314">
        <v>9.76</v>
      </c>
      <c r="O115" s="1314">
        <f t="shared" si="14"/>
        <v>2.3060796645702375E-2</v>
      </c>
      <c r="Q115" s="1326">
        <v>42013</v>
      </c>
      <c r="R115" s="1314">
        <v>9.07</v>
      </c>
      <c r="S115" s="1314">
        <f t="shared" si="15"/>
        <v>1.4541387024608589E-2</v>
      </c>
      <c r="U115" s="1326">
        <v>42013</v>
      </c>
      <c r="V115" s="1314">
        <v>27.18</v>
      </c>
      <c r="W115" s="1314">
        <f t="shared" si="16"/>
        <v>3.5034272658034965E-2</v>
      </c>
      <c r="Y115" s="1326">
        <v>42013</v>
      </c>
      <c r="Z115" s="1314">
        <v>13.71</v>
      </c>
      <c r="AA115" s="1314">
        <f t="shared" si="17"/>
        <v>2.6197604790419268E-2</v>
      </c>
      <c r="AC115" s="1326">
        <v>42013</v>
      </c>
      <c r="AD115" s="1314">
        <v>15.04</v>
      </c>
      <c r="AE115" s="1314">
        <f t="shared" si="18"/>
        <v>7.5053609721229375E-2</v>
      </c>
      <c r="AG115" s="1326">
        <v>42013</v>
      </c>
      <c r="AH115" s="1314">
        <v>5.33</v>
      </c>
      <c r="AI115" s="1314">
        <f t="shared" si="19"/>
        <v>2.6974951830443097E-2</v>
      </c>
      <c r="AK115" s="1326">
        <v>42013</v>
      </c>
      <c r="AL115" s="1314">
        <v>-0.36</v>
      </c>
      <c r="AN115" s="1326">
        <v>42013</v>
      </c>
      <c r="AO115" s="1314">
        <v>-2.31</v>
      </c>
      <c r="AQ115" s="1326">
        <v>42013</v>
      </c>
      <c r="AR115" s="1327">
        <v>2.4</v>
      </c>
      <c r="AT115" s="1326">
        <v>42013</v>
      </c>
      <c r="AU115" s="1314">
        <v>1215.068</v>
      </c>
      <c r="AV115" s="1314">
        <f t="shared" si="20"/>
        <v>1.177254294588354E-2</v>
      </c>
      <c r="AX115" s="1314">
        <v>2.5280999999999998</v>
      </c>
      <c r="AY115" s="1314">
        <f t="shared" si="21"/>
        <v>3.0573559985324582E-2</v>
      </c>
    </row>
    <row r="116" spans="1:51" x14ac:dyDescent="0.75">
      <c r="A116" s="1326">
        <v>42006</v>
      </c>
      <c r="B116" s="1314">
        <v>1223.297</v>
      </c>
      <c r="C116" s="1314">
        <f t="shared" si="22"/>
        <v>6.7724604713481403E-3</v>
      </c>
      <c r="E116" s="1326">
        <v>42006</v>
      </c>
      <c r="F116" s="1314">
        <v>12</v>
      </c>
      <c r="G116" s="1314">
        <f t="shared" si="12"/>
        <v>-3.4593724859211562E-2</v>
      </c>
      <c r="I116" s="1326">
        <v>42006</v>
      </c>
      <c r="J116" s="1314">
        <v>11.46</v>
      </c>
      <c r="K116" s="1314">
        <f t="shared" si="13"/>
        <v>1.6858917480035606E-2</v>
      </c>
      <c r="M116" s="1326">
        <v>42006</v>
      </c>
      <c r="N116" s="1314">
        <v>9.99</v>
      </c>
      <c r="O116" s="1314">
        <f t="shared" si="14"/>
        <v>2.3565573770491847E-2</v>
      </c>
      <c r="Q116" s="1326">
        <v>42006</v>
      </c>
      <c r="R116" s="1314">
        <v>8.84</v>
      </c>
      <c r="S116" s="1314">
        <f t="shared" si="15"/>
        <v>-2.5358324145534777E-2</v>
      </c>
      <c r="U116" s="1326">
        <v>42006</v>
      </c>
      <c r="V116" s="1314">
        <v>28.06</v>
      </c>
      <c r="W116" s="1314">
        <f t="shared" si="16"/>
        <v>3.237674760853565E-2</v>
      </c>
      <c r="Y116" s="1326">
        <v>42006</v>
      </c>
      <c r="Z116" s="1314">
        <v>14.09</v>
      </c>
      <c r="AA116" s="1314">
        <f t="shared" si="17"/>
        <v>2.771699489423771E-2</v>
      </c>
      <c r="AC116" s="1326">
        <v>42006</v>
      </c>
      <c r="AD116" s="1314">
        <v>14.46</v>
      </c>
      <c r="AE116" s="1314">
        <f t="shared" si="18"/>
        <v>-3.8563829787233932E-2</v>
      </c>
      <c r="AG116" s="1326">
        <v>42006</v>
      </c>
      <c r="AH116" s="1314">
        <v>5.28</v>
      </c>
      <c r="AI116" s="1314">
        <f t="shared" si="19"/>
        <v>-9.3808630393995909E-3</v>
      </c>
      <c r="AK116" s="1326">
        <v>42006</v>
      </c>
      <c r="AL116" s="1314">
        <v>0.1</v>
      </c>
      <c r="AN116" s="1326">
        <v>42006</v>
      </c>
      <c r="AO116" s="1314">
        <v>0.56000000000000005</v>
      </c>
      <c r="AQ116" s="1326">
        <v>42006</v>
      </c>
      <c r="AR116" s="1327">
        <v>2.52</v>
      </c>
      <c r="AT116" s="1326">
        <v>42006</v>
      </c>
      <c r="AU116" s="1314">
        <v>1223.297</v>
      </c>
      <c r="AV116" s="1314">
        <f t="shared" si="20"/>
        <v>6.7724604713481403E-3</v>
      </c>
      <c r="AX116" s="1314">
        <v>2.6880000000000002</v>
      </c>
      <c r="AY116" s="1314">
        <f t="shared" si="21"/>
        <v>6.324908033701214E-2</v>
      </c>
    </row>
    <row r="117" spans="1:51" x14ac:dyDescent="0.75">
      <c r="A117" s="1326">
        <v>41999</v>
      </c>
      <c r="B117" s="1314">
        <v>1240.5309999999999</v>
      </c>
      <c r="C117" s="1314">
        <f t="shared" si="22"/>
        <v>1.40881568417154E-2</v>
      </c>
      <c r="E117" s="1326">
        <v>41999</v>
      </c>
      <c r="F117" s="1314">
        <v>12.43</v>
      </c>
      <c r="G117" s="1314">
        <f t="shared" si="12"/>
        <v>3.5833333333333307E-2</v>
      </c>
      <c r="I117" s="1326">
        <v>41999</v>
      </c>
      <c r="J117" s="1314">
        <v>11.6</v>
      </c>
      <c r="K117" s="1314">
        <f t="shared" si="13"/>
        <v>1.2216404886561848E-2</v>
      </c>
      <c r="M117" s="1326">
        <v>41999</v>
      </c>
      <c r="N117" s="1314">
        <v>10.29</v>
      </c>
      <c r="O117" s="1314">
        <f t="shared" si="14"/>
        <v>3.0030030030029922E-2</v>
      </c>
      <c r="Q117" s="1326">
        <v>41999</v>
      </c>
      <c r="R117" s="1314">
        <v>9.1999999999999993</v>
      </c>
      <c r="S117" s="1314">
        <f t="shared" si="15"/>
        <v>4.0723981900452427E-2</v>
      </c>
      <c r="U117" s="1326">
        <v>41999</v>
      </c>
      <c r="V117" s="1314">
        <v>27.88</v>
      </c>
      <c r="W117" s="1314">
        <f t="shared" si="16"/>
        <v>-6.4148253741981368E-3</v>
      </c>
      <c r="Y117" s="1326">
        <v>41999</v>
      </c>
      <c r="Z117" s="1314">
        <v>14.38</v>
      </c>
      <c r="AA117" s="1314">
        <f t="shared" si="17"/>
        <v>2.0581973030518164E-2</v>
      </c>
      <c r="AC117" s="1326">
        <v>41999</v>
      </c>
      <c r="AD117" s="1314">
        <v>14.6</v>
      </c>
      <c r="AE117" s="1314">
        <f t="shared" si="18"/>
        <v>9.6818810511755723E-3</v>
      </c>
      <c r="AG117" s="1326">
        <v>41999</v>
      </c>
      <c r="AH117" s="1314">
        <v>5.4</v>
      </c>
      <c r="AI117" s="1314">
        <f t="shared" si="19"/>
        <v>2.2727272727272745E-2</v>
      </c>
      <c r="AK117" s="1326">
        <v>41999</v>
      </c>
      <c r="AL117" s="1314">
        <v>0.64</v>
      </c>
      <c r="AN117" s="1326">
        <v>41999</v>
      </c>
      <c r="AO117" s="1314">
        <v>0.54</v>
      </c>
      <c r="AQ117" s="1326">
        <v>41999</v>
      </c>
      <c r="AR117" s="1327">
        <v>2.57</v>
      </c>
      <c r="AT117" s="1326">
        <v>41999</v>
      </c>
      <c r="AU117" s="1314">
        <v>1240.5309999999999</v>
      </c>
      <c r="AV117" s="1314">
        <f t="shared" si="20"/>
        <v>1.40881568417154E-2</v>
      </c>
      <c r="AX117" s="1314">
        <v>2.8165</v>
      </c>
      <c r="AY117" s="1314">
        <f t="shared" si="21"/>
        <v>4.7805059523809458E-2</v>
      </c>
    </row>
    <row r="118" spans="1:51" x14ac:dyDescent="0.75">
      <c r="A118" s="1326">
        <v>41992</v>
      </c>
      <c r="B118" s="1314">
        <v>1228.557</v>
      </c>
      <c r="C118" s="1314">
        <f t="shared" si="22"/>
        <v>-9.6523182411402328E-3</v>
      </c>
      <c r="E118" s="1326">
        <v>41992</v>
      </c>
      <c r="F118" s="1314">
        <v>11.97</v>
      </c>
      <c r="G118" s="1314">
        <f t="shared" si="12"/>
        <v>-3.7007240547063482E-2</v>
      </c>
      <c r="I118" s="1326">
        <v>41992</v>
      </c>
      <c r="J118" s="1314">
        <v>11.45</v>
      </c>
      <c r="K118" s="1314">
        <f t="shared" si="13"/>
        <v>-1.2931034482758652E-2</v>
      </c>
      <c r="M118" s="1326">
        <v>41992</v>
      </c>
      <c r="N118" s="1314">
        <v>10.02</v>
      </c>
      <c r="O118" s="1314">
        <f t="shared" si="14"/>
        <v>-2.6239067055393545E-2</v>
      </c>
      <c r="Q118" s="1326">
        <v>41992</v>
      </c>
      <c r="R118" s="1314">
        <v>9.18</v>
      </c>
      <c r="S118" s="1314">
        <f t="shared" si="15"/>
        <v>-2.1739130434782145E-3</v>
      </c>
      <c r="U118" s="1326">
        <v>41992</v>
      </c>
      <c r="V118" s="1314">
        <v>27.29</v>
      </c>
      <c r="W118" s="1314">
        <f t="shared" si="16"/>
        <v>-2.1162123385939736E-2</v>
      </c>
      <c r="Y118" s="1326">
        <v>41992</v>
      </c>
      <c r="Z118" s="1314">
        <v>14.12</v>
      </c>
      <c r="AA118" s="1314">
        <f t="shared" si="17"/>
        <v>-1.8080667593880499E-2</v>
      </c>
      <c r="AC118" s="1326">
        <v>41992</v>
      </c>
      <c r="AD118" s="1314">
        <v>14.33</v>
      </c>
      <c r="AE118" s="1314">
        <f t="shared" si="18"/>
        <v>-1.8493150684931479E-2</v>
      </c>
      <c r="AG118" s="1326">
        <v>41992</v>
      </c>
      <c r="AH118" s="1314">
        <v>5.33</v>
      </c>
      <c r="AI118" s="1314">
        <f t="shared" si="19"/>
        <v>-1.2962962962963015E-2</v>
      </c>
      <c r="AK118" s="1326">
        <v>41992</v>
      </c>
      <c r="AL118" s="1314">
        <v>0.14000000000000001</v>
      </c>
      <c r="AN118" s="1326">
        <v>41992</v>
      </c>
      <c r="AO118" s="1314">
        <v>0.56000000000000005</v>
      </c>
      <c r="AQ118" s="1326">
        <v>41992</v>
      </c>
      <c r="AR118" s="1327">
        <v>2.5099999999999998</v>
      </c>
      <c r="AT118" s="1326">
        <v>41992</v>
      </c>
      <c r="AU118" s="1314">
        <v>1228.557</v>
      </c>
      <c r="AV118" s="1314">
        <f t="shared" si="20"/>
        <v>-9.6523182411402328E-3</v>
      </c>
      <c r="AX118" s="1314">
        <v>2.7542</v>
      </c>
      <c r="AY118" s="1314">
        <f t="shared" si="21"/>
        <v>-2.2119652050417191E-2</v>
      </c>
    </row>
    <row r="119" spans="1:51" x14ac:dyDescent="0.75">
      <c r="A119" s="1326">
        <v>41985</v>
      </c>
      <c r="B119" s="1314">
        <v>1187.9590000000001</v>
      </c>
      <c r="C119" s="1314">
        <f t="shared" si="22"/>
        <v>-3.3045271810750301E-2</v>
      </c>
      <c r="E119" s="1326">
        <v>41985</v>
      </c>
      <c r="F119" s="1314">
        <v>12.58</v>
      </c>
      <c r="G119" s="1314">
        <f t="shared" si="12"/>
        <v>5.0960735171261436E-2</v>
      </c>
      <c r="I119" s="1326">
        <v>41985</v>
      </c>
      <c r="J119" s="1314">
        <v>11.25</v>
      </c>
      <c r="K119" s="1314">
        <f t="shared" si="13"/>
        <v>-1.7467248908296883E-2</v>
      </c>
      <c r="M119" s="1326">
        <v>41985</v>
      </c>
      <c r="N119" s="1314">
        <v>9.56</v>
      </c>
      <c r="O119" s="1314">
        <f t="shared" si="14"/>
        <v>-4.5908183632734439E-2</v>
      </c>
      <c r="Q119" s="1326">
        <v>41985</v>
      </c>
      <c r="R119" s="1314">
        <v>8.8800000000000008</v>
      </c>
      <c r="S119" s="1314">
        <f t="shared" si="15"/>
        <v>-3.2679738562091387E-2</v>
      </c>
      <c r="U119" s="1326">
        <v>41985</v>
      </c>
      <c r="V119" s="1314">
        <v>27.15</v>
      </c>
      <c r="W119" s="1314">
        <f t="shared" si="16"/>
        <v>-5.1300842799560488E-3</v>
      </c>
      <c r="Y119" s="1326">
        <v>41985</v>
      </c>
      <c r="Z119" s="1314">
        <v>13.14</v>
      </c>
      <c r="AA119" s="1314">
        <f t="shared" si="17"/>
        <v>-6.940509915014155E-2</v>
      </c>
      <c r="AC119" s="1326">
        <v>41985</v>
      </c>
      <c r="AD119" s="1314">
        <v>13.63</v>
      </c>
      <c r="AE119" s="1314">
        <f t="shared" si="18"/>
        <v>-4.8848569434752215E-2</v>
      </c>
      <c r="AG119" s="1326">
        <v>41985</v>
      </c>
      <c r="AH119" s="1314">
        <v>5.24</v>
      </c>
      <c r="AI119" s="1314">
        <f t="shared" si="19"/>
        <v>-1.6885553470919298E-2</v>
      </c>
      <c r="AK119" s="1326">
        <v>41985</v>
      </c>
      <c r="AL119" s="1314">
        <v>0.89</v>
      </c>
      <c r="AN119" s="1326">
        <v>41985</v>
      </c>
      <c r="AO119" s="1314">
        <v>-0.85</v>
      </c>
      <c r="AQ119" s="1326">
        <v>41985</v>
      </c>
      <c r="AR119" s="1327">
        <v>2.5</v>
      </c>
      <c r="AT119" s="1326">
        <v>41985</v>
      </c>
      <c r="AU119" s="1314">
        <v>1187.9590000000001</v>
      </c>
      <c r="AV119" s="1314">
        <f t="shared" si="20"/>
        <v>-3.3045271810750301E-2</v>
      </c>
      <c r="AX119" s="1314">
        <v>2.7372000000000001</v>
      </c>
      <c r="AY119" s="1314">
        <f t="shared" si="21"/>
        <v>-6.1723912569892903E-3</v>
      </c>
    </row>
    <row r="120" spans="1:51" x14ac:dyDescent="0.75">
      <c r="A120" s="1326">
        <v>41978</v>
      </c>
      <c r="B120" s="1314">
        <v>1230.28</v>
      </c>
      <c r="C120" s="1314">
        <f t="shared" si="22"/>
        <v>3.5624966854916632E-2</v>
      </c>
      <c r="E120" s="1326">
        <v>41978</v>
      </c>
      <c r="F120" s="1314">
        <v>12.07</v>
      </c>
      <c r="G120" s="1314">
        <f t="shared" si="12"/>
        <v>-4.0540540540540522E-2</v>
      </c>
      <c r="I120" s="1326">
        <v>41978</v>
      </c>
      <c r="J120" s="1314">
        <v>11.85</v>
      </c>
      <c r="K120" s="1314">
        <f t="shared" si="13"/>
        <v>5.3333333333333302E-2</v>
      </c>
      <c r="M120" s="1326">
        <v>41978</v>
      </c>
      <c r="N120" s="1314">
        <v>9.4</v>
      </c>
      <c r="O120" s="1314">
        <f t="shared" si="14"/>
        <v>-1.673640167364018E-2</v>
      </c>
      <c r="Q120" s="1326">
        <v>41978</v>
      </c>
      <c r="R120" s="1314">
        <v>8.9700000000000006</v>
      </c>
      <c r="S120" s="1314">
        <f t="shared" si="15"/>
        <v>1.0135135135135118E-2</v>
      </c>
      <c r="U120" s="1326">
        <v>41978</v>
      </c>
      <c r="V120" s="1314">
        <v>27.02</v>
      </c>
      <c r="W120" s="1314">
        <f t="shared" si="16"/>
        <v>-4.7882136279925975E-3</v>
      </c>
      <c r="Y120" s="1326">
        <v>41978</v>
      </c>
      <c r="Z120" s="1314">
        <v>14.37</v>
      </c>
      <c r="AA120" s="1314">
        <f t="shared" si="17"/>
        <v>9.3607305936072957E-2</v>
      </c>
      <c r="AC120" s="1326">
        <v>41978</v>
      </c>
      <c r="AD120" s="1314">
        <v>13.015000000000001</v>
      </c>
      <c r="AE120" s="1314">
        <f t="shared" si="18"/>
        <v>-4.5121056493030096E-2</v>
      </c>
      <c r="AG120" s="1326">
        <v>41978</v>
      </c>
      <c r="AH120" s="1314">
        <v>5.15</v>
      </c>
      <c r="AI120" s="1314">
        <f t="shared" si="19"/>
        <v>-1.7175572519083943E-2</v>
      </c>
      <c r="AK120" s="1326">
        <v>41978</v>
      </c>
      <c r="AL120" s="1314">
        <v>0.16</v>
      </c>
      <c r="AN120" s="1326">
        <v>41978</v>
      </c>
      <c r="AO120" s="1314">
        <v>1.36</v>
      </c>
      <c r="AQ120" s="1326">
        <v>41978</v>
      </c>
      <c r="AR120" s="1327">
        <v>2.5</v>
      </c>
      <c r="AT120" s="1326">
        <v>41978</v>
      </c>
      <c r="AU120" s="1314">
        <v>1230.28</v>
      </c>
      <c r="AV120" s="1314">
        <f t="shared" si="20"/>
        <v>3.5624966854916632E-2</v>
      </c>
      <c r="AX120" s="1314">
        <v>2.9666999999999999</v>
      </c>
      <c r="AY120" s="1314">
        <f t="shared" si="21"/>
        <v>8.3844804910127066E-2</v>
      </c>
    </row>
    <row r="121" spans="1:51" x14ac:dyDescent="0.75">
      <c r="A121" s="1326">
        <v>41971</v>
      </c>
      <c r="B121" s="1314">
        <v>1226.117</v>
      </c>
      <c r="C121" s="1314">
        <f t="shared" si="22"/>
        <v>-3.3837825535650511E-3</v>
      </c>
      <c r="E121" s="1326">
        <v>41971</v>
      </c>
      <c r="F121" s="1314">
        <v>11.43</v>
      </c>
      <c r="G121" s="1314">
        <f t="shared" si="12"/>
        <v>-5.3024026512013302E-2</v>
      </c>
      <c r="I121" s="1326">
        <v>41971</v>
      </c>
      <c r="J121" s="1314">
        <v>11.85</v>
      </c>
      <c r="K121" s="1314">
        <f t="shared" si="13"/>
        <v>0</v>
      </c>
      <c r="M121" s="1326">
        <v>41971</v>
      </c>
      <c r="N121" s="1314">
        <v>9.1300000000000008</v>
      </c>
      <c r="O121" s="1314">
        <f t="shared" si="14"/>
        <v>-2.8723404255319104E-2</v>
      </c>
      <c r="Q121" s="1326">
        <v>41971</v>
      </c>
      <c r="R121" s="1314">
        <v>8.58</v>
      </c>
      <c r="S121" s="1314">
        <f t="shared" si="15"/>
        <v>-4.3478260869565279E-2</v>
      </c>
      <c r="U121" s="1326">
        <v>41971</v>
      </c>
      <c r="V121" s="1314">
        <v>25.46</v>
      </c>
      <c r="W121" s="1314">
        <f t="shared" si="16"/>
        <v>-5.7735011102886702E-2</v>
      </c>
      <c r="Y121" s="1326">
        <v>41971</v>
      </c>
      <c r="Z121" s="1314">
        <v>13.87</v>
      </c>
      <c r="AA121" s="1314">
        <f t="shared" si="17"/>
        <v>-3.4794711203897009E-2</v>
      </c>
      <c r="AC121" s="1326">
        <v>41971</v>
      </c>
      <c r="AD121" s="1314">
        <v>10.6</v>
      </c>
      <c r="AE121" s="1314">
        <f t="shared" si="18"/>
        <v>-0.18555512869765661</v>
      </c>
      <c r="AG121" s="1326">
        <v>41971</v>
      </c>
      <c r="AH121" s="1314">
        <v>5.2</v>
      </c>
      <c r="AI121" s="1314">
        <f t="shared" si="19"/>
        <v>9.7087378640776344E-3</v>
      </c>
      <c r="AK121" s="1326">
        <v>41971</v>
      </c>
      <c r="AL121" s="1314">
        <v>0.15</v>
      </c>
      <c r="AN121" s="1326">
        <v>41971</v>
      </c>
      <c r="AO121" s="1314">
        <v>-2.02</v>
      </c>
      <c r="AQ121" s="1326">
        <v>41971</v>
      </c>
      <c r="AR121" s="1327">
        <v>2.46</v>
      </c>
      <c r="AT121" s="1326">
        <v>41971</v>
      </c>
      <c r="AU121" s="1314">
        <v>1226.117</v>
      </c>
      <c r="AV121" s="1314">
        <f t="shared" si="20"/>
        <v>-3.3837825535650511E-3</v>
      </c>
      <c r="AX121" s="1314">
        <v>2.8887999999999998</v>
      </c>
      <c r="AY121" s="1314">
        <f t="shared" si="21"/>
        <v>-2.6258131931101925E-2</v>
      </c>
    </row>
    <row r="122" spans="1:51" x14ac:dyDescent="0.75">
      <c r="A122" s="1326">
        <v>41964</v>
      </c>
      <c r="B122" s="1314">
        <v>1223.7809999999999</v>
      </c>
      <c r="C122" s="1314">
        <f t="shared" si="22"/>
        <v>-1.9052015427565338E-3</v>
      </c>
      <c r="E122" s="1326">
        <v>41964</v>
      </c>
      <c r="F122" s="1314">
        <v>11.45</v>
      </c>
      <c r="G122" s="1314">
        <f t="shared" si="12"/>
        <v>1.7497812773402952E-3</v>
      </c>
      <c r="I122" s="1326">
        <v>41964</v>
      </c>
      <c r="J122" s="1314">
        <v>11.555</v>
      </c>
      <c r="K122" s="1314">
        <f t="shared" si="13"/>
        <v>-2.4894514767932484E-2</v>
      </c>
      <c r="M122" s="1326">
        <v>41964</v>
      </c>
      <c r="N122" s="1314">
        <v>8.7200000000000006</v>
      </c>
      <c r="O122" s="1314">
        <f t="shared" si="14"/>
        <v>-4.4906900328587088E-2</v>
      </c>
      <c r="Q122" s="1326">
        <v>41964</v>
      </c>
      <c r="R122" s="1314">
        <v>8.56</v>
      </c>
      <c r="S122" s="1314">
        <f t="shared" si="15"/>
        <v>-2.3310023310022811E-3</v>
      </c>
      <c r="U122" s="1326">
        <v>41964</v>
      </c>
      <c r="V122" s="1314">
        <v>24.855</v>
      </c>
      <c r="W122" s="1314">
        <f t="shared" si="16"/>
        <v>-2.3762765121759639E-2</v>
      </c>
      <c r="Y122" s="1326">
        <v>41964</v>
      </c>
      <c r="Z122" s="1314">
        <v>13.79</v>
      </c>
      <c r="AA122" s="1314">
        <f t="shared" si="17"/>
        <v>-5.7678442682047642E-3</v>
      </c>
      <c r="AC122" s="1326">
        <v>41964</v>
      </c>
      <c r="AD122" s="1314">
        <v>10.46</v>
      </c>
      <c r="AE122" s="1314">
        <f t="shared" si="18"/>
        <v>-1.3207547169811207E-2</v>
      </c>
      <c r="AG122" s="1326">
        <v>41964</v>
      </c>
      <c r="AH122" s="1314">
        <v>5.23</v>
      </c>
      <c r="AI122" s="1314">
        <f t="shared" si="19"/>
        <v>5.7692307692308173E-3</v>
      </c>
      <c r="AK122" s="1326">
        <v>41964</v>
      </c>
      <c r="AL122" s="1314">
        <v>-1.39</v>
      </c>
      <c r="AN122" s="1326">
        <v>41964</v>
      </c>
      <c r="AO122" s="1314">
        <v>-0.24</v>
      </c>
      <c r="AQ122" s="1326">
        <v>41964</v>
      </c>
      <c r="AR122" s="1327">
        <v>2.52</v>
      </c>
      <c r="AT122" s="1326">
        <v>41964</v>
      </c>
      <c r="AU122" s="1314">
        <v>1223.7809999999999</v>
      </c>
      <c r="AV122" s="1314">
        <f t="shared" si="20"/>
        <v>-1.9052015427565338E-3</v>
      </c>
      <c r="AX122" s="1314">
        <v>3.0175000000000001</v>
      </c>
      <c r="AY122" s="1314">
        <f t="shared" si="21"/>
        <v>4.4551370811409675E-2</v>
      </c>
    </row>
    <row r="123" spans="1:51" x14ac:dyDescent="0.75">
      <c r="A123" s="1326">
        <v>41957</v>
      </c>
      <c r="B123" s="1314">
        <v>1211.039</v>
      </c>
      <c r="C123" s="1314">
        <f t="shared" si="22"/>
        <v>-1.041199364919047E-2</v>
      </c>
      <c r="E123" s="1326">
        <v>41957</v>
      </c>
      <c r="F123" s="1314">
        <v>11.67</v>
      </c>
      <c r="G123" s="1314">
        <f t="shared" si="12"/>
        <v>1.9213973799126694E-2</v>
      </c>
      <c r="I123" s="1326">
        <v>41957</v>
      </c>
      <c r="J123" s="1314">
        <v>11.57</v>
      </c>
      <c r="K123" s="1314">
        <f t="shared" si="13"/>
        <v>1.298139333621858E-3</v>
      </c>
      <c r="M123" s="1326">
        <v>41957</v>
      </c>
      <c r="N123" s="1314">
        <v>8.8000000000000007</v>
      </c>
      <c r="O123" s="1314">
        <f t="shared" si="14"/>
        <v>9.174311926605512E-3</v>
      </c>
      <c r="Q123" s="1326">
        <v>41957</v>
      </c>
      <c r="R123" s="1314">
        <v>8.8800000000000008</v>
      </c>
      <c r="S123" s="1314">
        <f t="shared" si="15"/>
        <v>3.738317757009349E-2</v>
      </c>
      <c r="U123" s="1326">
        <v>41957</v>
      </c>
      <c r="V123" s="1314">
        <v>24.99</v>
      </c>
      <c r="W123" s="1314">
        <f t="shared" si="16"/>
        <v>5.4315027157512781E-3</v>
      </c>
      <c r="Y123" s="1326">
        <v>41957</v>
      </c>
      <c r="Z123" s="1314">
        <v>13.64</v>
      </c>
      <c r="AA123" s="1314">
        <f t="shared" si="17"/>
        <v>-1.0877447425670674E-2</v>
      </c>
      <c r="AC123" s="1326">
        <v>41957</v>
      </c>
      <c r="AD123" s="1314">
        <v>10.039999999999999</v>
      </c>
      <c r="AE123" s="1314">
        <f t="shared" si="18"/>
        <v>-4.0152963671128264E-2</v>
      </c>
      <c r="AG123" s="1326">
        <v>41957</v>
      </c>
      <c r="AH123" s="1314">
        <v>5.16</v>
      </c>
      <c r="AI123" s="1314">
        <f t="shared" si="19"/>
        <v>-1.3384321223709422E-2</v>
      </c>
      <c r="AK123" s="1326">
        <v>41957</v>
      </c>
      <c r="AL123" s="1314">
        <v>-0.08</v>
      </c>
      <c r="AN123" s="1326">
        <v>41957</v>
      </c>
      <c r="AO123" s="1314">
        <v>-1.25</v>
      </c>
      <c r="AQ123" s="1326">
        <v>41957</v>
      </c>
      <c r="AR123" s="1327">
        <v>2.5299999999999998</v>
      </c>
      <c r="AT123" s="1326">
        <v>41957</v>
      </c>
      <c r="AU123" s="1314">
        <v>1211.039</v>
      </c>
      <c r="AV123" s="1314">
        <f t="shared" si="20"/>
        <v>-1.041199364919047E-2</v>
      </c>
      <c r="AX123" s="1314">
        <v>3.0487000000000002</v>
      </c>
      <c r="AY123" s="1314">
        <f t="shared" si="21"/>
        <v>1.0339685169842624E-2</v>
      </c>
    </row>
    <row r="124" spans="1:51" x14ac:dyDescent="0.75">
      <c r="A124" s="1326">
        <v>41950</v>
      </c>
      <c r="B124" s="1314">
        <v>1206.626</v>
      </c>
      <c r="C124" s="1314">
        <f t="shared" si="22"/>
        <v>-3.6439784350462794E-3</v>
      </c>
      <c r="E124" s="1326">
        <v>41950</v>
      </c>
      <c r="F124" s="1314">
        <v>11.5</v>
      </c>
      <c r="G124" s="1314">
        <f t="shared" si="12"/>
        <v>-1.4567266495287055E-2</v>
      </c>
      <c r="I124" s="1326">
        <v>41950</v>
      </c>
      <c r="J124" s="1314">
        <v>11.09</v>
      </c>
      <c r="K124" s="1314">
        <f t="shared" si="13"/>
        <v>-4.1486603284356126E-2</v>
      </c>
      <c r="M124" s="1326">
        <v>41950</v>
      </c>
      <c r="N124" s="1314">
        <v>8.7899999999999991</v>
      </c>
      <c r="O124" s="1314">
        <f t="shared" si="14"/>
        <v>-1.1363636363638139E-3</v>
      </c>
      <c r="Q124" s="1326">
        <v>41950</v>
      </c>
      <c r="R124" s="1314">
        <v>8.3800000000000008</v>
      </c>
      <c r="S124" s="1314">
        <f t="shared" si="15"/>
        <v>-5.63063063063063E-2</v>
      </c>
      <c r="U124" s="1326">
        <v>41950</v>
      </c>
      <c r="V124" s="1314">
        <v>25.26</v>
      </c>
      <c r="W124" s="1314">
        <f t="shared" si="16"/>
        <v>1.0804321728691602E-2</v>
      </c>
      <c r="Y124" s="1326">
        <v>41950</v>
      </c>
      <c r="Z124" s="1314">
        <v>13.78</v>
      </c>
      <c r="AA124" s="1314">
        <f t="shared" si="17"/>
        <v>1.026392961876824E-2</v>
      </c>
      <c r="AC124" s="1326">
        <v>41950</v>
      </c>
      <c r="AD124" s="1314">
        <v>10.08</v>
      </c>
      <c r="AE124" s="1314">
        <f t="shared" si="18"/>
        <v>3.9840637450200131E-3</v>
      </c>
      <c r="AG124" s="1326">
        <v>41950</v>
      </c>
      <c r="AH124" s="1314">
        <v>5.2</v>
      </c>
      <c r="AI124" s="1314">
        <f t="shared" si="19"/>
        <v>7.7519379844961309E-3</v>
      </c>
      <c r="AK124" s="1326">
        <v>41950</v>
      </c>
      <c r="AL124" s="1314">
        <v>-0.74</v>
      </c>
      <c r="AN124" s="1326">
        <v>41950</v>
      </c>
      <c r="AO124" s="1314">
        <v>0.66</v>
      </c>
      <c r="AQ124" s="1326">
        <v>41950</v>
      </c>
      <c r="AR124" s="1327">
        <v>2.52</v>
      </c>
      <c r="AT124" s="1326">
        <v>41950</v>
      </c>
      <c r="AU124" s="1314">
        <v>1206.626</v>
      </c>
      <c r="AV124" s="1314">
        <f t="shared" si="20"/>
        <v>-3.6439784350462794E-3</v>
      </c>
      <c r="AX124" s="1314">
        <v>3.028</v>
      </c>
      <c r="AY124" s="1314">
        <f t="shared" si="21"/>
        <v>-6.7897792501722572E-3</v>
      </c>
    </row>
    <row r="125" spans="1:51" x14ac:dyDescent="0.75">
      <c r="A125" s="1326">
        <v>41943</v>
      </c>
      <c r="B125" s="1314">
        <v>1199.5730000000001</v>
      </c>
      <c r="C125" s="1314">
        <f t="shared" si="22"/>
        <v>-5.8452246180671422E-3</v>
      </c>
      <c r="E125" s="1326">
        <v>41943</v>
      </c>
      <c r="F125" s="1314">
        <v>11.67</v>
      </c>
      <c r="G125" s="1314">
        <f t="shared" si="12"/>
        <v>1.4782608695652167E-2</v>
      </c>
      <c r="I125" s="1326">
        <v>41943</v>
      </c>
      <c r="J125" s="1314">
        <v>11.45</v>
      </c>
      <c r="K125" s="1314">
        <f t="shared" si="13"/>
        <v>3.2461677186654596E-2</v>
      </c>
      <c r="M125" s="1326">
        <v>41943</v>
      </c>
      <c r="N125" s="1314">
        <v>9.5500000000000007</v>
      </c>
      <c r="O125" s="1314">
        <f t="shared" si="14"/>
        <v>8.6461888509670265E-2</v>
      </c>
      <c r="Q125" s="1326">
        <v>41943</v>
      </c>
      <c r="R125" s="1314">
        <v>9.27</v>
      </c>
      <c r="S125" s="1314">
        <f t="shared" si="15"/>
        <v>0.10620525059665856</v>
      </c>
      <c r="U125" s="1326">
        <v>41943</v>
      </c>
      <c r="V125" s="1314">
        <v>25.38</v>
      </c>
      <c r="W125" s="1314">
        <f t="shared" si="16"/>
        <v>4.7505938242279272E-3</v>
      </c>
      <c r="Y125" s="1326">
        <v>41943</v>
      </c>
      <c r="Z125" s="1314">
        <v>13.51</v>
      </c>
      <c r="AA125" s="1314">
        <f t="shared" si="17"/>
        <v>-1.9593613933236546E-2</v>
      </c>
      <c r="AC125" s="1326">
        <v>41943</v>
      </c>
      <c r="AD125" s="1314">
        <v>9.91</v>
      </c>
      <c r="AE125" s="1314">
        <f t="shared" si="18"/>
        <v>-1.6865079365079357E-2</v>
      </c>
      <c r="AG125" s="1326">
        <v>41943</v>
      </c>
      <c r="AH125" s="1314">
        <v>5.16</v>
      </c>
      <c r="AI125" s="1314">
        <f t="shared" si="19"/>
        <v>-7.6923076923076988E-3</v>
      </c>
      <c r="AK125" s="1326">
        <v>41943</v>
      </c>
      <c r="AL125" s="1314">
        <v>2.29</v>
      </c>
      <c r="AN125" s="1326">
        <v>41943</v>
      </c>
      <c r="AO125" s="1314">
        <v>-0.13</v>
      </c>
      <c r="AQ125" s="1326">
        <v>41943</v>
      </c>
      <c r="AR125" s="1327">
        <v>2.4300000000000002</v>
      </c>
      <c r="AT125" s="1326">
        <v>41943</v>
      </c>
      <c r="AU125" s="1314">
        <v>1199.5730000000001</v>
      </c>
      <c r="AV125" s="1314">
        <f t="shared" si="20"/>
        <v>-5.8452246180671422E-3</v>
      </c>
      <c r="AX125" s="1314">
        <v>3.0661999999999998</v>
      </c>
      <c r="AY125" s="1314">
        <f t="shared" si="21"/>
        <v>1.2615587846763471E-2</v>
      </c>
    </row>
    <row r="126" spans="1:51" x14ac:dyDescent="0.75">
      <c r="A126" s="1326">
        <v>41936</v>
      </c>
      <c r="B126" s="1314">
        <v>1166.2629999999999</v>
      </c>
      <c r="C126" s="1314">
        <f t="shared" si="22"/>
        <v>-2.7768214189549258E-2</v>
      </c>
      <c r="E126" s="1326">
        <v>41936</v>
      </c>
      <c r="F126" s="1314">
        <v>10.09</v>
      </c>
      <c r="G126" s="1314">
        <f t="shared" si="12"/>
        <v>-0.13538988860325621</v>
      </c>
      <c r="I126" s="1326">
        <v>41936</v>
      </c>
      <c r="J126" s="1314">
        <v>10.44</v>
      </c>
      <c r="K126" s="1314">
        <f t="shared" si="13"/>
        <v>-8.8209606986899544E-2</v>
      </c>
      <c r="M126" s="1326">
        <v>41936</v>
      </c>
      <c r="N126" s="1314">
        <v>9.07</v>
      </c>
      <c r="O126" s="1314">
        <f t="shared" si="14"/>
        <v>-5.0261780104712085E-2</v>
      </c>
      <c r="Q126" s="1326">
        <v>41936</v>
      </c>
      <c r="R126" s="1314">
        <v>9.07</v>
      </c>
      <c r="S126" s="1314">
        <f t="shared" si="15"/>
        <v>-2.1574973031283636E-2</v>
      </c>
      <c r="U126" s="1326">
        <v>41936</v>
      </c>
      <c r="V126" s="1314">
        <v>23.89</v>
      </c>
      <c r="W126" s="1314">
        <f t="shared" si="16"/>
        <v>-5.8707643814026732E-2</v>
      </c>
      <c r="Y126" s="1326">
        <v>41936</v>
      </c>
      <c r="Z126" s="1314">
        <v>13.88</v>
      </c>
      <c r="AA126" s="1314">
        <f t="shared" si="17"/>
        <v>2.7387120651369432E-2</v>
      </c>
      <c r="AC126" s="1326">
        <v>41936</v>
      </c>
      <c r="AD126" s="1314">
        <v>9.49</v>
      </c>
      <c r="AE126" s="1314">
        <f t="shared" si="18"/>
        <v>-4.2381432896064573E-2</v>
      </c>
      <c r="AG126" s="1326">
        <v>41936</v>
      </c>
      <c r="AH126" s="1314">
        <v>5.22</v>
      </c>
      <c r="AI126" s="1314">
        <f t="shared" si="19"/>
        <v>1.162790697674411E-2</v>
      </c>
      <c r="AK126" s="1326">
        <v>41936</v>
      </c>
      <c r="AL126" s="1314">
        <v>-0.74</v>
      </c>
      <c r="AN126" s="1326">
        <v>41936</v>
      </c>
      <c r="AO126" s="1314">
        <v>-0.67</v>
      </c>
      <c r="AQ126" s="1326">
        <v>41936</v>
      </c>
      <c r="AR126" s="1327">
        <v>2.36</v>
      </c>
      <c r="AT126" s="1326">
        <v>41936</v>
      </c>
      <c r="AU126" s="1314">
        <v>1166.2629999999999</v>
      </c>
      <c r="AV126" s="1314">
        <f t="shared" si="20"/>
        <v>-2.7768214189549258E-2</v>
      </c>
      <c r="AX126" s="1314">
        <v>3.0423</v>
      </c>
      <c r="AY126" s="1314">
        <f t="shared" si="21"/>
        <v>-7.7946644054529427E-3</v>
      </c>
    </row>
    <row r="127" spans="1:51" x14ac:dyDescent="0.75">
      <c r="A127" s="1326">
        <v>41929</v>
      </c>
      <c r="B127" s="1314">
        <v>1120.4100000000001</v>
      </c>
      <c r="C127" s="1314">
        <f t="shared" si="22"/>
        <v>-3.9316174825060765E-2</v>
      </c>
      <c r="E127" s="1326">
        <v>41929</v>
      </c>
      <c r="F127" s="1314">
        <v>9.81</v>
      </c>
      <c r="G127" s="1314">
        <f t="shared" si="12"/>
        <v>-2.7750247770069313E-2</v>
      </c>
      <c r="I127" s="1326">
        <v>41929</v>
      </c>
      <c r="J127" s="1314">
        <v>11.06</v>
      </c>
      <c r="K127" s="1314">
        <f t="shared" si="13"/>
        <v>5.9386973180076727E-2</v>
      </c>
      <c r="M127" s="1326">
        <v>41929</v>
      </c>
      <c r="N127" s="1314">
        <v>9.4</v>
      </c>
      <c r="O127" s="1314">
        <f t="shared" si="14"/>
        <v>3.6383682469680274E-2</v>
      </c>
      <c r="Q127" s="1326">
        <v>41929</v>
      </c>
      <c r="R127" s="1314">
        <v>8.9</v>
      </c>
      <c r="S127" s="1314">
        <f t="shared" si="15"/>
        <v>-1.8743109151047401E-2</v>
      </c>
      <c r="U127" s="1326">
        <v>41929</v>
      </c>
      <c r="V127" s="1314">
        <v>22.835000000000001</v>
      </c>
      <c r="W127" s="1314">
        <f t="shared" si="16"/>
        <v>-4.4160736709920455E-2</v>
      </c>
      <c r="Y127" s="1326">
        <v>41929</v>
      </c>
      <c r="Z127" s="1314">
        <v>13.19</v>
      </c>
      <c r="AA127" s="1314">
        <f t="shared" si="17"/>
        <v>-4.9711815561959742E-2</v>
      </c>
      <c r="AC127" s="1326">
        <v>41929</v>
      </c>
      <c r="AD127" s="1314">
        <v>8.83</v>
      </c>
      <c r="AE127" s="1314">
        <f t="shared" si="18"/>
        <v>-6.9546891464699695E-2</v>
      </c>
      <c r="AG127" s="1326">
        <v>41929</v>
      </c>
      <c r="AH127" s="1314">
        <v>5.58</v>
      </c>
      <c r="AI127" s="1314">
        <f t="shared" si="19"/>
        <v>6.8965517241379379E-2</v>
      </c>
      <c r="AK127" s="1326">
        <v>41929</v>
      </c>
      <c r="AL127" s="1314">
        <v>3.58</v>
      </c>
      <c r="AN127" s="1326">
        <v>41929</v>
      </c>
      <c r="AO127" s="1314">
        <v>-0.87</v>
      </c>
      <c r="AQ127" s="1326">
        <v>41929</v>
      </c>
      <c r="AR127" s="1327">
        <v>2.3199999999999998</v>
      </c>
      <c r="AT127" s="1326">
        <v>41929</v>
      </c>
      <c r="AU127" s="1314">
        <v>1120.4100000000001</v>
      </c>
      <c r="AV127" s="1314">
        <f t="shared" si="20"/>
        <v>-3.9316174825060765E-2</v>
      </c>
      <c r="AX127" s="1314">
        <v>2.9678</v>
      </c>
      <c r="AY127" s="1314">
        <f t="shared" si="21"/>
        <v>-2.4488051802912275E-2</v>
      </c>
    </row>
    <row r="128" spans="1:51" x14ac:dyDescent="0.75">
      <c r="A128" s="1326">
        <v>41922</v>
      </c>
      <c r="B128" s="1314">
        <v>1126.075</v>
      </c>
      <c r="C128" s="1314">
        <f t="shared" si="22"/>
        <v>5.0561847894966695E-3</v>
      </c>
      <c r="E128" s="1326">
        <v>41922</v>
      </c>
      <c r="F128" s="1314">
        <v>9.43</v>
      </c>
      <c r="G128" s="1314">
        <f t="shared" si="12"/>
        <v>-3.8735983690112205E-2</v>
      </c>
      <c r="I128" s="1326">
        <v>41922</v>
      </c>
      <c r="J128" s="1314">
        <v>10.23</v>
      </c>
      <c r="K128" s="1314">
        <f t="shared" si="13"/>
        <v>-7.5045207956600371E-2</v>
      </c>
      <c r="M128" s="1326">
        <v>41922</v>
      </c>
      <c r="N128" s="1314">
        <v>8.6999999999999993</v>
      </c>
      <c r="O128" s="1314">
        <f t="shared" si="14"/>
        <v>-7.4468085106383086E-2</v>
      </c>
      <c r="Q128" s="1326">
        <v>41922</v>
      </c>
      <c r="R128" s="1314">
        <v>8.7899999999999991</v>
      </c>
      <c r="S128" s="1314">
        <f t="shared" si="15"/>
        <v>-1.2359550561797888E-2</v>
      </c>
      <c r="U128" s="1326">
        <v>41922</v>
      </c>
      <c r="V128" s="1314">
        <v>22.635000000000002</v>
      </c>
      <c r="W128" s="1314">
        <f t="shared" si="16"/>
        <v>-8.7584847821326594E-3</v>
      </c>
      <c r="Y128" s="1326">
        <v>41922</v>
      </c>
      <c r="Z128" s="1314">
        <v>12.72</v>
      </c>
      <c r="AA128" s="1314">
        <f t="shared" si="17"/>
        <v>-3.5633055344958219E-2</v>
      </c>
      <c r="AC128" s="1326">
        <v>41922</v>
      </c>
      <c r="AD128" s="1314">
        <v>8.3949999999999996</v>
      </c>
      <c r="AE128" s="1314">
        <f t="shared" si="18"/>
        <v>-4.9263873159682954E-2</v>
      </c>
      <c r="AG128" s="1326">
        <v>41922</v>
      </c>
      <c r="AH128" s="1314">
        <v>5.35</v>
      </c>
      <c r="AI128" s="1314">
        <f t="shared" si="19"/>
        <v>-4.1218637992831618E-2</v>
      </c>
      <c r="AK128" s="1326">
        <v>41922</v>
      </c>
      <c r="AL128" s="1314">
        <v>-1.4</v>
      </c>
      <c r="AN128" s="1326">
        <v>41922</v>
      </c>
      <c r="AO128" s="1314">
        <v>0.59</v>
      </c>
      <c r="AQ128" s="1326">
        <v>41922</v>
      </c>
      <c r="AR128" s="1327">
        <v>2.42</v>
      </c>
      <c r="AT128" s="1326">
        <v>41922</v>
      </c>
      <c r="AU128" s="1314">
        <v>1126.075</v>
      </c>
      <c r="AV128" s="1314">
        <f t="shared" si="20"/>
        <v>5.0561847894966695E-3</v>
      </c>
      <c r="AX128" s="1314">
        <v>3.0124</v>
      </c>
      <c r="AY128" s="1314">
        <f t="shared" si="21"/>
        <v>1.5027966844126954E-2</v>
      </c>
    </row>
    <row r="129" spans="1:51" x14ac:dyDescent="0.75">
      <c r="A129" s="1326">
        <v>41915</v>
      </c>
      <c r="B129" s="1314">
        <v>1166.4860000000001</v>
      </c>
      <c r="C129" s="1314">
        <f t="shared" si="22"/>
        <v>3.5886597251515266E-2</v>
      </c>
      <c r="E129" s="1326">
        <v>41915</v>
      </c>
      <c r="F129" s="1314">
        <v>10.44</v>
      </c>
      <c r="G129" s="1314">
        <f t="shared" si="12"/>
        <v>0.10710498409331917</v>
      </c>
      <c r="I129" s="1326">
        <v>41915</v>
      </c>
      <c r="J129" s="1314">
        <v>12.16</v>
      </c>
      <c r="K129" s="1314">
        <f t="shared" si="13"/>
        <v>0.18866080156402734</v>
      </c>
      <c r="M129" s="1326">
        <v>41915</v>
      </c>
      <c r="N129" s="1314">
        <v>8.59</v>
      </c>
      <c r="O129" s="1314">
        <f t="shared" si="14"/>
        <v>-1.2643678160919476E-2</v>
      </c>
      <c r="Q129" s="1326">
        <v>41915</v>
      </c>
      <c r="R129" s="1314">
        <v>9.0399999999999991</v>
      </c>
      <c r="S129" s="1314">
        <f t="shared" si="15"/>
        <v>2.8441410693970423E-2</v>
      </c>
      <c r="U129" s="1326">
        <v>41915</v>
      </c>
      <c r="V129" s="1314">
        <v>27.4</v>
      </c>
      <c r="W129" s="1314">
        <f t="shared" si="16"/>
        <v>0.210514689639938</v>
      </c>
      <c r="Y129" s="1326">
        <v>41915</v>
      </c>
      <c r="Z129" s="1314">
        <v>13.97</v>
      </c>
      <c r="AA129" s="1314">
        <f t="shared" si="17"/>
        <v>9.8270440251572319E-2</v>
      </c>
      <c r="AC129" s="1326">
        <v>41915</v>
      </c>
      <c r="AD129" s="1314">
        <v>9.75</v>
      </c>
      <c r="AE129" s="1314">
        <f t="shared" si="18"/>
        <v>0.16140559857057779</v>
      </c>
      <c r="AG129" s="1326">
        <v>41915</v>
      </c>
      <c r="AH129" s="1314">
        <v>5.61</v>
      </c>
      <c r="AI129" s="1314">
        <f t="shared" si="19"/>
        <v>4.8598130841121627E-2</v>
      </c>
      <c r="AK129" s="1326">
        <v>41915</v>
      </c>
      <c r="AL129" s="1314">
        <v>-0.39</v>
      </c>
      <c r="AN129" s="1326">
        <v>41915</v>
      </c>
      <c r="AO129" s="1314">
        <v>-0.7</v>
      </c>
      <c r="AQ129" s="1326">
        <v>41915</v>
      </c>
      <c r="AR129" s="1327">
        <v>2.52</v>
      </c>
      <c r="AT129" s="1326">
        <v>41915</v>
      </c>
      <c r="AU129" s="1314">
        <v>1166.4860000000001</v>
      </c>
      <c r="AV129" s="1314">
        <f t="shared" si="20"/>
        <v>3.5886597251515266E-2</v>
      </c>
      <c r="AX129" s="1314">
        <v>3.1233</v>
      </c>
      <c r="AY129" s="1314">
        <f t="shared" si="21"/>
        <v>3.6814500066392246E-2</v>
      </c>
    </row>
    <row r="130" spans="1:51" x14ac:dyDescent="0.75">
      <c r="A130" s="1326">
        <v>41908</v>
      </c>
      <c r="B130" s="1314">
        <v>1176.386</v>
      </c>
      <c r="C130" s="1314">
        <f t="shared" si="22"/>
        <v>8.4870285627087361E-3</v>
      </c>
      <c r="E130" s="1326">
        <v>41908</v>
      </c>
      <c r="F130" s="1314">
        <v>10.91</v>
      </c>
      <c r="G130" s="1314">
        <f t="shared" si="12"/>
        <v>4.5019157088122666E-2</v>
      </c>
      <c r="I130" s="1326">
        <v>41908</v>
      </c>
      <c r="J130" s="1314">
        <v>12.76</v>
      </c>
      <c r="K130" s="1314">
        <f t="shared" si="13"/>
        <v>4.9342105263157868E-2</v>
      </c>
      <c r="M130" s="1326">
        <v>41908</v>
      </c>
      <c r="N130" s="1314">
        <v>9.07</v>
      </c>
      <c r="O130" s="1314">
        <f t="shared" si="14"/>
        <v>5.5878928987194459E-2</v>
      </c>
      <c r="Q130" s="1326">
        <v>41908</v>
      </c>
      <c r="R130" s="1314">
        <v>9.59</v>
      </c>
      <c r="S130" s="1314">
        <f t="shared" si="15"/>
        <v>6.0840707964601858E-2</v>
      </c>
      <c r="U130" s="1326">
        <v>41908</v>
      </c>
      <c r="V130" s="1314">
        <v>27.51</v>
      </c>
      <c r="W130" s="1314">
        <f t="shared" si="16"/>
        <v>4.0145985401460948E-3</v>
      </c>
      <c r="Y130" s="1326">
        <v>41908</v>
      </c>
      <c r="Z130" s="1314">
        <v>14.42</v>
      </c>
      <c r="AA130" s="1314">
        <f t="shared" si="17"/>
        <v>3.2211882605583338E-2</v>
      </c>
      <c r="AC130" s="1326">
        <v>41908</v>
      </c>
      <c r="AD130" s="1314">
        <v>10.074999999999999</v>
      </c>
      <c r="AE130" s="1314">
        <f t="shared" si="18"/>
        <v>3.3333333333333263E-2</v>
      </c>
      <c r="AG130" s="1326">
        <v>41908</v>
      </c>
      <c r="AH130" s="1314">
        <v>6.01</v>
      </c>
      <c r="AI130" s="1314">
        <f t="shared" si="19"/>
        <v>7.1301247771835913E-2</v>
      </c>
      <c r="AK130" s="1326">
        <v>41908</v>
      </c>
      <c r="AL130" s="1314">
        <v>-0.76</v>
      </c>
      <c r="AN130" s="1326">
        <v>41908</v>
      </c>
      <c r="AO130" s="1314">
        <v>-0.89</v>
      </c>
      <c r="AQ130" s="1326">
        <v>41908</v>
      </c>
      <c r="AR130" s="1327">
        <v>2.52</v>
      </c>
      <c r="AT130" s="1326">
        <v>41908</v>
      </c>
      <c r="AU130" s="1314">
        <v>1176.386</v>
      </c>
      <c r="AV130" s="1314">
        <f t="shared" si="20"/>
        <v>8.4870285627087361E-3</v>
      </c>
      <c r="AX130" s="1314">
        <v>3.214</v>
      </c>
      <c r="AY130" s="1314">
        <f t="shared" si="21"/>
        <v>2.903979764992156E-2</v>
      </c>
    </row>
    <row r="131" spans="1:51" x14ac:dyDescent="0.75">
      <c r="A131" s="1326">
        <v>41901</v>
      </c>
      <c r="B131" s="1314">
        <v>1194.9780000000001</v>
      </c>
      <c r="C131" s="1314">
        <f t="shared" si="22"/>
        <v>1.580433633178234E-2</v>
      </c>
      <c r="E131" s="1326">
        <v>41901</v>
      </c>
      <c r="F131" s="1314">
        <v>11.14</v>
      </c>
      <c r="G131" s="1314">
        <f t="shared" si="12"/>
        <v>2.1081576535288766E-2</v>
      </c>
      <c r="I131" s="1326">
        <v>41901</v>
      </c>
      <c r="J131" s="1314">
        <v>12.92</v>
      </c>
      <c r="K131" s="1314">
        <f t="shared" si="13"/>
        <v>1.2539184952978068E-2</v>
      </c>
      <c r="M131" s="1326">
        <v>41901</v>
      </c>
      <c r="N131" s="1314">
        <v>9.43</v>
      </c>
      <c r="O131" s="1314">
        <f t="shared" si="14"/>
        <v>3.9691289966923858E-2</v>
      </c>
      <c r="Q131" s="1326">
        <v>41901</v>
      </c>
      <c r="R131" s="1314">
        <v>9.82</v>
      </c>
      <c r="S131" s="1314">
        <f t="shared" si="15"/>
        <v>2.3983315954118917E-2</v>
      </c>
      <c r="U131" s="1326">
        <v>41901</v>
      </c>
      <c r="V131" s="1314">
        <v>27.59</v>
      </c>
      <c r="W131" s="1314">
        <f t="shared" si="16"/>
        <v>2.9080334423845253E-3</v>
      </c>
      <c r="Y131" s="1326">
        <v>41901</v>
      </c>
      <c r="Z131" s="1314">
        <v>15.34</v>
      </c>
      <c r="AA131" s="1314">
        <f t="shared" si="17"/>
        <v>6.3800277392510402E-2</v>
      </c>
      <c r="AC131" s="1326">
        <v>41901</v>
      </c>
      <c r="AD131" s="1314">
        <v>10.63</v>
      </c>
      <c r="AE131" s="1314">
        <f t="shared" si="18"/>
        <v>5.5086848635235885E-2</v>
      </c>
      <c r="AG131" s="1326">
        <v>41901</v>
      </c>
      <c r="AH131" s="1314">
        <v>5.8</v>
      </c>
      <c r="AI131" s="1314">
        <f t="shared" si="19"/>
        <v>-3.4941763727121461E-2</v>
      </c>
      <c r="AK131" s="1326">
        <v>41901</v>
      </c>
      <c r="AL131" s="1314">
        <v>-2.33</v>
      </c>
      <c r="AN131" s="1326">
        <v>41901</v>
      </c>
      <c r="AO131" s="1314">
        <v>0.41</v>
      </c>
      <c r="AQ131" s="1326">
        <v>41901</v>
      </c>
      <c r="AR131" s="1327">
        <v>2.5499999999999998</v>
      </c>
      <c r="AT131" s="1326">
        <v>41901</v>
      </c>
      <c r="AU131" s="1314">
        <v>1194.9780000000001</v>
      </c>
      <c r="AV131" s="1314">
        <f t="shared" si="20"/>
        <v>1.580433633178234E-2</v>
      </c>
      <c r="AX131" s="1314">
        <v>3.2839999999999998</v>
      </c>
      <c r="AY131" s="1314">
        <f t="shared" si="21"/>
        <v>2.177971375233349E-2</v>
      </c>
    </row>
    <row r="132" spans="1:51" x14ac:dyDescent="0.75">
      <c r="A132" s="1326">
        <v>41894</v>
      </c>
      <c r="B132" s="1314">
        <v>1184.528</v>
      </c>
      <c r="C132" s="1314">
        <f t="shared" si="22"/>
        <v>-8.7449308690202201E-3</v>
      </c>
      <c r="E132" s="1326">
        <v>41894</v>
      </c>
      <c r="F132" s="1314">
        <v>11.66</v>
      </c>
      <c r="G132" s="1314">
        <f t="shared" si="12"/>
        <v>4.6678635547576258E-2</v>
      </c>
      <c r="I132" s="1326">
        <v>41894</v>
      </c>
      <c r="J132" s="1314">
        <v>13.07</v>
      </c>
      <c r="K132" s="1314">
        <f t="shared" si="13"/>
        <v>1.1609907120743062E-2</v>
      </c>
      <c r="M132" s="1326">
        <v>41894</v>
      </c>
      <c r="N132" s="1314">
        <v>9.49</v>
      </c>
      <c r="O132" s="1314">
        <f t="shared" si="14"/>
        <v>6.3626723223754508E-3</v>
      </c>
      <c r="Q132" s="1326">
        <v>41894</v>
      </c>
      <c r="R132" s="1314">
        <v>10.67</v>
      </c>
      <c r="S132" s="1314">
        <f t="shared" si="15"/>
        <v>8.655804480651727E-2</v>
      </c>
      <c r="U132" s="1326">
        <v>41894</v>
      </c>
      <c r="V132" s="1314">
        <v>27.33</v>
      </c>
      <c r="W132" s="1314">
        <f t="shared" si="16"/>
        <v>-9.4237042406669653E-3</v>
      </c>
      <c r="Y132" s="1326">
        <v>41894</v>
      </c>
      <c r="Z132" s="1314">
        <v>15.62</v>
      </c>
      <c r="AA132" s="1314">
        <f t="shared" si="17"/>
        <v>1.8252933507170752E-2</v>
      </c>
      <c r="AC132" s="1326">
        <v>41894</v>
      </c>
      <c r="AD132" s="1314">
        <v>10.385</v>
      </c>
      <c r="AE132" s="1314">
        <f t="shared" si="18"/>
        <v>-2.3047977422389555E-2</v>
      </c>
      <c r="AG132" s="1326">
        <v>41894</v>
      </c>
      <c r="AH132" s="1314">
        <v>4.26</v>
      </c>
      <c r="AI132" s="1314">
        <f t="shared" si="19"/>
        <v>-0.26551724137931038</v>
      </c>
      <c r="AK132" s="1326">
        <v>41894</v>
      </c>
      <c r="AL132" s="1314">
        <v>0.55000000000000004</v>
      </c>
      <c r="AN132" s="1326">
        <v>41894</v>
      </c>
      <c r="AO132" s="1314">
        <v>-0.49</v>
      </c>
      <c r="AQ132" s="1326">
        <v>41894</v>
      </c>
      <c r="AR132" s="1327">
        <v>2.5099999999999998</v>
      </c>
      <c r="AT132" s="1326">
        <v>41894</v>
      </c>
      <c r="AU132" s="1314">
        <v>1184.528</v>
      </c>
      <c r="AV132" s="1314">
        <f t="shared" si="20"/>
        <v>-8.7449308690202201E-3</v>
      </c>
      <c r="AX132" s="1314">
        <v>3.3441000000000001</v>
      </c>
      <c r="AY132" s="1314">
        <f t="shared" si="21"/>
        <v>1.8300852618757694E-2</v>
      </c>
    </row>
    <row r="133" spans="1:51" x14ac:dyDescent="0.75">
      <c r="A133" s="1326">
        <v>41887</v>
      </c>
      <c r="B133" s="1314">
        <v>1197.454</v>
      </c>
      <c r="C133" s="1314">
        <f t="shared" si="22"/>
        <v>1.0912363405508297E-2</v>
      </c>
      <c r="E133" s="1326">
        <v>41887</v>
      </c>
      <c r="F133" s="1314">
        <v>12.13</v>
      </c>
      <c r="G133" s="1314">
        <f t="shared" ref="G133:G196" si="23">(F133-F132)/F132</f>
        <v>4.0308747855917725E-2</v>
      </c>
      <c r="I133" s="1326">
        <v>41887</v>
      </c>
      <c r="J133" s="1314">
        <v>12.27</v>
      </c>
      <c r="K133" s="1314">
        <f t="shared" ref="K133:K196" si="24">(J133-J132)/J132</f>
        <v>-6.1208875286916653E-2</v>
      </c>
      <c r="M133" s="1326">
        <v>41887</v>
      </c>
      <c r="N133" s="1314">
        <v>9.85</v>
      </c>
      <c r="O133" s="1314">
        <f t="shared" ref="O133:O196" si="25">(N133-N132)/N132</f>
        <v>3.7934668071654312E-2</v>
      </c>
      <c r="Q133" s="1326">
        <v>41887</v>
      </c>
      <c r="R133" s="1314">
        <v>9.68</v>
      </c>
      <c r="S133" s="1314">
        <f t="shared" ref="S133:S196" si="26">(R133-R132)/R132</f>
        <v>-9.2783505154639193E-2</v>
      </c>
      <c r="U133" s="1326">
        <v>41887</v>
      </c>
      <c r="V133" s="1314">
        <v>26.99</v>
      </c>
      <c r="W133" s="1314">
        <f t="shared" ref="W133:W196" si="27">(V133-V132)/V132</f>
        <v>-1.2440541529454808E-2</v>
      </c>
      <c r="Y133" s="1326">
        <v>41887</v>
      </c>
      <c r="Z133" s="1314">
        <v>16.11</v>
      </c>
      <c r="AA133" s="1314">
        <f t="shared" ref="AA133:AA196" si="28">(Z133-Z132)/Z132</f>
        <v>3.1370038412291947E-2</v>
      </c>
      <c r="AC133" s="1326">
        <v>41887</v>
      </c>
      <c r="AD133" s="1314">
        <v>10.855</v>
      </c>
      <c r="AE133" s="1314">
        <f t="shared" ref="AE133:AE196" si="29">(AD133-AD132)/AD132</f>
        <v>4.5257583052479601E-2</v>
      </c>
      <c r="AG133" s="1326">
        <v>41887</v>
      </c>
      <c r="AH133" s="1314">
        <v>4.29</v>
      </c>
      <c r="AI133" s="1314">
        <f t="shared" ref="AI133:AI196" si="30">(AH133-AH132)/AH132</f>
        <v>7.0422535211268197E-3</v>
      </c>
      <c r="AK133" s="1326">
        <v>41887</v>
      </c>
      <c r="AL133" s="1314">
        <v>-0.49</v>
      </c>
      <c r="AN133" s="1326">
        <v>41887</v>
      </c>
      <c r="AO133" s="1314">
        <v>-0.02</v>
      </c>
      <c r="AQ133" s="1326">
        <v>41887</v>
      </c>
      <c r="AR133" s="1327">
        <v>2.42</v>
      </c>
      <c r="AT133" s="1326">
        <v>41887</v>
      </c>
      <c r="AU133" s="1314">
        <v>1197.454</v>
      </c>
      <c r="AV133" s="1314">
        <f t="shared" ref="AV133:AV196" si="31">(AU133-AU132)/AU132</f>
        <v>1.0912363405508297E-2</v>
      </c>
      <c r="AX133" s="1314">
        <v>3.2263000000000002</v>
      </c>
      <c r="AY133" s="1314">
        <f t="shared" ref="AY133:AY196" si="32">(AX133-AX132)/AX132</f>
        <v>-3.5226219311623425E-2</v>
      </c>
    </row>
    <row r="134" spans="1:51" x14ac:dyDescent="0.75">
      <c r="A134" s="1326">
        <v>41880</v>
      </c>
      <c r="B134" s="1314">
        <v>1195.4179999999999</v>
      </c>
      <c r="C134" s="1314">
        <f t="shared" si="22"/>
        <v>-1.7002740815096516E-3</v>
      </c>
      <c r="E134" s="1326">
        <v>41880</v>
      </c>
      <c r="F134" s="1314">
        <v>11.99</v>
      </c>
      <c r="G134" s="1314">
        <f t="shared" si="23"/>
        <v>-1.1541632316570533E-2</v>
      </c>
      <c r="I134" s="1326">
        <v>41880</v>
      </c>
      <c r="J134" s="1314">
        <v>12.41</v>
      </c>
      <c r="K134" s="1314">
        <f t="shared" si="24"/>
        <v>1.1409942950285296E-2</v>
      </c>
      <c r="M134" s="1326">
        <v>41880</v>
      </c>
      <c r="N134" s="1314">
        <v>9.9700000000000006</v>
      </c>
      <c r="O134" s="1314">
        <f t="shared" si="25"/>
        <v>1.2182741116751371E-2</v>
      </c>
      <c r="Q134" s="1326">
        <v>41880</v>
      </c>
      <c r="R134" s="1314">
        <v>9.2200000000000006</v>
      </c>
      <c r="S134" s="1314">
        <f t="shared" si="26"/>
        <v>-4.7520661157024698E-2</v>
      </c>
      <c r="U134" s="1326">
        <v>41880</v>
      </c>
      <c r="V134" s="1314">
        <v>26.055</v>
      </c>
      <c r="W134" s="1314">
        <f t="shared" si="27"/>
        <v>-3.4642460170433445E-2</v>
      </c>
      <c r="Y134" s="1326">
        <v>41880</v>
      </c>
      <c r="Z134" s="1314">
        <v>16</v>
      </c>
      <c r="AA134" s="1314">
        <f t="shared" si="28"/>
        <v>-6.8280571073866814E-3</v>
      </c>
      <c r="AC134" s="1326">
        <v>41880</v>
      </c>
      <c r="AD134" s="1314">
        <v>11.05</v>
      </c>
      <c r="AE134" s="1314">
        <f t="shared" si="29"/>
        <v>1.7964071856287452E-2</v>
      </c>
      <c r="AG134" s="1326">
        <v>41880</v>
      </c>
      <c r="AH134" s="1314">
        <v>4.38</v>
      </c>
      <c r="AI134" s="1314">
        <f t="shared" si="30"/>
        <v>2.0979020979020945E-2</v>
      </c>
      <c r="AK134" s="1326">
        <v>41880</v>
      </c>
      <c r="AL134" s="1314">
        <v>0.13</v>
      </c>
      <c r="AN134" s="1326">
        <v>41880</v>
      </c>
      <c r="AO134" s="1314">
        <v>0.01</v>
      </c>
      <c r="AQ134" s="1326">
        <v>41880</v>
      </c>
      <c r="AR134" s="1327">
        <v>2.38</v>
      </c>
      <c r="AT134" s="1326">
        <v>41880</v>
      </c>
      <c r="AU134" s="1314">
        <v>1195.4179999999999</v>
      </c>
      <c r="AV134" s="1314">
        <f t="shared" si="31"/>
        <v>-1.7002740815096516E-3</v>
      </c>
      <c r="AX134" s="1314">
        <v>3.0792000000000002</v>
      </c>
      <c r="AY134" s="1314">
        <f t="shared" si="32"/>
        <v>-4.5594024114310509E-2</v>
      </c>
    </row>
    <row r="135" spans="1:51" x14ac:dyDescent="0.75">
      <c r="A135" s="1326">
        <v>41873</v>
      </c>
      <c r="B135" s="1314">
        <v>1185.6859999999999</v>
      </c>
      <c r="C135" s="1314">
        <f t="shared" si="22"/>
        <v>-8.1410853776670358E-3</v>
      </c>
      <c r="E135" s="1326">
        <v>41873</v>
      </c>
      <c r="F135" s="1314">
        <v>11.83</v>
      </c>
      <c r="G135" s="1314">
        <f t="shared" si="23"/>
        <v>-1.33444537114262E-2</v>
      </c>
      <c r="I135" s="1326">
        <v>41873</v>
      </c>
      <c r="J135" s="1314">
        <v>11.84</v>
      </c>
      <c r="K135" s="1314">
        <f t="shared" si="24"/>
        <v>-4.5930701047542329E-2</v>
      </c>
      <c r="M135" s="1326">
        <v>41873</v>
      </c>
      <c r="N135" s="1314">
        <v>9.5500000000000007</v>
      </c>
      <c r="O135" s="1314">
        <f t="shared" si="25"/>
        <v>-4.2126379137412226E-2</v>
      </c>
      <c r="Q135" s="1326">
        <v>41873</v>
      </c>
      <c r="R135" s="1314">
        <v>9.1300000000000008</v>
      </c>
      <c r="S135" s="1314">
        <f t="shared" si="26"/>
        <v>-9.7613882863340409E-3</v>
      </c>
      <c r="U135" s="1326">
        <v>41873</v>
      </c>
      <c r="V135" s="1314">
        <v>24.89</v>
      </c>
      <c r="W135" s="1314">
        <f t="shared" si="27"/>
        <v>-4.4713106889272658E-2</v>
      </c>
      <c r="Y135" s="1326">
        <v>41873</v>
      </c>
      <c r="Z135" s="1314">
        <v>15.95</v>
      </c>
      <c r="AA135" s="1314">
        <f t="shared" si="28"/>
        <v>-3.1250000000000444E-3</v>
      </c>
      <c r="AC135" s="1326">
        <v>41873</v>
      </c>
      <c r="AD135" s="1314">
        <v>10.84</v>
      </c>
      <c r="AE135" s="1314">
        <f t="shared" si="29"/>
        <v>-1.9004524886877903E-2</v>
      </c>
      <c r="AG135" s="1326">
        <v>41873</v>
      </c>
      <c r="AH135" s="1314">
        <v>4.28</v>
      </c>
      <c r="AI135" s="1314">
        <f t="shared" si="30"/>
        <v>-2.2831050228310421E-2</v>
      </c>
      <c r="AK135" s="1326">
        <v>41873</v>
      </c>
      <c r="AL135" s="1314">
        <v>0.01</v>
      </c>
      <c r="AN135" s="1326">
        <v>41873</v>
      </c>
      <c r="AO135" s="1314">
        <v>0.4</v>
      </c>
      <c r="AQ135" s="1326">
        <v>41873</v>
      </c>
      <c r="AR135" s="1327">
        <v>2.4</v>
      </c>
      <c r="AT135" s="1326">
        <v>41873</v>
      </c>
      <c r="AU135" s="1314">
        <v>1185.6859999999999</v>
      </c>
      <c r="AV135" s="1314">
        <f t="shared" si="31"/>
        <v>-8.1410853776670358E-3</v>
      </c>
      <c r="AX135" s="1314">
        <v>3.1566000000000001</v>
      </c>
      <c r="AY135" s="1314">
        <f t="shared" si="32"/>
        <v>2.5136399064692099E-2</v>
      </c>
    </row>
    <row r="136" spans="1:51" x14ac:dyDescent="0.75">
      <c r="A136" s="1326">
        <v>41866</v>
      </c>
      <c r="B136" s="1314">
        <v>1165.6210000000001</v>
      </c>
      <c r="C136" s="1314">
        <f t="shared" si="22"/>
        <v>-1.6922692854600484E-2</v>
      </c>
      <c r="E136" s="1326">
        <v>41866</v>
      </c>
      <c r="F136" s="1314">
        <v>11.57</v>
      </c>
      <c r="G136" s="1314">
        <f t="shared" si="23"/>
        <v>-2.1978021978021959E-2</v>
      </c>
      <c r="I136" s="1326">
        <v>41866</v>
      </c>
      <c r="J136" s="1314">
        <v>11.83</v>
      </c>
      <c r="K136" s="1314">
        <f t="shared" si="24"/>
        <v>-8.4459459459457664E-4</v>
      </c>
      <c r="M136" s="1326">
        <v>41866</v>
      </c>
      <c r="N136" s="1314">
        <v>9.44</v>
      </c>
      <c r="O136" s="1314">
        <f t="shared" si="25"/>
        <v>-1.1518324607329969E-2</v>
      </c>
      <c r="Q136" s="1326">
        <v>41866</v>
      </c>
      <c r="R136" s="1314">
        <v>9.07</v>
      </c>
      <c r="S136" s="1314">
        <f t="shared" si="26"/>
        <v>-6.5717415115006013E-3</v>
      </c>
      <c r="U136" s="1326">
        <v>41866</v>
      </c>
      <c r="V136" s="1314">
        <v>23.465</v>
      </c>
      <c r="W136" s="1314">
        <f t="shared" si="27"/>
        <v>-5.7251908396946591E-2</v>
      </c>
      <c r="Y136" s="1326">
        <v>41866</v>
      </c>
      <c r="Z136" s="1314">
        <v>15.31</v>
      </c>
      <c r="AA136" s="1314">
        <f t="shared" si="28"/>
        <v>-4.0125391849529707E-2</v>
      </c>
      <c r="AC136" s="1326">
        <v>41866</v>
      </c>
      <c r="AD136" s="1314">
        <v>10.38</v>
      </c>
      <c r="AE136" s="1314">
        <f t="shared" si="29"/>
        <v>-4.243542435424346E-2</v>
      </c>
      <c r="AG136" s="1326">
        <v>41866</v>
      </c>
      <c r="AH136" s="1314">
        <v>3.94</v>
      </c>
      <c r="AI136" s="1314">
        <f t="shared" si="30"/>
        <v>-7.9439252336448662E-2</v>
      </c>
      <c r="AK136" s="1326">
        <v>41866</v>
      </c>
      <c r="AL136" s="1314">
        <v>-0.46</v>
      </c>
      <c r="AN136" s="1326">
        <v>41866</v>
      </c>
      <c r="AO136" s="1314">
        <v>-0.36</v>
      </c>
      <c r="AQ136" s="1326">
        <v>41866</v>
      </c>
      <c r="AR136" s="1327">
        <v>2.39</v>
      </c>
      <c r="AT136" s="1326">
        <v>41866</v>
      </c>
      <c r="AU136" s="1314">
        <v>1165.6210000000001</v>
      </c>
      <c r="AV136" s="1314">
        <f t="shared" si="31"/>
        <v>-1.6922692854600484E-2</v>
      </c>
      <c r="AX136" s="1314">
        <v>3.1322999999999999</v>
      </c>
      <c r="AY136" s="1314">
        <f t="shared" si="32"/>
        <v>-7.6981562440601309E-3</v>
      </c>
    </row>
    <row r="137" spans="1:51" x14ac:dyDescent="0.75">
      <c r="A137" s="1326">
        <v>41859</v>
      </c>
      <c r="B137" s="1314">
        <v>1151.221</v>
      </c>
      <c r="C137" s="1314">
        <f t="shared" si="22"/>
        <v>-1.2353929793646554E-2</v>
      </c>
      <c r="E137" s="1326">
        <v>41859</v>
      </c>
      <c r="F137" s="1314">
        <v>11.7</v>
      </c>
      <c r="G137" s="1314">
        <f t="shared" si="23"/>
        <v>1.1235955056179688E-2</v>
      </c>
      <c r="I137" s="1326">
        <v>41859</v>
      </c>
      <c r="J137" s="1314">
        <v>11.8</v>
      </c>
      <c r="K137" s="1314">
        <f t="shared" si="24"/>
        <v>-2.5359256128486356E-3</v>
      </c>
      <c r="M137" s="1326">
        <v>41859</v>
      </c>
      <c r="N137" s="1314">
        <v>9.2100000000000009</v>
      </c>
      <c r="O137" s="1314">
        <f t="shared" si="25"/>
        <v>-2.4364406779660876E-2</v>
      </c>
      <c r="Q137" s="1326">
        <v>41859</v>
      </c>
      <c r="R137" s="1314">
        <v>9.16</v>
      </c>
      <c r="S137" s="1314">
        <f t="shared" si="26"/>
        <v>9.9228224917309645E-3</v>
      </c>
      <c r="U137" s="1326">
        <v>41859</v>
      </c>
      <c r="V137" s="1314">
        <v>22.53</v>
      </c>
      <c r="W137" s="1314">
        <f t="shared" si="27"/>
        <v>-3.9846580012784946E-2</v>
      </c>
      <c r="Y137" s="1326">
        <v>41859</v>
      </c>
      <c r="Z137" s="1314">
        <v>14.79</v>
      </c>
      <c r="AA137" s="1314">
        <f t="shared" si="28"/>
        <v>-3.3964728935336468E-2</v>
      </c>
      <c r="AC137" s="1326">
        <v>41859</v>
      </c>
      <c r="AD137" s="1314">
        <v>10.26</v>
      </c>
      <c r="AE137" s="1314">
        <f t="shared" si="29"/>
        <v>-1.1560693641618592E-2</v>
      </c>
      <c r="AG137" s="1326">
        <v>41859</v>
      </c>
      <c r="AH137" s="1314">
        <v>3.99</v>
      </c>
      <c r="AI137" s="1314">
        <f t="shared" si="30"/>
        <v>1.2690355329949306E-2</v>
      </c>
      <c r="AK137" s="1326">
        <v>41859</v>
      </c>
      <c r="AL137" s="1314">
        <v>0.97</v>
      </c>
      <c r="AN137" s="1326">
        <v>41859</v>
      </c>
      <c r="AO137" s="1314">
        <v>-0.57999999999999996</v>
      </c>
      <c r="AQ137" s="1326">
        <v>41859</v>
      </c>
      <c r="AR137" s="1327">
        <v>2.4300000000000002</v>
      </c>
      <c r="AT137" s="1326">
        <v>41859</v>
      </c>
      <c r="AU137" s="1314">
        <v>1151.221</v>
      </c>
      <c r="AV137" s="1314">
        <f t="shared" si="31"/>
        <v>-1.2353929793646554E-2</v>
      </c>
      <c r="AX137" s="1314">
        <v>3.2303000000000002</v>
      </c>
      <c r="AY137" s="1314">
        <f t="shared" si="32"/>
        <v>3.1286913769434703E-2</v>
      </c>
    </row>
    <row r="138" spans="1:51" x14ac:dyDescent="0.75">
      <c r="A138" s="1326">
        <v>41852</v>
      </c>
      <c r="B138" s="1314">
        <v>1146.3030000000001</v>
      </c>
      <c r="C138" s="1314">
        <f t="shared" si="22"/>
        <v>-4.2719860044247741E-3</v>
      </c>
      <c r="E138" s="1326">
        <v>41852</v>
      </c>
      <c r="F138" s="1314">
        <v>11.43</v>
      </c>
      <c r="G138" s="1314">
        <f t="shared" si="23"/>
        <v>-2.3076923076923044E-2</v>
      </c>
      <c r="I138" s="1326">
        <v>41852</v>
      </c>
      <c r="J138" s="1314">
        <v>11.48</v>
      </c>
      <c r="K138" s="1314">
        <f t="shared" si="24"/>
        <v>-2.7118644067796634E-2</v>
      </c>
      <c r="M138" s="1326">
        <v>41852</v>
      </c>
      <c r="N138" s="1314">
        <v>9.5500000000000007</v>
      </c>
      <c r="O138" s="1314">
        <f t="shared" si="25"/>
        <v>3.6916395222584129E-2</v>
      </c>
      <c r="Q138" s="1326">
        <v>41852</v>
      </c>
      <c r="R138" s="1314">
        <v>9.14</v>
      </c>
      <c r="S138" s="1314">
        <f t="shared" si="26"/>
        <v>-2.1834061135370714E-3</v>
      </c>
      <c r="U138" s="1326">
        <v>41852</v>
      </c>
      <c r="V138" s="1314">
        <v>22.41</v>
      </c>
      <c r="W138" s="1314">
        <f t="shared" si="27"/>
        <v>-5.3262316910786056E-3</v>
      </c>
      <c r="Y138" s="1326">
        <v>41852</v>
      </c>
      <c r="Z138" s="1314">
        <v>14.59</v>
      </c>
      <c r="AA138" s="1314">
        <f t="shared" si="28"/>
        <v>-1.3522650439486092E-2</v>
      </c>
      <c r="AC138" s="1326">
        <v>41852</v>
      </c>
      <c r="AD138" s="1314">
        <v>10.11</v>
      </c>
      <c r="AE138" s="1314">
        <f t="shared" si="29"/>
        <v>-1.4619883040935708E-2</v>
      </c>
      <c r="AG138" s="1326">
        <v>41852</v>
      </c>
      <c r="AH138" s="1314">
        <v>4.09</v>
      </c>
      <c r="AI138" s="1314">
        <f t="shared" si="30"/>
        <v>2.5062656641603918E-2</v>
      </c>
      <c r="AK138" s="1326">
        <v>41852</v>
      </c>
      <c r="AL138" s="1314">
        <v>0.26</v>
      </c>
      <c r="AN138" s="1326">
        <v>41852</v>
      </c>
      <c r="AO138" s="1314">
        <v>-0.27</v>
      </c>
      <c r="AQ138" s="1326">
        <v>41852</v>
      </c>
      <c r="AR138" s="1327">
        <v>2.4500000000000002</v>
      </c>
      <c r="AT138" s="1326">
        <v>41852</v>
      </c>
      <c r="AU138" s="1314">
        <v>1146.3030000000001</v>
      </c>
      <c r="AV138" s="1314">
        <f t="shared" si="31"/>
        <v>-4.2719860044247741E-3</v>
      </c>
      <c r="AX138" s="1314">
        <v>3.2806999999999999</v>
      </c>
      <c r="AY138" s="1314">
        <f t="shared" si="32"/>
        <v>1.5602266043401472E-2</v>
      </c>
    </row>
    <row r="139" spans="1:51" x14ac:dyDescent="0.75">
      <c r="A139" s="1326">
        <v>41845</v>
      </c>
      <c r="B139" s="1314">
        <v>1177.328</v>
      </c>
      <c r="C139" s="1314">
        <f t="shared" si="22"/>
        <v>2.7065269828308799E-2</v>
      </c>
      <c r="E139" s="1326">
        <v>41845</v>
      </c>
      <c r="F139" s="1314">
        <v>11.57</v>
      </c>
      <c r="G139" s="1314">
        <f t="shared" si="23"/>
        <v>1.2248468941382377E-2</v>
      </c>
      <c r="I139" s="1326">
        <v>41845</v>
      </c>
      <c r="J139" s="1314">
        <v>12.23</v>
      </c>
      <c r="K139" s="1314">
        <f t="shared" si="24"/>
        <v>6.5331010452961677E-2</v>
      </c>
      <c r="M139" s="1326">
        <v>41845</v>
      </c>
      <c r="N139" s="1314">
        <v>9.76</v>
      </c>
      <c r="O139" s="1314">
        <f t="shared" si="25"/>
        <v>2.1989528795811421E-2</v>
      </c>
      <c r="Q139" s="1326">
        <v>41845</v>
      </c>
      <c r="R139" s="1314">
        <v>9.32</v>
      </c>
      <c r="S139" s="1314">
        <f t="shared" si="26"/>
        <v>1.9693654266958391E-2</v>
      </c>
      <c r="U139" s="1326">
        <v>41845</v>
      </c>
      <c r="V139" s="1314">
        <v>21.8</v>
      </c>
      <c r="W139" s="1314">
        <f t="shared" si="27"/>
        <v>-2.7219991075412737E-2</v>
      </c>
      <c r="Y139" s="1326">
        <v>41845</v>
      </c>
      <c r="Z139" s="1314">
        <v>14.95</v>
      </c>
      <c r="AA139" s="1314">
        <f t="shared" si="28"/>
        <v>2.4674434544208323E-2</v>
      </c>
      <c r="AC139" s="1326">
        <v>41845</v>
      </c>
      <c r="AD139" s="1314">
        <v>10.210000000000001</v>
      </c>
      <c r="AE139" s="1314">
        <f t="shared" si="29"/>
        <v>9.8911968348171543E-3</v>
      </c>
      <c r="AG139" s="1326">
        <v>41845</v>
      </c>
      <c r="AH139" s="1314">
        <v>3.99</v>
      </c>
      <c r="AI139" s="1314">
        <f t="shared" si="30"/>
        <v>-2.4449877750611162E-2</v>
      </c>
      <c r="AK139" s="1326">
        <v>41845</v>
      </c>
      <c r="AL139" s="1314">
        <v>-0.48</v>
      </c>
      <c r="AN139" s="1326">
        <v>41845</v>
      </c>
      <c r="AO139" s="1314">
        <v>-0.83</v>
      </c>
      <c r="AQ139" s="1326">
        <v>41845</v>
      </c>
      <c r="AR139" s="1327">
        <v>2.42</v>
      </c>
      <c r="AT139" s="1326">
        <v>41845</v>
      </c>
      <c r="AU139" s="1314">
        <v>1177.328</v>
      </c>
      <c r="AV139" s="1314">
        <f t="shared" si="31"/>
        <v>2.7065269828308799E-2</v>
      </c>
      <c r="AX139" s="1314">
        <v>3.2385000000000002</v>
      </c>
      <c r="AY139" s="1314">
        <f t="shared" si="32"/>
        <v>-1.286310848294565E-2</v>
      </c>
    </row>
    <row r="140" spans="1:51" x14ac:dyDescent="0.75">
      <c r="A140" s="1326">
        <v>41838</v>
      </c>
      <c r="B140" s="1314">
        <v>1177.6210000000001</v>
      </c>
      <c r="C140" s="1314">
        <f t="shared" si="22"/>
        <v>2.4886862454653256E-4</v>
      </c>
      <c r="E140" s="1326">
        <v>41838</v>
      </c>
      <c r="F140" s="1314">
        <v>12.1</v>
      </c>
      <c r="G140" s="1314">
        <f t="shared" si="23"/>
        <v>4.58081244598098E-2</v>
      </c>
      <c r="I140" s="1326">
        <v>41838</v>
      </c>
      <c r="J140" s="1314">
        <v>13.66</v>
      </c>
      <c r="K140" s="1314">
        <f t="shared" si="24"/>
        <v>0.11692559280457887</v>
      </c>
      <c r="M140" s="1326">
        <v>41838</v>
      </c>
      <c r="N140" s="1314">
        <v>10.66</v>
      </c>
      <c r="O140" s="1314">
        <f t="shared" si="25"/>
        <v>9.2213114754098394E-2</v>
      </c>
      <c r="Q140" s="1326">
        <v>41838</v>
      </c>
      <c r="R140" s="1314">
        <v>9.33</v>
      </c>
      <c r="S140" s="1314">
        <f t="shared" si="26"/>
        <v>1.072961373390535E-3</v>
      </c>
      <c r="U140" s="1326">
        <v>41838</v>
      </c>
      <c r="V140" s="1314">
        <v>24.84</v>
      </c>
      <c r="W140" s="1314">
        <f t="shared" si="27"/>
        <v>0.13944954128440362</v>
      </c>
      <c r="Y140" s="1326">
        <v>41838</v>
      </c>
      <c r="Z140" s="1314">
        <v>15.09</v>
      </c>
      <c r="AA140" s="1314">
        <f t="shared" si="28"/>
        <v>9.3645484949833168E-3</v>
      </c>
      <c r="AC140" s="1326">
        <v>41838</v>
      </c>
      <c r="AD140" s="1314">
        <v>10.73</v>
      </c>
      <c r="AE140" s="1314">
        <f t="shared" si="29"/>
        <v>5.0930460333006813E-2</v>
      </c>
      <c r="AG140" s="1326">
        <v>41838</v>
      </c>
      <c r="AH140" s="1314">
        <v>3.99</v>
      </c>
      <c r="AI140" s="1314">
        <f t="shared" si="30"/>
        <v>0</v>
      </c>
      <c r="AK140" s="1326">
        <v>41838</v>
      </c>
      <c r="AL140" s="1314">
        <v>-1.43</v>
      </c>
      <c r="AN140" s="1326">
        <v>41838</v>
      </c>
      <c r="AO140" s="1314">
        <v>0.87</v>
      </c>
      <c r="AQ140" s="1326">
        <v>41838</v>
      </c>
      <c r="AR140" s="1327">
        <v>2.4300000000000002</v>
      </c>
      <c r="AT140" s="1326">
        <v>41838</v>
      </c>
      <c r="AU140" s="1314">
        <v>1177.6210000000001</v>
      </c>
      <c r="AV140" s="1314">
        <f t="shared" si="31"/>
        <v>2.4886862454653256E-4</v>
      </c>
      <c r="AX140" s="1314">
        <v>3.2881</v>
      </c>
      <c r="AY140" s="1314">
        <f t="shared" si="32"/>
        <v>1.5315732592249456E-2</v>
      </c>
    </row>
    <row r="141" spans="1:51" x14ac:dyDescent="0.75">
      <c r="A141" s="1326">
        <v>41831</v>
      </c>
      <c r="B141" s="1314">
        <v>1172.9359999999999</v>
      </c>
      <c r="C141" s="1314">
        <f t="shared" si="22"/>
        <v>-3.9783597609079424E-3</v>
      </c>
      <c r="E141" s="1326">
        <v>41831</v>
      </c>
      <c r="F141" s="1314">
        <v>12.38</v>
      </c>
      <c r="G141" s="1314">
        <f t="shared" si="23"/>
        <v>2.3140495867768691E-2</v>
      </c>
      <c r="I141" s="1326">
        <v>41831</v>
      </c>
      <c r="J141" s="1314">
        <v>14.02</v>
      </c>
      <c r="K141" s="1314">
        <f t="shared" si="24"/>
        <v>2.6354319180087807E-2</v>
      </c>
      <c r="M141" s="1326">
        <v>41831</v>
      </c>
      <c r="N141" s="1314">
        <v>10.46</v>
      </c>
      <c r="O141" s="1314">
        <f t="shared" si="25"/>
        <v>-1.8761726078799182E-2</v>
      </c>
      <c r="Q141" s="1326">
        <v>41831</v>
      </c>
      <c r="R141" s="1314">
        <v>9.2899999999999991</v>
      </c>
      <c r="S141" s="1314">
        <f t="shared" si="26"/>
        <v>-4.2872454448018137E-3</v>
      </c>
      <c r="U141" s="1326">
        <v>41831</v>
      </c>
      <c r="V141" s="1314">
        <v>25.23</v>
      </c>
      <c r="W141" s="1314">
        <f t="shared" si="27"/>
        <v>1.5700483091787464E-2</v>
      </c>
      <c r="Y141" s="1326">
        <v>41831</v>
      </c>
      <c r="Z141" s="1314">
        <v>15.27</v>
      </c>
      <c r="AA141" s="1314">
        <f t="shared" si="28"/>
        <v>1.1928429423459225E-2</v>
      </c>
      <c r="AC141" s="1326">
        <v>41831</v>
      </c>
      <c r="AD141" s="1314">
        <v>10.4</v>
      </c>
      <c r="AE141" s="1314">
        <f t="shared" si="29"/>
        <v>-3.0754892823858345E-2</v>
      </c>
      <c r="AG141" s="1326">
        <v>41831</v>
      </c>
      <c r="AH141" s="1314">
        <v>4.0599999999999996</v>
      </c>
      <c r="AI141" s="1314">
        <f t="shared" si="30"/>
        <v>1.7543859649122653E-2</v>
      </c>
      <c r="AK141" s="1326">
        <v>41831</v>
      </c>
      <c r="AL141" s="1314">
        <v>-3.05</v>
      </c>
      <c r="AN141" s="1326">
        <v>41831</v>
      </c>
      <c r="AO141" s="1314">
        <v>0.57999999999999996</v>
      </c>
      <c r="AQ141" s="1326">
        <v>41831</v>
      </c>
      <c r="AR141" s="1327">
        <v>2.4500000000000002</v>
      </c>
      <c r="AT141" s="1326">
        <v>41831</v>
      </c>
      <c r="AU141" s="1314">
        <v>1172.9359999999999</v>
      </c>
      <c r="AV141" s="1314">
        <f t="shared" si="31"/>
        <v>-3.9783597609079424E-3</v>
      </c>
      <c r="AX141" s="1314">
        <v>3.3365999999999998</v>
      </c>
      <c r="AY141" s="1314">
        <f t="shared" si="32"/>
        <v>1.4750159666676733E-2</v>
      </c>
    </row>
    <row r="142" spans="1:51" x14ac:dyDescent="0.75">
      <c r="A142" s="1326">
        <v>41824</v>
      </c>
      <c r="B142" s="1314">
        <v>1188.318</v>
      </c>
      <c r="C142" s="1314">
        <f t="shared" si="22"/>
        <v>1.3114100002046202E-2</v>
      </c>
      <c r="E142" s="1326">
        <v>41824</v>
      </c>
      <c r="F142" s="1314">
        <v>13.06</v>
      </c>
      <c r="G142" s="1314">
        <f t="shared" si="23"/>
        <v>5.4927302100161522E-2</v>
      </c>
      <c r="I142" s="1326">
        <v>41824</v>
      </c>
      <c r="J142" s="1314">
        <v>14.68</v>
      </c>
      <c r="K142" s="1314">
        <f t="shared" si="24"/>
        <v>4.7075606276747513E-2</v>
      </c>
      <c r="M142" s="1326">
        <v>41824</v>
      </c>
      <c r="N142" s="1314">
        <v>11.34</v>
      </c>
      <c r="O142" s="1314">
        <f t="shared" si="25"/>
        <v>8.4130019120458782E-2</v>
      </c>
      <c r="Q142" s="1326">
        <v>41824</v>
      </c>
      <c r="R142" s="1314">
        <v>9.35</v>
      </c>
      <c r="S142" s="1314">
        <f t="shared" si="26"/>
        <v>6.4585575888052209E-3</v>
      </c>
      <c r="U142" s="1326">
        <v>41824</v>
      </c>
      <c r="V142" s="1314">
        <v>26.73</v>
      </c>
      <c r="W142" s="1314">
        <f t="shared" si="27"/>
        <v>5.9453032104637336E-2</v>
      </c>
      <c r="Y142" s="1326">
        <v>41824</v>
      </c>
      <c r="Z142" s="1314">
        <v>15.6</v>
      </c>
      <c r="AA142" s="1314">
        <f t="shared" si="28"/>
        <v>2.1611001964636549E-2</v>
      </c>
      <c r="AC142" s="1326">
        <v>41824</v>
      </c>
      <c r="AD142" s="1314">
        <v>11.08</v>
      </c>
      <c r="AE142" s="1314">
        <f t="shared" si="29"/>
        <v>6.538461538461536E-2</v>
      </c>
      <c r="AG142" s="1326">
        <v>41824</v>
      </c>
      <c r="AH142" s="1314">
        <v>4.1500000000000004</v>
      </c>
      <c r="AI142" s="1314">
        <f t="shared" si="30"/>
        <v>2.2167487684729249E-2</v>
      </c>
      <c r="AK142" s="1326">
        <v>41824</v>
      </c>
      <c r="AL142" s="1314">
        <v>0.52</v>
      </c>
      <c r="AN142" s="1326">
        <v>41824</v>
      </c>
      <c r="AO142" s="1314">
        <v>-0.3</v>
      </c>
      <c r="AQ142" s="1326">
        <v>41824</v>
      </c>
      <c r="AR142" s="1327">
        <v>2.4700000000000002</v>
      </c>
      <c r="AT142" s="1326">
        <v>41824</v>
      </c>
      <c r="AU142" s="1314">
        <v>1188.318</v>
      </c>
      <c r="AV142" s="1314">
        <f t="shared" si="31"/>
        <v>1.3114100002046202E-2</v>
      </c>
      <c r="AX142" s="1314">
        <v>3.4693999999999998</v>
      </c>
      <c r="AY142" s="1314">
        <f t="shared" si="32"/>
        <v>3.9800995024875635E-2</v>
      </c>
    </row>
    <row r="143" spans="1:51" x14ac:dyDescent="0.75">
      <c r="A143" s="1326">
        <v>41817</v>
      </c>
      <c r="B143" s="1314">
        <v>1173.501</v>
      </c>
      <c r="C143" s="1314">
        <f t="shared" si="22"/>
        <v>-1.2468884591498242E-2</v>
      </c>
      <c r="E143" s="1326">
        <v>41817</v>
      </c>
      <c r="F143" s="1314">
        <v>11.92</v>
      </c>
      <c r="G143" s="1314">
        <f t="shared" si="23"/>
        <v>-8.7289433384379819E-2</v>
      </c>
      <c r="I143" s="1326">
        <v>41817</v>
      </c>
      <c r="J143" s="1314">
        <v>14.29</v>
      </c>
      <c r="K143" s="1314">
        <f t="shared" si="24"/>
        <v>-2.6566757493188049E-2</v>
      </c>
      <c r="M143" s="1326">
        <v>41817</v>
      </c>
      <c r="N143" s="1314">
        <v>11.08</v>
      </c>
      <c r="O143" s="1314">
        <f t="shared" si="25"/>
        <v>-2.2927689594356242E-2</v>
      </c>
      <c r="Q143" s="1326">
        <v>41817</v>
      </c>
      <c r="R143" s="1314">
        <v>9.2799999999999994</v>
      </c>
      <c r="S143" s="1314">
        <f t="shared" si="26"/>
        <v>-7.4866310160428117E-3</v>
      </c>
      <c r="U143" s="1326">
        <v>41817</v>
      </c>
      <c r="V143" s="1314">
        <v>26.14</v>
      </c>
      <c r="W143" s="1314">
        <f t="shared" si="27"/>
        <v>-2.2072577628133177E-2</v>
      </c>
      <c r="Y143" s="1326">
        <v>41817</v>
      </c>
      <c r="Z143" s="1314">
        <v>15.22</v>
      </c>
      <c r="AA143" s="1314">
        <f t="shared" si="28"/>
        <v>-2.4358974358974297E-2</v>
      </c>
      <c r="AC143" s="1326">
        <v>41817</v>
      </c>
      <c r="AD143" s="1314">
        <v>10.65</v>
      </c>
      <c r="AE143" s="1314">
        <f t="shared" si="29"/>
        <v>-3.8808664259927773E-2</v>
      </c>
      <c r="AG143" s="1326">
        <v>41817</v>
      </c>
      <c r="AH143" s="1314">
        <v>4.0599999999999996</v>
      </c>
      <c r="AI143" s="1314">
        <f t="shared" si="30"/>
        <v>-2.1686746987951984E-2</v>
      </c>
      <c r="AK143" s="1326">
        <v>41817</v>
      </c>
      <c r="AL143" s="1314">
        <v>0.18</v>
      </c>
      <c r="AN143" s="1326">
        <v>41817</v>
      </c>
      <c r="AO143" s="1314">
        <v>-0.25</v>
      </c>
      <c r="AQ143" s="1326">
        <v>41817</v>
      </c>
      <c r="AR143" s="1327">
        <v>2.42</v>
      </c>
      <c r="AT143" s="1326">
        <v>41817</v>
      </c>
      <c r="AU143" s="1314">
        <v>1173.501</v>
      </c>
      <c r="AV143" s="1314">
        <f t="shared" si="31"/>
        <v>-1.2468884591498242E-2</v>
      </c>
      <c r="AX143" s="1314">
        <v>3.3664999999999998</v>
      </c>
      <c r="AY143" s="1314">
        <f t="shared" si="32"/>
        <v>-2.9659307084798522E-2</v>
      </c>
    </row>
    <row r="144" spans="1:51" x14ac:dyDescent="0.75">
      <c r="A144" s="1326">
        <v>41810</v>
      </c>
      <c r="B144" s="1314">
        <v>1174.2550000000001</v>
      </c>
      <c r="C144" s="1314">
        <f t="shared" si="22"/>
        <v>6.4252182145574041E-4</v>
      </c>
      <c r="E144" s="1326">
        <v>41810</v>
      </c>
      <c r="F144" s="1314">
        <v>11.05</v>
      </c>
      <c r="G144" s="1314">
        <f t="shared" si="23"/>
        <v>-7.298657718120799E-2</v>
      </c>
      <c r="I144" s="1326">
        <v>41810</v>
      </c>
      <c r="J144" s="1314">
        <v>14.69</v>
      </c>
      <c r="K144" s="1314">
        <f t="shared" si="24"/>
        <v>2.7991602519244253E-2</v>
      </c>
      <c r="M144" s="1326">
        <v>41810</v>
      </c>
      <c r="N144" s="1314">
        <v>11.32</v>
      </c>
      <c r="O144" s="1314">
        <f t="shared" si="25"/>
        <v>2.1660649819494605E-2</v>
      </c>
      <c r="Q144" s="1326">
        <v>41810</v>
      </c>
      <c r="R144" s="1314">
        <v>9.11</v>
      </c>
      <c r="S144" s="1314">
        <f t="shared" si="26"/>
        <v>-1.8318965517241374E-2</v>
      </c>
      <c r="U144" s="1326">
        <v>41810</v>
      </c>
      <c r="V144" s="1314">
        <v>26.92</v>
      </c>
      <c r="W144" s="1314">
        <f t="shared" si="27"/>
        <v>2.9839326702371886E-2</v>
      </c>
      <c r="Y144" s="1326">
        <v>41810</v>
      </c>
      <c r="Z144" s="1314">
        <v>15.19</v>
      </c>
      <c r="AA144" s="1314">
        <f t="shared" si="28"/>
        <v>-1.9710906701709023E-3</v>
      </c>
      <c r="AC144" s="1326">
        <v>41810</v>
      </c>
      <c r="AD144" s="1314">
        <v>11.02</v>
      </c>
      <c r="AE144" s="1314">
        <f t="shared" si="29"/>
        <v>3.4741784037558614E-2</v>
      </c>
      <c r="AG144" s="1326">
        <v>41810</v>
      </c>
      <c r="AH144" s="1314">
        <v>3.95</v>
      </c>
      <c r="AI144" s="1314">
        <f t="shared" si="30"/>
        <v>-2.7093596059113163E-2</v>
      </c>
      <c r="AK144" s="1326">
        <v>41810</v>
      </c>
      <c r="AL144" s="1314">
        <v>0.74</v>
      </c>
      <c r="AN144" s="1326">
        <v>41810</v>
      </c>
      <c r="AO144" s="1314">
        <v>-0.28000000000000003</v>
      </c>
      <c r="AQ144" s="1326">
        <v>41810</v>
      </c>
      <c r="AR144" s="1327">
        <v>2.4700000000000002</v>
      </c>
      <c r="AT144" s="1326">
        <v>41810</v>
      </c>
      <c r="AU144" s="1314">
        <v>1174.2550000000001</v>
      </c>
      <c r="AV144" s="1314">
        <f t="shared" si="31"/>
        <v>6.4252182145574041E-4</v>
      </c>
      <c r="AX144" s="1314">
        <v>3.4337</v>
      </c>
      <c r="AY144" s="1314">
        <f t="shared" si="32"/>
        <v>1.9961384226941974E-2</v>
      </c>
    </row>
    <row r="145" spans="1:51" x14ac:dyDescent="0.75">
      <c r="A145" s="1326">
        <v>41803</v>
      </c>
      <c r="B145" s="1314">
        <v>1157.239</v>
      </c>
      <c r="C145" s="1314">
        <f t="shared" si="22"/>
        <v>-1.4490889968533304E-2</v>
      </c>
      <c r="E145" s="1326">
        <v>41803</v>
      </c>
      <c r="F145" s="1314">
        <v>10.71</v>
      </c>
      <c r="G145" s="1314">
        <f t="shared" si="23"/>
        <v>-3.0769230769230754E-2</v>
      </c>
      <c r="I145" s="1326">
        <v>41803</v>
      </c>
      <c r="J145" s="1314">
        <v>13.64</v>
      </c>
      <c r="K145" s="1314">
        <f t="shared" si="24"/>
        <v>-7.1477195371000612E-2</v>
      </c>
      <c r="M145" s="1326">
        <v>41803</v>
      </c>
      <c r="N145" s="1314">
        <v>11.39</v>
      </c>
      <c r="O145" s="1314">
        <f t="shared" si="25"/>
        <v>6.1837455830388941E-3</v>
      </c>
      <c r="Q145" s="1326">
        <v>41803</v>
      </c>
      <c r="R145" s="1314">
        <v>8.8000000000000007</v>
      </c>
      <c r="S145" s="1314">
        <f t="shared" si="26"/>
        <v>-3.4028540065861555E-2</v>
      </c>
      <c r="U145" s="1326">
        <v>41803</v>
      </c>
      <c r="V145" s="1314">
        <v>27.61</v>
      </c>
      <c r="W145" s="1314">
        <f t="shared" si="27"/>
        <v>2.5631500742941963E-2</v>
      </c>
      <c r="Y145" s="1326">
        <v>41803</v>
      </c>
      <c r="Z145" s="1314">
        <v>15.44</v>
      </c>
      <c r="AA145" s="1314">
        <f t="shared" si="28"/>
        <v>1.6458196181698487E-2</v>
      </c>
      <c r="AC145" s="1326">
        <v>41803</v>
      </c>
      <c r="AD145" s="1314">
        <v>10.95</v>
      </c>
      <c r="AE145" s="1314">
        <f t="shared" si="29"/>
        <v>-6.3520871143375943E-3</v>
      </c>
      <c r="AG145" s="1326">
        <v>41803</v>
      </c>
      <c r="AH145" s="1314">
        <v>4.07</v>
      </c>
      <c r="AI145" s="1314">
        <f t="shared" si="30"/>
        <v>3.0379746835443065E-2</v>
      </c>
      <c r="AK145" s="1326">
        <v>41803</v>
      </c>
      <c r="AL145" s="1314">
        <v>0.7</v>
      </c>
      <c r="AN145" s="1326">
        <v>41803</v>
      </c>
      <c r="AO145" s="1314">
        <v>-0.57999999999999996</v>
      </c>
      <c r="AQ145" s="1326">
        <v>41803</v>
      </c>
      <c r="AR145" s="1327">
        <v>2.46</v>
      </c>
      <c r="AT145" s="1326">
        <v>41803</v>
      </c>
      <c r="AU145" s="1314">
        <v>1157.239</v>
      </c>
      <c r="AV145" s="1314">
        <f t="shared" si="31"/>
        <v>-1.4490889968533304E-2</v>
      </c>
      <c r="AX145" s="1314">
        <v>3.4134000000000002</v>
      </c>
      <c r="AY145" s="1314">
        <f t="shared" si="32"/>
        <v>-5.911989981652376E-3</v>
      </c>
    </row>
    <row r="146" spans="1:51" x14ac:dyDescent="0.75">
      <c r="A146" s="1326">
        <v>41796</v>
      </c>
      <c r="B146" s="1314">
        <v>1164.73</v>
      </c>
      <c r="C146" s="1314">
        <f t="shared" si="22"/>
        <v>6.4731658715269577E-3</v>
      </c>
      <c r="E146" s="1326">
        <v>41796</v>
      </c>
      <c r="F146" s="1314">
        <v>11.12</v>
      </c>
      <c r="G146" s="1314">
        <f t="shared" si="23"/>
        <v>3.828197945844989E-2</v>
      </c>
      <c r="I146" s="1326">
        <v>41796</v>
      </c>
      <c r="J146" s="1314">
        <v>12.18</v>
      </c>
      <c r="K146" s="1314">
        <f t="shared" si="24"/>
        <v>-0.10703812316715548</v>
      </c>
      <c r="M146" s="1326">
        <v>41796</v>
      </c>
      <c r="N146" s="1314">
        <v>10.96</v>
      </c>
      <c r="O146" s="1314">
        <f t="shared" si="25"/>
        <v>-3.7752414398595231E-2</v>
      </c>
      <c r="Q146" s="1326">
        <v>41796</v>
      </c>
      <c r="R146" s="1314">
        <v>8.7100000000000009</v>
      </c>
      <c r="S146" s="1314">
        <f t="shared" si="26"/>
        <v>-1.022727272727271E-2</v>
      </c>
      <c r="U146" s="1326">
        <v>41796</v>
      </c>
      <c r="V146" s="1314">
        <v>27.26</v>
      </c>
      <c r="W146" s="1314">
        <f t="shared" si="27"/>
        <v>-1.2676566461426942E-2</v>
      </c>
      <c r="Y146" s="1326">
        <v>41796</v>
      </c>
      <c r="Z146" s="1314">
        <v>15.36</v>
      </c>
      <c r="AA146" s="1314">
        <f t="shared" si="28"/>
        <v>-5.1813471502590719E-3</v>
      </c>
      <c r="AC146" s="1326">
        <v>41796</v>
      </c>
      <c r="AD146" s="1314">
        <v>10.7</v>
      </c>
      <c r="AE146" s="1314">
        <f t="shared" si="29"/>
        <v>-2.2831050228310504E-2</v>
      </c>
      <c r="AG146" s="1326">
        <v>41796</v>
      </c>
      <c r="AH146" s="1314">
        <v>4.24</v>
      </c>
      <c r="AI146" s="1314">
        <f t="shared" si="30"/>
        <v>4.1769041769041747E-2</v>
      </c>
      <c r="AK146" s="1326">
        <v>41796</v>
      </c>
      <c r="AL146" s="1314">
        <v>1.05</v>
      </c>
      <c r="AN146" s="1326">
        <v>41796</v>
      </c>
      <c r="AO146" s="1314">
        <v>0.31</v>
      </c>
      <c r="AQ146" s="1326">
        <v>41796</v>
      </c>
      <c r="AR146" s="1327">
        <v>2.42</v>
      </c>
      <c r="AT146" s="1326">
        <v>41796</v>
      </c>
      <c r="AU146" s="1314">
        <v>1164.73</v>
      </c>
      <c r="AV146" s="1314">
        <f t="shared" si="31"/>
        <v>6.4731658715269577E-3</v>
      </c>
      <c r="AX146" s="1314">
        <v>3.4319999999999999</v>
      </c>
      <c r="AY146" s="1314">
        <f t="shared" si="32"/>
        <v>5.4491123220248806E-3</v>
      </c>
    </row>
    <row r="147" spans="1:51" x14ac:dyDescent="0.75">
      <c r="A147" s="1326">
        <v>41789</v>
      </c>
      <c r="B147" s="1314">
        <v>1147.18</v>
      </c>
      <c r="C147" s="1314">
        <f t="shared" ref="C147:C210" si="33">(B147-B146)/B146</f>
        <v>-1.5067869806736287E-2</v>
      </c>
      <c r="E147" s="1326">
        <v>41789</v>
      </c>
      <c r="F147" s="1314">
        <v>11.31</v>
      </c>
      <c r="G147" s="1314">
        <f t="shared" si="23"/>
        <v>1.7086330935251914E-2</v>
      </c>
      <c r="I147" s="1326">
        <v>41789</v>
      </c>
      <c r="J147" s="1314">
        <v>12.1</v>
      </c>
      <c r="K147" s="1314">
        <f t="shared" si="24"/>
        <v>-6.5681444991789878E-3</v>
      </c>
      <c r="M147" s="1326">
        <v>41789</v>
      </c>
      <c r="N147" s="1314">
        <v>10.88</v>
      </c>
      <c r="O147" s="1314">
        <f t="shared" si="25"/>
        <v>-7.2992700729927066E-3</v>
      </c>
      <c r="Q147" s="1326">
        <v>41789</v>
      </c>
      <c r="R147" s="1314">
        <v>8.24</v>
      </c>
      <c r="S147" s="1314">
        <f t="shared" si="26"/>
        <v>-5.3960964408725672E-2</v>
      </c>
      <c r="U147" s="1326">
        <v>41789</v>
      </c>
      <c r="V147" s="1314">
        <v>25.94</v>
      </c>
      <c r="W147" s="1314">
        <f t="shared" si="27"/>
        <v>-4.8422597212032292E-2</v>
      </c>
      <c r="Y147" s="1326">
        <v>41789</v>
      </c>
      <c r="Z147" s="1314">
        <v>14.92</v>
      </c>
      <c r="AA147" s="1314">
        <f t="shared" si="28"/>
        <v>-2.8645833333333301E-2</v>
      </c>
      <c r="AC147" s="1326">
        <v>41789</v>
      </c>
      <c r="AD147" s="1314">
        <v>10.25</v>
      </c>
      <c r="AE147" s="1314">
        <f t="shared" si="29"/>
        <v>-4.2056074766355075E-2</v>
      </c>
      <c r="AG147" s="1326">
        <v>41789</v>
      </c>
      <c r="AH147" s="1314">
        <v>4.2699999999999996</v>
      </c>
      <c r="AI147" s="1314">
        <f t="shared" si="30"/>
        <v>7.0754716981130568E-3</v>
      </c>
      <c r="AK147" s="1326">
        <v>41789</v>
      </c>
      <c r="AL147" s="1314">
        <v>-0.5</v>
      </c>
      <c r="AN147" s="1326">
        <v>41789</v>
      </c>
      <c r="AO147" s="1314">
        <v>0.23</v>
      </c>
      <c r="AQ147" s="1326">
        <v>41789</v>
      </c>
      <c r="AR147" s="1327">
        <v>2.35</v>
      </c>
      <c r="AT147" s="1326">
        <v>41789</v>
      </c>
      <c r="AU147" s="1314">
        <v>1147.18</v>
      </c>
      <c r="AV147" s="1314">
        <f t="shared" si="31"/>
        <v>-1.5067869806736287E-2</v>
      </c>
      <c r="AX147" s="1314">
        <v>3.3277000000000001</v>
      </c>
      <c r="AY147" s="1314">
        <f t="shared" si="32"/>
        <v>-3.0390442890442845E-2</v>
      </c>
    </row>
    <row r="148" spans="1:51" x14ac:dyDescent="0.75">
      <c r="A148" s="1326">
        <v>41782</v>
      </c>
      <c r="B148" s="1314">
        <v>1134.48</v>
      </c>
      <c r="C148" s="1314">
        <f t="shared" si="33"/>
        <v>-1.1070625359577438E-2</v>
      </c>
      <c r="E148" s="1326">
        <v>41782</v>
      </c>
      <c r="F148" s="1314">
        <v>10.81</v>
      </c>
      <c r="G148" s="1314">
        <f t="shared" si="23"/>
        <v>-4.4208664898320066E-2</v>
      </c>
      <c r="I148" s="1326">
        <v>41782</v>
      </c>
      <c r="J148" s="1314">
        <v>11.76</v>
      </c>
      <c r="K148" s="1314">
        <f t="shared" si="24"/>
        <v>-2.8099173553718996E-2</v>
      </c>
      <c r="M148" s="1326">
        <v>41782</v>
      </c>
      <c r="N148" s="1314">
        <v>10.62</v>
      </c>
      <c r="O148" s="1314">
        <f t="shared" si="25"/>
        <v>-2.3897058823529552E-2</v>
      </c>
      <c r="Q148" s="1326">
        <v>41782</v>
      </c>
      <c r="R148" s="1314">
        <v>7.99</v>
      </c>
      <c r="S148" s="1314">
        <f t="shared" si="26"/>
        <v>-3.0339805825242719E-2</v>
      </c>
      <c r="U148" s="1326">
        <v>41782</v>
      </c>
      <c r="V148" s="1314">
        <v>24.96</v>
      </c>
      <c r="W148" s="1314">
        <f t="shared" si="27"/>
        <v>-3.7779491133384746E-2</v>
      </c>
      <c r="Y148" s="1326">
        <v>41782</v>
      </c>
      <c r="Z148" s="1314">
        <v>14.64</v>
      </c>
      <c r="AA148" s="1314">
        <f t="shared" si="28"/>
        <v>-1.8766756032171539E-2</v>
      </c>
      <c r="AC148" s="1326">
        <v>41782</v>
      </c>
      <c r="AD148" s="1314">
        <v>10.050000000000001</v>
      </c>
      <c r="AE148" s="1314">
        <f t="shared" si="29"/>
        <v>-1.951219512195115E-2</v>
      </c>
      <c r="AG148" s="1326">
        <v>41782</v>
      </c>
      <c r="AH148" s="1314">
        <v>3.95</v>
      </c>
      <c r="AI148" s="1314">
        <f t="shared" si="30"/>
        <v>-7.494145199063218E-2</v>
      </c>
      <c r="AK148" s="1326">
        <v>41782</v>
      </c>
      <c r="AL148" s="1314">
        <v>0.81</v>
      </c>
      <c r="AN148" s="1326">
        <v>41782</v>
      </c>
      <c r="AO148" s="1314">
        <v>-0.21</v>
      </c>
      <c r="AQ148" s="1326">
        <v>41782</v>
      </c>
      <c r="AR148" s="1327">
        <v>2.38</v>
      </c>
      <c r="AT148" s="1326">
        <v>41782</v>
      </c>
      <c r="AU148" s="1314">
        <v>1134.48</v>
      </c>
      <c r="AV148" s="1314">
        <f t="shared" si="31"/>
        <v>-1.1070625359577438E-2</v>
      </c>
      <c r="AX148" s="1314">
        <v>3.3933</v>
      </c>
      <c r="AY148" s="1314">
        <f t="shared" si="32"/>
        <v>1.9713315503200372E-2</v>
      </c>
    </row>
    <row r="149" spans="1:51" x14ac:dyDescent="0.75">
      <c r="A149" s="1326">
        <v>41775</v>
      </c>
      <c r="B149" s="1314">
        <v>1119.9580000000001</v>
      </c>
      <c r="C149" s="1314">
        <f t="shared" si="33"/>
        <v>-1.2800578238488059E-2</v>
      </c>
      <c r="E149" s="1326">
        <v>41775</v>
      </c>
      <c r="F149" s="1314">
        <v>10.65</v>
      </c>
      <c r="G149" s="1314">
        <f t="shared" si="23"/>
        <v>-1.4801110083256257E-2</v>
      </c>
      <c r="I149" s="1326">
        <v>41775</v>
      </c>
      <c r="J149" s="1314">
        <v>11.49</v>
      </c>
      <c r="K149" s="1314">
        <f t="shared" si="24"/>
        <v>-2.2959183673469351E-2</v>
      </c>
      <c r="M149" s="1326">
        <v>41775</v>
      </c>
      <c r="N149" s="1314">
        <v>10.56</v>
      </c>
      <c r="O149" s="1314">
        <f t="shared" si="25"/>
        <v>-5.6497175141241741E-3</v>
      </c>
      <c r="Q149" s="1326">
        <v>41775</v>
      </c>
      <c r="R149" s="1314">
        <v>7.38</v>
      </c>
      <c r="S149" s="1314">
        <f t="shared" si="26"/>
        <v>-7.6345431789737211E-2</v>
      </c>
      <c r="U149" s="1326">
        <v>41775</v>
      </c>
      <c r="V149" s="1314">
        <v>22.31</v>
      </c>
      <c r="W149" s="1314">
        <f t="shared" si="27"/>
        <v>-0.10616987179487188</v>
      </c>
      <c r="Y149" s="1326">
        <v>41775</v>
      </c>
      <c r="Z149" s="1314">
        <v>14.29</v>
      </c>
      <c r="AA149" s="1314">
        <f t="shared" si="28"/>
        <v>-2.3907103825136708E-2</v>
      </c>
      <c r="AC149" s="1326">
        <v>41775</v>
      </c>
      <c r="AD149" s="1314">
        <v>9.5</v>
      </c>
      <c r="AE149" s="1314">
        <f t="shared" si="29"/>
        <v>-5.472636815920405E-2</v>
      </c>
      <c r="AG149" s="1326">
        <v>41775</v>
      </c>
      <c r="AH149" s="1314">
        <v>3.84</v>
      </c>
      <c r="AI149" s="1314">
        <f t="shared" si="30"/>
        <v>-2.7848101265822864E-2</v>
      </c>
      <c r="AK149" s="1326">
        <v>41775</v>
      </c>
      <c r="AL149" s="1314">
        <v>-0.21</v>
      </c>
      <c r="AN149" s="1326">
        <v>41775</v>
      </c>
      <c r="AO149" s="1314">
        <v>-1.2</v>
      </c>
      <c r="AQ149" s="1326">
        <v>41775</v>
      </c>
      <c r="AR149" s="1327">
        <v>2.41</v>
      </c>
      <c r="AT149" s="1326">
        <v>41775</v>
      </c>
      <c r="AU149" s="1314">
        <v>1119.9580000000001</v>
      </c>
      <c r="AV149" s="1314">
        <f t="shared" si="31"/>
        <v>-1.2800578238488059E-2</v>
      </c>
      <c r="AX149" s="1314">
        <v>3.3460000000000001</v>
      </c>
      <c r="AY149" s="1314">
        <f t="shared" si="32"/>
        <v>-1.3939233194825066E-2</v>
      </c>
    </row>
    <row r="150" spans="1:51" x14ac:dyDescent="0.75">
      <c r="A150" s="1326">
        <v>41768</v>
      </c>
      <c r="B150" s="1314">
        <v>1120.577</v>
      </c>
      <c r="C150" s="1314">
        <f t="shared" si="33"/>
        <v>5.5269929765215697E-4</v>
      </c>
      <c r="E150" s="1326">
        <v>41768</v>
      </c>
      <c r="F150" s="1314">
        <v>10.73</v>
      </c>
      <c r="G150" s="1314">
        <f t="shared" si="23"/>
        <v>7.5117370892018847E-3</v>
      </c>
      <c r="I150" s="1326">
        <v>41768</v>
      </c>
      <c r="J150" s="1314">
        <v>11.84</v>
      </c>
      <c r="K150" s="1314">
        <f t="shared" si="24"/>
        <v>3.0461270670147922E-2</v>
      </c>
      <c r="M150" s="1326">
        <v>41768</v>
      </c>
      <c r="N150" s="1314">
        <v>10.5</v>
      </c>
      <c r="O150" s="1314">
        <f t="shared" si="25"/>
        <v>-5.6818181818182288E-3</v>
      </c>
      <c r="Q150" s="1326">
        <v>41768</v>
      </c>
      <c r="R150" s="1314">
        <v>7.33</v>
      </c>
      <c r="S150" s="1314">
        <f t="shared" si="26"/>
        <v>-6.7750677506774829E-3</v>
      </c>
      <c r="U150" s="1326">
        <v>41768</v>
      </c>
      <c r="V150" s="1314">
        <v>23.09</v>
      </c>
      <c r="W150" s="1314">
        <f t="shared" si="27"/>
        <v>3.4961900493052499E-2</v>
      </c>
      <c r="Y150" s="1326">
        <v>41768</v>
      </c>
      <c r="Z150" s="1314">
        <v>14.45</v>
      </c>
      <c r="AA150" s="1314">
        <f t="shared" si="28"/>
        <v>1.1196641007697702E-2</v>
      </c>
      <c r="AC150" s="1326">
        <v>41768</v>
      </c>
      <c r="AD150" s="1314">
        <v>9.5</v>
      </c>
      <c r="AE150" s="1314">
        <f t="shared" si="29"/>
        <v>0</v>
      </c>
      <c r="AG150" s="1326">
        <v>41768</v>
      </c>
      <c r="AH150" s="1314">
        <v>3.91</v>
      </c>
      <c r="AI150" s="1314">
        <f t="shared" si="30"/>
        <v>1.8229166666666741E-2</v>
      </c>
      <c r="AK150" s="1326">
        <v>41768</v>
      </c>
      <c r="AL150" s="1314">
        <v>-1.96</v>
      </c>
      <c r="AN150" s="1326">
        <v>41768</v>
      </c>
      <c r="AO150" s="1314">
        <v>0.69</v>
      </c>
      <c r="AQ150" s="1326">
        <v>41768</v>
      </c>
      <c r="AR150" s="1327">
        <v>2.4500000000000002</v>
      </c>
      <c r="AT150" s="1326">
        <v>41768</v>
      </c>
      <c r="AU150" s="1314">
        <v>1120.577</v>
      </c>
      <c r="AV150" s="1314">
        <f t="shared" si="31"/>
        <v>5.5269929765215697E-4</v>
      </c>
      <c r="AX150" s="1314">
        <v>3.4634</v>
      </c>
      <c r="AY150" s="1314">
        <f t="shared" si="32"/>
        <v>3.5086670651524189E-2</v>
      </c>
    </row>
    <row r="151" spans="1:51" x14ac:dyDescent="0.75">
      <c r="A151" s="1326">
        <v>41761</v>
      </c>
      <c r="B151" s="1314">
        <v>1124.675</v>
      </c>
      <c r="C151" s="1314">
        <f t="shared" si="33"/>
        <v>3.6570445404465347E-3</v>
      </c>
      <c r="E151" s="1326">
        <v>41761</v>
      </c>
      <c r="F151" s="1314">
        <v>10.9</v>
      </c>
      <c r="G151" s="1314">
        <f t="shared" si="23"/>
        <v>1.5843429636533079E-2</v>
      </c>
      <c r="I151" s="1326">
        <v>41761</v>
      </c>
      <c r="J151" s="1314">
        <v>12.09</v>
      </c>
      <c r="K151" s="1314">
        <f t="shared" si="24"/>
        <v>2.1114864864864864E-2</v>
      </c>
      <c r="M151" s="1326">
        <v>41761</v>
      </c>
      <c r="N151" s="1314">
        <v>10.52</v>
      </c>
      <c r="O151" s="1314">
        <f t="shared" si="25"/>
        <v>1.9047619047618642E-3</v>
      </c>
      <c r="Q151" s="1326">
        <v>41761</v>
      </c>
      <c r="R151" s="1314">
        <v>7.28</v>
      </c>
      <c r="S151" s="1314">
        <f t="shared" si="26"/>
        <v>-6.8212824010913812E-3</v>
      </c>
      <c r="U151" s="1326">
        <v>41761</v>
      </c>
      <c r="V151" s="1314">
        <v>23.37</v>
      </c>
      <c r="W151" s="1314">
        <f t="shared" si="27"/>
        <v>1.2126461671719409E-2</v>
      </c>
      <c r="Y151" s="1326">
        <v>41761</v>
      </c>
      <c r="Z151" s="1314">
        <v>14.42</v>
      </c>
      <c r="AA151" s="1314">
        <f t="shared" si="28"/>
        <v>-2.0761245674740044E-3</v>
      </c>
      <c r="AC151" s="1326">
        <v>41761</v>
      </c>
      <c r="AD151" s="1314">
        <v>9.3650000000000002</v>
      </c>
      <c r="AE151" s="1314">
        <f t="shared" si="29"/>
        <v>-1.4210526315789451E-2</v>
      </c>
      <c r="AG151" s="1326">
        <v>41761</v>
      </c>
      <c r="AH151" s="1314">
        <v>4.8550000000000004</v>
      </c>
      <c r="AI151" s="1314">
        <f t="shared" si="30"/>
        <v>0.24168797953964199</v>
      </c>
      <c r="AK151" s="1326">
        <v>41761</v>
      </c>
      <c r="AL151" s="1314">
        <v>-0.56000000000000005</v>
      </c>
      <c r="AN151" s="1326">
        <v>41761</v>
      </c>
      <c r="AO151" s="1314">
        <v>-0.64</v>
      </c>
      <c r="AQ151" s="1326">
        <v>41761</v>
      </c>
      <c r="AR151" s="1327">
        <v>2.48</v>
      </c>
      <c r="AT151" s="1326">
        <v>41761</v>
      </c>
      <c r="AU151" s="1314">
        <v>1124.675</v>
      </c>
      <c r="AV151" s="1314">
        <f t="shared" si="31"/>
        <v>3.6570445404465347E-3</v>
      </c>
      <c r="AX151" s="1314">
        <v>3.3668</v>
      </c>
      <c r="AY151" s="1314">
        <f t="shared" si="32"/>
        <v>-2.7891667147889362E-2</v>
      </c>
    </row>
    <row r="152" spans="1:51" x14ac:dyDescent="0.75">
      <c r="A152" s="1326">
        <v>41754</v>
      </c>
      <c r="B152" s="1314">
        <v>1113.748</v>
      </c>
      <c r="C152" s="1314">
        <f t="shared" si="33"/>
        <v>-9.715695645408591E-3</v>
      </c>
      <c r="E152" s="1326">
        <v>41754</v>
      </c>
      <c r="F152" s="1314">
        <v>10.76</v>
      </c>
      <c r="G152" s="1314">
        <f t="shared" si="23"/>
        <v>-1.2844036697247757E-2</v>
      </c>
      <c r="I152" s="1326">
        <v>41754</v>
      </c>
      <c r="J152" s="1314">
        <v>12.16</v>
      </c>
      <c r="K152" s="1314">
        <f t="shared" si="24"/>
        <v>5.7899090157154907E-3</v>
      </c>
      <c r="M152" s="1326">
        <v>41754</v>
      </c>
      <c r="N152" s="1314">
        <v>10.9</v>
      </c>
      <c r="O152" s="1314">
        <f t="shared" si="25"/>
        <v>3.6121673003802354E-2</v>
      </c>
      <c r="Q152" s="1326">
        <v>41754</v>
      </c>
      <c r="R152" s="1314">
        <v>7.21</v>
      </c>
      <c r="S152" s="1314">
        <f t="shared" si="26"/>
        <v>-9.6153846153846541E-3</v>
      </c>
      <c r="U152" s="1326">
        <v>41754</v>
      </c>
      <c r="V152" s="1314">
        <v>24.25</v>
      </c>
      <c r="W152" s="1314">
        <f t="shared" si="27"/>
        <v>3.7655113393239154E-2</v>
      </c>
      <c r="Y152" s="1326">
        <v>41754</v>
      </c>
      <c r="Z152" s="1314">
        <v>14.51</v>
      </c>
      <c r="AA152" s="1314">
        <f t="shared" si="28"/>
        <v>6.2413314840499209E-3</v>
      </c>
      <c r="AC152" s="1326">
        <v>41754</v>
      </c>
      <c r="AD152" s="1314">
        <v>9.61</v>
      </c>
      <c r="AE152" s="1314">
        <f t="shared" si="29"/>
        <v>2.6161238654564784E-2</v>
      </c>
      <c r="AG152" s="1326">
        <v>41754</v>
      </c>
      <c r="AH152" s="1314">
        <v>4.87</v>
      </c>
      <c r="AI152" s="1314">
        <f t="shared" si="30"/>
        <v>3.0895983522141461E-3</v>
      </c>
      <c r="AK152" s="1326">
        <v>41754</v>
      </c>
      <c r="AL152" s="1314">
        <v>-1.07</v>
      </c>
      <c r="AN152" s="1326">
        <v>41754</v>
      </c>
      <c r="AO152" s="1314">
        <v>0.54</v>
      </c>
      <c r="AQ152" s="1326">
        <v>41754</v>
      </c>
      <c r="AR152" s="1327">
        <v>2.48</v>
      </c>
      <c r="AT152" s="1326">
        <v>41754</v>
      </c>
      <c r="AU152" s="1314">
        <v>1113.748</v>
      </c>
      <c r="AV152" s="1314">
        <f t="shared" si="31"/>
        <v>-9.715695645408591E-3</v>
      </c>
      <c r="AX152" s="1314">
        <v>3.4428000000000001</v>
      </c>
      <c r="AY152" s="1314">
        <f t="shared" si="32"/>
        <v>2.2573363431151263E-2</v>
      </c>
    </row>
    <row r="153" spans="1:51" x14ac:dyDescent="0.75">
      <c r="A153" s="1326">
        <v>41747</v>
      </c>
      <c r="B153" s="1314">
        <v>1116.0609999999999</v>
      </c>
      <c r="C153" s="1314">
        <f t="shared" si="33"/>
        <v>2.076771406098933E-3</v>
      </c>
      <c r="E153" s="1326">
        <v>41747</v>
      </c>
      <c r="F153" s="1314">
        <v>10.97</v>
      </c>
      <c r="G153" s="1314">
        <f t="shared" si="23"/>
        <v>1.9516728624535396E-2</v>
      </c>
      <c r="I153" s="1326">
        <v>41747</v>
      </c>
      <c r="J153" s="1314">
        <v>12.31</v>
      </c>
      <c r="K153" s="1314">
        <f t="shared" si="24"/>
        <v>1.2335526315789503E-2</v>
      </c>
      <c r="M153" s="1326">
        <v>41747</v>
      </c>
      <c r="N153" s="1314">
        <v>11.14</v>
      </c>
      <c r="O153" s="1314">
        <f t="shared" si="25"/>
        <v>2.201834862385323E-2</v>
      </c>
      <c r="Q153" s="1326">
        <v>41747</v>
      </c>
      <c r="R153" s="1314">
        <v>7.31</v>
      </c>
      <c r="S153" s="1314">
        <f t="shared" si="26"/>
        <v>1.3869625520110907E-2</v>
      </c>
      <c r="U153" s="1326">
        <v>41747</v>
      </c>
      <c r="V153" s="1314">
        <v>24.58</v>
      </c>
      <c r="W153" s="1314">
        <f t="shared" si="27"/>
        <v>1.3608247422680343E-2</v>
      </c>
      <c r="Y153" s="1326">
        <v>41747</v>
      </c>
      <c r="Z153" s="1314">
        <v>14.64</v>
      </c>
      <c r="AA153" s="1314">
        <f t="shared" si="28"/>
        <v>8.9593383873191445E-3</v>
      </c>
      <c r="AC153" s="1326">
        <v>41747</v>
      </c>
      <c r="AD153" s="1314">
        <v>9.91</v>
      </c>
      <c r="AE153" s="1314">
        <f t="shared" si="29"/>
        <v>3.1217481789802364E-2</v>
      </c>
      <c r="AG153" s="1326">
        <v>41747</v>
      </c>
      <c r="AH153" s="1314">
        <v>4.88</v>
      </c>
      <c r="AI153" s="1314">
        <f t="shared" si="30"/>
        <v>2.0533880903490323E-3</v>
      </c>
      <c r="AK153" s="1326">
        <v>41747</v>
      </c>
      <c r="AL153" s="1314">
        <v>-0.51</v>
      </c>
      <c r="AN153" s="1326">
        <v>41747</v>
      </c>
      <c r="AO153" s="1314">
        <v>0.17</v>
      </c>
      <c r="AQ153" s="1326">
        <v>41747</v>
      </c>
      <c r="AR153" s="1327">
        <v>2.46</v>
      </c>
      <c r="AT153" s="1326">
        <v>41747</v>
      </c>
      <c r="AU153" s="1314">
        <v>1116.0609999999999</v>
      </c>
      <c r="AV153" s="1314">
        <f t="shared" si="31"/>
        <v>2.076771406098933E-3</v>
      </c>
      <c r="AX153" s="1314">
        <v>3.5219</v>
      </c>
      <c r="AY153" s="1314">
        <f t="shared" si="32"/>
        <v>2.2975485070291606E-2</v>
      </c>
    </row>
    <row r="154" spans="1:51" x14ac:dyDescent="0.75">
      <c r="A154" s="1326">
        <v>41740</v>
      </c>
      <c r="B154" s="1314">
        <v>1087.127</v>
      </c>
      <c r="C154" s="1314">
        <f t="shared" si="33"/>
        <v>-2.5925106244192721E-2</v>
      </c>
      <c r="E154" s="1326">
        <v>41740</v>
      </c>
      <c r="F154" s="1314">
        <v>10.95</v>
      </c>
      <c r="G154" s="1314">
        <f t="shared" si="23"/>
        <v>-1.8231540565178987E-3</v>
      </c>
      <c r="I154" s="1326">
        <v>41740</v>
      </c>
      <c r="J154" s="1314">
        <v>11.6</v>
      </c>
      <c r="K154" s="1314">
        <f t="shared" si="24"/>
        <v>-5.7676685621446046E-2</v>
      </c>
      <c r="M154" s="1326">
        <v>41740</v>
      </c>
      <c r="N154" s="1314">
        <v>10.92</v>
      </c>
      <c r="O154" s="1314">
        <f t="shared" si="25"/>
        <v>-1.9748653500897724E-2</v>
      </c>
      <c r="Q154" s="1326">
        <v>41740</v>
      </c>
      <c r="R154" s="1314">
        <v>7.2</v>
      </c>
      <c r="S154" s="1314">
        <f t="shared" si="26"/>
        <v>-1.5047879616962988E-2</v>
      </c>
      <c r="U154" s="1326">
        <v>41740</v>
      </c>
      <c r="V154" s="1314">
        <v>24.44</v>
      </c>
      <c r="W154" s="1314">
        <f t="shared" si="27"/>
        <v>-5.6956875508542325E-3</v>
      </c>
      <c r="Y154" s="1326">
        <v>41740</v>
      </c>
      <c r="Z154" s="1314">
        <v>14.29</v>
      </c>
      <c r="AA154" s="1314">
        <f t="shared" si="28"/>
        <v>-2.3907103825136708E-2</v>
      </c>
      <c r="AC154" s="1326">
        <v>41740</v>
      </c>
      <c r="AD154" s="1314">
        <v>9.61</v>
      </c>
      <c r="AE154" s="1314">
        <f t="shared" si="29"/>
        <v>-3.0272452068617631E-2</v>
      </c>
      <c r="AG154" s="1326">
        <v>41740</v>
      </c>
      <c r="AH154" s="1314">
        <v>4.82</v>
      </c>
      <c r="AI154" s="1314">
        <f t="shared" si="30"/>
        <v>-1.2295081967213035E-2</v>
      </c>
      <c r="AK154" s="1326">
        <v>41740</v>
      </c>
      <c r="AL154" s="1314">
        <v>-0.78</v>
      </c>
      <c r="AN154" s="1326">
        <v>41740</v>
      </c>
      <c r="AO154" s="1314">
        <v>-0.01</v>
      </c>
      <c r="AQ154" s="1326">
        <v>41740</v>
      </c>
      <c r="AR154" s="1327">
        <v>2.4500000000000002</v>
      </c>
      <c r="AT154" s="1326">
        <v>41740</v>
      </c>
      <c r="AU154" s="1314">
        <v>1087.127</v>
      </c>
      <c r="AV154" s="1314">
        <f t="shared" si="31"/>
        <v>-2.5925106244192721E-2</v>
      </c>
      <c r="AX154" s="1314">
        <v>3.4826999999999999</v>
      </c>
      <c r="AY154" s="1314">
        <f t="shared" si="32"/>
        <v>-1.1130355773872093E-2</v>
      </c>
    </row>
    <row r="155" spans="1:51" x14ac:dyDescent="0.75">
      <c r="A155" s="1326">
        <v>41733</v>
      </c>
      <c r="B155" s="1314">
        <v>1118.6320000000001</v>
      </c>
      <c r="C155" s="1314">
        <f t="shared" si="33"/>
        <v>2.8980054768210254E-2</v>
      </c>
      <c r="E155" s="1326">
        <v>41733</v>
      </c>
      <c r="F155" s="1314">
        <v>11.05</v>
      </c>
      <c r="G155" s="1314">
        <f t="shared" si="23"/>
        <v>9.1324200913243305E-3</v>
      </c>
      <c r="I155" s="1326">
        <v>41733</v>
      </c>
      <c r="J155" s="1314">
        <v>11.17</v>
      </c>
      <c r="K155" s="1314">
        <f t="shared" si="24"/>
        <v>-3.7068965517241356E-2</v>
      </c>
      <c r="M155" s="1326">
        <v>41733</v>
      </c>
      <c r="N155" s="1314">
        <v>11.24</v>
      </c>
      <c r="O155" s="1314">
        <f t="shared" si="25"/>
        <v>2.9304029304029332E-2</v>
      </c>
      <c r="Q155" s="1326">
        <v>41733</v>
      </c>
      <c r="R155" s="1314">
        <v>7.23</v>
      </c>
      <c r="S155" s="1314">
        <f t="shared" si="26"/>
        <v>4.1666666666667013E-3</v>
      </c>
      <c r="U155" s="1326">
        <v>41733</v>
      </c>
      <c r="V155" s="1314">
        <v>25.13</v>
      </c>
      <c r="W155" s="1314">
        <f t="shared" si="27"/>
        <v>2.8232405891980266E-2</v>
      </c>
      <c r="Y155" s="1326">
        <v>41733</v>
      </c>
      <c r="Z155" s="1314">
        <v>14.69</v>
      </c>
      <c r="AA155" s="1314">
        <f t="shared" si="28"/>
        <v>2.7991602519244253E-2</v>
      </c>
      <c r="AC155" s="1326">
        <v>41733</v>
      </c>
      <c r="AD155" s="1314">
        <v>10.199999999999999</v>
      </c>
      <c r="AE155" s="1314">
        <f t="shared" si="29"/>
        <v>6.1394380853277822E-2</v>
      </c>
      <c r="AG155" s="1326">
        <v>41733</v>
      </c>
      <c r="AH155" s="1314">
        <v>5.05</v>
      </c>
      <c r="AI155" s="1314">
        <f t="shared" si="30"/>
        <v>4.7717842323651352E-2</v>
      </c>
      <c r="AK155" s="1326">
        <v>41733</v>
      </c>
      <c r="AL155" s="1314">
        <v>-0.28999999999999998</v>
      </c>
      <c r="AN155" s="1326">
        <v>41733</v>
      </c>
      <c r="AO155" s="1314">
        <v>1.0900000000000001</v>
      </c>
      <c r="AQ155" s="1326">
        <v>41733</v>
      </c>
      <c r="AR155" s="1327">
        <v>2.56</v>
      </c>
      <c r="AT155" s="1326">
        <v>41733</v>
      </c>
      <c r="AU155" s="1314">
        <v>1118.6320000000001</v>
      </c>
      <c r="AV155" s="1314">
        <f t="shared" si="31"/>
        <v>2.8980054768210254E-2</v>
      </c>
      <c r="AX155" s="1314">
        <v>3.5836999999999999</v>
      </c>
      <c r="AY155" s="1314">
        <f t="shared" si="32"/>
        <v>2.9000488127027876E-2</v>
      </c>
    </row>
    <row r="156" spans="1:51" x14ac:dyDescent="0.75">
      <c r="A156" s="1326">
        <v>41726</v>
      </c>
      <c r="B156" s="1314">
        <v>1114.4010000000001</v>
      </c>
      <c r="C156" s="1314">
        <f t="shared" si="33"/>
        <v>-3.7822983787340202E-3</v>
      </c>
      <c r="E156" s="1326">
        <v>41726</v>
      </c>
      <c r="F156" s="1314">
        <v>11.29</v>
      </c>
      <c r="G156" s="1314">
        <f t="shared" si="23"/>
        <v>2.1719457013574518E-2</v>
      </c>
      <c r="I156" s="1326">
        <v>41726</v>
      </c>
      <c r="J156" s="1314">
        <v>10.73</v>
      </c>
      <c r="K156" s="1314">
        <f t="shared" si="24"/>
        <v>-3.9391226499552331E-2</v>
      </c>
      <c r="M156" s="1326">
        <v>41726</v>
      </c>
      <c r="N156" s="1314">
        <v>11.71</v>
      </c>
      <c r="O156" s="1314">
        <f t="shared" si="25"/>
        <v>4.1814946619217135E-2</v>
      </c>
      <c r="Q156" s="1326">
        <v>41726</v>
      </c>
      <c r="R156" s="1314">
        <v>7.19</v>
      </c>
      <c r="S156" s="1314">
        <f t="shared" si="26"/>
        <v>-5.5325034578146658E-3</v>
      </c>
      <c r="U156" s="1326">
        <v>41726</v>
      </c>
      <c r="V156" s="1314">
        <v>24.81</v>
      </c>
      <c r="W156" s="1314">
        <f t="shared" si="27"/>
        <v>-1.2733784321528066E-2</v>
      </c>
      <c r="Y156" s="1326">
        <v>41726</v>
      </c>
      <c r="Z156" s="1314">
        <v>14.49</v>
      </c>
      <c r="AA156" s="1314">
        <f t="shared" si="28"/>
        <v>-1.3614703880190558E-2</v>
      </c>
      <c r="AC156" s="1326">
        <v>41726</v>
      </c>
      <c r="AD156" s="1314">
        <v>10.050000000000001</v>
      </c>
      <c r="AE156" s="1314">
        <f t="shared" si="29"/>
        <v>-1.4705882352941037E-2</v>
      </c>
      <c r="AG156" s="1326">
        <v>41726</v>
      </c>
      <c r="AH156" s="1314">
        <v>4.87</v>
      </c>
      <c r="AI156" s="1314">
        <f t="shared" si="30"/>
        <v>-3.5643564356435592E-2</v>
      </c>
      <c r="AK156" s="1326">
        <v>41726</v>
      </c>
      <c r="AL156" s="1314">
        <v>-2.91</v>
      </c>
      <c r="AN156" s="1326">
        <v>41726</v>
      </c>
      <c r="AO156" s="1314">
        <v>1.6</v>
      </c>
      <c r="AQ156" s="1326">
        <v>41726</v>
      </c>
      <c r="AR156" s="1327">
        <v>2.4700000000000002</v>
      </c>
      <c r="AT156" s="1326">
        <v>41726</v>
      </c>
      <c r="AU156" s="1314">
        <v>1114.4010000000001</v>
      </c>
      <c r="AV156" s="1314">
        <f t="shared" si="31"/>
        <v>-3.7822983787340202E-3</v>
      </c>
      <c r="AX156" s="1314">
        <v>3.5472999999999999</v>
      </c>
      <c r="AY156" s="1314">
        <f t="shared" si="32"/>
        <v>-1.0157100203700083E-2</v>
      </c>
    </row>
    <row r="157" spans="1:51" x14ac:dyDescent="0.75">
      <c r="A157" s="1326">
        <v>41719</v>
      </c>
      <c r="B157" s="1314">
        <v>1124.154</v>
      </c>
      <c r="C157" s="1314">
        <f t="shared" si="33"/>
        <v>8.7517868343620735E-3</v>
      </c>
      <c r="E157" s="1326">
        <v>41719</v>
      </c>
      <c r="F157" s="1314">
        <v>11.88</v>
      </c>
      <c r="G157" s="1314">
        <f t="shared" si="23"/>
        <v>5.2258635961027609E-2</v>
      </c>
      <c r="I157" s="1326">
        <v>41719</v>
      </c>
      <c r="J157" s="1314">
        <v>10.3</v>
      </c>
      <c r="K157" s="1314">
        <f t="shared" si="24"/>
        <v>-4.00745573159366E-2</v>
      </c>
      <c r="M157" s="1326">
        <v>41719</v>
      </c>
      <c r="N157" s="1314">
        <v>12.39</v>
      </c>
      <c r="O157" s="1314">
        <f t="shared" si="25"/>
        <v>5.8070025619128919E-2</v>
      </c>
      <c r="Q157" s="1326">
        <v>41719</v>
      </c>
      <c r="R157" s="1314">
        <v>7.6</v>
      </c>
      <c r="S157" s="1314">
        <f t="shared" si="26"/>
        <v>5.7023643949930355E-2</v>
      </c>
      <c r="U157" s="1326">
        <v>41719</v>
      </c>
      <c r="V157" s="1314">
        <v>26.26</v>
      </c>
      <c r="W157" s="1314">
        <f t="shared" si="27"/>
        <v>5.8444175735590603E-2</v>
      </c>
      <c r="Y157" s="1326">
        <v>41719</v>
      </c>
      <c r="Z157" s="1314">
        <v>15.14</v>
      </c>
      <c r="AA157" s="1314">
        <f t="shared" si="28"/>
        <v>4.4858523119392708E-2</v>
      </c>
      <c r="AC157" s="1326">
        <v>41719</v>
      </c>
      <c r="AD157" s="1314">
        <v>10.72</v>
      </c>
      <c r="AE157" s="1314">
        <f t="shared" si="29"/>
        <v>6.6666666666666652E-2</v>
      </c>
      <c r="AG157" s="1326">
        <v>41719</v>
      </c>
      <c r="AH157" s="1314">
        <v>5.04</v>
      </c>
      <c r="AI157" s="1314">
        <f t="shared" si="30"/>
        <v>3.4907597535934275E-2</v>
      </c>
      <c r="AK157" s="1326">
        <v>41719</v>
      </c>
      <c r="AL157" s="1314">
        <v>-0.55000000000000004</v>
      </c>
      <c r="AN157" s="1326">
        <v>41719</v>
      </c>
      <c r="AO157" s="1314">
        <v>2.06</v>
      </c>
      <c r="AQ157" s="1326">
        <v>41719</v>
      </c>
      <c r="AR157" s="1327">
        <v>2.48</v>
      </c>
      <c r="AT157" s="1326">
        <v>41719</v>
      </c>
      <c r="AU157" s="1314">
        <v>1124.154</v>
      </c>
      <c r="AV157" s="1314">
        <f t="shared" si="31"/>
        <v>8.7517868343620735E-3</v>
      </c>
      <c r="AX157" s="1314">
        <v>3.6067999999999998</v>
      </c>
      <c r="AY157" s="1314">
        <f t="shared" si="32"/>
        <v>1.6773320553660501E-2</v>
      </c>
    </row>
    <row r="158" spans="1:51" x14ac:dyDescent="0.75">
      <c r="A158" s="1326">
        <v>41712</v>
      </c>
      <c r="B158" s="1314">
        <v>1110.0840000000001</v>
      </c>
      <c r="C158" s="1314">
        <f t="shared" si="33"/>
        <v>-1.2516078757892546E-2</v>
      </c>
      <c r="E158" s="1326">
        <v>41712</v>
      </c>
      <c r="F158" s="1314">
        <v>11.44</v>
      </c>
      <c r="G158" s="1314">
        <f t="shared" si="23"/>
        <v>-3.7037037037037139E-2</v>
      </c>
      <c r="I158" s="1326">
        <v>41712</v>
      </c>
      <c r="J158" s="1314">
        <v>9.89</v>
      </c>
      <c r="K158" s="1314">
        <f t="shared" si="24"/>
        <v>-3.9805825242718459E-2</v>
      </c>
      <c r="M158" s="1326">
        <v>41712</v>
      </c>
      <c r="N158" s="1314">
        <v>12.14</v>
      </c>
      <c r="O158" s="1314">
        <f t="shared" si="25"/>
        <v>-2.0177562550443905E-2</v>
      </c>
      <c r="Q158" s="1326">
        <v>41712</v>
      </c>
      <c r="R158" s="1314">
        <v>7.26</v>
      </c>
      <c r="S158" s="1314">
        <f t="shared" si="26"/>
        <v>-4.4736842105263144E-2</v>
      </c>
      <c r="U158" s="1326">
        <v>41712</v>
      </c>
      <c r="V158" s="1314">
        <v>25.55</v>
      </c>
      <c r="W158" s="1314">
        <f t="shared" si="27"/>
        <v>-2.703731911652707E-2</v>
      </c>
      <c r="Y158" s="1326">
        <v>41712</v>
      </c>
      <c r="Z158" s="1314">
        <v>14.31</v>
      </c>
      <c r="AA158" s="1314">
        <f t="shared" si="28"/>
        <v>-5.4821664464993397E-2</v>
      </c>
      <c r="AC158" s="1326">
        <v>41712</v>
      </c>
      <c r="AD158" s="1314">
        <v>10.199999999999999</v>
      </c>
      <c r="AE158" s="1314">
        <f t="shared" si="29"/>
        <v>-4.850746268656729E-2</v>
      </c>
      <c r="AG158" s="1326">
        <v>41712</v>
      </c>
      <c r="AH158" s="1314">
        <v>5.0599999999999996</v>
      </c>
      <c r="AI158" s="1314">
        <f t="shared" si="30"/>
        <v>3.9682539682538839E-3</v>
      </c>
      <c r="AK158" s="1326">
        <v>41712</v>
      </c>
      <c r="AL158" s="1314">
        <v>0.2</v>
      </c>
      <c r="AN158" s="1326">
        <v>41712</v>
      </c>
      <c r="AO158" s="1314">
        <v>-0.08</v>
      </c>
      <c r="AQ158" s="1326">
        <v>41712</v>
      </c>
      <c r="AR158" s="1327">
        <v>2.4500000000000002</v>
      </c>
      <c r="AT158" s="1326">
        <v>41712</v>
      </c>
      <c r="AU158" s="1314">
        <v>1110.0840000000001</v>
      </c>
      <c r="AV158" s="1314">
        <f t="shared" si="31"/>
        <v>-1.2516078757892546E-2</v>
      </c>
      <c r="AX158" s="1314">
        <v>3.5992000000000002</v>
      </c>
      <c r="AY158" s="1314">
        <f t="shared" si="32"/>
        <v>-2.107130974825221E-3</v>
      </c>
    </row>
    <row r="159" spans="1:51" x14ac:dyDescent="0.75">
      <c r="A159" s="1326">
        <v>41705</v>
      </c>
      <c r="B159" s="1314">
        <v>1131.934</v>
      </c>
      <c r="C159" s="1314">
        <f t="shared" si="33"/>
        <v>1.9683195145592504E-2</v>
      </c>
      <c r="E159" s="1326">
        <v>41705</v>
      </c>
      <c r="F159" s="1314">
        <v>11.76</v>
      </c>
      <c r="G159" s="1314">
        <f t="shared" si="23"/>
        <v>2.7972027972028E-2</v>
      </c>
      <c r="I159" s="1326">
        <v>41705</v>
      </c>
      <c r="J159" s="1314">
        <v>9.66</v>
      </c>
      <c r="K159" s="1314">
        <f t="shared" si="24"/>
        <v>-2.3255813953488413E-2</v>
      </c>
      <c r="M159" s="1326">
        <v>41705</v>
      </c>
      <c r="N159" s="1314">
        <v>11.88</v>
      </c>
      <c r="O159" s="1314">
        <f t="shared" si="25"/>
        <v>-2.141680395387148E-2</v>
      </c>
      <c r="Q159" s="1326">
        <v>41705</v>
      </c>
      <c r="R159" s="1314">
        <v>7.8</v>
      </c>
      <c r="S159" s="1314">
        <f t="shared" si="26"/>
        <v>7.43801652892562E-2</v>
      </c>
      <c r="U159" s="1326">
        <v>41705</v>
      </c>
      <c r="V159" s="1314">
        <v>25.72</v>
      </c>
      <c r="W159" s="1314">
        <f t="shared" si="27"/>
        <v>6.653620352250417E-3</v>
      </c>
      <c r="Y159" s="1326">
        <v>41705</v>
      </c>
      <c r="Z159" s="1314">
        <v>14.4</v>
      </c>
      <c r="AA159" s="1314">
        <f t="shared" si="28"/>
        <v>6.2893081761006189E-3</v>
      </c>
      <c r="AC159" s="1326">
        <v>41705</v>
      </c>
      <c r="AD159" s="1314">
        <v>10.119999999999999</v>
      </c>
      <c r="AE159" s="1314">
        <f t="shared" si="29"/>
        <v>-7.8431372549019676E-3</v>
      </c>
      <c r="AG159" s="1326">
        <v>41705</v>
      </c>
      <c r="AH159" s="1314">
        <v>5.16</v>
      </c>
      <c r="AI159" s="1314">
        <f t="shared" si="30"/>
        <v>1.9762845849802479E-2</v>
      </c>
      <c r="AK159" s="1326">
        <v>41705</v>
      </c>
      <c r="AL159" s="1314">
        <v>0.49</v>
      </c>
      <c r="AN159" s="1326">
        <v>41705</v>
      </c>
      <c r="AO159" s="1314">
        <v>1.6</v>
      </c>
      <c r="AQ159" s="1326">
        <v>41705</v>
      </c>
      <c r="AR159" s="1327">
        <v>2.4300000000000002</v>
      </c>
      <c r="AT159" s="1326">
        <v>41705</v>
      </c>
      <c r="AU159" s="1314">
        <v>1131.934</v>
      </c>
      <c r="AV159" s="1314">
        <f t="shared" si="31"/>
        <v>1.9683195145592504E-2</v>
      </c>
      <c r="AX159" s="1314">
        <v>3.7206000000000001</v>
      </c>
      <c r="AY159" s="1314">
        <f t="shared" si="32"/>
        <v>3.372971771504777E-2</v>
      </c>
    </row>
    <row r="160" spans="1:51" x14ac:dyDescent="0.75">
      <c r="A160" s="1326">
        <v>41698</v>
      </c>
      <c r="B160" s="1314">
        <v>1120.6610000000001</v>
      </c>
      <c r="C160" s="1314">
        <f t="shared" si="33"/>
        <v>-9.9590612173500494E-3</v>
      </c>
      <c r="E160" s="1326">
        <v>41698</v>
      </c>
      <c r="F160" s="1314">
        <v>11.02</v>
      </c>
      <c r="G160" s="1314">
        <f t="shared" si="23"/>
        <v>-6.2925170068027225E-2</v>
      </c>
      <c r="I160" s="1326">
        <v>41698</v>
      </c>
      <c r="J160" s="1314">
        <v>9.2200000000000006</v>
      </c>
      <c r="K160" s="1314">
        <f t="shared" si="24"/>
        <v>-4.5548654244306368E-2</v>
      </c>
      <c r="M160" s="1326">
        <v>41698</v>
      </c>
      <c r="N160" s="1314">
        <v>11.45</v>
      </c>
      <c r="O160" s="1314">
        <f t="shared" si="25"/>
        <v>-3.6195286195286322E-2</v>
      </c>
      <c r="Q160" s="1326">
        <v>41698</v>
      </c>
      <c r="R160" s="1314">
        <v>7.29</v>
      </c>
      <c r="S160" s="1314">
        <f t="shared" si="26"/>
        <v>-6.538461538461536E-2</v>
      </c>
      <c r="U160" s="1326">
        <v>41698</v>
      </c>
      <c r="V160" s="1314">
        <v>24.95</v>
      </c>
      <c r="W160" s="1314">
        <f t="shared" si="27"/>
        <v>-2.9937791601866236E-2</v>
      </c>
      <c r="Y160" s="1326">
        <v>41698</v>
      </c>
      <c r="Z160" s="1314">
        <v>14.14</v>
      </c>
      <c r="AA160" s="1314">
        <f t="shared" si="28"/>
        <v>-1.805555555555554E-2</v>
      </c>
      <c r="AC160" s="1326">
        <v>41698</v>
      </c>
      <c r="AD160" s="1314">
        <v>9.7899999999999991</v>
      </c>
      <c r="AE160" s="1314">
        <f t="shared" si="29"/>
        <v>-3.2608695652173926E-2</v>
      </c>
      <c r="AG160" s="1326">
        <v>41698</v>
      </c>
      <c r="AH160" s="1314">
        <v>4.88</v>
      </c>
      <c r="AI160" s="1314">
        <f t="shared" si="30"/>
        <v>-5.4263565891472916E-2</v>
      </c>
      <c r="AK160" s="1326">
        <v>41698</v>
      </c>
      <c r="AL160" s="1314">
        <v>0.45</v>
      </c>
      <c r="AN160" s="1326">
        <v>41698</v>
      </c>
      <c r="AO160" s="1314">
        <v>0.4</v>
      </c>
      <c r="AQ160" s="1326">
        <v>41698</v>
      </c>
      <c r="AR160" s="1327">
        <v>2.36</v>
      </c>
      <c r="AT160" s="1326">
        <v>41698</v>
      </c>
      <c r="AU160" s="1314">
        <v>1120.6610000000001</v>
      </c>
      <c r="AV160" s="1314">
        <f t="shared" si="31"/>
        <v>-9.9590612173500494E-3</v>
      </c>
      <c r="AX160" s="1314">
        <v>3.5821999999999998</v>
      </c>
      <c r="AY160" s="1314">
        <f t="shared" si="32"/>
        <v>-3.7198301349244824E-2</v>
      </c>
    </row>
    <row r="161" spans="1:51" x14ac:dyDescent="0.75">
      <c r="A161" s="1326">
        <v>41691</v>
      </c>
      <c r="B161" s="1314">
        <v>1106.3030000000001</v>
      </c>
      <c r="C161" s="1314">
        <f t="shared" si="33"/>
        <v>-1.2812081441220802E-2</v>
      </c>
      <c r="E161" s="1326">
        <v>41691</v>
      </c>
      <c r="F161" s="1314">
        <v>11.43</v>
      </c>
      <c r="G161" s="1314">
        <f t="shared" si="23"/>
        <v>3.7205081669691484E-2</v>
      </c>
      <c r="I161" s="1326">
        <v>41691</v>
      </c>
      <c r="J161" s="1314">
        <v>9.35</v>
      </c>
      <c r="K161" s="1314">
        <f t="shared" si="24"/>
        <v>1.4099783080260195E-2</v>
      </c>
      <c r="M161" s="1326">
        <v>41691</v>
      </c>
      <c r="N161" s="1314">
        <v>11.34</v>
      </c>
      <c r="O161" s="1314">
        <f t="shared" si="25"/>
        <v>-9.606986899563269E-3</v>
      </c>
      <c r="Q161" s="1326">
        <v>41691</v>
      </c>
      <c r="R161" s="1314">
        <v>7.12</v>
      </c>
      <c r="S161" s="1314">
        <f t="shared" si="26"/>
        <v>-2.3319615912208495E-2</v>
      </c>
      <c r="U161" s="1326">
        <v>41691</v>
      </c>
      <c r="V161" s="1314">
        <v>24.33</v>
      </c>
      <c r="W161" s="1314">
        <f t="shared" si="27"/>
        <v>-2.4849699398797637E-2</v>
      </c>
      <c r="Y161" s="1326">
        <v>41691</v>
      </c>
      <c r="Z161" s="1314">
        <v>13.84</v>
      </c>
      <c r="AA161" s="1314">
        <f t="shared" si="28"/>
        <v>-2.1216407355021265E-2</v>
      </c>
      <c r="AC161" s="1326">
        <v>41691</v>
      </c>
      <c r="AD161" s="1314">
        <v>10.039999999999999</v>
      </c>
      <c r="AE161" s="1314">
        <f t="shared" si="29"/>
        <v>2.5536261491317672E-2</v>
      </c>
      <c r="AG161" s="1326">
        <v>41691</v>
      </c>
      <c r="AH161" s="1314">
        <v>4.92</v>
      </c>
      <c r="AI161" s="1314">
        <f t="shared" si="30"/>
        <v>8.1967213114754172E-3</v>
      </c>
      <c r="AK161" s="1326">
        <v>41691</v>
      </c>
      <c r="AL161" s="1314">
        <v>1.56</v>
      </c>
      <c r="AN161" s="1326">
        <v>41691</v>
      </c>
      <c r="AO161" s="1314">
        <v>-0.8</v>
      </c>
      <c r="AQ161" s="1326">
        <v>41691</v>
      </c>
      <c r="AR161" s="1327">
        <v>2.39</v>
      </c>
      <c r="AT161" s="1326">
        <v>41691</v>
      </c>
      <c r="AU161" s="1314">
        <v>1106.3030000000001</v>
      </c>
      <c r="AV161" s="1314">
        <f t="shared" si="31"/>
        <v>-1.2812081441220802E-2</v>
      </c>
      <c r="AX161" s="1314">
        <v>3.6934</v>
      </c>
      <c r="AY161" s="1314">
        <f t="shared" si="32"/>
        <v>3.1042376193400757E-2</v>
      </c>
    </row>
    <row r="162" spans="1:51" x14ac:dyDescent="0.75">
      <c r="A162" s="1326">
        <v>41684</v>
      </c>
      <c r="B162" s="1314">
        <v>1104.8599999999999</v>
      </c>
      <c r="C162" s="1314">
        <f t="shared" si="33"/>
        <v>-1.304344289042162E-3</v>
      </c>
      <c r="E162" s="1326">
        <v>41684</v>
      </c>
      <c r="F162" s="1314">
        <v>11.93</v>
      </c>
      <c r="G162" s="1314">
        <f t="shared" si="23"/>
        <v>4.3744531933508315E-2</v>
      </c>
      <c r="I162" s="1326">
        <v>41684</v>
      </c>
      <c r="J162" s="1314">
        <v>9.11</v>
      </c>
      <c r="K162" s="1314">
        <f t="shared" si="24"/>
        <v>-2.5668449197860987E-2</v>
      </c>
      <c r="M162" s="1326">
        <v>41684</v>
      </c>
      <c r="N162" s="1314">
        <v>11.39</v>
      </c>
      <c r="O162" s="1314">
        <f t="shared" si="25"/>
        <v>4.4091710758378056E-3</v>
      </c>
      <c r="Q162" s="1326">
        <v>41684</v>
      </c>
      <c r="R162" s="1314">
        <v>7.25</v>
      </c>
      <c r="S162" s="1314">
        <f t="shared" si="26"/>
        <v>1.825842696629212E-2</v>
      </c>
      <c r="U162" s="1326">
        <v>41684</v>
      </c>
      <c r="V162" s="1314">
        <v>23.42</v>
      </c>
      <c r="W162" s="1314">
        <f t="shared" si="27"/>
        <v>-3.7402383888203723E-2</v>
      </c>
      <c r="Y162" s="1326">
        <v>41684</v>
      </c>
      <c r="Z162" s="1314">
        <v>14.06</v>
      </c>
      <c r="AA162" s="1314">
        <f t="shared" si="28"/>
        <v>1.5895953757225481E-2</v>
      </c>
      <c r="AC162" s="1326">
        <v>41684</v>
      </c>
      <c r="AD162" s="1314">
        <v>10.050000000000001</v>
      </c>
      <c r="AE162" s="1314">
        <f t="shared" si="29"/>
        <v>9.9601593625513575E-4</v>
      </c>
      <c r="AG162" s="1326">
        <v>41684</v>
      </c>
      <c r="AH162" s="1314">
        <v>4.92</v>
      </c>
      <c r="AI162" s="1314">
        <f t="shared" si="30"/>
        <v>0</v>
      </c>
      <c r="AK162" s="1326">
        <v>41684</v>
      </c>
      <c r="AL162" s="1314">
        <v>0.56000000000000005</v>
      </c>
      <c r="AN162" s="1326">
        <v>41684</v>
      </c>
      <c r="AO162" s="1314">
        <v>-0.01</v>
      </c>
      <c r="AQ162" s="1326">
        <v>41684</v>
      </c>
      <c r="AR162" s="1327">
        <v>2.4</v>
      </c>
      <c r="AT162" s="1326">
        <v>41684</v>
      </c>
      <c r="AU162" s="1314">
        <v>1104.8599999999999</v>
      </c>
      <c r="AV162" s="1314">
        <f t="shared" si="31"/>
        <v>-1.304344289042162E-3</v>
      </c>
      <c r="AX162" s="1314">
        <v>3.6968999999999999</v>
      </c>
      <c r="AY162" s="1314">
        <f t="shared" si="32"/>
        <v>9.476363242540306E-4</v>
      </c>
    </row>
    <row r="163" spans="1:51" x14ac:dyDescent="0.75">
      <c r="A163" s="1326">
        <v>41677</v>
      </c>
      <c r="B163" s="1314">
        <v>1078.6099999999999</v>
      </c>
      <c r="C163" s="1314">
        <f t="shared" si="33"/>
        <v>-2.3758666256358273E-2</v>
      </c>
      <c r="E163" s="1326">
        <v>41677</v>
      </c>
      <c r="F163" s="1314">
        <v>11.78</v>
      </c>
      <c r="G163" s="1314">
        <f t="shared" si="23"/>
        <v>-1.2573344509639595E-2</v>
      </c>
      <c r="I163" s="1326">
        <v>41677</v>
      </c>
      <c r="J163" s="1314">
        <v>8.83</v>
      </c>
      <c r="K163" s="1314">
        <f t="shared" si="24"/>
        <v>-3.0735455543358877E-2</v>
      </c>
      <c r="M163" s="1326">
        <v>41677</v>
      </c>
      <c r="N163" s="1314">
        <v>11</v>
      </c>
      <c r="O163" s="1314">
        <f t="shared" si="25"/>
        <v>-3.4240561896400401E-2</v>
      </c>
      <c r="Q163" s="1326">
        <v>41677</v>
      </c>
      <c r="R163" s="1314">
        <v>6.99</v>
      </c>
      <c r="S163" s="1314">
        <f t="shared" si="26"/>
        <v>-3.5862068965517212E-2</v>
      </c>
      <c r="U163" s="1326">
        <v>41677</v>
      </c>
      <c r="V163" s="1314">
        <v>22.24</v>
      </c>
      <c r="W163" s="1314">
        <f t="shared" si="27"/>
        <v>-5.038428693424437E-2</v>
      </c>
      <c r="Y163" s="1326">
        <v>41677</v>
      </c>
      <c r="Z163" s="1314">
        <v>13.47</v>
      </c>
      <c r="AA163" s="1314">
        <f t="shared" si="28"/>
        <v>-4.1963015647226161E-2</v>
      </c>
      <c r="AC163" s="1326">
        <v>41677</v>
      </c>
      <c r="AD163" s="1314">
        <v>9.42</v>
      </c>
      <c r="AE163" s="1314">
        <f t="shared" si="29"/>
        <v>-6.2686567164179183E-2</v>
      </c>
      <c r="AG163" s="1326">
        <v>41677</v>
      </c>
      <c r="AH163" s="1314">
        <v>4.78</v>
      </c>
      <c r="AI163" s="1314">
        <f t="shared" si="30"/>
        <v>-2.8455284552845465E-2</v>
      </c>
      <c r="AK163" s="1326">
        <v>41677</v>
      </c>
      <c r="AL163" s="1314">
        <v>-2.19</v>
      </c>
      <c r="AN163" s="1326">
        <v>41677</v>
      </c>
      <c r="AO163" s="1314">
        <v>0.03</v>
      </c>
      <c r="AQ163" s="1326">
        <v>41677</v>
      </c>
      <c r="AR163" s="1327">
        <v>2.39</v>
      </c>
      <c r="AT163" s="1326">
        <v>41677</v>
      </c>
      <c r="AU163" s="1314">
        <v>1078.6099999999999</v>
      </c>
      <c r="AV163" s="1314">
        <f t="shared" si="31"/>
        <v>-2.3758666256358273E-2</v>
      </c>
      <c r="AX163" s="1314">
        <v>3.6724999999999999</v>
      </c>
      <c r="AY163" s="1314">
        <f t="shared" si="32"/>
        <v>-6.600124428575287E-3</v>
      </c>
    </row>
    <row r="164" spans="1:51" x14ac:dyDescent="0.75">
      <c r="A164" s="1326">
        <v>41670</v>
      </c>
      <c r="B164" s="1314">
        <v>1072.2760000000001</v>
      </c>
      <c r="C164" s="1314">
        <f t="shared" si="33"/>
        <v>-5.8723727760727536E-3</v>
      </c>
      <c r="E164" s="1326">
        <v>41670</v>
      </c>
      <c r="F164" s="1314">
        <v>12.69</v>
      </c>
      <c r="G164" s="1314">
        <f t="shared" si="23"/>
        <v>7.7249575551782704E-2</v>
      </c>
      <c r="I164" s="1326">
        <v>41670</v>
      </c>
      <c r="J164" s="1314">
        <v>8.91</v>
      </c>
      <c r="K164" s="1314">
        <f t="shared" si="24"/>
        <v>9.0600226500566327E-3</v>
      </c>
      <c r="M164" s="1326">
        <v>41670</v>
      </c>
      <c r="N164" s="1314">
        <v>11.01</v>
      </c>
      <c r="O164" s="1314">
        <f t="shared" si="25"/>
        <v>9.0909090909088968E-4</v>
      </c>
      <c r="Q164" s="1326">
        <v>41670</v>
      </c>
      <c r="R164" s="1314">
        <v>7.26</v>
      </c>
      <c r="S164" s="1314">
        <f t="shared" si="26"/>
        <v>3.8626609442060027E-2</v>
      </c>
      <c r="U164" s="1326">
        <v>41670</v>
      </c>
      <c r="V164" s="1314">
        <v>22.81</v>
      </c>
      <c r="W164" s="1314">
        <f t="shared" si="27"/>
        <v>2.5629496402877712E-2</v>
      </c>
      <c r="Y164" s="1326">
        <v>41670</v>
      </c>
      <c r="Z164" s="1314">
        <v>13.58</v>
      </c>
      <c r="AA164" s="1314">
        <f t="shared" si="28"/>
        <v>8.1662954714179226E-3</v>
      </c>
      <c r="AC164" s="1326">
        <v>41670</v>
      </c>
      <c r="AD164" s="1314">
        <v>10.039999999999999</v>
      </c>
      <c r="AE164" s="1314">
        <f t="shared" si="29"/>
        <v>6.5817409766454268E-2</v>
      </c>
      <c r="AG164" s="1326">
        <v>41670</v>
      </c>
      <c r="AH164" s="1314">
        <v>4.87</v>
      </c>
      <c r="AI164" s="1314">
        <f t="shared" si="30"/>
        <v>1.8828451882845158E-2</v>
      </c>
      <c r="AK164" s="1326">
        <v>41670</v>
      </c>
      <c r="AL164" s="1314">
        <v>-0.82</v>
      </c>
      <c r="AN164" s="1326">
        <v>41670</v>
      </c>
      <c r="AO164" s="1314">
        <v>-0.16</v>
      </c>
      <c r="AQ164" s="1326">
        <v>41670</v>
      </c>
      <c r="AR164" s="1327">
        <v>2.4</v>
      </c>
      <c r="AT164" s="1326">
        <v>41670</v>
      </c>
      <c r="AU164" s="1314">
        <v>1072.2760000000001</v>
      </c>
      <c r="AV164" s="1314">
        <f t="shared" si="31"/>
        <v>-5.8723727760727536E-3</v>
      </c>
      <c r="AX164" s="1314">
        <v>3.5985</v>
      </c>
      <c r="AY164" s="1314">
        <f t="shared" si="32"/>
        <v>-2.0149761742682053E-2</v>
      </c>
    </row>
    <row r="165" spans="1:51" x14ac:dyDescent="0.75">
      <c r="A165" s="1326">
        <v>41663</v>
      </c>
      <c r="B165" s="1314">
        <v>1076.6980000000001</v>
      </c>
      <c r="C165" s="1314">
        <f t="shared" si="33"/>
        <v>4.1239382397815719E-3</v>
      </c>
      <c r="E165" s="1326">
        <v>41663</v>
      </c>
      <c r="F165" s="1314">
        <v>13.19</v>
      </c>
      <c r="G165" s="1314">
        <f t="shared" si="23"/>
        <v>3.9401103230890466E-2</v>
      </c>
      <c r="I165" s="1326">
        <v>41663</v>
      </c>
      <c r="J165" s="1314">
        <v>8.99</v>
      </c>
      <c r="K165" s="1314">
        <f t="shared" si="24"/>
        <v>8.9786756453423197E-3</v>
      </c>
      <c r="M165" s="1326">
        <v>41663</v>
      </c>
      <c r="N165" s="1314">
        <v>12.1</v>
      </c>
      <c r="O165" s="1314">
        <f t="shared" si="25"/>
        <v>9.9000908265213433E-2</v>
      </c>
      <c r="Q165" s="1326">
        <v>41663</v>
      </c>
      <c r="R165" s="1314">
        <v>7.37</v>
      </c>
      <c r="S165" s="1314">
        <f t="shared" si="26"/>
        <v>1.5151515151515195E-2</v>
      </c>
      <c r="U165" s="1326">
        <v>41663</v>
      </c>
      <c r="V165" s="1314">
        <v>23.22</v>
      </c>
      <c r="W165" s="1314">
        <f t="shared" si="27"/>
        <v>1.7974572555896545E-2</v>
      </c>
      <c r="Y165" s="1326">
        <v>41663</v>
      </c>
      <c r="Z165" s="1314">
        <v>13.93</v>
      </c>
      <c r="AA165" s="1314">
        <f t="shared" si="28"/>
        <v>2.5773195876288634E-2</v>
      </c>
      <c r="AC165" s="1326">
        <v>41663</v>
      </c>
      <c r="AD165" s="1314">
        <v>10.4</v>
      </c>
      <c r="AE165" s="1314">
        <f t="shared" si="29"/>
        <v>3.5856573705179404E-2</v>
      </c>
      <c r="AG165" s="1326">
        <v>41663</v>
      </c>
      <c r="AH165" s="1314">
        <v>4.8899999999999997</v>
      </c>
      <c r="AI165" s="1314">
        <f t="shared" si="30"/>
        <v>4.1067761806980645E-3</v>
      </c>
      <c r="AK165" s="1326">
        <v>41663</v>
      </c>
      <c r="AL165" s="1314">
        <v>0.48</v>
      </c>
      <c r="AN165" s="1326">
        <v>41663</v>
      </c>
      <c r="AO165" s="1314">
        <v>-0.09</v>
      </c>
      <c r="AQ165" s="1326">
        <v>41663</v>
      </c>
      <c r="AR165" s="1327">
        <v>2.44</v>
      </c>
      <c r="AT165" s="1326">
        <v>41663</v>
      </c>
      <c r="AU165" s="1314">
        <v>1076.6980000000001</v>
      </c>
      <c r="AV165" s="1314">
        <f t="shared" si="31"/>
        <v>4.1239382397815719E-3</v>
      </c>
      <c r="AX165" s="1314">
        <v>3.6324999999999998</v>
      </c>
      <c r="AY165" s="1314">
        <f t="shared" si="32"/>
        <v>9.4483812699735475E-3</v>
      </c>
    </row>
    <row r="166" spans="1:51" x14ac:dyDescent="0.75">
      <c r="A166" s="1326">
        <v>41656</v>
      </c>
      <c r="B166" s="1314">
        <v>1104.95</v>
      </c>
      <c r="C166" s="1314">
        <f t="shared" si="33"/>
        <v>2.6239484052166858E-2</v>
      </c>
      <c r="E166" s="1326">
        <v>41656</v>
      </c>
      <c r="F166" s="1314">
        <v>14.09</v>
      </c>
      <c r="G166" s="1314">
        <f t="shared" si="23"/>
        <v>6.8233510235026565E-2</v>
      </c>
      <c r="I166" s="1326">
        <v>41656</v>
      </c>
      <c r="J166" s="1314">
        <v>8.52</v>
      </c>
      <c r="K166" s="1314">
        <f t="shared" si="24"/>
        <v>-5.2280311457174711E-2</v>
      </c>
      <c r="M166" s="1326">
        <v>41656</v>
      </c>
      <c r="N166" s="1314">
        <v>12.13</v>
      </c>
      <c r="O166" s="1314">
        <f t="shared" si="25"/>
        <v>2.4793388429753004E-3</v>
      </c>
      <c r="Q166" s="1326">
        <v>41656</v>
      </c>
      <c r="R166" s="1314">
        <v>7.79</v>
      </c>
      <c r="S166" s="1314">
        <f t="shared" si="26"/>
        <v>5.6987788331071904E-2</v>
      </c>
      <c r="U166" s="1326">
        <v>41656</v>
      </c>
      <c r="V166" s="1314">
        <v>24.03</v>
      </c>
      <c r="W166" s="1314">
        <f t="shared" si="27"/>
        <v>3.4883720930232655E-2</v>
      </c>
      <c r="Y166" s="1326">
        <v>41656</v>
      </c>
      <c r="Z166" s="1314">
        <v>14.45</v>
      </c>
      <c r="AA166" s="1314">
        <f t="shared" si="28"/>
        <v>3.7329504666188056E-2</v>
      </c>
      <c r="AC166" s="1326">
        <v>41656</v>
      </c>
      <c r="AD166" s="1314">
        <v>10.1</v>
      </c>
      <c r="AE166" s="1314">
        <f t="shared" si="29"/>
        <v>-2.8846153846153914E-2</v>
      </c>
      <c r="AG166" s="1326">
        <v>41656</v>
      </c>
      <c r="AH166" s="1314">
        <v>4.7699999999999996</v>
      </c>
      <c r="AI166" s="1314">
        <f t="shared" si="30"/>
        <v>-2.4539877300613522E-2</v>
      </c>
      <c r="AK166" s="1326">
        <v>41656</v>
      </c>
      <c r="AL166" s="1314">
        <v>0.64</v>
      </c>
      <c r="AN166" s="1326">
        <v>41656</v>
      </c>
      <c r="AO166" s="1314">
        <v>-0.7</v>
      </c>
      <c r="AQ166" s="1326">
        <v>41656</v>
      </c>
      <c r="AR166" s="1327">
        <v>2.4500000000000002</v>
      </c>
      <c r="AT166" s="1326">
        <v>41656</v>
      </c>
      <c r="AU166" s="1314">
        <v>1104.95</v>
      </c>
      <c r="AV166" s="1314">
        <f t="shared" si="31"/>
        <v>2.6239484052166858E-2</v>
      </c>
      <c r="AX166" s="1314">
        <v>3.7480000000000002</v>
      </c>
      <c r="AY166" s="1314">
        <f t="shared" si="32"/>
        <v>3.1796283551273334E-2</v>
      </c>
    </row>
    <row r="167" spans="1:51" x14ac:dyDescent="0.75">
      <c r="A167" s="1326">
        <v>41649</v>
      </c>
      <c r="B167" s="1314">
        <v>1106.329</v>
      </c>
      <c r="C167" s="1314">
        <f t="shared" si="33"/>
        <v>1.2480202724104307E-3</v>
      </c>
      <c r="E167" s="1326">
        <v>41649</v>
      </c>
      <c r="F167" s="1314">
        <v>13.87</v>
      </c>
      <c r="G167" s="1314">
        <f t="shared" si="23"/>
        <v>-1.5613910574875845E-2</v>
      </c>
      <c r="I167" s="1326">
        <v>41649</v>
      </c>
      <c r="J167" s="1314">
        <v>8.69</v>
      </c>
      <c r="K167" s="1314">
        <f t="shared" si="24"/>
        <v>1.9953051643192481E-2</v>
      </c>
      <c r="M167" s="1326">
        <v>41649</v>
      </c>
      <c r="N167" s="1314">
        <v>11.49</v>
      </c>
      <c r="O167" s="1314">
        <f t="shared" si="25"/>
        <v>-5.2761747732893695E-2</v>
      </c>
      <c r="Q167" s="1326">
        <v>41649</v>
      </c>
      <c r="R167" s="1314">
        <v>7.41</v>
      </c>
      <c r="S167" s="1314">
        <f t="shared" si="26"/>
        <v>-4.8780487804878037E-2</v>
      </c>
      <c r="U167" s="1326">
        <v>41649</v>
      </c>
      <c r="V167" s="1314">
        <v>24.01</v>
      </c>
      <c r="W167" s="1314">
        <f t="shared" si="27"/>
        <v>-8.3229296712441006E-4</v>
      </c>
      <c r="Y167" s="1326">
        <v>41649</v>
      </c>
      <c r="Z167" s="1314">
        <v>13.75</v>
      </c>
      <c r="AA167" s="1314">
        <f t="shared" si="28"/>
        <v>-4.8442906574394415E-2</v>
      </c>
      <c r="AC167" s="1326">
        <v>41649</v>
      </c>
      <c r="AD167" s="1314">
        <v>10.27</v>
      </c>
      <c r="AE167" s="1314">
        <f t="shared" si="29"/>
        <v>1.6831683168316826E-2</v>
      </c>
      <c r="AG167" s="1326">
        <v>41649</v>
      </c>
      <c r="AH167" s="1314">
        <v>5.05</v>
      </c>
      <c r="AI167" s="1314">
        <f t="shared" si="30"/>
        <v>5.8700209643605929E-2</v>
      </c>
      <c r="AK167" s="1326">
        <v>41649</v>
      </c>
      <c r="AL167" s="1314">
        <v>0.51</v>
      </c>
      <c r="AN167" s="1326">
        <v>41649</v>
      </c>
      <c r="AO167" s="1314">
        <v>-1.43</v>
      </c>
      <c r="AQ167" s="1326">
        <v>41649</v>
      </c>
      <c r="AR167" s="1327">
        <v>2.52</v>
      </c>
      <c r="AT167" s="1326">
        <v>41649</v>
      </c>
      <c r="AU167" s="1314">
        <v>1106.329</v>
      </c>
      <c r="AV167" s="1314">
        <f t="shared" si="31"/>
        <v>1.2480202724104307E-3</v>
      </c>
      <c r="AX167" s="1314">
        <v>3.7999000000000001</v>
      </c>
      <c r="AY167" s="1314">
        <f t="shared" si="32"/>
        <v>1.38473852721451E-2</v>
      </c>
    </row>
    <row r="168" spans="1:51" x14ac:dyDescent="0.75">
      <c r="A168" s="1326">
        <v>41642</v>
      </c>
      <c r="B168" s="1314">
        <v>1098.6790000000001</v>
      </c>
      <c r="C168" s="1314">
        <f t="shared" si="33"/>
        <v>-6.9147604374466039E-3</v>
      </c>
      <c r="E168" s="1326">
        <v>41642</v>
      </c>
      <c r="F168" s="1314">
        <v>12.6</v>
      </c>
      <c r="G168" s="1314">
        <f t="shared" si="23"/>
        <v>-9.1564527757750522E-2</v>
      </c>
      <c r="I168" s="1326">
        <v>41642</v>
      </c>
      <c r="J168" s="1314">
        <v>9.6</v>
      </c>
      <c r="K168" s="1314">
        <f t="shared" si="24"/>
        <v>0.10471806674338321</v>
      </c>
      <c r="M168" s="1326">
        <v>41642</v>
      </c>
      <c r="N168" s="1314">
        <v>11.71</v>
      </c>
      <c r="O168" s="1314">
        <f t="shared" si="25"/>
        <v>1.9147084421235912E-2</v>
      </c>
      <c r="Q168" s="1326">
        <v>41642</v>
      </c>
      <c r="R168" s="1314">
        <v>7.7</v>
      </c>
      <c r="S168" s="1314">
        <f t="shared" si="26"/>
        <v>3.9136302294197033E-2</v>
      </c>
      <c r="U168" s="1326">
        <v>41642</v>
      </c>
      <c r="V168" s="1314">
        <v>24.84</v>
      </c>
      <c r="W168" s="1314">
        <f t="shared" si="27"/>
        <v>3.4568929612661316E-2</v>
      </c>
      <c r="Y168" s="1326">
        <v>41642</v>
      </c>
      <c r="Z168" s="1314">
        <v>13.26</v>
      </c>
      <c r="AA168" s="1314">
        <f t="shared" si="28"/>
        <v>-3.5636363636363654E-2</v>
      </c>
      <c r="AC168" s="1326">
        <v>41642</v>
      </c>
      <c r="AD168" s="1314">
        <v>10.42</v>
      </c>
      <c r="AE168" s="1314">
        <f t="shared" si="29"/>
        <v>1.4605647517039957E-2</v>
      </c>
      <c r="AG168" s="1326">
        <v>41642</v>
      </c>
      <c r="AH168" s="1314">
        <v>5.16</v>
      </c>
      <c r="AI168" s="1314">
        <f t="shared" si="30"/>
        <v>2.1782178217821847E-2</v>
      </c>
      <c r="AK168" s="1326">
        <v>41642</v>
      </c>
      <c r="AL168" s="1314">
        <v>-0.06</v>
      </c>
      <c r="AN168" s="1326">
        <v>41642</v>
      </c>
      <c r="AO168" s="1314">
        <v>-0.08</v>
      </c>
      <c r="AQ168" s="1326">
        <v>41642</v>
      </c>
      <c r="AR168" s="1327">
        <v>2.57</v>
      </c>
      <c r="AT168" s="1326">
        <v>41642</v>
      </c>
      <c r="AU168" s="1314">
        <v>1098.6790000000001</v>
      </c>
      <c r="AV168" s="1314">
        <f t="shared" si="31"/>
        <v>-6.9147604374466039E-3</v>
      </c>
      <c r="AX168" s="1314">
        <v>3.9247999999999998</v>
      </c>
      <c r="AY168" s="1314">
        <f t="shared" si="32"/>
        <v>3.286928603384294E-2</v>
      </c>
    </row>
    <row r="169" spans="1:51" x14ac:dyDescent="0.75">
      <c r="A169" s="1326">
        <v>41635</v>
      </c>
      <c r="B169" s="1314">
        <v>1103.9259999999999</v>
      </c>
      <c r="C169" s="1314">
        <f t="shared" si="33"/>
        <v>4.7757352238459484E-3</v>
      </c>
      <c r="E169" s="1326">
        <v>41635</v>
      </c>
      <c r="F169" s="1314">
        <v>12.77</v>
      </c>
      <c r="G169" s="1314">
        <f t="shared" si="23"/>
        <v>1.3492063492063487E-2</v>
      </c>
      <c r="I169" s="1326">
        <v>41635</v>
      </c>
      <c r="J169" s="1314">
        <v>9.57</v>
      </c>
      <c r="K169" s="1314">
        <f t="shared" si="24"/>
        <v>-3.1249999999999334E-3</v>
      </c>
      <c r="M169" s="1326">
        <v>41635</v>
      </c>
      <c r="N169" s="1314">
        <v>11.63</v>
      </c>
      <c r="O169" s="1314">
        <f t="shared" si="25"/>
        <v>-6.8317677198975295E-3</v>
      </c>
      <c r="Q169" s="1326">
        <v>41635</v>
      </c>
      <c r="R169" s="1314">
        <v>7.9</v>
      </c>
      <c r="S169" s="1314">
        <f t="shared" si="26"/>
        <v>2.5974025974025997E-2</v>
      </c>
      <c r="U169" s="1326">
        <v>41635</v>
      </c>
      <c r="V169" s="1314">
        <v>25.02</v>
      </c>
      <c r="W169" s="1314">
        <f t="shared" si="27"/>
        <v>7.2463768115941917E-3</v>
      </c>
      <c r="Y169" s="1326">
        <v>41635</v>
      </c>
      <c r="Z169" s="1314">
        <v>13.11</v>
      </c>
      <c r="AA169" s="1314">
        <f t="shared" si="28"/>
        <v>-1.1312217194570163E-2</v>
      </c>
      <c r="AC169" s="1326">
        <v>41635</v>
      </c>
      <c r="AD169" s="1314">
        <v>10.29</v>
      </c>
      <c r="AE169" s="1314">
        <f t="shared" si="29"/>
        <v>-1.2476007677543262E-2</v>
      </c>
      <c r="AG169" s="1326">
        <v>41635</v>
      </c>
      <c r="AH169" s="1314">
        <v>5.08</v>
      </c>
      <c r="AI169" s="1314">
        <f t="shared" si="30"/>
        <v>-1.5503875968992262E-2</v>
      </c>
      <c r="AK169" s="1326">
        <v>41635</v>
      </c>
      <c r="AL169" s="1314">
        <v>0.22</v>
      </c>
      <c r="AN169" s="1326">
        <v>41635</v>
      </c>
      <c r="AO169" s="1314">
        <v>-0.01</v>
      </c>
      <c r="AQ169" s="1326">
        <v>41635</v>
      </c>
      <c r="AR169" s="1327">
        <v>2.59</v>
      </c>
      <c r="AT169" s="1326">
        <v>41635</v>
      </c>
      <c r="AU169" s="1314">
        <v>1103.9259999999999</v>
      </c>
      <c r="AV169" s="1314">
        <f t="shared" si="31"/>
        <v>4.7757352238459484E-3</v>
      </c>
      <c r="AX169" s="1314">
        <v>3.9367000000000001</v>
      </c>
      <c r="AY169" s="1314">
        <f t="shared" si="32"/>
        <v>3.0320016306564015E-3</v>
      </c>
    </row>
    <row r="170" spans="1:51" x14ac:dyDescent="0.75">
      <c r="A170" s="1326">
        <v>41628</v>
      </c>
      <c r="B170" s="1314">
        <v>1090.1420000000001</v>
      </c>
      <c r="C170" s="1314">
        <f t="shared" si="33"/>
        <v>-1.2486344193360678E-2</v>
      </c>
      <c r="E170" s="1326">
        <v>41628</v>
      </c>
      <c r="F170" s="1314">
        <v>12.78</v>
      </c>
      <c r="G170" s="1314">
        <f t="shared" si="23"/>
        <v>7.8308535630382042E-4</v>
      </c>
      <c r="I170" s="1326">
        <v>41628</v>
      </c>
      <c r="J170" s="1314">
        <v>9.61</v>
      </c>
      <c r="K170" s="1314">
        <f t="shared" si="24"/>
        <v>4.1797283176592632E-3</v>
      </c>
      <c r="M170" s="1326">
        <v>41628</v>
      </c>
      <c r="N170" s="1314">
        <v>11.93</v>
      </c>
      <c r="O170" s="1314">
        <f t="shared" si="25"/>
        <v>2.5795356835769469E-2</v>
      </c>
      <c r="Q170" s="1326">
        <v>41628</v>
      </c>
      <c r="R170" s="1314">
        <v>7.98</v>
      </c>
      <c r="S170" s="1314">
        <f t="shared" si="26"/>
        <v>1.0126582278481022E-2</v>
      </c>
      <c r="U170" s="1326">
        <v>41628</v>
      </c>
      <c r="V170" s="1314">
        <v>24.2</v>
      </c>
      <c r="W170" s="1314">
        <f t="shared" si="27"/>
        <v>-3.2773780975219838E-2</v>
      </c>
      <c r="Y170" s="1326">
        <v>41628</v>
      </c>
      <c r="Z170" s="1314">
        <v>12.95</v>
      </c>
      <c r="AA170" s="1314">
        <f t="shared" si="28"/>
        <v>-1.2204424103737616E-2</v>
      </c>
      <c r="AC170" s="1326">
        <v>41628</v>
      </c>
      <c r="AD170" s="1314">
        <v>10.33</v>
      </c>
      <c r="AE170" s="1314">
        <f t="shared" si="29"/>
        <v>3.8872691933917324E-3</v>
      </c>
      <c r="AG170" s="1326">
        <v>41628</v>
      </c>
      <c r="AH170" s="1314">
        <v>5.12</v>
      </c>
      <c r="AI170" s="1314">
        <f t="shared" si="30"/>
        <v>7.8740157480315029E-3</v>
      </c>
      <c r="AK170" s="1326">
        <v>41628</v>
      </c>
      <c r="AL170" s="1314">
        <v>1.05</v>
      </c>
      <c r="AN170" s="1326">
        <v>41628</v>
      </c>
      <c r="AO170" s="1314">
        <v>-0.37</v>
      </c>
      <c r="AQ170" s="1326">
        <v>41628</v>
      </c>
      <c r="AR170" s="1327">
        <v>2.52</v>
      </c>
      <c r="AT170" s="1326">
        <v>41628</v>
      </c>
      <c r="AU170" s="1314">
        <v>1090.1420000000001</v>
      </c>
      <c r="AV170" s="1314">
        <f t="shared" si="31"/>
        <v>-1.2486344193360678E-2</v>
      </c>
      <c r="AX170" s="1314">
        <v>3.823</v>
      </c>
      <c r="AY170" s="1314">
        <f t="shared" si="32"/>
        <v>-2.8882058576980753E-2</v>
      </c>
    </row>
    <row r="171" spans="1:51" x14ac:dyDescent="0.75">
      <c r="A171" s="1326">
        <v>41621</v>
      </c>
      <c r="B171" s="1314">
        <v>1063.546</v>
      </c>
      <c r="C171" s="1314">
        <f t="shared" si="33"/>
        <v>-2.4396821698457635E-2</v>
      </c>
      <c r="E171" s="1326">
        <v>41621</v>
      </c>
      <c r="F171" s="1314">
        <v>12.16</v>
      </c>
      <c r="G171" s="1314">
        <f t="shared" si="23"/>
        <v>-4.8513302034428739E-2</v>
      </c>
      <c r="I171" s="1326">
        <v>41621</v>
      </c>
      <c r="J171" s="1314">
        <v>9.5399999999999991</v>
      </c>
      <c r="K171" s="1314">
        <f t="shared" si="24"/>
        <v>-7.2840790842872306E-3</v>
      </c>
      <c r="M171" s="1326">
        <v>41621</v>
      </c>
      <c r="N171" s="1314">
        <v>11.82</v>
      </c>
      <c r="O171" s="1314">
        <f t="shared" si="25"/>
        <v>-9.2204526404022994E-3</v>
      </c>
      <c r="Q171" s="1326">
        <v>41621</v>
      </c>
      <c r="R171" s="1314">
        <v>7.14</v>
      </c>
      <c r="S171" s="1314">
        <f t="shared" si="26"/>
        <v>-0.10526315789473693</v>
      </c>
      <c r="U171" s="1326">
        <v>41621</v>
      </c>
      <c r="V171" s="1314">
        <v>27.64</v>
      </c>
      <c r="W171" s="1314">
        <f t="shared" si="27"/>
        <v>0.14214876033057858</v>
      </c>
      <c r="Y171" s="1326">
        <v>41621</v>
      </c>
      <c r="Z171" s="1314">
        <v>12.2</v>
      </c>
      <c r="AA171" s="1314">
        <f t="shared" si="28"/>
        <v>-5.7915057915057917E-2</v>
      </c>
      <c r="AC171" s="1326">
        <v>41621</v>
      </c>
      <c r="AD171" s="1314">
        <v>9.56</v>
      </c>
      <c r="AE171" s="1314">
        <f t="shared" si="29"/>
        <v>-7.4540174249757951E-2</v>
      </c>
      <c r="AG171" s="1326">
        <v>41621</v>
      </c>
      <c r="AH171" s="1314">
        <v>4.99</v>
      </c>
      <c r="AI171" s="1314">
        <f t="shared" si="30"/>
        <v>-2.5390624999999979E-2</v>
      </c>
      <c r="AK171" s="1326">
        <v>41621</v>
      </c>
      <c r="AL171" s="1314">
        <v>-0.69</v>
      </c>
      <c r="AN171" s="1326">
        <v>41621</v>
      </c>
      <c r="AO171" s="1314">
        <v>0.44</v>
      </c>
      <c r="AQ171" s="1326">
        <v>41621</v>
      </c>
      <c r="AR171" s="1327">
        <v>2.52</v>
      </c>
      <c r="AT171" s="1326">
        <v>41621</v>
      </c>
      <c r="AU171" s="1314">
        <v>1063.546</v>
      </c>
      <c r="AV171" s="1314">
        <f t="shared" si="31"/>
        <v>-2.4396821698457635E-2</v>
      </c>
      <c r="AX171" s="1314">
        <v>3.8731</v>
      </c>
      <c r="AY171" s="1314">
        <f t="shared" si="32"/>
        <v>1.3104891446507987E-2</v>
      </c>
    </row>
    <row r="172" spans="1:51" x14ac:dyDescent="0.75">
      <c r="A172" s="1326">
        <v>41614</v>
      </c>
      <c r="B172" s="1314">
        <v>1080.577</v>
      </c>
      <c r="C172" s="1314">
        <f t="shared" si="33"/>
        <v>1.6013411737715106E-2</v>
      </c>
      <c r="E172" s="1326">
        <v>41614</v>
      </c>
      <c r="F172" s="1314">
        <v>12.27</v>
      </c>
      <c r="G172" s="1314">
        <f t="shared" si="23"/>
        <v>9.0460526315789009E-3</v>
      </c>
      <c r="I172" s="1326">
        <v>41614</v>
      </c>
      <c r="J172" s="1314">
        <v>8.58</v>
      </c>
      <c r="K172" s="1314">
        <f t="shared" si="24"/>
        <v>-0.10062893081760997</v>
      </c>
      <c r="M172" s="1326">
        <v>41614</v>
      </c>
      <c r="N172" s="1314">
        <v>12.46</v>
      </c>
      <c r="O172" s="1314">
        <f t="shared" si="25"/>
        <v>5.4145516074450131E-2</v>
      </c>
      <c r="Q172" s="1326">
        <v>41614</v>
      </c>
      <c r="R172" s="1314">
        <v>7.26</v>
      </c>
      <c r="S172" s="1314">
        <f t="shared" si="26"/>
        <v>1.6806722689075647E-2</v>
      </c>
      <c r="U172" s="1326">
        <v>41614</v>
      </c>
      <c r="V172" s="1314">
        <v>29.76</v>
      </c>
      <c r="W172" s="1314">
        <f t="shared" si="27"/>
        <v>7.6700434153400901E-2</v>
      </c>
      <c r="Y172" s="1326">
        <v>41614</v>
      </c>
      <c r="Z172" s="1314">
        <v>12.53</v>
      </c>
      <c r="AA172" s="1314">
        <f t="shared" si="28"/>
        <v>2.704918032786886E-2</v>
      </c>
      <c r="AC172" s="1326">
        <v>41614</v>
      </c>
      <c r="AD172" s="1314">
        <v>9.67</v>
      </c>
      <c r="AE172" s="1314">
        <f t="shared" si="29"/>
        <v>1.1506276150627555E-2</v>
      </c>
      <c r="AG172" s="1326">
        <v>41614</v>
      </c>
      <c r="AH172" s="1314">
        <v>4.8</v>
      </c>
      <c r="AI172" s="1314">
        <f t="shared" si="30"/>
        <v>-3.8076152304609298E-2</v>
      </c>
      <c r="AK172" s="1326">
        <v>41614</v>
      </c>
      <c r="AL172" s="1314">
        <v>-0.84</v>
      </c>
      <c r="AN172" s="1326">
        <v>41614</v>
      </c>
      <c r="AO172" s="1314">
        <v>-0.12</v>
      </c>
      <c r="AQ172" s="1326">
        <v>41614</v>
      </c>
      <c r="AR172" s="1327">
        <v>2.5099999999999998</v>
      </c>
      <c r="AT172" s="1326">
        <v>41614</v>
      </c>
      <c r="AU172" s="1314">
        <v>1080.577</v>
      </c>
      <c r="AV172" s="1314">
        <f t="shared" si="31"/>
        <v>1.6013411737715106E-2</v>
      </c>
      <c r="AX172" s="1314">
        <v>3.8893</v>
      </c>
      <c r="AY172" s="1314">
        <f t="shared" si="32"/>
        <v>4.18269603160259E-3</v>
      </c>
    </row>
    <row r="173" spans="1:51" x14ac:dyDescent="0.75">
      <c r="A173" s="1326">
        <v>41607</v>
      </c>
      <c r="B173" s="1314">
        <v>1081.5930000000001</v>
      </c>
      <c r="C173" s="1314">
        <f t="shared" si="33"/>
        <v>9.4023840966453703E-4</v>
      </c>
      <c r="E173" s="1326">
        <v>41607</v>
      </c>
      <c r="F173" s="1314">
        <v>12.31</v>
      </c>
      <c r="G173" s="1314">
        <f t="shared" si="23"/>
        <v>3.2599837000815749E-3</v>
      </c>
      <c r="I173" s="1326">
        <v>41607</v>
      </c>
      <c r="J173" s="1314">
        <v>8.59</v>
      </c>
      <c r="K173" s="1314">
        <f t="shared" si="24"/>
        <v>1.1655011655011406E-3</v>
      </c>
      <c r="M173" s="1326">
        <v>41607</v>
      </c>
      <c r="N173" s="1314">
        <v>12.25</v>
      </c>
      <c r="O173" s="1314">
        <f t="shared" si="25"/>
        <v>-1.6853932584269732E-2</v>
      </c>
      <c r="Q173" s="1326">
        <v>41607</v>
      </c>
      <c r="R173" s="1314">
        <v>7.75</v>
      </c>
      <c r="S173" s="1314">
        <f t="shared" si="26"/>
        <v>6.7493112947658432E-2</v>
      </c>
      <c r="U173" s="1326">
        <v>41607</v>
      </c>
      <c r="V173" s="1314">
        <v>29.72</v>
      </c>
      <c r="W173" s="1314">
        <f t="shared" si="27"/>
        <v>-1.3440860215054671E-3</v>
      </c>
      <c r="Y173" s="1326">
        <v>41607</v>
      </c>
      <c r="Z173" s="1314">
        <v>12.93</v>
      </c>
      <c r="AA173" s="1314">
        <f t="shared" si="28"/>
        <v>3.1923383878691168E-2</v>
      </c>
      <c r="AC173" s="1326">
        <v>41607</v>
      </c>
      <c r="AD173" s="1314">
        <v>9.69</v>
      </c>
      <c r="AE173" s="1314">
        <f t="shared" si="29"/>
        <v>2.0682523267838235E-3</v>
      </c>
      <c r="AG173" s="1326">
        <v>41607</v>
      </c>
      <c r="AH173" s="1314">
        <v>5.23</v>
      </c>
      <c r="AI173" s="1314">
        <f t="shared" si="30"/>
        <v>8.9583333333333459E-2</v>
      </c>
      <c r="AK173" s="1326">
        <v>41607</v>
      </c>
      <c r="AL173" s="1314">
        <v>1.64</v>
      </c>
      <c r="AN173" s="1326">
        <v>41607</v>
      </c>
      <c r="AO173" s="1314">
        <v>-0.55000000000000004</v>
      </c>
      <c r="AQ173" s="1326">
        <v>41607</v>
      </c>
      <c r="AR173" s="1327">
        <v>2.42</v>
      </c>
      <c r="AT173" s="1326">
        <v>41607</v>
      </c>
      <c r="AU173" s="1314">
        <v>1081.5930000000001</v>
      </c>
      <c r="AV173" s="1314">
        <f t="shared" si="31"/>
        <v>9.4023840966453703E-4</v>
      </c>
      <c r="AX173" s="1314">
        <v>3.8106</v>
      </c>
      <c r="AY173" s="1314">
        <f t="shared" si="32"/>
        <v>-2.0235003728177305E-2</v>
      </c>
    </row>
    <row r="174" spans="1:51" x14ac:dyDescent="0.75">
      <c r="A174" s="1326">
        <v>41600</v>
      </c>
      <c r="B174" s="1314">
        <v>1079.548</v>
      </c>
      <c r="C174" s="1314">
        <f t="shared" si="33"/>
        <v>-1.8907296922225576E-3</v>
      </c>
      <c r="E174" s="1326">
        <v>41600</v>
      </c>
      <c r="F174" s="1314">
        <v>12.52</v>
      </c>
      <c r="G174" s="1314">
        <f t="shared" si="23"/>
        <v>1.7059301380990988E-2</v>
      </c>
      <c r="I174" s="1326">
        <v>41600</v>
      </c>
      <c r="J174" s="1314">
        <v>8.6300000000000008</v>
      </c>
      <c r="K174" s="1314">
        <f t="shared" si="24"/>
        <v>4.6565774155996418E-3</v>
      </c>
      <c r="M174" s="1326">
        <v>41600</v>
      </c>
      <c r="N174" s="1314">
        <v>12.21</v>
      </c>
      <c r="O174" s="1314">
        <f t="shared" si="25"/>
        <v>-3.2653061224489099E-3</v>
      </c>
      <c r="Q174" s="1326">
        <v>41600</v>
      </c>
      <c r="R174" s="1314">
        <v>7.4</v>
      </c>
      <c r="S174" s="1314">
        <f t="shared" si="26"/>
        <v>-4.5161290322580601E-2</v>
      </c>
      <c r="U174" s="1326">
        <v>41600</v>
      </c>
      <c r="V174" s="1314">
        <v>29.85</v>
      </c>
      <c r="W174" s="1314">
        <f t="shared" si="27"/>
        <v>4.3741588156124686E-3</v>
      </c>
      <c r="Y174" s="1326">
        <v>41600</v>
      </c>
      <c r="Z174" s="1314">
        <v>12.57</v>
      </c>
      <c r="AA174" s="1314">
        <f t="shared" si="28"/>
        <v>-2.7842227378190212E-2</v>
      </c>
      <c r="AC174" s="1326">
        <v>41600</v>
      </c>
      <c r="AD174" s="1314">
        <v>9.7100000000000009</v>
      </c>
      <c r="AE174" s="1314">
        <f t="shared" si="29"/>
        <v>2.0639834881322344E-3</v>
      </c>
      <c r="AG174" s="1326">
        <v>41600</v>
      </c>
      <c r="AH174" s="1314">
        <v>4.9400000000000004</v>
      </c>
      <c r="AI174" s="1314">
        <f t="shared" si="30"/>
        <v>-5.5449330783938815E-2</v>
      </c>
      <c r="AK174" s="1326">
        <v>41600</v>
      </c>
      <c r="AL174" s="1314">
        <v>0.18</v>
      </c>
      <c r="AN174" s="1326">
        <v>41600</v>
      </c>
      <c r="AO174" s="1314">
        <v>0.82</v>
      </c>
      <c r="AQ174" s="1326">
        <v>41600</v>
      </c>
      <c r="AR174" s="1327">
        <v>2.44</v>
      </c>
      <c r="AT174" s="1326">
        <v>41600</v>
      </c>
      <c r="AU174" s="1314">
        <v>1079.548</v>
      </c>
      <c r="AV174" s="1314">
        <f t="shared" si="31"/>
        <v>-1.8907296922225576E-3</v>
      </c>
      <c r="AX174" s="1314">
        <v>3.8292000000000002</v>
      </c>
      <c r="AY174" s="1314">
        <f t="shared" si="32"/>
        <v>4.8811210832940145E-3</v>
      </c>
    </row>
    <row r="175" spans="1:51" x14ac:dyDescent="0.75">
      <c r="A175" s="1326">
        <v>41593</v>
      </c>
      <c r="B175" s="1314">
        <v>1076.5029999999999</v>
      </c>
      <c r="C175" s="1314">
        <f t="shared" si="33"/>
        <v>-2.8206249282107629E-3</v>
      </c>
      <c r="E175" s="1326">
        <v>41593</v>
      </c>
      <c r="F175" s="1314">
        <v>11.5</v>
      </c>
      <c r="G175" s="1314">
        <f t="shared" si="23"/>
        <v>-8.1469648562300281E-2</v>
      </c>
      <c r="I175" s="1326">
        <v>41593</v>
      </c>
      <c r="J175" s="1314">
        <v>8.5500000000000007</v>
      </c>
      <c r="K175" s="1314">
        <f t="shared" si="24"/>
        <v>-9.2699884125144912E-3</v>
      </c>
      <c r="M175" s="1326">
        <v>41593</v>
      </c>
      <c r="N175" s="1314">
        <v>12.2</v>
      </c>
      <c r="O175" s="1314">
        <f t="shared" si="25"/>
        <v>-8.1900081900094699E-4</v>
      </c>
      <c r="Q175" s="1326">
        <v>41593</v>
      </c>
      <c r="R175" s="1314">
        <v>7.29</v>
      </c>
      <c r="S175" s="1314">
        <f t="shared" si="26"/>
        <v>-1.4864864864864907E-2</v>
      </c>
      <c r="U175" s="1326">
        <v>41593</v>
      </c>
      <c r="V175" s="1314">
        <v>30.96</v>
      </c>
      <c r="W175" s="1314">
        <f t="shared" si="27"/>
        <v>3.7185929648241182E-2</v>
      </c>
      <c r="Y175" s="1326">
        <v>41593</v>
      </c>
      <c r="Z175" s="1314">
        <v>12.68</v>
      </c>
      <c r="AA175" s="1314">
        <f t="shared" si="28"/>
        <v>8.7509944311853164E-3</v>
      </c>
      <c r="AC175" s="1326">
        <v>41593</v>
      </c>
      <c r="AD175" s="1314">
        <v>9.27</v>
      </c>
      <c r="AE175" s="1314">
        <f t="shared" si="29"/>
        <v>-4.5314109165808573E-2</v>
      </c>
      <c r="AG175" s="1326">
        <v>41593</v>
      </c>
      <c r="AH175" s="1314">
        <v>5.0599999999999996</v>
      </c>
      <c r="AI175" s="1314">
        <f t="shared" si="30"/>
        <v>2.4291497975708343E-2</v>
      </c>
      <c r="AK175" s="1326">
        <v>41593</v>
      </c>
      <c r="AL175" s="1314">
        <v>-0.02</v>
      </c>
      <c r="AN175" s="1326">
        <v>41593</v>
      </c>
      <c r="AO175" s="1314">
        <v>-0.94</v>
      </c>
      <c r="AQ175" s="1326">
        <v>41593</v>
      </c>
      <c r="AR175" s="1327">
        <v>2.48</v>
      </c>
      <c r="AT175" s="1326">
        <v>41593</v>
      </c>
      <c r="AU175" s="1314">
        <v>1076.5029999999999</v>
      </c>
      <c r="AV175" s="1314">
        <f t="shared" si="31"/>
        <v>-2.8206249282107629E-3</v>
      </c>
      <c r="AX175" s="1314">
        <v>3.7947000000000002</v>
      </c>
      <c r="AY175" s="1314">
        <f t="shared" si="32"/>
        <v>-9.0097148229395102E-3</v>
      </c>
    </row>
    <row r="176" spans="1:51" x14ac:dyDescent="0.75">
      <c r="A176" s="1326">
        <v>41586</v>
      </c>
      <c r="B176" s="1314">
        <v>1059.1769999999999</v>
      </c>
      <c r="C176" s="1314">
        <f t="shared" si="33"/>
        <v>-1.6094706656646588E-2</v>
      </c>
      <c r="E176" s="1326">
        <v>41586</v>
      </c>
      <c r="F176" s="1314">
        <v>11.55</v>
      </c>
      <c r="G176" s="1314">
        <f t="shared" si="23"/>
        <v>4.3478260869565834E-3</v>
      </c>
      <c r="I176" s="1326">
        <v>41586</v>
      </c>
      <c r="J176" s="1314">
        <v>8.4600000000000009</v>
      </c>
      <c r="K176" s="1314">
        <f t="shared" si="24"/>
        <v>-1.0526315789473667E-2</v>
      </c>
      <c r="M176" s="1326">
        <v>41586</v>
      </c>
      <c r="N176" s="1314">
        <v>11.99</v>
      </c>
      <c r="O176" s="1314">
        <f t="shared" si="25"/>
        <v>-1.7213114754098285E-2</v>
      </c>
      <c r="Q176" s="1326">
        <v>41586</v>
      </c>
      <c r="R176" s="1314">
        <v>7.64</v>
      </c>
      <c r="S176" s="1314">
        <f t="shared" si="26"/>
        <v>4.8010973936899813E-2</v>
      </c>
      <c r="U176" s="1326">
        <v>41586</v>
      </c>
      <c r="V176" s="1314">
        <v>31.1</v>
      </c>
      <c r="W176" s="1314">
        <f t="shared" si="27"/>
        <v>4.5219638242894235E-3</v>
      </c>
      <c r="Y176" s="1326">
        <v>41586</v>
      </c>
      <c r="Z176" s="1314">
        <v>12.11</v>
      </c>
      <c r="AA176" s="1314">
        <f t="shared" si="28"/>
        <v>-4.4952681388012644E-2</v>
      </c>
      <c r="AC176" s="1326">
        <v>41586</v>
      </c>
      <c r="AD176" s="1314">
        <v>9.2799999999999994</v>
      </c>
      <c r="AE176" s="1314">
        <f t="shared" si="29"/>
        <v>1.0787486515641627E-3</v>
      </c>
      <c r="AG176" s="1326">
        <v>41586</v>
      </c>
      <c r="AH176" s="1314">
        <v>5.46</v>
      </c>
      <c r="AI176" s="1314">
        <f t="shared" si="30"/>
        <v>7.9051383399209557E-2</v>
      </c>
      <c r="AK176" s="1326">
        <v>41586</v>
      </c>
      <c r="AL176" s="1314">
        <v>0.09</v>
      </c>
      <c r="AN176" s="1326">
        <v>41586</v>
      </c>
      <c r="AO176" s="1314">
        <v>0.71</v>
      </c>
      <c r="AQ176" s="1326">
        <v>41586</v>
      </c>
      <c r="AR176" s="1327">
        <v>2.46</v>
      </c>
      <c r="AT176" s="1326">
        <v>41586</v>
      </c>
      <c r="AU176" s="1314">
        <v>1059.1769999999999</v>
      </c>
      <c r="AV176" s="1314">
        <f t="shared" si="31"/>
        <v>-1.6094706656646588E-2</v>
      </c>
      <c r="AX176" s="1314">
        <v>3.8454000000000002</v>
      </c>
      <c r="AY176" s="1314">
        <f t="shared" si="32"/>
        <v>1.3360739979445006E-2</v>
      </c>
    </row>
    <row r="177" spans="1:51" x14ac:dyDescent="0.75">
      <c r="A177" s="1326">
        <v>41579</v>
      </c>
      <c r="B177" s="1314">
        <v>1055.6099999999999</v>
      </c>
      <c r="C177" s="1314">
        <f t="shared" si="33"/>
        <v>-3.3677090797855388E-3</v>
      </c>
      <c r="E177" s="1326">
        <v>41579</v>
      </c>
      <c r="F177" s="1314">
        <v>11.31</v>
      </c>
      <c r="G177" s="1314">
        <f t="shared" si="23"/>
        <v>-2.0779220779220797E-2</v>
      </c>
      <c r="I177" s="1326">
        <v>41579</v>
      </c>
      <c r="J177" s="1314">
        <v>8.73</v>
      </c>
      <c r="K177" s="1314">
        <f t="shared" si="24"/>
        <v>3.1914893617021226E-2</v>
      </c>
      <c r="M177" s="1326">
        <v>41579</v>
      </c>
      <c r="N177" s="1314">
        <v>11.57</v>
      </c>
      <c r="O177" s="1314">
        <f t="shared" si="25"/>
        <v>-3.5029190992493742E-2</v>
      </c>
      <c r="Q177" s="1326">
        <v>41579</v>
      </c>
      <c r="R177" s="1314">
        <v>7.38</v>
      </c>
      <c r="S177" s="1314">
        <f t="shared" si="26"/>
        <v>-3.4031413612565418E-2</v>
      </c>
      <c r="U177" s="1326">
        <v>41579</v>
      </c>
      <c r="V177" s="1314">
        <v>30.98</v>
      </c>
      <c r="W177" s="1314">
        <f t="shared" si="27"/>
        <v>-3.8585209003215754E-3</v>
      </c>
      <c r="Y177" s="1326">
        <v>41579</v>
      </c>
      <c r="Z177" s="1314">
        <v>12.38</v>
      </c>
      <c r="AA177" s="1314">
        <f t="shared" si="28"/>
        <v>2.229562345169293E-2</v>
      </c>
      <c r="AC177" s="1326">
        <v>41579</v>
      </c>
      <c r="AD177" s="1314">
        <v>9.18</v>
      </c>
      <c r="AE177" s="1314">
        <f t="shared" si="29"/>
        <v>-1.077586206896548E-2</v>
      </c>
      <c r="AG177" s="1326">
        <v>41579</v>
      </c>
      <c r="AH177" s="1314">
        <v>5.35</v>
      </c>
      <c r="AI177" s="1314">
        <f t="shared" si="30"/>
        <v>-2.0146520146520207E-2</v>
      </c>
      <c r="AK177" s="1326">
        <v>41579</v>
      </c>
      <c r="AL177" s="1314">
        <v>-1.73</v>
      </c>
      <c r="AN177" s="1326">
        <v>41579</v>
      </c>
      <c r="AO177" s="1314">
        <v>0.17</v>
      </c>
      <c r="AQ177" s="1326">
        <v>41579</v>
      </c>
      <c r="AR177" s="1327">
        <v>2.4</v>
      </c>
      <c r="AT177" s="1326">
        <v>41579</v>
      </c>
      <c r="AU177" s="1314">
        <v>1055.6099999999999</v>
      </c>
      <c r="AV177" s="1314">
        <f t="shared" si="31"/>
        <v>-3.3677090797855388E-3</v>
      </c>
      <c r="AX177" s="1314">
        <v>3.6960999999999999</v>
      </c>
      <c r="AY177" s="1314">
        <f t="shared" si="32"/>
        <v>-3.8825609819524681E-2</v>
      </c>
    </row>
    <row r="178" spans="1:51" x14ac:dyDescent="0.75">
      <c r="A178" s="1326">
        <v>41572</v>
      </c>
      <c r="B178" s="1314">
        <v>1057.278</v>
      </c>
      <c r="C178" s="1314">
        <f t="shared" si="33"/>
        <v>1.5801290249240914E-3</v>
      </c>
      <c r="E178" s="1326">
        <v>41572</v>
      </c>
      <c r="F178" s="1314">
        <v>12.45</v>
      </c>
      <c r="G178" s="1314">
        <f t="shared" si="23"/>
        <v>0.10079575596816966</v>
      </c>
      <c r="I178" s="1326">
        <v>41572</v>
      </c>
      <c r="J178" s="1314">
        <v>8.5500000000000007</v>
      </c>
      <c r="K178" s="1314">
        <f t="shared" si="24"/>
        <v>-2.0618556701030893E-2</v>
      </c>
      <c r="M178" s="1326">
        <v>41572</v>
      </c>
      <c r="N178" s="1314">
        <v>12.4</v>
      </c>
      <c r="O178" s="1314">
        <f t="shared" si="25"/>
        <v>7.1737251512532421E-2</v>
      </c>
      <c r="Q178" s="1326">
        <v>41572</v>
      </c>
      <c r="R178" s="1314">
        <v>7.93</v>
      </c>
      <c r="S178" s="1314">
        <f t="shared" si="26"/>
        <v>7.452574525745255E-2</v>
      </c>
      <c r="U178" s="1326">
        <v>41572</v>
      </c>
      <c r="V178" s="1314">
        <v>30.18</v>
      </c>
      <c r="W178" s="1314">
        <f t="shared" si="27"/>
        <v>-2.5823111684958058E-2</v>
      </c>
      <c r="Y178" s="1326">
        <v>41572</v>
      </c>
      <c r="Z178" s="1314">
        <v>13.04</v>
      </c>
      <c r="AA178" s="1314">
        <f t="shared" si="28"/>
        <v>5.3311793214862548E-2</v>
      </c>
      <c r="AC178" s="1326">
        <v>41572</v>
      </c>
      <c r="AD178" s="1314">
        <v>9.16</v>
      </c>
      <c r="AE178" s="1314">
        <f t="shared" si="29"/>
        <v>-2.1786492374727207E-3</v>
      </c>
      <c r="AG178" s="1326">
        <v>41572</v>
      </c>
      <c r="AH178" s="1314">
        <v>5.26</v>
      </c>
      <c r="AI178" s="1314">
        <f t="shared" si="30"/>
        <v>-1.6822429906542032E-2</v>
      </c>
      <c r="AK178" s="1326">
        <v>41572</v>
      </c>
      <c r="AL178" s="1314">
        <v>-0.17</v>
      </c>
      <c r="AN178" s="1326">
        <v>41572</v>
      </c>
      <c r="AO178" s="1314">
        <v>-0.36</v>
      </c>
      <c r="AQ178" s="1326">
        <v>41572</v>
      </c>
      <c r="AR178" s="1327">
        <v>2.39</v>
      </c>
      <c r="AT178" s="1326">
        <v>41572</v>
      </c>
      <c r="AU178" s="1314">
        <v>1057.278</v>
      </c>
      <c r="AV178" s="1314">
        <f t="shared" si="31"/>
        <v>1.5801290249240914E-3</v>
      </c>
      <c r="AX178" s="1314">
        <v>3.5998999999999999</v>
      </c>
      <c r="AY178" s="1314">
        <f t="shared" si="32"/>
        <v>-2.6027434322664449E-2</v>
      </c>
    </row>
    <row r="179" spans="1:51" x14ac:dyDescent="0.75">
      <c r="A179" s="1326">
        <v>41565</v>
      </c>
      <c r="B179" s="1314">
        <v>1049.164</v>
      </c>
      <c r="C179" s="1314">
        <f t="shared" si="33"/>
        <v>-7.6744243235932581E-3</v>
      </c>
      <c r="E179" s="1326">
        <v>41565</v>
      </c>
      <c r="F179" s="1314">
        <v>10.95</v>
      </c>
      <c r="G179" s="1314">
        <f t="shared" si="23"/>
        <v>-0.12048192771084339</v>
      </c>
      <c r="I179" s="1326">
        <v>41565</v>
      </c>
      <c r="J179" s="1314">
        <v>9.4849999999999994</v>
      </c>
      <c r="K179" s="1314">
        <f t="shared" si="24"/>
        <v>0.10935672514619867</v>
      </c>
      <c r="M179" s="1326">
        <v>41565</v>
      </c>
      <c r="N179" s="1314">
        <v>13.2</v>
      </c>
      <c r="O179" s="1314">
        <f t="shared" si="25"/>
        <v>6.4516129032257979E-2</v>
      </c>
      <c r="Q179" s="1326">
        <v>41565</v>
      </c>
      <c r="R179" s="1314">
        <v>7.94</v>
      </c>
      <c r="S179" s="1314">
        <f t="shared" si="26"/>
        <v>1.261034047919379E-3</v>
      </c>
      <c r="U179" s="1326">
        <v>41565</v>
      </c>
      <c r="V179" s="1314">
        <v>31.03</v>
      </c>
      <c r="W179" s="1314">
        <f t="shared" si="27"/>
        <v>2.8164347249834375E-2</v>
      </c>
      <c r="Y179" s="1326">
        <v>41565</v>
      </c>
      <c r="Z179" s="1314">
        <v>13.1</v>
      </c>
      <c r="AA179" s="1314">
        <f t="shared" si="28"/>
        <v>4.6012269938650692E-3</v>
      </c>
      <c r="AC179" s="1326">
        <v>41565</v>
      </c>
      <c r="AD179" s="1314">
        <v>9.5399999999999991</v>
      </c>
      <c r="AE179" s="1314">
        <f t="shared" si="29"/>
        <v>4.1484716157205129E-2</v>
      </c>
      <c r="AG179" s="1326">
        <v>41565</v>
      </c>
      <c r="AH179" s="1314">
        <v>5.45</v>
      </c>
      <c r="AI179" s="1314">
        <f t="shared" si="30"/>
        <v>3.6121673003802354E-2</v>
      </c>
      <c r="AK179" s="1326">
        <v>41565</v>
      </c>
      <c r="AL179" s="1314">
        <v>0.2</v>
      </c>
      <c r="AN179" s="1326">
        <v>41565</v>
      </c>
      <c r="AO179" s="1314">
        <v>-0.02</v>
      </c>
      <c r="AQ179" s="1326">
        <v>41565</v>
      </c>
      <c r="AR179" s="1327">
        <v>2.48</v>
      </c>
      <c r="AT179" s="1326">
        <v>41565</v>
      </c>
      <c r="AU179" s="1314">
        <v>1049.164</v>
      </c>
      <c r="AV179" s="1314">
        <f t="shared" si="31"/>
        <v>-7.6744243235932581E-3</v>
      </c>
      <c r="AX179" s="1314">
        <v>3.6412</v>
      </c>
      <c r="AY179" s="1314">
        <f t="shared" si="32"/>
        <v>1.147254090391403E-2</v>
      </c>
    </row>
    <row r="180" spans="1:51" x14ac:dyDescent="0.75">
      <c r="A180" s="1326">
        <v>41558</v>
      </c>
      <c r="B180" s="1314">
        <v>1023.574</v>
      </c>
      <c r="C180" s="1314">
        <f t="shared" si="33"/>
        <v>-2.4390848332577205E-2</v>
      </c>
      <c r="E180" s="1326">
        <v>41558</v>
      </c>
      <c r="F180" s="1314">
        <v>10.6</v>
      </c>
      <c r="G180" s="1314">
        <f t="shared" si="23"/>
        <v>-3.1963470319634674E-2</v>
      </c>
      <c r="I180" s="1326">
        <v>41558</v>
      </c>
      <c r="J180" s="1314">
        <v>9.31</v>
      </c>
      <c r="K180" s="1314">
        <f t="shared" si="24"/>
        <v>-1.8450184501844907E-2</v>
      </c>
      <c r="M180" s="1326">
        <v>41558</v>
      </c>
      <c r="N180" s="1314">
        <v>13.5</v>
      </c>
      <c r="O180" s="1314">
        <f t="shared" si="25"/>
        <v>2.2727272727272783E-2</v>
      </c>
      <c r="Q180" s="1326">
        <v>41558</v>
      </c>
      <c r="R180" s="1314">
        <v>8.1300000000000008</v>
      </c>
      <c r="S180" s="1314">
        <f t="shared" si="26"/>
        <v>2.392947103274564E-2</v>
      </c>
      <c r="U180" s="1326">
        <v>41558</v>
      </c>
      <c r="V180" s="1314">
        <v>31.72</v>
      </c>
      <c r="W180" s="1314">
        <f t="shared" si="27"/>
        <v>2.2236545278762412E-2</v>
      </c>
      <c r="Y180" s="1326">
        <v>41558</v>
      </c>
      <c r="Z180" s="1314">
        <v>12.84</v>
      </c>
      <c r="AA180" s="1314">
        <f t="shared" si="28"/>
        <v>-1.9847328244274792E-2</v>
      </c>
      <c r="AC180" s="1326">
        <v>41558</v>
      </c>
      <c r="AD180" s="1314">
        <v>9.23</v>
      </c>
      <c r="AE180" s="1314">
        <f t="shared" si="29"/>
        <v>-3.2494758909853115E-2</v>
      </c>
      <c r="AG180" s="1326">
        <v>41558</v>
      </c>
      <c r="AH180" s="1314">
        <v>4.6500000000000004</v>
      </c>
      <c r="AI180" s="1314">
        <f t="shared" si="30"/>
        <v>-0.14678899082568803</v>
      </c>
      <c r="AK180" s="1326">
        <v>41558</v>
      </c>
      <c r="AL180" s="1314">
        <v>-0.27</v>
      </c>
      <c r="AN180" s="1326">
        <v>41558</v>
      </c>
      <c r="AO180" s="1314">
        <v>1.37</v>
      </c>
      <c r="AQ180" s="1326">
        <v>41558</v>
      </c>
      <c r="AR180" s="1327">
        <v>2.5299999999999998</v>
      </c>
      <c r="AT180" s="1326">
        <v>41558</v>
      </c>
      <c r="AU180" s="1314">
        <v>1023.574</v>
      </c>
      <c r="AV180" s="1314">
        <f t="shared" si="31"/>
        <v>-2.4390848332577205E-2</v>
      </c>
      <c r="AX180" s="1314">
        <v>3.7471999999999999</v>
      </c>
      <c r="AY180" s="1314">
        <f t="shared" si="32"/>
        <v>2.9111281994946687E-2</v>
      </c>
    </row>
    <row r="181" spans="1:51" x14ac:dyDescent="0.75">
      <c r="A181" s="1326">
        <v>41551</v>
      </c>
      <c r="B181" s="1314">
        <v>1017.569</v>
      </c>
      <c r="C181" s="1314">
        <f t="shared" si="33"/>
        <v>-5.8666984507226598E-3</v>
      </c>
      <c r="E181" s="1326">
        <v>41551</v>
      </c>
      <c r="F181" s="1314">
        <v>10.23</v>
      </c>
      <c r="G181" s="1314">
        <f t="shared" si="23"/>
        <v>-3.490566037735842E-2</v>
      </c>
      <c r="I181" s="1326">
        <v>41551</v>
      </c>
      <c r="J181" s="1314">
        <v>9.36</v>
      </c>
      <c r="K181" s="1314">
        <f t="shared" si="24"/>
        <v>5.370569280343602E-3</v>
      </c>
      <c r="M181" s="1326">
        <v>41551</v>
      </c>
      <c r="N181" s="1314">
        <v>13.63</v>
      </c>
      <c r="O181" s="1314">
        <f t="shared" si="25"/>
        <v>9.6296296296296876E-3</v>
      </c>
      <c r="Q181" s="1326">
        <v>41551</v>
      </c>
      <c r="R181" s="1314">
        <v>8.1999999999999993</v>
      </c>
      <c r="S181" s="1314">
        <f t="shared" si="26"/>
        <v>8.6100861008608243E-3</v>
      </c>
      <c r="U181" s="1326">
        <v>41551</v>
      </c>
      <c r="V181" s="1314">
        <v>30.28</v>
      </c>
      <c r="W181" s="1314">
        <f t="shared" si="27"/>
        <v>-4.5397225725094505E-2</v>
      </c>
      <c r="Y181" s="1326">
        <v>41551</v>
      </c>
      <c r="Z181" s="1314">
        <v>13.13</v>
      </c>
      <c r="AA181" s="1314">
        <f t="shared" si="28"/>
        <v>2.2585669781931536E-2</v>
      </c>
      <c r="AC181" s="1326">
        <v>41551</v>
      </c>
      <c r="AD181" s="1314">
        <v>9.3000000000000007</v>
      </c>
      <c r="AE181" s="1314">
        <f t="shared" si="29"/>
        <v>7.5839653304442343E-3</v>
      </c>
      <c r="AG181" s="1326">
        <v>41551</v>
      </c>
      <c r="AH181" s="1314">
        <v>4.7699999999999996</v>
      </c>
      <c r="AI181" s="1314">
        <f t="shared" si="30"/>
        <v>2.5806451612903056E-2</v>
      </c>
      <c r="AK181" s="1326">
        <v>41551</v>
      </c>
      <c r="AL181" s="1314">
        <v>0.35</v>
      </c>
      <c r="AN181" s="1326">
        <v>41551</v>
      </c>
      <c r="AO181" s="1314">
        <v>0.18</v>
      </c>
      <c r="AQ181" s="1326">
        <v>41551</v>
      </c>
      <c r="AR181" s="1327">
        <v>2.52</v>
      </c>
      <c r="AT181" s="1326">
        <v>41551</v>
      </c>
      <c r="AU181" s="1314">
        <v>1017.569</v>
      </c>
      <c r="AV181" s="1314">
        <f t="shared" si="31"/>
        <v>-5.8666984507226598E-3</v>
      </c>
      <c r="AX181" s="1314">
        <v>3.7198000000000002</v>
      </c>
      <c r="AY181" s="1314">
        <f t="shared" si="32"/>
        <v>-7.3121263877027245E-3</v>
      </c>
    </row>
    <row r="182" spans="1:51" x14ac:dyDescent="0.75">
      <c r="A182" s="1326">
        <v>41544</v>
      </c>
      <c r="B182" s="1314">
        <v>1016.799</v>
      </c>
      <c r="C182" s="1314">
        <f t="shared" si="33"/>
        <v>-7.5670544208793883E-4</v>
      </c>
      <c r="E182" s="1326">
        <v>41544</v>
      </c>
      <c r="F182" s="1314">
        <v>9.64</v>
      </c>
      <c r="G182" s="1314">
        <f t="shared" si="23"/>
        <v>-5.7673509286412496E-2</v>
      </c>
      <c r="I182" s="1326">
        <v>41544</v>
      </c>
      <c r="J182" s="1314">
        <v>9.17</v>
      </c>
      <c r="K182" s="1314">
        <f t="shared" si="24"/>
        <v>-2.0299145299145248E-2</v>
      </c>
      <c r="M182" s="1326">
        <v>41544</v>
      </c>
      <c r="N182" s="1314">
        <v>13.3</v>
      </c>
      <c r="O182" s="1314">
        <f t="shared" si="25"/>
        <v>-2.4211298606016146E-2</v>
      </c>
      <c r="Q182" s="1326">
        <v>41544</v>
      </c>
      <c r="R182" s="1314">
        <v>8.34</v>
      </c>
      <c r="S182" s="1314">
        <f t="shared" si="26"/>
        <v>1.7073170731707388E-2</v>
      </c>
      <c r="U182" s="1326">
        <v>41544</v>
      </c>
      <c r="V182" s="1314">
        <v>30.17</v>
      </c>
      <c r="W182" s="1314">
        <f t="shared" si="27"/>
        <v>-3.6327608982826757E-3</v>
      </c>
      <c r="Y182" s="1326">
        <v>41544</v>
      </c>
      <c r="Z182" s="1314">
        <v>12.97</v>
      </c>
      <c r="AA182" s="1314">
        <f t="shared" si="28"/>
        <v>-1.2185833968012197E-2</v>
      </c>
      <c r="AC182" s="1326">
        <v>41544</v>
      </c>
      <c r="AD182" s="1314">
        <v>9.0500000000000007</v>
      </c>
      <c r="AE182" s="1314">
        <f t="shared" si="29"/>
        <v>-2.6881720430107524E-2</v>
      </c>
      <c r="AG182" s="1326">
        <v>41544</v>
      </c>
      <c r="AH182" s="1314">
        <v>4.3</v>
      </c>
      <c r="AI182" s="1314">
        <f t="shared" si="30"/>
        <v>-9.8532494758909808E-2</v>
      </c>
      <c r="AK182" s="1326">
        <v>41544</v>
      </c>
      <c r="AL182" s="1314">
        <v>1.2</v>
      </c>
      <c r="AN182" s="1326">
        <v>41544</v>
      </c>
      <c r="AO182" s="1314">
        <v>-0.56999999999999995</v>
      </c>
      <c r="AQ182" s="1326">
        <v>41544</v>
      </c>
      <c r="AR182" s="1327">
        <v>2.52</v>
      </c>
      <c r="AT182" s="1326">
        <v>41544</v>
      </c>
      <c r="AU182" s="1314">
        <v>1016.799</v>
      </c>
      <c r="AV182" s="1314">
        <f t="shared" si="31"/>
        <v>-7.5670544208793883E-4</v>
      </c>
      <c r="AX182" s="1314">
        <v>3.6863999999999999</v>
      </c>
      <c r="AY182" s="1314">
        <f t="shared" si="32"/>
        <v>-8.978977364374514E-3</v>
      </c>
    </row>
    <row r="183" spans="1:51" x14ac:dyDescent="0.75">
      <c r="A183" s="1326">
        <v>41537</v>
      </c>
      <c r="B183" s="1314">
        <v>1025.1890000000001</v>
      </c>
      <c r="C183" s="1314">
        <f t="shared" si="33"/>
        <v>8.2513849836596022E-3</v>
      </c>
      <c r="E183" s="1326">
        <v>41537</v>
      </c>
      <c r="F183" s="1314">
        <v>10.45</v>
      </c>
      <c r="G183" s="1314">
        <f t="shared" si="23"/>
        <v>8.4024896265560034E-2</v>
      </c>
      <c r="I183" s="1326">
        <v>41537</v>
      </c>
      <c r="J183" s="1314">
        <v>8.91</v>
      </c>
      <c r="K183" s="1314">
        <f t="shared" si="24"/>
        <v>-2.8353326063249706E-2</v>
      </c>
      <c r="M183" s="1326">
        <v>41537</v>
      </c>
      <c r="N183" s="1314">
        <v>13.44</v>
      </c>
      <c r="O183" s="1314">
        <f t="shared" si="25"/>
        <v>1.0526315789473592E-2</v>
      </c>
      <c r="Q183" s="1326">
        <v>41537</v>
      </c>
      <c r="R183" s="1314">
        <v>8.65</v>
      </c>
      <c r="S183" s="1314">
        <f t="shared" si="26"/>
        <v>3.7170263788968885E-2</v>
      </c>
      <c r="U183" s="1326">
        <v>41537</v>
      </c>
      <c r="V183" s="1314">
        <v>32.07</v>
      </c>
      <c r="W183" s="1314">
        <f t="shared" si="27"/>
        <v>6.2976466688763624E-2</v>
      </c>
      <c r="Y183" s="1326">
        <v>41537</v>
      </c>
      <c r="Z183" s="1314">
        <v>13.11</v>
      </c>
      <c r="AA183" s="1314">
        <f t="shared" si="28"/>
        <v>1.0794140323824116E-2</v>
      </c>
      <c r="AC183" s="1326">
        <v>41537</v>
      </c>
      <c r="AD183" s="1314">
        <v>11.505000000000001</v>
      </c>
      <c r="AE183" s="1314">
        <f t="shared" si="29"/>
        <v>0.27127071823204418</v>
      </c>
      <c r="AG183" s="1326">
        <v>41537</v>
      </c>
      <c r="AH183" s="1314">
        <v>4.67</v>
      </c>
      <c r="AI183" s="1314">
        <f t="shared" si="30"/>
        <v>8.604651162790701E-2</v>
      </c>
      <c r="AK183" s="1326">
        <v>41537</v>
      </c>
      <c r="AL183" s="1314">
        <v>0.56999999999999995</v>
      </c>
      <c r="AN183" s="1326">
        <v>41537</v>
      </c>
      <c r="AO183" s="1314">
        <v>-0.61</v>
      </c>
      <c r="AQ183" s="1326">
        <v>41537</v>
      </c>
      <c r="AR183" s="1327">
        <v>2.62</v>
      </c>
      <c r="AT183" s="1326">
        <v>41537</v>
      </c>
      <c r="AU183" s="1314">
        <v>1025.1890000000001</v>
      </c>
      <c r="AV183" s="1314">
        <f t="shared" si="31"/>
        <v>8.2513849836596022E-3</v>
      </c>
      <c r="AX183" s="1314">
        <v>3.7612999999999999</v>
      </c>
      <c r="AY183" s="1314">
        <f t="shared" si="32"/>
        <v>2.0317925347222213E-2</v>
      </c>
    </row>
    <row r="184" spans="1:51" x14ac:dyDescent="0.75">
      <c r="A184" s="1326">
        <v>41530</v>
      </c>
      <c r="B184" s="1314">
        <v>1011.407</v>
      </c>
      <c r="C184" s="1314">
        <f t="shared" si="33"/>
        <v>-1.3443374831372593E-2</v>
      </c>
      <c r="E184" s="1326">
        <v>41530</v>
      </c>
      <c r="F184" s="1314">
        <v>10.1</v>
      </c>
      <c r="G184" s="1314">
        <f t="shared" si="23"/>
        <v>-3.3492822966507144E-2</v>
      </c>
      <c r="I184" s="1326">
        <v>41530</v>
      </c>
      <c r="J184" s="1314">
        <v>8.4600000000000009</v>
      </c>
      <c r="K184" s="1314">
        <f t="shared" si="24"/>
        <v>-5.0505050505050428E-2</v>
      </c>
      <c r="M184" s="1326">
        <v>41530</v>
      </c>
      <c r="N184" s="1314">
        <v>12.76</v>
      </c>
      <c r="O184" s="1314">
        <f t="shared" si="25"/>
        <v>-5.0595238095238075E-2</v>
      </c>
      <c r="Q184" s="1326">
        <v>41530</v>
      </c>
      <c r="R184" s="1314">
        <v>8.3000000000000007</v>
      </c>
      <c r="S184" s="1314">
        <f t="shared" si="26"/>
        <v>-4.0462427745664699E-2</v>
      </c>
      <c r="U184" s="1326">
        <v>41530</v>
      </c>
      <c r="V184" s="1314">
        <v>31.71</v>
      </c>
      <c r="W184" s="1314">
        <f t="shared" si="27"/>
        <v>-1.1225444340505127E-2</v>
      </c>
      <c r="Y184" s="1326">
        <v>41530</v>
      </c>
      <c r="Z184" s="1314">
        <v>13.17</v>
      </c>
      <c r="AA184" s="1314">
        <f t="shared" si="28"/>
        <v>4.57665903890164E-3</v>
      </c>
      <c r="AC184" s="1326">
        <v>41530</v>
      </c>
      <c r="AD184" s="1314">
        <v>11.5</v>
      </c>
      <c r="AE184" s="1314">
        <f t="shared" si="29"/>
        <v>-4.3459365493270588E-4</v>
      </c>
      <c r="AG184" s="1326">
        <v>41530</v>
      </c>
      <c r="AH184" s="1314">
        <v>4.57</v>
      </c>
      <c r="AI184" s="1314">
        <f t="shared" si="30"/>
        <v>-2.1413276231263309E-2</v>
      </c>
      <c r="AK184" s="1326">
        <v>41530</v>
      </c>
      <c r="AL184" s="1314">
        <v>0.27</v>
      </c>
      <c r="AN184" s="1326">
        <v>41530</v>
      </c>
      <c r="AO184" s="1314">
        <v>-0.34</v>
      </c>
      <c r="AQ184" s="1326">
        <v>41530</v>
      </c>
      <c r="AR184" s="1327">
        <v>2.75</v>
      </c>
      <c r="AT184" s="1326">
        <v>41530</v>
      </c>
      <c r="AU184" s="1314">
        <v>1011.407</v>
      </c>
      <c r="AV184" s="1314">
        <f t="shared" si="31"/>
        <v>-1.3443374831372593E-2</v>
      </c>
      <c r="AX184" s="1314">
        <v>3.8349000000000002</v>
      </c>
      <c r="AY184" s="1314">
        <f t="shared" si="32"/>
        <v>1.9567702655996687E-2</v>
      </c>
    </row>
    <row r="185" spans="1:51" x14ac:dyDescent="0.75">
      <c r="A185" s="1326">
        <v>41523</v>
      </c>
      <c r="B185" s="1314">
        <v>990.85699999999997</v>
      </c>
      <c r="C185" s="1314">
        <f t="shared" si="33"/>
        <v>-2.0318229950949587E-2</v>
      </c>
      <c r="E185" s="1326">
        <v>41523</v>
      </c>
      <c r="F185" s="1314">
        <v>9.4499999999999993</v>
      </c>
      <c r="G185" s="1314">
        <f t="shared" si="23"/>
        <v>-6.43564356435644E-2</v>
      </c>
      <c r="I185" s="1326">
        <v>41523</v>
      </c>
      <c r="J185" s="1314">
        <v>8.84</v>
      </c>
      <c r="K185" s="1314">
        <f t="shared" si="24"/>
        <v>4.4917257683215008E-2</v>
      </c>
      <c r="M185" s="1326">
        <v>41523</v>
      </c>
      <c r="N185" s="1314">
        <v>12.96</v>
      </c>
      <c r="O185" s="1314">
        <f t="shared" si="25"/>
        <v>1.5673981191222656E-2</v>
      </c>
      <c r="Q185" s="1326">
        <v>41523</v>
      </c>
      <c r="R185" s="1314">
        <v>7.7</v>
      </c>
      <c r="S185" s="1314">
        <f t="shared" si="26"/>
        <v>-7.2289156626506076E-2</v>
      </c>
      <c r="U185" s="1326">
        <v>41523</v>
      </c>
      <c r="V185" s="1314">
        <v>30.4</v>
      </c>
      <c r="W185" s="1314">
        <f t="shared" si="27"/>
        <v>-4.131188899400827E-2</v>
      </c>
      <c r="Y185" s="1326">
        <v>41523</v>
      </c>
      <c r="Z185" s="1314">
        <v>12.5</v>
      </c>
      <c r="AA185" s="1314">
        <f t="shared" si="28"/>
        <v>-5.0873196659073645E-2</v>
      </c>
      <c r="AC185" s="1326">
        <v>41523</v>
      </c>
      <c r="AD185" s="1314">
        <v>11.23</v>
      </c>
      <c r="AE185" s="1314">
        <f t="shared" si="29"/>
        <v>-2.3478260869565181E-2</v>
      </c>
      <c r="AG185" s="1326">
        <v>41523</v>
      </c>
      <c r="AH185" s="1314">
        <v>4.29</v>
      </c>
      <c r="AI185" s="1314">
        <f t="shared" si="30"/>
        <v>-6.1269146608315152E-2</v>
      </c>
      <c r="AK185" s="1326">
        <v>41523</v>
      </c>
      <c r="AL185" s="1314">
        <v>0.26</v>
      </c>
      <c r="AN185" s="1326">
        <v>41523</v>
      </c>
      <c r="AO185" s="1314">
        <v>0.32</v>
      </c>
      <c r="AQ185" s="1326">
        <v>41523</v>
      </c>
      <c r="AR185" s="1327">
        <v>2.75</v>
      </c>
      <c r="AT185" s="1326">
        <v>41523</v>
      </c>
      <c r="AU185" s="1314">
        <v>990.85699999999997</v>
      </c>
      <c r="AV185" s="1314">
        <f t="shared" si="31"/>
        <v>-2.0318229950949587E-2</v>
      </c>
      <c r="AX185" s="1314">
        <v>3.8656999999999999</v>
      </c>
      <c r="AY185" s="1314">
        <f t="shared" si="32"/>
        <v>8.0315001694958709E-3</v>
      </c>
    </row>
    <row r="186" spans="1:51" x14ac:dyDescent="0.75">
      <c r="A186" s="1326">
        <v>41516</v>
      </c>
      <c r="B186" s="1314">
        <v>976.827</v>
      </c>
      <c r="C186" s="1314">
        <f t="shared" si="33"/>
        <v>-1.4159459942251982E-2</v>
      </c>
      <c r="E186" s="1326">
        <v>41516</v>
      </c>
      <c r="F186" s="1314">
        <v>9.27</v>
      </c>
      <c r="G186" s="1314">
        <f t="shared" si="23"/>
        <v>-1.9047619047619018E-2</v>
      </c>
      <c r="I186" s="1326">
        <v>41516</v>
      </c>
      <c r="J186" s="1314">
        <v>8.16</v>
      </c>
      <c r="K186" s="1314">
        <f t="shared" si="24"/>
        <v>-7.6923076923076886E-2</v>
      </c>
      <c r="M186" s="1326">
        <v>41516</v>
      </c>
      <c r="N186" s="1314">
        <v>12.22</v>
      </c>
      <c r="O186" s="1314">
        <f t="shared" si="25"/>
        <v>-5.7098765432098776E-2</v>
      </c>
      <c r="Q186" s="1326">
        <v>41516</v>
      </c>
      <c r="R186" s="1314">
        <v>7.08</v>
      </c>
      <c r="S186" s="1314">
        <f t="shared" si="26"/>
        <v>-8.0519480519480532E-2</v>
      </c>
      <c r="U186" s="1326">
        <v>41516</v>
      </c>
      <c r="V186" s="1314">
        <v>29.72</v>
      </c>
      <c r="W186" s="1314">
        <f t="shared" si="27"/>
        <v>-2.2368421052631572E-2</v>
      </c>
      <c r="Y186" s="1326">
        <v>41516</v>
      </c>
      <c r="Z186" s="1314">
        <v>12.25</v>
      </c>
      <c r="AA186" s="1314">
        <f t="shared" si="28"/>
        <v>-0.02</v>
      </c>
      <c r="AC186" s="1326">
        <v>41516</v>
      </c>
      <c r="AD186" s="1314">
        <v>11.32</v>
      </c>
      <c r="AE186" s="1314">
        <f t="shared" si="29"/>
        <v>8.0142475512021243E-3</v>
      </c>
      <c r="AG186" s="1326">
        <v>41516</v>
      </c>
      <c r="AH186" s="1314">
        <v>3.89</v>
      </c>
      <c r="AI186" s="1314">
        <f t="shared" si="30"/>
        <v>-9.3240093240093219E-2</v>
      </c>
      <c r="AK186" s="1326">
        <v>41516</v>
      </c>
      <c r="AL186" s="1314">
        <v>-0.53</v>
      </c>
      <c r="AN186" s="1326">
        <v>41516</v>
      </c>
      <c r="AO186" s="1314">
        <v>-1.31</v>
      </c>
      <c r="AQ186" s="1326">
        <v>41516</v>
      </c>
      <c r="AR186" s="1327">
        <v>2.65</v>
      </c>
      <c r="AT186" s="1326">
        <v>41516</v>
      </c>
      <c r="AU186" s="1314">
        <v>976.827</v>
      </c>
      <c r="AV186" s="1314">
        <f t="shared" si="31"/>
        <v>-1.4159459942251982E-2</v>
      </c>
      <c r="AX186" s="1314">
        <v>3.6995</v>
      </c>
      <c r="AY186" s="1314">
        <f t="shared" si="32"/>
        <v>-4.2993506997438993E-2</v>
      </c>
    </row>
    <row r="187" spans="1:51" x14ac:dyDescent="0.75">
      <c r="A187" s="1326">
        <v>41509</v>
      </c>
      <c r="B187" s="1314">
        <v>995.70799999999997</v>
      </c>
      <c r="C187" s="1314">
        <f t="shared" si="33"/>
        <v>1.9328908803708304E-2</v>
      </c>
      <c r="E187" s="1326">
        <v>41509</v>
      </c>
      <c r="F187" s="1314">
        <v>9.6999999999999993</v>
      </c>
      <c r="G187" s="1314">
        <f t="shared" si="23"/>
        <v>4.638619201725995E-2</v>
      </c>
      <c r="I187" s="1326">
        <v>41509</v>
      </c>
      <c r="J187" s="1314">
        <v>8.44</v>
      </c>
      <c r="K187" s="1314">
        <f t="shared" si="24"/>
        <v>3.4313725490195998E-2</v>
      </c>
      <c r="M187" s="1326">
        <v>41509</v>
      </c>
      <c r="N187" s="1314">
        <v>13.11</v>
      </c>
      <c r="O187" s="1314">
        <f t="shared" si="25"/>
        <v>7.2831423895253586E-2</v>
      </c>
      <c r="Q187" s="1326">
        <v>41509</v>
      </c>
      <c r="R187" s="1314">
        <v>7.48</v>
      </c>
      <c r="S187" s="1314">
        <f t="shared" si="26"/>
        <v>5.6497175141242986E-2</v>
      </c>
      <c r="U187" s="1326">
        <v>41509</v>
      </c>
      <c r="V187" s="1314">
        <v>30.4</v>
      </c>
      <c r="W187" s="1314">
        <f t="shared" si="27"/>
        <v>2.2880215343203222E-2</v>
      </c>
      <c r="Y187" s="1326">
        <v>41509</v>
      </c>
      <c r="Z187" s="1314">
        <v>12.94</v>
      </c>
      <c r="AA187" s="1314">
        <f t="shared" si="28"/>
        <v>5.6326530612244859E-2</v>
      </c>
      <c r="AC187" s="1326">
        <v>41509</v>
      </c>
      <c r="AD187" s="1314">
        <v>11.79</v>
      </c>
      <c r="AE187" s="1314">
        <f t="shared" si="29"/>
        <v>4.1519434628975165E-2</v>
      </c>
      <c r="AG187" s="1326">
        <v>41509</v>
      </c>
      <c r="AH187" s="1314">
        <v>3.87</v>
      </c>
      <c r="AI187" s="1314">
        <f t="shared" si="30"/>
        <v>-5.1413881748072028E-3</v>
      </c>
      <c r="AK187" s="1326">
        <v>41509</v>
      </c>
      <c r="AL187" s="1314">
        <v>0.9</v>
      </c>
      <c r="AN187" s="1326">
        <v>41509</v>
      </c>
      <c r="AO187" s="1314">
        <v>-1.19</v>
      </c>
      <c r="AQ187" s="1326">
        <v>41509</v>
      </c>
      <c r="AR187" s="1327">
        <v>2.7</v>
      </c>
      <c r="AT187" s="1326">
        <v>41509</v>
      </c>
      <c r="AU187" s="1314">
        <v>995.70799999999997</v>
      </c>
      <c r="AV187" s="1314">
        <f t="shared" si="31"/>
        <v>1.9328908803708304E-2</v>
      </c>
      <c r="AX187" s="1314">
        <v>3.7915999999999999</v>
      </c>
      <c r="AY187" s="1314">
        <f t="shared" si="32"/>
        <v>2.489525611569127E-2</v>
      </c>
    </row>
    <row r="188" spans="1:51" x14ac:dyDescent="0.75">
      <c r="A188" s="1326">
        <v>41502</v>
      </c>
      <c r="B188" s="1314">
        <v>989.12099999999998</v>
      </c>
      <c r="C188" s="1314">
        <f t="shared" si="33"/>
        <v>-6.6153932679058414E-3</v>
      </c>
      <c r="E188" s="1326">
        <v>41502</v>
      </c>
      <c r="F188" s="1314">
        <v>10.15</v>
      </c>
      <c r="G188" s="1314">
        <f t="shared" si="23"/>
        <v>4.63917525773197E-2</v>
      </c>
      <c r="I188" s="1326">
        <v>41502</v>
      </c>
      <c r="J188" s="1314">
        <v>8.73</v>
      </c>
      <c r="K188" s="1314">
        <f t="shared" si="24"/>
        <v>3.4360189573459828E-2</v>
      </c>
      <c r="M188" s="1326">
        <v>41502</v>
      </c>
      <c r="N188" s="1314">
        <v>13.45</v>
      </c>
      <c r="O188" s="1314">
        <f t="shared" si="25"/>
        <v>2.59344012204424E-2</v>
      </c>
      <c r="Q188" s="1326">
        <v>41502</v>
      </c>
      <c r="R188" s="1314">
        <v>7.43</v>
      </c>
      <c r="S188" s="1314">
        <f t="shared" si="26"/>
        <v>-6.68449197860972E-3</v>
      </c>
      <c r="U188" s="1326">
        <v>41502</v>
      </c>
      <c r="V188" s="1314">
        <v>29.7</v>
      </c>
      <c r="W188" s="1314">
        <f t="shared" si="27"/>
        <v>-2.3026315789473662E-2</v>
      </c>
      <c r="Y188" s="1326">
        <v>41502</v>
      </c>
      <c r="Z188" s="1314">
        <v>13.29</v>
      </c>
      <c r="AA188" s="1314">
        <f t="shared" si="28"/>
        <v>2.7047913446676945E-2</v>
      </c>
      <c r="AC188" s="1326">
        <v>41502</v>
      </c>
      <c r="AD188" s="1314">
        <v>11.965</v>
      </c>
      <c r="AE188" s="1314">
        <f t="shared" si="29"/>
        <v>1.4843087362171393E-2</v>
      </c>
      <c r="AG188" s="1326">
        <v>41502</v>
      </c>
      <c r="AH188" s="1314">
        <v>3.91</v>
      </c>
      <c r="AI188" s="1314">
        <f t="shared" si="30"/>
        <v>1.0335917312661508E-2</v>
      </c>
      <c r="AK188" s="1326">
        <v>41502</v>
      </c>
      <c r="AL188" s="1314">
        <v>0.1</v>
      </c>
      <c r="AN188" s="1326">
        <v>41502</v>
      </c>
      <c r="AO188" s="1314">
        <v>0.4</v>
      </c>
      <c r="AQ188" s="1326">
        <v>41502</v>
      </c>
      <c r="AR188" s="1327">
        <v>2.6</v>
      </c>
      <c r="AT188" s="1326">
        <v>41502</v>
      </c>
      <c r="AU188" s="1314">
        <v>989.12099999999998</v>
      </c>
      <c r="AV188" s="1314">
        <f t="shared" si="31"/>
        <v>-6.6153932679058414E-3</v>
      </c>
      <c r="AX188" s="1314">
        <v>3.8483000000000001</v>
      </c>
      <c r="AY188" s="1314">
        <f t="shared" si="32"/>
        <v>1.495410908323668E-2</v>
      </c>
    </row>
    <row r="189" spans="1:51" x14ac:dyDescent="0.75">
      <c r="A189" s="1326">
        <v>41495</v>
      </c>
      <c r="B189" s="1314">
        <v>1011.163</v>
      </c>
      <c r="C189" s="1314">
        <f t="shared" si="33"/>
        <v>2.2284432339420589E-2</v>
      </c>
      <c r="E189" s="1326">
        <v>41495</v>
      </c>
      <c r="F189" s="1314">
        <v>11.11</v>
      </c>
      <c r="G189" s="1314">
        <f t="shared" si="23"/>
        <v>9.4581280788177249E-2</v>
      </c>
      <c r="I189" s="1326">
        <v>41495</v>
      </c>
      <c r="J189" s="1314">
        <v>9.2200000000000006</v>
      </c>
      <c r="K189" s="1314">
        <f t="shared" si="24"/>
        <v>5.6128293241695326E-2</v>
      </c>
      <c r="M189" s="1326">
        <v>41495</v>
      </c>
      <c r="N189" s="1314">
        <v>13.1</v>
      </c>
      <c r="O189" s="1314">
        <f t="shared" si="25"/>
        <v>-2.6022304832713731E-2</v>
      </c>
      <c r="Q189" s="1326">
        <v>41495</v>
      </c>
      <c r="R189" s="1314">
        <v>7.5</v>
      </c>
      <c r="S189" s="1314">
        <f t="shared" si="26"/>
        <v>9.4212651413190154E-3</v>
      </c>
      <c r="U189" s="1326">
        <v>41495</v>
      </c>
      <c r="V189" s="1314">
        <v>29.37</v>
      </c>
      <c r="W189" s="1314">
        <f t="shared" si="27"/>
        <v>-1.1111111111111054E-2</v>
      </c>
      <c r="Y189" s="1326">
        <v>41495</v>
      </c>
      <c r="Z189" s="1314">
        <v>13.65</v>
      </c>
      <c r="AA189" s="1314">
        <f t="shared" si="28"/>
        <v>2.7088036117381583E-2</v>
      </c>
      <c r="AC189" s="1326">
        <v>41495</v>
      </c>
      <c r="AD189" s="1314">
        <v>12.55</v>
      </c>
      <c r="AE189" s="1314">
        <f t="shared" si="29"/>
        <v>4.8892603426661164E-2</v>
      </c>
      <c r="AG189" s="1326">
        <v>41495</v>
      </c>
      <c r="AH189" s="1314">
        <v>4.03</v>
      </c>
      <c r="AI189" s="1314">
        <f t="shared" si="30"/>
        <v>3.0690537084399002E-2</v>
      </c>
      <c r="AK189" s="1326">
        <v>41495</v>
      </c>
      <c r="AL189" s="1314">
        <v>-0.05</v>
      </c>
      <c r="AN189" s="1326">
        <v>41495</v>
      </c>
      <c r="AO189" s="1314">
        <v>-0.47</v>
      </c>
      <c r="AQ189" s="1326">
        <v>41495</v>
      </c>
      <c r="AR189" s="1327">
        <v>2.52</v>
      </c>
      <c r="AT189" s="1326">
        <v>41495</v>
      </c>
      <c r="AU189" s="1314">
        <v>1011.163</v>
      </c>
      <c r="AV189" s="1314">
        <f t="shared" si="31"/>
        <v>2.2284432339420589E-2</v>
      </c>
      <c r="AX189" s="1314">
        <v>3.6345000000000001</v>
      </c>
      <c r="AY189" s="1314">
        <f t="shared" si="32"/>
        <v>-5.5556999194449494E-2</v>
      </c>
    </row>
    <row r="190" spans="1:51" x14ac:dyDescent="0.75">
      <c r="A190" s="1326">
        <v>41488</v>
      </c>
      <c r="B190" s="1314">
        <v>1021.872</v>
      </c>
      <c r="C190" s="1314">
        <f t="shared" si="33"/>
        <v>1.0590775176702417E-2</v>
      </c>
      <c r="E190" s="1326">
        <v>41488</v>
      </c>
      <c r="F190" s="1314">
        <v>11.51</v>
      </c>
      <c r="G190" s="1314">
        <f t="shared" si="23"/>
        <v>3.6003600360036039E-2</v>
      </c>
      <c r="I190" s="1326">
        <v>41488</v>
      </c>
      <c r="J190" s="1314">
        <v>9.84</v>
      </c>
      <c r="K190" s="1314">
        <f t="shared" si="24"/>
        <v>6.7245119305856749E-2</v>
      </c>
      <c r="M190" s="1326">
        <v>41488</v>
      </c>
      <c r="N190" s="1314">
        <v>12.77</v>
      </c>
      <c r="O190" s="1314">
        <f t="shared" si="25"/>
        <v>-2.5190839694656495E-2</v>
      </c>
      <c r="Q190" s="1326">
        <v>41488</v>
      </c>
      <c r="R190" s="1314">
        <v>7.69</v>
      </c>
      <c r="S190" s="1314">
        <f t="shared" si="26"/>
        <v>2.5333333333333385E-2</v>
      </c>
      <c r="U190" s="1326">
        <v>41488</v>
      </c>
      <c r="V190" s="1314">
        <v>31.3</v>
      </c>
      <c r="W190" s="1314">
        <f t="shared" si="27"/>
        <v>6.5713312904324125E-2</v>
      </c>
      <c r="Y190" s="1326">
        <v>41488</v>
      </c>
      <c r="Z190" s="1314">
        <v>14.44</v>
      </c>
      <c r="AA190" s="1314">
        <f t="shared" si="28"/>
        <v>5.7875457875457809E-2</v>
      </c>
      <c r="AC190" s="1326">
        <v>41488</v>
      </c>
      <c r="AD190" s="1314">
        <v>12.9</v>
      </c>
      <c r="AE190" s="1314">
        <f t="shared" si="29"/>
        <v>2.7888446215139414E-2</v>
      </c>
      <c r="AG190" s="1326">
        <v>41488</v>
      </c>
      <c r="AH190" s="1314">
        <v>4.3099999999999996</v>
      </c>
      <c r="AI190" s="1314">
        <f t="shared" si="30"/>
        <v>6.9478908188585445E-2</v>
      </c>
      <c r="AK190" s="1326">
        <v>41488</v>
      </c>
      <c r="AL190" s="1314">
        <v>-0.11</v>
      </c>
      <c r="AN190" s="1326">
        <v>41488</v>
      </c>
      <c r="AO190" s="1314">
        <v>-0.99</v>
      </c>
      <c r="AQ190" s="1326">
        <v>41488</v>
      </c>
      <c r="AR190" s="1327">
        <v>2.54</v>
      </c>
      <c r="AT190" s="1326">
        <v>41488</v>
      </c>
      <c r="AU190" s="1314">
        <v>1021.872</v>
      </c>
      <c r="AV190" s="1314">
        <f t="shared" si="31"/>
        <v>1.0590775176702417E-2</v>
      </c>
      <c r="AX190" s="1314">
        <v>3.6842999999999999</v>
      </c>
      <c r="AY190" s="1314">
        <f t="shared" si="32"/>
        <v>1.3702022286421749E-2</v>
      </c>
    </row>
    <row r="191" spans="1:51" x14ac:dyDescent="0.75">
      <c r="A191" s="1326">
        <v>41481</v>
      </c>
      <c r="B191" s="1314">
        <v>1009.533</v>
      </c>
      <c r="C191" s="1314">
        <f t="shared" si="33"/>
        <v>-1.2074897834562394E-2</v>
      </c>
      <c r="E191" s="1326">
        <v>41481</v>
      </c>
      <c r="F191" s="1314">
        <v>12.19</v>
      </c>
      <c r="G191" s="1314">
        <f t="shared" si="23"/>
        <v>5.9079061685490854E-2</v>
      </c>
      <c r="I191" s="1326">
        <v>41481</v>
      </c>
      <c r="J191" s="1314">
        <v>10.050000000000001</v>
      </c>
      <c r="K191" s="1314">
        <f t="shared" si="24"/>
        <v>2.1341463414634235E-2</v>
      </c>
      <c r="M191" s="1326">
        <v>41481</v>
      </c>
      <c r="N191" s="1314">
        <v>12.87</v>
      </c>
      <c r="O191" s="1314">
        <f t="shared" si="25"/>
        <v>7.8308535630383438E-3</v>
      </c>
      <c r="Q191" s="1326">
        <v>41481</v>
      </c>
      <c r="R191" s="1314">
        <v>7.73</v>
      </c>
      <c r="S191" s="1314">
        <f t="shared" si="26"/>
        <v>5.2015604681404466E-3</v>
      </c>
      <c r="U191" s="1326">
        <v>41481</v>
      </c>
      <c r="V191" s="1314">
        <v>31.34</v>
      </c>
      <c r="W191" s="1314">
        <f t="shared" si="27"/>
        <v>1.2779552715654679E-3</v>
      </c>
      <c r="Y191" s="1326">
        <v>41481</v>
      </c>
      <c r="Z191" s="1314">
        <v>15.32</v>
      </c>
      <c r="AA191" s="1314">
        <f t="shared" si="28"/>
        <v>6.0941828254847702E-2</v>
      </c>
      <c r="AC191" s="1326">
        <v>41481</v>
      </c>
      <c r="AD191" s="1314">
        <v>12.57</v>
      </c>
      <c r="AE191" s="1314">
        <f t="shared" si="29"/>
        <v>-2.5581395348837212E-2</v>
      </c>
      <c r="AG191" s="1326">
        <v>41481</v>
      </c>
      <c r="AH191" s="1314">
        <v>4.22</v>
      </c>
      <c r="AI191" s="1314">
        <f t="shared" si="30"/>
        <v>-2.0881670533642659E-2</v>
      </c>
      <c r="AK191" s="1326">
        <v>41481</v>
      </c>
      <c r="AL191" s="1314">
        <v>-0.16</v>
      </c>
      <c r="AN191" s="1326">
        <v>41481</v>
      </c>
      <c r="AO191" s="1314">
        <v>-0.21</v>
      </c>
      <c r="AQ191" s="1326">
        <v>41481</v>
      </c>
      <c r="AR191" s="1327">
        <v>2.5099999999999998</v>
      </c>
      <c r="AT191" s="1326">
        <v>41481</v>
      </c>
      <c r="AU191" s="1314">
        <v>1009.533</v>
      </c>
      <c r="AV191" s="1314">
        <f t="shared" si="31"/>
        <v>-1.2074897834562394E-2</v>
      </c>
      <c r="AX191" s="1314">
        <v>3.6208999999999998</v>
      </c>
      <c r="AY191" s="1314">
        <f t="shared" si="32"/>
        <v>-1.7208153516271783E-2</v>
      </c>
    </row>
    <row r="192" spans="1:51" x14ac:dyDescent="0.75">
      <c r="A192" s="1326">
        <v>41474</v>
      </c>
      <c r="B192" s="1314">
        <v>1009.14</v>
      </c>
      <c r="C192" s="1314">
        <f t="shared" si="33"/>
        <v>-3.8928890883213239E-4</v>
      </c>
      <c r="E192" s="1326">
        <v>41474</v>
      </c>
      <c r="F192" s="1314">
        <v>11.9</v>
      </c>
      <c r="G192" s="1314">
        <f t="shared" si="23"/>
        <v>-2.3789991796554485E-2</v>
      </c>
      <c r="I192" s="1326">
        <v>41474</v>
      </c>
      <c r="J192" s="1314">
        <v>10.02</v>
      </c>
      <c r="K192" s="1314">
        <f t="shared" si="24"/>
        <v>-2.9850746268657844E-3</v>
      </c>
      <c r="M192" s="1326">
        <v>41474</v>
      </c>
      <c r="N192" s="1314">
        <v>12.49</v>
      </c>
      <c r="O192" s="1314">
        <f t="shared" si="25"/>
        <v>-2.9526029526029451E-2</v>
      </c>
      <c r="Q192" s="1326">
        <v>41474</v>
      </c>
      <c r="R192" s="1314">
        <v>7.87</v>
      </c>
      <c r="S192" s="1314">
        <f t="shared" si="26"/>
        <v>1.8111254851228935E-2</v>
      </c>
      <c r="U192" s="1326">
        <v>41474</v>
      </c>
      <c r="V192" s="1314">
        <v>34.28</v>
      </c>
      <c r="W192" s="1314">
        <f t="shared" si="27"/>
        <v>9.3809827696234888E-2</v>
      </c>
      <c r="Y192" s="1326">
        <v>41474</v>
      </c>
      <c r="Z192" s="1314">
        <v>14.81</v>
      </c>
      <c r="AA192" s="1314">
        <f t="shared" si="28"/>
        <v>-3.3289817232375965E-2</v>
      </c>
      <c r="AC192" s="1326">
        <v>41474</v>
      </c>
      <c r="AD192" s="1314">
        <v>12.57</v>
      </c>
      <c r="AE192" s="1314">
        <f t="shared" si="29"/>
        <v>0</v>
      </c>
      <c r="AG192" s="1326">
        <v>41474</v>
      </c>
      <c r="AH192" s="1314">
        <v>4.03</v>
      </c>
      <c r="AI192" s="1314">
        <f t="shared" si="30"/>
        <v>-4.5023696682464337E-2</v>
      </c>
      <c r="AK192" s="1326">
        <v>41474</v>
      </c>
      <c r="AL192" s="1314">
        <v>0.4</v>
      </c>
      <c r="AN192" s="1326">
        <v>41474</v>
      </c>
      <c r="AO192" s="1314">
        <v>1.86</v>
      </c>
      <c r="AQ192" s="1326">
        <v>41474</v>
      </c>
      <c r="AR192" s="1327">
        <v>2.52</v>
      </c>
      <c r="AT192" s="1326">
        <v>41474</v>
      </c>
      <c r="AU192" s="1314">
        <v>1009.14</v>
      </c>
      <c r="AV192" s="1314">
        <f t="shared" si="31"/>
        <v>-3.8928890883213239E-4</v>
      </c>
      <c r="AX192" s="1314">
        <v>3.5604</v>
      </c>
      <c r="AY192" s="1314">
        <f t="shared" si="32"/>
        <v>-1.670855312215189E-2</v>
      </c>
    </row>
    <row r="193" spans="1:51" x14ac:dyDescent="0.75">
      <c r="A193" s="1326">
        <v>41467</v>
      </c>
      <c r="B193" s="1314">
        <v>1001.645</v>
      </c>
      <c r="C193" s="1314">
        <f t="shared" si="33"/>
        <v>-7.4271161583130234E-3</v>
      </c>
      <c r="E193" s="1326">
        <v>41467</v>
      </c>
      <c r="F193" s="1314">
        <v>11.92</v>
      </c>
      <c r="G193" s="1314">
        <f t="shared" si="23"/>
        <v>1.6806722689075271E-3</v>
      </c>
      <c r="I193" s="1326">
        <v>41467</v>
      </c>
      <c r="J193" s="1314">
        <v>9.75</v>
      </c>
      <c r="K193" s="1314">
        <f t="shared" si="24"/>
        <v>-2.6946107784431097E-2</v>
      </c>
      <c r="M193" s="1326">
        <v>41467</v>
      </c>
      <c r="N193" s="1314">
        <v>12.21</v>
      </c>
      <c r="O193" s="1314">
        <f t="shared" si="25"/>
        <v>-2.2417934347477932E-2</v>
      </c>
      <c r="Q193" s="1326">
        <v>41467</v>
      </c>
      <c r="R193" s="1314">
        <v>7.79</v>
      </c>
      <c r="S193" s="1314">
        <f t="shared" si="26"/>
        <v>-1.0165184243964431E-2</v>
      </c>
      <c r="U193" s="1326">
        <v>41467</v>
      </c>
      <c r="V193" s="1314">
        <v>33.6</v>
      </c>
      <c r="W193" s="1314">
        <f t="shared" si="27"/>
        <v>-1.9836639439906642E-2</v>
      </c>
      <c r="Y193" s="1326">
        <v>41467</v>
      </c>
      <c r="Z193" s="1314">
        <v>14.68</v>
      </c>
      <c r="AA193" s="1314">
        <f t="shared" si="28"/>
        <v>-8.7778528021607554E-3</v>
      </c>
      <c r="AC193" s="1326">
        <v>41467</v>
      </c>
      <c r="AD193" s="1314">
        <v>11.64</v>
      </c>
      <c r="AE193" s="1314">
        <f t="shared" si="29"/>
        <v>-7.3985680190930769E-2</v>
      </c>
      <c r="AG193" s="1326">
        <v>41467</v>
      </c>
      <c r="AH193" s="1314">
        <v>4.08</v>
      </c>
      <c r="AI193" s="1314">
        <f t="shared" si="30"/>
        <v>1.2406947890818814E-2</v>
      </c>
      <c r="AK193" s="1326">
        <v>41467</v>
      </c>
      <c r="AL193" s="1314">
        <v>0.08</v>
      </c>
      <c r="AN193" s="1326">
        <v>41467</v>
      </c>
      <c r="AO193" s="1314">
        <v>-0.53</v>
      </c>
      <c r="AQ193" s="1326">
        <v>41467</v>
      </c>
      <c r="AR193" s="1327">
        <v>2.64</v>
      </c>
      <c r="AT193" s="1326">
        <v>41467</v>
      </c>
      <c r="AU193" s="1314">
        <v>1001.645</v>
      </c>
      <c r="AV193" s="1314">
        <f t="shared" si="31"/>
        <v>-7.4271161583130234E-3</v>
      </c>
      <c r="AX193" s="1314">
        <v>3.625</v>
      </c>
      <c r="AY193" s="1314">
        <f t="shared" si="32"/>
        <v>1.8144028760813388E-2</v>
      </c>
    </row>
    <row r="194" spans="1:51" x14ac:dyDescent="0.75">
      <c r="A194" s="1326">
        <v>41460</v>
      </c>
      <c r="B194" s="1314">
        <v>972.52599999999995</v>
      </c>
      <c r="C194" s="1314">
        <f t="shared" si="33"/>
        <v>-2.907117791233424E-2</v>
      </c>
      <c r="E194" s="1326">
        <v>41460</v>
      </c>
      <c r="F194" s="1314">
        <v>11.32</v>
      </c>
      <c r="G194" s="1314">
        <f t="shared" si="23"/>
        <v>-5.0335570469798627E-2</v>
      </c>
      <c r="I194" s="1326">
        <v>41460</v>
      </c>
      <c r="J194" s="1314">
        <v>9.4</v>
      </c>
      <c r="K194" s="1314">
        <f t="shared" si="24"/>
        <v>-3.589743589743586E-2</v>
      </c>
      <c r="M194" s="1326">
        <v>41460</v>
      </c>
      <c r="N194" s="1314">
        <v>11.4</v>
      </c>
      <c r="O194" s="1314">
        <f t="shared" si="25"/>
        <v>-6.6339066339066374E-2</v>
      </c>
      <c r="Q194" s="1326">
        <v>41460</v>
      </c>
      <c r="R194" s="1314">
        <v>7.5</v>
      </c>
      <c r="S194" s="1314">
        <f t="shared" si="26"/>
        <v>-3.7227214377406934E-2</v>
      </c>
      <c r="U194" s="1326">
        <v>41460</v>
      </c>
      <c r="V194" s="1314">
        <v>34.4</v>
      </c>
      <c r="W194" s="1314">
        <f t="shared" si="27"/>
        <v>2.3809523809523725E-2</v>
      </c>
      <c r="Y194" s="1326">
        <v>41460</v>
      </c>
      <c r="Z194" s="1314">
        <v>14.43</v>
      </c>
      <c r="AA194" s="1314">
        <f t="shared" si="28"/>
        <v>-1.7029972752043598E-2</v>
      </c>
      <c r="AC194" s="1326">
        <v>41460</v>
      </c>
      <c r="AD194" s="1314">
        <v>10.95</v>
      </c>
      <c r="AE194" s="1314">
        <f t="shared" si="29"/>
        <v>-5.9278350515464026E-2</v>
      </c>
      <c r="AG194" s="1326">
        <v>41460</v>
      </c>
      <c r="AH194" s="1314">
        <v>3.75</v>
      </c>
      <c r="AI194" s="1314">
        <f t="shared" si="30"/>
        <v>-8.0882352941176489E-2</v>
      </c>
      <c r="AK194" s="1326">
        <v>41460</v>
      </c>
      <c r="AL194" s="1314">
        <v>1.42</v>
      </c>
      <c r="AN194" s="1326">
        <v>41460</v>
      </c>
      <c r="AO194" s="1314">
        <v>0.17</v>
      </c>
      <c r="AQ194" s="1326">
        <v>41460</v>
      </c>
      <c r="AR194" s="1327">
        <v>2.63</v>
      </c>
      <c r="AT194" s="1326">
        <v>41460</v>
      </c>
      <c r="AU194" s="1314">
        <v>972.52599999999995</v>
      </c>
      <c r="AV194" s="1314">
        <f t="shared" si="31"/>
        <v>-2.907117791233424E-2</v>
      </c>
      <c r="AX194" s="1314">
        <v>3.7130000000000001</v>
      </c>
      <c r="AY194" s="1314">
        <f t="shared" si="32"/>
        <v>2.427586206896554E-2</v>
      </c>
    </row>
    <row r="195" spans="1:51" x14ac:dyDescent="0.75">
      <c r="A195" s="1326">
        <v>41453</v>
      </c>
      <c r="B195" s="1314">
        <v>955.84500000000003</v>
      </c>
      <c r="C195" s="1314">
        <f t="shared" si="33"/>
        <v>-1.7152240659889739E-2</v>
      </c>
      <c r="E195" s="1326">
        <v>41453</v>
      </c>
      <c r="F195" s="1314">
        <v>11.06</v>
      </c>
      <c r="G195" s="1314">
        <f t="shared" si="23"/>
        <v>-2.2968197879858637E-2</v>
      </c>
      <c r="I195" s="1326">
        <v>41453</v>
      </c>
      <c r="J195" s="1314">
        <v>8.59</v>
      </c>
      <c r="K195" s="1314">
        <f t="shared" si="24"/>
        <v>-8.6170212765957502E-2</v>
      </c>
      <c r="M195" s="1326">
        <v>41453</v>
      </c>
      <c r="N195" s="1314">
        <v>10.77</v>
      </c>
      <c r="O195" s="1314">
        <f t="shared" si="25"/>
        <v>-5.526315789473691E-2</v>
      </c>
      <c r="Q195" s="1326">
        <v>41453</v>
      </c>
      <c r="R195" s="1314">
        <v>7.64</v>
      </c>
      <c r="S195" s="1314">
        <f t="shared" si="26"/>
        <v>1.8666666666666623E-2</v>
      </c>
      <c r="U195" s="1326">
        <v>41453</v>
      </c>
      <c r="V195" s="1314">
        <v>35.03</v>
      </c>
      <c r="W195" s="1314">
        <f t="shared" si="27"/>
        <v>1.8313953488372166E-2</v>
      </c>
      <c r="Y195" s="1326">
        <v>41453</v>
      </c>
      <c r="Z195" s="1314">
        <v>13.89</v>
      </c>
      <c r="AA195" s="1314">
        <f t="shared" si="28"/>
        <v>-3.7422037422037362E-2</v>
      </c>
      <c r="AC195" s="1326">
        <v>41453</v>
      </c>
      <c r="AD195" s="1314">
        <v>10.73</v>
      </c>
      <c r="AE195" s="1314">
        <f t="shared" si="29"/>
        <v>-2.0091324200913141E-2</v>
      </c>
      <c r="AG195" s="1326">
        <v>41453</v>
      </c>
      <c r="AH195" s="1314">
        <v>3.6</v>
      </c>
      <c r="AI195" s="1314">
        <f t="shared" si="30"/>
        <v>-3.9999999999999973E-2</v>
      </c>
      <c r="AK195" s="1326">
        <v>41453</v>
      </c>
      <c r="AL195" s="1314">
        <v>0.5</v>
      </c>
      <c r="AN195" s="1326">
        <v>41453</v>
      </c>
      <c r="AO195" s="1314">
        <v>0.28000000000000003</v>
      </c>
      <c r="AQ195" s="1326">
        <v>41453</v>
      </c>
      <c r="AR195" s="1327">
        <v>2.66</v>
      </c>
      <c r="AT195" s="1326">
        <v>41453</v>
      </c>
      <c r="AU195" s="1314">
        <v>955.84500000000003</v>
      </c>
      <c r="AV195" s="1314">
        <f t="shared" si="31"/>
        <v>-1.7152240659889739E-2</v>
      </c>
      <c r="AX195" s="1314">
        <v>3.4994000000000001</v>
      </c>
      <c r="AY195" s="1314">
        <f t="shared" si="32"/>
        <v>-5.7527605709668736E-2</v>
      </c>
    </row>
    <row r="196" spans="1:51" x14ac:dyDescent="0.75">
      <c r="A196" s="1326">
        <v>41446</v>
      </c>
      <c r="B196" s="1314">
        <v>945.83100000000002</v>
      </c>
      <c r="C196" s="1314">
        <f t="shared" si="33"/>
        <v>-1.0476594008442801E-2</v>
      </c>
      <c r="E196" s="1326">
        <v>41446</v>
      </c>
      <c r="F196" s="1314">
        <v>11.03</v>
      </c>
      <c r="G196" s="1314">
        <f t="shared" si="23"/>
        <v>-2.7124773960218026E-3</v>
      </c>
      <c r="I196" s="1326">
        <v>41446</v>
      </c>
      <c r="J196" s="1314">
        <v>8.65</v>
      </c>
      <c r="K196" s="1314">
        <f t="shared" si="24"/>
        <v>6.9848661233993595E-3</v>
      </c>
      <c r="M196" s="1326">
        <v>41446</v>
      </c>
      <c r="N196" s="1314">
        <v>11.46</v>
      </c>
      <c r="O196" s="1314">
        <f t="shared" si="25"/>
        <v>6.4066852367688137E-2</v>
      </c>
      <c r="Q196" s="1326">
        <v>41446</v>
      </c>
      <c r="R196" s="1314">
        <v>7.64</v>
      </c>
      <c r="S196" s="1314">
        <f t="shared" si="26"/>
        <v>0</v>
      </c>
      <c r="U196" s="1326">
        <v>41446</v>
      </c>
      <c r="V196" s="1314">
        <v>35.89</v>
      </c>
      <c r="W196" s="1314">
        <f t="shared" si="27"/>
        <v>2.4550385383956593E-2</v>
      </c>
      <c r="Y196" s="1326">
        <v>41446</v>
      </c>
      <c r="Z196" s="1314">
        <v>13.75</v>
      </c>
      <c r="AA196" s="1314">
        <f t="shared" si="28"/>
        <v>-1.007919366450688E-2</v>
      </c>
      <c r="AC196" s="1326">
        <v>41446</v>
      </c>
      <c r="AD196" s="1314">
        <v>10.484999999999999</v>
      </c>
      <c r="AE196" s="1314">
        <f t="shared" si="29"/>
        <v>-2.2833178005591891E-2</v>
      </c>
      <c r="AG196" s="1326">
        <v>41446</v>
      </c>
      <c r="AH196" s="1314">
        <v>3.78</v>
      </c>
      <c r="AI196" s="1314">
        <f t="shared" si="30"/>
        <v>4.999999999999992E-2</v>
      </c>
      <c r="AK196" s="1326">
        <v>41446</v>
      </c>
      <c r="AL196" s="1314">
        <v>0.59</v>
      </c>
      <c r="AN196" s="1326">
        <v>41446</v>
      </c>
      <c r="AO196" s="1314">
        <v>0.37</v>
      </c>
      <c r="AQ196" s="1326">
        <v>41446</v>
      </c>
      <c r="AR196" s="1327">
        <v>2.4700000000000002</v>
      </c>
      <c r="AT196" s="1326">
        <v>41446</v>
      </c>
      <c r="AU196" s="1314">
        <v>945.83100000000002</v>
      </c>
      <c r="AV196" s="1314">
        <f t="shared" si="31"/>
        <v>-1.0476594008442801E-2</v>
      </c>
      <c r="AX196" s="1314">
        <v>3.5817999999999999</v>
      </c>
      <c r="AY196" s="1314">
        <f t="shared" si="32"/>
        <v>2.3546893753214782E-2</v>
      </c>
    </row>
    <row r="197" spans="1:51" x14ac:dyDescent="0.75">
      <c r="A197" s="1326">
        <v>41439</v>
      </c>
      <c r="B197" s="1314">
        <v>967.03899999999999</v>
      </c>
      <c r="C197" s="1314">
        <f t="shared" si="33"/>
        <v>2.2422610381770073E-2</v>
      </c>
      <c r="E197" s="1326">
        <v>41439</v>
      </c>
      <c r="F197" s="1314">
        <v>11.39</v>
      </c>
      <c r="G197" s="1314">
        <f t="shared" ref="G197:G260" si="34">(F197-F196)/F196</f>
        <v>3.2638259292837826E-2</v>
      </c>
      <c r="I197" s="1326">
        <v>41439</v>
      </c>
      <c r="J197" s="1314">
        <v>8.66</v>
      </c>
      <c r="K197" s="1314">
        <f t="shared" ref="K197:K260" si="35">(J197-J196)/J196</f>
        <v>1.1560693641618251E-3</v>
      </c>
      <c r="M197" s="1326">
        <v>41439</v>
      </c>
      <c r="N197" s="1314">
        <v>11.18</v>
      </c>
      <c r="O197" s="1314">
        <f t="shared" ref="O197:O260" si="36">(N197-N196)/N196</f>
        <v>-2.4432809773124006E-2</v>
      </c>
      <c r="Q197" s="1326">
        <v>41439</v>
      </c>
      <c r="R197" s="1314">
        <v>7.69</v>
      </c>
      <c r="S197" s="1314">
        <f t="shared" ref="S197:S260" si="37">(R197-R196)/R196</f>
        <v>6.5445026178011408E-3</v>
      </c>
      <c r="U197" s="1326">
        <v>41439</v>
      </c>
      <c r="V197" s="1314">
        <v>35.56</v>
      </c>
      <c r="W197" s="1314">
        <f t="shared" ref="W197:W260" si="38">(V197-V196)/V196</f>
        <v>-9.1947617720813113E-3</v>
      </c>
      <c r="Y197" s="1326">
        <v>41439</v>
      </c>
      <c r="Z197" s="1314">
        <v>14.47</v>
      </c>
      <c r="AA197" s="1314">
        <f t="shared" ref="AA197:AA260" si="39">(Z197-Z196)/Z196</f>
        <v>5.2363636363636411E-2</v>
      </c>
      <c r="AC197" s="1326">
        <v>41439</v>
      </c>
      <c r="AD197" s="1314">
        <v>10.97</v>
      </c>
      <c r="AE197" s="1314">
        <f t="shared" ref="AE197:AE260" si="40">(AD197-AD196)/AD196</f>
        <v>4.6256556986170837E-2</v>
      </c>
      <c r="AG197" s="1326">
        <v>41439</v>
      </c>
      <c r="AH197" s="1314">
        <v>3.62</v>
      </c>
      <c r="AI197" s="1314">
        <f t="shared" ref="AI197:AI260" si="41">(AH197-AH196)/AH196</f>
        <v>-4.2328042328042249E-2</v>
      </c>
      <c r="AK197" s="1326">
        <v>41439</v>
      </c>
      <c r="AL197" s="1314">
        <v>0.52</v>
      </c>
      <c r="AN197" s="1326">
        <v>41439</v>
      </c>
      <c r="AO197" s="1314">
        <v>-0.56999999999999995</v>
      </c>
      <c r="AQ197" s="1326">
        <v>41439</v>
      </c>
      <c r="AR197" s="1327">
        <v>2.37</v>
      </c>
      <c r="AT197" s="1326">
        <v>41439</v>
      </c>
      <c r="AU197" s="1314">
        <v>967.03899999999999</v>
      </c>
      <c r="AV197" s="1314">
        <f t="shared" ref="AV197:AV260" si="42">(AU197-AU196)/AU196</f>
        <v>2.2422610381770073E-2</v>
      </c>
      <c r="AX197" s="1314">
        <v>3.3046000000000002</v>
      </c>
      <c r="AY197" s="1314">
        <f t="shared" ref="AY197:AY260" si="43">(AX197-AX196)/AX196</f>
        <v>-7.739125579317653E-2</v>
      </c>
    </row>
    <row r="198" spans="1:51" x14ac:dyDescent="0.75">
      <c r="A198" s="1326">
        <v>41432</v>
      </c>
      <c r="B198" s="1314">
        <v>976.27300000000002</v>
      </c>
      <c r="C198" s="1314">
        <f t="shared" si="33"/>
        <v>9.5487358834545847E-3</v>
      </c>
      <c r="E198" s="1326">
        <v>41432</v>
      </c>
      <c r="F198" s="1314">
        <v>11.36</v>
      </c>
      <c r="G198" s="1314">
        <f t="shared" si="34"/>
        <v>-2.6338893766462805E-3</v>
      </c>
      <c r="I198" s="1326">
        <v>41432</v>
      </c>
      <c r="J198" s="1314">
        <v>8.07</v>
      </c>
      <c r="K198" s="1314">
        <f t="shared" si="35"/>
        <v>-6.8129330254041554E-2</v>
      </c>
      <c r="M198" s="1326">
        <v>41432</v>
      </c>
      <c r="N198" s="1314">
        <v>11.43</v>
      </c>
      <c r="O198" s="1314">
        <f t="shared" si="36"/>
        <v>2.2361359570661897E-2</v>
      </c>
      <c r="Q198" s="1326">
        <v>41432</v>
      </c>
      <c r="R198" s="1314">
        <v>8.1199999999999992</v>
      </c>
      <c r="S198" s="1314">
        <f t="shared" si="37"/>
        <v>5.5916775032509601E-2</v>
      </c>
      <c r="U198" s="1326">
        <v>41432</v>
      </c>
      <c r="V198" s="1314">
        <v>35.78</v>
      </c>
      <c r="W198" s="1314">
        <f t="shared" si="38"/>
        <v>6.1867266591675713E-3</v>
      </c>
      <c r="Y198" s="1326">
        <v>41432</v>
      </c>
      <c r="Z198" s="1314">
        <v>14.57</v>
      </c>
      <c r="AA198" s="1314">
        <f t="shared" si="39"/>
        <v>6.9108500345542254E-3</v>
      </c>
      <c r="AC198" s="1326">
        <v>41432</v>
      </c>
      <c r="AD198" s="1314">
        <v>10.85</v>
      </c>
      <c r="AE198" s="1314">
        <f t="shared" si="40"/>
        <v>-1.0938924339106745E-2</v>
      </c>
      <c r="AG198" s="1326">
        <v>41432</v>
      </c>
      <c r="AH198" s="1314">
        <v>3.72</v>
      </c>
      <c r="AI198" s="1314">
        <f t="shared" si="41"/>
        <v>2.7624309392265217E-2</v>
      </c>
      <c r="AK198" s="1326">
        <v>41432</v>
      </c>
      <c r="AL198" s="1314">
        <v>-0.43</v>
      </c>
      <c r="AN198" s="1326">
        <v>41432</v>
      </c>
      <c r="AO198" s="1314">
        <v>-0.22</v>
      </c>
      <c r="AQ198" s="1326">
        <v>41432</v>
      </c>
      <c r="AR198" s="1327">
        <v>2.29</v>
      </c>
      <c r="AT198" s="1326">
        <v>41432</v>
      </c>
      <c r="AU198" s="1314">
        <v>976.27300000000002</v>
      </c>
      <c r="AV198" s="1314">
        <f t="shared" si="42"/>
        <v>9.5487358834545847E-3</v>
      </c>
      <c r="AX198" s="1314">
        <v>3.3342999999999998</v>
      </c>
      <c r="AY198" s="1314">
        <f t="shared" si="43"/>
        <v>8.9874720087150077E-3</v>
      </c>
    </row>
    <row r="199" spans="1:51" x14ac:dyDescent="0.75">
      <c r="A199" s="1326">
        <v>41425</v>
      </c>
      <c r="B199" s="1314">
        <v>969.98500000000001</v>
      </c>
      <c r="C199" s="1314">
        <f t="shared" si="33"/>
        <v>-6.4408213686130934E-3</v>
      </c>
      <c r="E199" s="1326">
        <v>41425</v>
      </c>
      <c r="F199" s="1314">
        <v>11.4</v>
      </c>
      <c r="G199" s="1314">
        <f t="shared" si="34"/>
        <v>3.5211267605634619E-3</v>
      </c>
      <c r="I199" s="1326">
        <v>41425</v>
      </c>
      <c r="J199" s="1314">
        <v>7.88</v>
      </c>
      <c r="K199" s="1314">
        <f t="shared" si="35"/>
        <v>-2.3543990086741063E-2</v>
      </c>
      <c r="M199" s="1326">
        <v>41425</v>
      </c>
      <c r="N199" s="1314">
        <v>11.28</v>
      </c>
      <c r="O199" s="1314">
        <f t="shared" si="36"/>
        <v>-1.3123359580052524E-2</v>
      </c>
      <c r="Q199" s="1326">
        <v>41425</v>
      </c>
      <c r="R199" s="1314">
        <v>7.89</v>
      </c>
      <c r="S199" s="1314">
        <f t="shared" si="37"/>
        <v>-2.8325123152709304E-2</v>
      </c>
      <c r="U199" s="1326">
        <v>41425</v>
      </c>
      <c r="V199" s="1314">
        <v>36.51</v>
      </c>
      <c r="W199" s="1314">
        <f t="shared" si="38"/>
        <v>2.040245947456671E-2</v>
      </c>
      <c r="Y199" s="1326">
        <v>41425</v>
      </c>
      <c r="Z199" s="1314">
        <v>14.56</v>
      </c>
      <c r="AA199" s="1314">
        <f t="shared" si="39"/>
        <v>-6.8634179821549666E-4</v>
      </c>
      <c r="AC199" s="1326">
        <v>41425</v>
      </c>
      <c r="AD199" s="1314">
        <v>11.244999999999999</v>
      </c>
      <c r="AE199" s="1314">
        <f t="shared" si="40"/>
        <v>3.6405529953917014E-2</v>
      </c>
      <c r="AG199" s="1326">
        <v>41425</v>
      </c>
      <c r="AH199" s="1314">
        <v>3.42</v>
      </c>
      <c r="AI199" s="1314">
        <f t="shared" si="41"/>
        <v>-8.0645161290322648E-2</v>
      </c>
      <c r="AK199" s="1326">
        <v>41425</v>
      </c>
      <c r="AL199" s="1314">
        <v>1.0900000000000001</v>
      </c>
      <c r="AN199" s="1326">
        <v>41425</v>
      </c>
      <c r="AO199" s="1314">
        <v>1.04</v>
      </c>
      <c r="AQ199" s="1326">
        <v>41425</v>
      </c>
      <c r="AR199" s="1327">
        <v>2.19</v>
      </c>
      <c r="AT199" s="1326">
        <v>41425</v>
      </c>
      <c r="AU199" s="1314">
        <v>969.98500000000001</v>
      </c>
      <c r="AV199" s="1314">
        <f t="shared" si="42"/>
        <v>-6.4408213686130934E-3</v>
      </c>
      <c r="AX199" s="1314">
        <v>3.2791000000000001</v>
      </c>
      <c r="AY199" s="1314">
        <f t="shared" si="43"/>
        <v>-1.6555198992292144E-2</v>
      </c>
    </row>
    <row r="200" spans="1:51" x14ac:dyDescent="0.75">
      <c r="A200" s="1326">
        <v>41418</v>
      </c>
      <c r="B200" s="1314">
        <v>979.73599999999999</v>
      </c>
      <c r="C200" s="1314">
        <f t="shared" si="33"/>
        <v>1.0052732774218134E-2</v>
      </c>
      <c r="E200" s="1326">
        <v>41418</v>
      </c>
      <c r="F200" s="1314">
        <v>11.68</v>
      </c>
      <c r="G200" s="1314">
        <f t="shared" si="34"/>
        <v>2.4561403508771874E-2</v>
      </c>
      <c r="I200" s="1326">
        <v>41418</v>
      </c>
      <c r="J200" s="1314">
        <v>7.74</v>
      </c>
      <c r="K200" s="1314">
        <f t="shared" si="35"/>
        <v>-1.7766497461928894E-2</v>
      </c>
      <c r="M200" s="1326">
        <v>41418</v>
      </c>
      <c r="N200" s="1314">
        <v>11.41</v>
      </c>
      <c r="O200" s="1314">
        <f t="shared" si="36"/>
        <v>1.1524822695035531E-2</v>
      </c>
      <c r="Q200" s="1326">
        <v>41418</v>
      </c>
      <c r="R200" s="1314">
        <v>7.42</v>
      </c>
      <c r="S200" s="1314">
        <f t="shared" si="37"/>
        <v>-5.9569074778200226E-2</v>
      </c>
      <c r="U200" s="1326">
        <v>41418</v>
      </c>
      <c r="V200" s="1314">
        <v>35.590000000000003</v>
      </c>
      <c r="W200" s="1314">
        <f t="shared" si="38"/>
        <v>-2.5198575732675834E-2</v>
      </c>
      <c r="Y200" s="1326">
        <v>41418</v>
      </c>
      <c r="Z200" s="1314">
        <v>14.23</v>
      </c>
      <c r="AA200" s="1314">
        <f t="shared" si="39"/>
        <v>-2.2664835164835168E-2</v>
      </c>
      <c r="AC200" s="1326">
        <v>41418</v>
      </c>
      <c r="AD200" s="1314">
        <v>11.03</v>
      </c>
      <c r="AE200" s="1314">
        <f t="shared" si="40"/>
        <v>-1.9119608714984426E-2</v>
      </c>
      <c r="AG200" s="1326">
        <v>41418</v>
      </c>
      <c r="AH200" s="1314">
        <v>3.46</v>
      </c>
      <c r="AI200" s="1314">
        <f t="shared" si="41"/>
        <v>1.169590643274855E-2</v>
      </c>
      <c r="AK200" s="1326">
        <v>41418</v>
      </c>
      <c r="AL200" s="1314">
        <v>0.15</v>
      </c>
      <c r="AN200" s="1326">
        <v>41418</v>
      </c>
      <c r="AO200" s="1314">
        <v>0.22</v>
      </c>
      <c r="AQ200" s="1326">
        <v>41418</v>
      </c>
      <c r="AR200" s="1327">
        <v>2.09</v>
      </c>
      <c r="AT200" s="1326">
        <v>41418</v>
      </c>
      <c r="AU200" s="1314">
        <v>979.73599999999999</v>
      </c>
      <c r="AV200" s="1314">
        <f t="shared" si="42"/>
        <v>1.0052732774218134E-2</v>
      </c>
      <c r="AX200" s="1314">
        <v>3.1720999999999999</v>
      </c>
      <c r="AY200" s="1314">
        <f t="shared" si="43"/>
        <v>-3.263090482144497E-2</v>
      </c>
    </row>
    <row r="201" spans="1:51" x14ac:dyDescent="0.75">
      <c r="A201" s="1326">
        <v>41411</v>
      </c>
      <c r="B201" s="1314">
        <v>991.28099999999995</v>
      </c>
      <c r="C201" s="1314">
        <f t="shared" si="33"/>
        <v>1.1783786652730898E-2</v>
      </c>
      <c r="E201" s="1326">
        <v>41411</v>
      </c>
      <c r="F201" s="1314">
        <v>10.9</v>
      </c>
      <c r="G201" s="1314">
        <f t="shared" si="34"/>
        <v>-6.6780821917808167E-2</v>
      </c>
      <c r="I201" s="1326">
        <v>41411</v>
      </c>
      <c r="J201" s="1314">
        <v>7.97</v>
      </c>
      <c r="K201" s="1314">
        <f t="shared" si="35"/>
        <v>2.9715762273901748E-2</v>
      </c>
      <c r="M201" s="1326">
        <v>41411</v>
      </c>
      <c r="N201" s="1314">
        <v>11.48</v>
      </c>
      <c r="O201" s="1314">
        <f t="shared" si="36"/>
        <v>6.1349693251533987E-3</v>
      </c>
      <c r="Q201" s="1326">
        <v>41411</v>
      </c>
      <c r="R201" s="1314">
        <v>7.74</v>
      </c>
      <c r="S201" s="1314">
        <f t="shared" si="37"/>
        <v>4.3126684636118635E-2</v>
      </c>
      <c r="U201" s="1326">
        <v>41411</v>
      </c>
      <c r="V201" s="1314">
        <v>36.32</v>
      </c>
      <c r="W201" s="1314">
        <f t="shared" si="38"/>
        <v>2.0511379601011431E-2</v>
      </c>
      <c r="Y201" s="1326">
        <v>41411</v>
      </c>
      <c r="Z201" s="1314">
        <v>14.56</v>
      </c>
      <c r="AA201" s="1314">
        <f t="shared" si="39"/>
        <v>2.3190442726633877E-2</v>
      </c>
      <c r="AC201" s="1326">
        <v>41411</v>
      </c>
      <c r="AD201" s="1314">
        <v>11.23</v>
      </c>
      <c r="AE201" s="1314">
        <f t="shared" si="40"/>
        <v>1.8132366273798828E-2</v>
      </c>
      <c r="AG201" s="1326">
        <v>41411</v>
      </c>
      <c r="AH201" s="1314">
        <v>3.52</v>
      </c>
      <c r="AI201" s="1314">
        <f t="shared" si="41"/>
        <v>1.7341040462427761E-2</v>
      </c>
      <c r="AK201" s="1326">
        <v>41411</v>
      </c>
      <c r="AL201" s="1314">
        <v>-0.09</v>
      </c>
      <c r="AN201" s="1326">
        <v>41411</v>
      </c>
      <c r="AO201" s="1314">
        <v>0.61</v>
      </c>
      <c r="AQ201" s="1326">
        <v>41411</v>
      </c>
      <c r="AR201" s="1327">
        <v>2.0699999999999998</v>
      </c>
      <c r="AT201" s="1326">
        <v>41411</v>
      </c>
      <c r="AU201" s="1314">
        <v>991.28099999999995</v>
      </c>
      <c r="AV201" s="1314">
        <f t="shared" si="42"/>
        <v>1.1783786652730898E-2</v>
      </c>
      <c r="AX201" s="1314">
        <v>3.1669</v>
      </c>
      <c r="AY201" s="1314">
        <f t="shared" si="43"/>
        <v>-1.6392925822010251E-3</v>
      </c>
    </row>
    <row r="202" spans="1:51" x14ac:dyDescent="0.75">
      <c r="A202" s="1326">
        <v>41404</v>
      </c>
      <c r="B202" s="1314">
        <v>971.74800000000005</v>
      </c>
      <c r="C202" s="1314">
        <f t="shared" si="33"/>
        <v>-1.9704806205303949E-2</v>
      </c>
      <c r="E202" s="1326">
        <v>41404</v>
      </c>
      <c r="F202" s="1314">
        <v>10.26</v>
      </c>
      <c r="G202" s="1314">
        <f t="shared" si="34"/>
        <v>-5.8715596330275281E-2</v>
      </c>
      <c r="I202" s="1326">
        <v>41404</v>
      </c>
      <c r="J202" s="1314">
        <v>8.01</v>
      </c>
      <c r="K202" s="1314">
        <f t="shared" si="35"/>
        <v>5.0188205771643712E-3</v>
      </c>
      <c r="M202" s="1326">
        <v>41404</v>
      </c>
      <c r="N202" s="1314">
        <v>10.92</v>
      </c>
      <c r="O202" s="1314">
        <f t="shared" si="36"/>
        <v>-4.8780487804878092E-2</v>
      </c>
      <c r="Q202" s="1326">
        <v>41404</v>
      </c>
      <c r="R202" s="1314">
        <v>7.89</v>
      </c>
      <c r="S202" s="1314">
        <f t="shared" si="37"/>
        <v>1.937984496124024E-2</v>
      </c>
      <c r="U202" s="1326">
        <v>41404</v>
      </c>
      <c r="V202" s="1314">
        <v>33.22</v>
      </c>
      <c r="W202" s="1314">
        <f t="shared" si="38"/>
        <v>-8.5352422907489026E-2</v>
      </c>
      <c r="Y202" s="1326">
        <v>41404</v>
      </c>
      <c r="Z202" s="1314">
        <v>14.32</v>
      </c>
      <c r="AA202" s="1314">
        <f t="shared" si="39"/>
        <v>-1.6483516483516498E-2</v>
      </c>
      <c r="AC202" s="1326">
        <v>41404</v>
      </c>
      <c r="AD202" s="1314">
        <v>10.83</v>
      </c>
      <c r="AE202" s="1314">
        <f t="shared" si="40"/>
        <v>-3.5618878005342865E-2</v>
      </c>
      <c r="AG202" s="1326">
        <v>41404</v>
      </c>
      <c r="AH202" s="1314">
        <v>3.63</v>
      </c>
      <c r="AI202" s="1314">
        <f t="shared" si="41"/>
        <v>3.1249999999999965E-2</v>
      </c>
      <c r="AK202" s="1326">
        <v>41404</v>
      </c>
      <c r="AL202" s="1314">
        <v>0.71</v>
      </c>
      <c r="AN202" s="1326">
        <v>41404</v>
      </c>
      <c r="AO202" s="1314">
        <v>0.56999999999999995</v>
      </c>
      <c r="AQ202" s="1326">
        <v>41404</v>
      </c>
      <c r="AR202" s="1327">
        <v>2.0099999999999998</v>
      </c>
      <c r="AT202" s="1326">
        <v>41404</v>
      </c>
      <c r="AU202" s="1314">
        <v>971.74800000000005</v>
      </c>
      <c r="AV202" s="1314">
        <f t="shared" si="42"/>
        <v>-1.9704806205303949E-2</v>
      </c>
      <c r="AX202" s="1314">
        <v>3.0943000000000001</v>
      </c>
      <c r="AY202" s="1314">
        <f t="shared" si="43"/>
        <v>-2.2924626606460576E-2</v>
      </c>
    </row>
    <row r="203" spans="1:51" x14ac:dyDescent="0.75">
      <c r="A203" s="1326">
        <v>41397</v>
      </c>
      <c r="B203" s="1314">
        <v>958.70699999999999</v>
      </c>
      <c r="C203" s="1314">
        <f t="shared" si="33"/>
        <v>-1.342014596376844E-2</v>
      </c>
      <c r="E203" s="1326">
        <v>41397</v>
      </c>
      <c r="F203" s="1314">
        <v>9.52</v>
      </c>
      <c r="G203" s="1314">
        <f t="shared" si="34"/>
        <v>-7.2124756335282675E-2</v>
      </c>
      <c r="I203" s="1326">
        <v>41397</v>
      </c>
      <c r="J203" s="1314">
        <v>7.1790000000000003</v>
      </c>
      <c r="K203" s="1314">
        <f t="shared" si="35"/>
        <v>-0.10374531835205987</v>
      </c>
      <c r="M203" s="1326">
        <v>41397</v>
      </c>
      <c r="N203" s="1314">
        <v>11.07</v>
      </c>
      <c r="O203" s="1314">
        <f t="shared" si="36"/>
        <v>1.3736263736263769E-2</v>
      </c>
      <c r="Q203" s="1326">
        <v>41397</v>
      </c>
      <c r="R203" s="1314">
        <v>7.5</v>
      </c>
      <c r="S203" s="1314">
        <f t="shared" si="37"/>
        <v>-4.9429657794676771E-2</v>
      </c>
      <c r="U203" s="1326">
        <v>41397</v>
      </c>
      <c r="V203" s="1314">
        <v>32.43</v>
      </c>
      <c r="W203" s="1314">
        <f t="shared" si="38"/>
        <v>-2.3780854906682695E-2</v>
      </c>
      <c r="Y203" s="1326">
        <v>41397</v>
      </c>
      <c r="Z203" s="1314">
        <v>13.56</v>
      </c>
      <c r="AA203" s="1314">
        <f t="shared" si="39"/>
        <v>-5.3072625698324008E-2</v>
      </c>
      <c r="AC203" s="1326">
        <v>41397</v>
      </c>
      <c r="AD203" s="1314">
        <v>10.130000000000001</v>
      </c>
      <c r="AE203" s="1314">
        <f t="shared" si="40"/>
        <v>-6.4635272391505016E-2</v>
      </c>
      <c r="AG203" s="1326">
        <v>41397</v>
      </c>
      <c r="AH203" s="1314">
        <v>4.34</v>
      </c>
      <c r="AI203" s="1314">
        <f t="shared" si="41"/>
        <v>0.19559228650137742</v>
      </c>
      <c r="AK203" s="1326">
        <v>41397</v>
      </c>
      <c r="AL203" s="1314">
        <v>0.3</v>
      </c>
      <c r="AN203" s="1326">
        <v>41397</v>
      </c>
      <c r="AO203" s="1314">
        <v>-0.13</v>
      </c>
      <c r="AQ203" s="1326">
        <v>41397</v>
      </c>
      <c r="AR203" s="1327">
        <v>1.96</v>
      </c>
      <c r="AT203" s="1326">
        <v>41397</v>
      </c>
      <c r="AU203" s="1314">
        <v>958.70699999999999</v>
      </c>
      <c r="AV203" s="1314">
        <f t="shared" si="42"/>
        <v>-1.342014596376844E-2</v>
      </c>
      <c r="AX203" s="1314">
        <v>2.9537</v>
      </c>
      <c r="AY203" s="1314">
        <f t="shared" si="43"/>
        <v>-4.5438386711049369E-2</v>
      </c>
    </row>
    <row r="204" spans="1:51" x14ac:dyDescent="0.75">
      <c r="A204" s="1326">
        <v>41390</v>
      </c>
      <c r="B204" s="1314">
        <v>940.04700000000003</v>
      </c>
      <c r="C204" s="1314">
        <f t="shared" si="33"/>
        <v>-1.9463715191398383E-2</v>
      </c>
      <c r="E204" s="1326">
        <v>41390</v>
      </c>
      <c r="F204" s="1314">
        <v>9.07</v>
      </c>
      <c r="G204" s="1314">
        <f t="shared" si="34"/>
        <v>-4.7268907563025139E-2</v>
      </c>
      <c r="I204" s="1326">
        <v>41390</v>
      </c>
      <c r="J204" s="1314">
        <v>6.59</v>
      </c>
      <c r="K204" s="1314">
        <f t="shared" si="35"/>
        <v>-8.2044853043599444E-2</v>
      </c>
      <c r="M204" s="1326">
        <v>41390</v>
      </c>
      <c r="N204" s="1314">
        <v>10.34</v>
      </c>
      <c r="O204" s="1314">
        <f t="shared" si="36"/>
        <v>-6.5943992773261101E-2</v>
      </c>
      <c r="Q204" s="1326">
        <v>41390</v>
      </c>
      <c r="R204" s="1314">
        <v>8.51</v>
      </c>
      <c r="S204" s="1314">
        <f t="shared" si="37"/>
        <v>0.13466666666666663</v>
      </c>
      <c r="U204" s="1326">
        <v>41390</v>
      </c>
      <c r="V204" s="1314">
        <v>31.2</v>
      </c>
      <c r="W204" s="1314">
        <f t="shared" si="38"/>
        <v>-3.792784458834414E-2</v>
      </c>
      <c r="Y204" s="1326">
        <v>41390</v>
      </c>
      <c r="Z204" s="1314">
        <v>12.56</v>
      </c>
      <c r="AA204" s="1314">
        <f t="shared" si="39"/>
        <v>-7.3746312684365781E-2</v>
      </c>
      <c r="AC204" s="1326">
        <v>41390</v>
      </c>
      <c r="AD204" s="1314">
        <v>9.92</v>
      </c>
      <c r="AE204" s="1314">
        <f t="shared" si="40"/>
        <v>-2.0730503455083992E-2</v>
      </c>
      <c r="AG204" s="1326">
        <v>41390</v>
      </c>
      <c r="AH204" s="1314">
        <v>4.49</v>
      </c>
      <c r="AI204" s="1314">
        <f t="shared" si="41"/>
        <v>3.4562211981566907E-2</v>
      </c>
      <c r="AK204" s="1326">
        <v>41390</v>
      </c>
      <c r="AL204" s="1314">
        <v>0.53</v>
      </c>
      <c r="AN204" s="1326">
        <v>41390</v>
      </c>
      <c r="AO204" s="1314">
        <v>1.49</v>
      </c>
      <c r="AQ204" s="1326">
        <v>41390</v>
      </c>
      <c r="AR204" s="1327">
        <v>1.98</v>
      </c>
      <c r="AT204" s="1326">
        <v>41390</v>
      </c>
      <c r="AU204" s="1314">
        <v>940.04700000000003</v>
      </c>
      <c r="AV204" s="1314">
        <f t="shared" si="42"/>
        <v>-1.9463715191398383E-2</v>
      </c>
      <c r="AX204" s="1314">
        <v>2.8611</v>
      </c>
      <c r="AY204" s="1314">
        <f t="shared" si="43"/>
        <v>-3.1350509530419478E-2</v>
      </c>
    </row>
    <row r="205" spans="1:51" x14ac:dyDescent="0.75">
      <c r="A205" s="1326">
        <v>41383</v>
      </c>
      <c r="B205" s="1314">
        <v>923.39200000000005</v>
      </c>
      <c r="C205" s="1314">
        <f t="shared" si="33"/>
        <v>-1.771719924642063E-2</v>
      </c>
      <c r="E205" s="1326">
        <v>41383</v>
      </c>
      <c r="F205" s="1314">
        <v>9.0299999999999994</v>
      </c>
      <c r="G205" s="1314">
        <f t="shared" si="34"/>
        <v>-4.4101433296583155E-3</v>
      </c>
      <c r="I205" s="1326">
        <v>41383</v>
      </c>
      <c r="J205" s="1314">
        <v>6.06</v>
      </c>
      <c r="K205" s="1314">
        <f t="shared" si="35"/>
        <v>-8.0424886191198822E-2</v>
      </c>
      <c r="M205" s="1326">
        <v>41383</v>
      </c>
      <c r="N205" s="1314">
        <v>10.67</v>
      </c>
      <c r="O205" s="1314">
        <f t="shared" si="36"/>
        <v>3.1914893617021281E-2</v>
      </c>
      <c r="Q205" s="1326">
        <v>41383</v>
      </c>
      <c r="R205" s="1314">
        <v>8.67</v>
      </c>
      <c r="S205" s="1314">
        <f t="shared" si="37"/>
        <v>1.8801410105757949E-2</v>
      </c>
      <c r="U205" s="1326">
        <v>41383</v>
      </c>
      <c r="V205" s="1314">
        <v>30.19</v>
      </c>
      <c r="W205" s="1314">
        <f t="shared" si="38"/>
        <v>-3.2371794871794805E-2</v>
      </c>
      <c r="Y205" s="1326">
        <v>41383</v>
      </c>
      <c r="Z205" s="1314">
        <v>11.81</v>
      </c>
      <c r="AA205" s="1314">
        <f t="shared" si="39"/>
        <v>-5.9713375796178345E-2</v>
      </c>
      <c r="AC205" s="1326">
        <v>41383</v>
      </c>
      <c r="AD205" s="1314">
        <v>9.66</v>
      </c>
      <c r="AE205" s="1314">
        <f t="shared" si="40"/>
        <v>-2.6209677419354819E-2</v>
      </c>
      <c r="AG205" s="1326">
        <v>41383</v>
      </c>
      <c r="AH205" s="1314">
        <v>4.6500000000000004</v>
      </c>
      <c r="AI205" s="1314">
        <f t="shared" si="41"/>
        <v>3.563474387527843E-2</v>
      </c>
      <c r="AK205" s="1326">
        <v>41383</v>
      </c>
      <c r="AL205" s="1314">
        <v>-1.41</v>
      </c>
      <c r="AN205" s="1326">
        <v>41383</v>
      </c>
      <c r="AO205" s="1314">
        <v>-0.61</v>
      </c>
      <c r="AQ205" s="1326">
        <v>41383</v>
      </c>
      <c r="AR205" s="1327">
        <v>2</v>
      </c>
      <c r="AT205" s="1326">
        <v>41383</v>
      </c>
      <c r="AU205" s="1314">
        <v>923.39200000000005</v>
      </c>
      <c r="AV205" s="1314">
        <f t="shared" si="42"/>
        <v>-1.771719924642063E-2</v>
      </c>
      <c r="AX205" s="1314">
        <v>2.8847</v>
      </c>
      <c r="AY205" s="1314">
        <f t="shared" si="43"/>
        <v>8.248575722624189E-3</v>
      </c>
    </row>
    <row r="206" spans="1:51" x14ac:dyDescent="0.75">
      <c r="A206" s="1326">
        <v>41376</v>
      </c>
      <c r="B206" s="1314">
        <v>944.41399999999999</v>
      </c>
      <c r="C206" s="1314">
        <f t="shared" si="33"/>
        <v>2.2766062517327348E-2</v>
      </c>
      <c r="E206" s="1326">
        <v>41376</v>
      </c>
      <c r="F206" s="1314">
        <v>9.6999999999999993</v>
      </c>
      <c r="G206" s="1314">
        <f t="shared" si="34"/>
        <v>7.4197120708748607E-2</v>
      </c>
      <c r="I206" s="1326">
        <v>41376</v>
      </c>
      <c r="J206" s="1314">
        <v>6.9249999999999998</v>
      </c>
      <c r="K206" s="1314">
        <f t="shared" si="35"/>
        <v>0.14273927392739277</v>
      </c>
      <c r="M206" s="1326">
        <v>41376</v>
      </c>
      <c r="N206" s="1314">
        <v>10.59</v>
      </c>
      <c r="O206" s="1314">
        <f t="shared" si="36"/>
        <v>-7.4976569821930718E-3</v>
      </c>
      <c r="Q206" s="1326">
        <v>41376</v>
      </c>
      <c r="R206" s="1314">
        <v>8.86</v>
      </c>
      <c r="S206" s="1314">
        <f t="shared" si="37"/>
        <v>2.1914648212226009E-2</v>
      </c>
      <c r="U206" s="1326">
        <v>41376</v>
      </c>
      <c r="V206" s="1314">
        <v>33.159999999999997</v>
      </c>
      <c r="W206" s="1314">
        <f t="shared" si="38"/>
        <v>9.8376946008611965E-2</v>
      </c>
      <c r="Y206" s="1326">
        <v>41376</v>
      </c>
      <c r="Z206" s="1314">
        <v>12.68</v>
      </c>
      <c r="AA206" s="1314">
        <f t="shared" si="39"/>
        <v>7.3666384419982994E-2</v>
      </c>
      <c r="AC206" s="1326">
        <v>41376</v>
      </c>
      <c r="AD206" s="1314">
        <v>11.23</v>
      </c>
      <c r="AE206" s="1314">
        <f t="shared" si="40"/>
        <v>0.16252587991718428</v>
      </c>
      <c r="AG206" s="1326">
        <v>41376</v>
      </c>
      <c r="AH206" s="1314">
        <v>5.14</v>
      </c>
      <c r="AI206" s="1314">
        <f t="shared" si="41"/>
        <v>0.10537634408602135</v>
      </c>
      <c r="AK206" s="1326">
        <v>41376</v>
      </c>
      <c r="AL206" s="1314">
        <v>0.03</v>
      </c>
      <c r="AN206" s="1326">
        <v>41376</v>
      </c>
      <c r="AO206" s="1314">
        <v>-0.22</v>
      </c>
      <c r="AQ206" s="1326">
        <v>41376</v>
      </c>
      <c r="AR206" s="1327">
        <v>2.0299999999999998</v>
      </c>
      <c r="AT206" s="1326">
        <v>41376</v>
      </c>
      <c r="AU206" s="1314">
        <v>944.41399999999999</v>
      </c>
      <c r="AV206" s="1314">
        <f t="shared" si="42"/>
        <v>2.2766062517327348E-2</v>
      </c>
      <c r="AX206" s="1314">
        <v>2.9177</v>
      </c>
      <c r="AY206" s="1314">
        <f t="shared" si="43"/>
        <v>1.1439664436509834E-2</v>
      </c>
    </row>
    <row r="207" spans="1:51" x14ac:dyDescent="0.75">
      <c r="A207" s="1326">
        <v>41369</v>
      </c>
      <c r="B207" s="1314">
        <v>923.197</v>
      </c>
      <c r="C207" s="1314">
        <f t="shared" si="33"/>
        <v>-2.2465783014652456E-2</v>
      </c>
      <c r="E207" s="1326">
        <v>41369</v>
      </c>
      <c r="F207" s="1314">
        <v>9.57</v>
      </c>
      <c r="G207" s="1314">
        <f t="shared" si="34"/>
        <v>-1.3402061855670002E-2</v>
      </c>
      <c r="I207" s="1326">
        <v>41369</v>
      </c>
      <c r="J207" s="1314">
        <v>5.89</v>
      </c>
      <c r="K207" s="1314">
        <f t="shared" si="35"/>
        <v>-0.14945848375451265</v>
      </c>
      <c r="M207" s="1326">
        <v>41369</v>
      </c>
      <c r="N207" s="1314">
        <v>10.7</v>
      </c>
      <c r="O207" s="1314">
        <f t="shared" si="36"/>
        <v>1.0387157695939512E-2</v>
      </c>
      <c r="Q207" s="1326">
        <v>41369</v>
      </c>
      <c r="R207" s="1314">
        <v>8.9499999999999993</v>
      </c>
      <c r="S207" s="1314">
        <f t="shared" si="37"/>
        <v>1.0158013544018043E-2</v>
      </c>
      <c r="U207" s="1326">
        <v>41369</v>
      </c>
      <c r="V207" s="1314">
        <v>32.880000000000003</v>
      </c>
      <c r="W207" s="1314">
        <f t="shared" si="38"/>
        <v>-8.4439083232808829E-3</v>
      </c>
      <c r="Y207" s="1326">
        <v>41369</v>
      </c>
      <c r="Z207" s="1314">
        <v>12.29</v>
      </c>
      <c r="AA207" s="1314">
        <f t="shared" si="39"/>
        <v>-3.0757097791798152E-2</v>
      </c>
      <c r="AC207" s="1326">
        <v>41369</v>
      </c>
      <c r="AD207" s="1314">
        <v>10.8</v>
      </c>
      <c r="AE207" s="1314">
        <f t="shared" si="40"/>
        <v>-3.8290293855743521E-2</v>
      </c>
      <c r="AG207" s="1326">
        <v>41369</v>
      </c>
      <c r="AH207" s="1314">
        <v>5.3</v>
      </c>
      <c r="AI207" s="1314">
        <f t="shared" si="41"/>
        <v>3.1128404669260729E-2</v>
      </c>
      <c r="AK207" s="1326">
        <v>41369</v>
      </c>
      <c r="AL207" s="1314">
        <v>-1.99</v>
      </c>
      <c r="AN207" s="1326">
        <v>41369</v>
      </c>
      <c r="AO207" s="1314">
        <v>7.0000000000000007E-2</v>
      </c>
      <c r="AQ207" s="1326">
        <v>41369</v>
      </c>
      <c r="AR207" s="1327">
        <v>2.0699999999999998</v>
      </c>
      <c r="AT207" s="1326">
        <v>41369</v>
      </c>
      <c r="AU207" s="1314">
        <v>923.197</v>
      </c>
      <c r="AV207" s="1314">
        <f t="shared" si="42"/>
        <v>-2.2465783014652456E-2</v>
      </c>
      <c r="AX207" s="1314">
        <v>2.875</v>
      </c>
      <c r="AY207" s="1314">
        <f t="shared" si="43"/>
        <v>-1.463481509408094E-2</v>
      </c>
    </row>
    <row r="208" spans="1:51" x14ac:dyDescent="0.75">
      <c r="A208" s="1326">
        <v>41362</v>
      </c>
      <c r="B208" s="1314">
        <v>935.51599999999996</v>
      </c>
      <c r="C208" s="1314">
        <f t="shared" si="33"/>
        <v>1.3343847521168245E-2</v>
      </c>
      <c r="E208" s="1326">
        <v>41362</v>
      </c>
      <c r="F208" s="1314">
        <v>9.59</v>
      </c>
      <c r="G208" s="1314">
        <f t="shared" si="34"/>
        <v>2.0898641588296316E-3</v>
      </c>
      <c r="I208" s="1326">
        <v>41362</v>
      </c>
      <c r="J208" s="1314">
        <v>5.61</v>
      </c>
      <c r="K208" s="1314">
        <f t="shared" si="35"/>
        <v>-4.7538200339558467E-2</v>
      </c>
      <c r="M208" s="1326">
        <v>41362</v>
      </c>
      <c r="N208" s="1314">
        <v>10.5</v>
      </c>
      <c r="O208" s="1314">
        <f t="shared" si="36"/>
        <v>-1.8691588785046665E-2</v>
      </c>
      <c r="Q208" s="1326">
        <v>41362</v>
      </c>
      <c r="R208" s="1314">
        <v>8.8800000000000008</v>
      </c>
      <c r="S208" s="1314">
        <f t="shared" si="37"/>
        <v>-7.8212290502791635E-3</v>
      </c>
      <c r="U208" s="1326">
        <v>41362</v>
      </c>
      <c r="V208" s="1314">
        <v>35.4</v>
      </c>
      <c r="W208" s="1314">
        <f t="shared" si="38"/>
        <v>7.6642335766423236E-2</v>
      </c>
      <c r="Y208" s="1326">
        <v>41362</v>
      </c>
      <c r="Z208" s="1314">
        <v>13.61</v>
      </c>
      <c r="AA208" s="1314">
        <f t="shared" si="39"/>
        <v>0.10740439381611069</v>
      </c>
      <c r="AC208" s="1326">
        <v>41362</v>
      </c>
      <c r="AD208" s="1314">
        <v>11.03</v>
      </c>
      <c r="AE208" s="1314">
        <f t="shared" si="40"/>
        <v>2.1296296296296171E-2</v>
      </c>
      <c r="AG208" s="1326">
        <v>41362</v>
      </c>
      <c r="AH208" s="1314">
        <v>5.82</v>
      </c>
      <c r="AI208" s="1314">
        <f t="shared" si="41"/>
        <v>9.8113207547169901E-2</v>
      </c>
      <c r="AK208" s="1326">
        <v>41362</v>
      </c>
      <c r="AL208" s="1314">
        <v>-0.19</v>
      </c>
      <c r="AN208" s="1326">
        <v>41362</v>
      </c>
      <c r="AO208" s="1314">
        <v>-0.78</v>
      </c>
      <c r="AQ208" s="1326">
        <v>41362</v>
      </c>
      <c r="AR208" s="1327">
        <v>2.0699999999999998</v>
      </c>
      <c r="AT208" s="1326">
        <v>41362</v>
      </c>
      <c r="AU208" s="1314">
        <v>935.51599999999996</v>
      </c>
      <c r="AV208" s="1314">
        <f t="shared" si="42"/>
        <v>1.3343847521168245E-2</v>
      </c>
      <c r="AX208" s="1314">
        <v>3.1023000000000001</v>
      </c>
      <c r="AY208" s="1314">
        <f t="shared" si="43"/>
        <v>7.9060869565217406E-2</v>
      </c>
    </row>
    <row r="209" spans="1:51" x14ac:dyDescent="0.75">
      <c r="A209" s="1326">
        <v>41355</v>
      </c>
      <c r="B209" s="1314">
        <v>927.98699999999997</v>
      </c>
      <c r="C209" s="1314">
        <f t="shared" si="33"/>
        <v>-8.0479649733409125E-3</v>
      </c>
      <c r="E209" s="1326">
        <v>41355</v>
      </c>
      <c r="F209" s="1314">
        <v>9.52</v>
      </c>
      <c r="G209" s="1314">
        <f t="shared" si="34"/>
        <v>-7.2992700729927308E-3</v>
      </c>
      <c r="I209" s="1326">
        <v>41355</v>
      </c>
      <c r="J209" s="1314">
        <v>5.48</v>
      </c>
      <c r="K209" s="1314">
        <f t="shared" si="35"/>
        <v>-2.3172905525846683E-2</v>
      </c>
      <c r="M209" s="1326">
        <v>41355</v>
      </c>
      <c r="N209" s="1314">
        <v>10.45</v>
      </c>
      <c r="O209" s="1314">
        <f t="shared" si="36"/>
        <v>-4.76190476190483E-3</v>
      </c>
      <c r="Q209" s="1326">
        <v>41355</v>
      </c>
      <c r="R209" s="1314">
        <v>9</v>
      </c>
      <c r="S209" s="1314">
        <f t="shared" si="37"/>
        <v>1.3513513513513424E-2</v>
      </c>
      <c r="U209" s="1326">
        <v>41355</v>
      </c>
      <c r="V209" s="1314">
        <v>33.69</v>
      </c>
      <c r="W209" s="1314">
        <f t="shared" si="38"/>
        <v>-4.8305084745762741E-2</v>
      </c>
      <c r="Y209" s="1326">
        <v>41355</v>
      </c>
      <c r="Z209" s="1314">
        <v>13.53</v>
      </c>
      <c r="AA209" s="1314">
        <f t="shared" si="39"/>
        <v>-5.8780308596620189E-3</v>
      </c>
      <c r="AC209" s="1326">
        <v>41355</v>
      </c>
      <c r="AD209" s="1314">
        <v>11.08</v>
      </c>
      <c r="AE209" s="1314">
        <f t="shared" si="40"/>
        <v>4.5330915684497477E-3</v>
      </c>
      <c r="AG209" s="1326">
        <v>41355</v>
      </c>
      <c r="AH209" s="1314">
        <v>5.87</v>
      </c>
      <c r="AI209" s="1314">
        <f t="shared" si="41"/>
        <v>8.5910652920961894E-3</v>
      </c>
      <c r="AK209" s="1326">
        <v>41355</v>
      </c>
      <c r="AL209" s="1314">
        <v>0.05</v>
      </c>
      <c r="AN209" s="1326">
        <v>41355</v>
      </c>
      <c r="AO209" s="1314">
        <v>-0.77</v>
      </c>
      <c r="AQ209" s="1326">
        <v>41355</v>
      </c>
      <c r="AR209" s="1327">
        <v>2.08</v>
      </c>
      <c r="AT209" s="1326">
        <v>41355</v>
      </c>
      <c r="AU209" s="1314">
        <v>927.98699999999997</v>
      </c>
      <c r="AV209" s="1314">
        <f t="shared" si="42"/>
        <v>-8.0479649733409125E-3</v>
      </c>
      <c r="AX209" s="1314">
        <v>3.1476000000000002</v>
      </c>
      <c r="AY209" s="1314">
        <f t="shared" si="43"/>
        <v>1.4602069432356677E-2</v>
      </c>
    </row>
    <row r="210" spans="1:51" x14ac:dyDescent="0.75">
      <c r="A210" s="1326">
        <v>41348</v>
      </c>
      <c r="B210" s="1314">
        <v>930.495</v>
      </c>
      <c r="C210" s="1314">
        <f t="shared" si="33"/>
        <v>2.7026240669320136E-3</v>
      </c>
      <c r="E210" s="1326">
        <v>41348</v>
      </c>
      <c r="F210" s="1314">
        <v>10.08</v>
      </c>
      <c r="G210" s="1314">
        <f t="shared" si="34"/>
        <v>5.8823529411764761E-2</v>
      </c>
      <c r="I210" s="1326">
        <v>41348</v>
      </c>
      <c r="J210" s="1314">
        <v>5.5</v>
      </c>
      <c r="K210" s="1314">
        <f t="shared" si="35"/>
        <v>3.6496350364962722E-3</v>
      </c>
      <c r="M210" s="1326">
        <v>41348</v>
      </c>
      <c r="N210" s="1314">
        <v>10.84</v>
      </c>
      <c r="O210" s="1314">
        <f t="shared" si="36"/>
        <v>3.7320574162679483E-2</v>
      </c>
      <c r="Q210" s="1326">
        <v>41348</v>
      </c>
      <c r="R210" s="1314">
        <v>8.43</v>
      </c>
      <c r="S210" s="1314">
        <f t="shared" si="37"/>
        <v>-6.3333333333333366E-2</v>
      </c>
      <c r="U210" s="1326">
        <v>41348</v>
      </c>
      <c r="V210" s="1314">
        <v>33.090000000000003</v>
      </c>
      <c r="W210" s="1314">
        <f t="shared" si="38"/>
        <v>-1.7809439002671248E-2</v>
      </c>
      <c r="Y210" s="1326">
        <v>41348</v>
      </c>
      <c r="Z210" s="1314">
        <v>13.68</v>
      </c>
      <c r="AA210" s="1314">
        <f t="shared" si="39"/>
        <v>1.1086474501108674E-2</v>
      </c>
      <c r="AC210" s="1326">
        <v>41348</v>
      </c>
      <c r="AD210" s="1314">
        <v>11.3</v>
      </c>
      <c r="AE210" s="1314">
        <f t="shared" si="40"/>
        <v>1.9855595667870093E-2</v>
      </c>
      <c r="AG210" s="1326">
        <v>41348</v>
      </c>
      <c r="AH210" s="1314">
        <v>6.1</v>
      </c>
      <c r="AI210" s="1314">
        <f t="shared" si="41"/>
        <v>3.918228279386704E-2</v>
      </c>
      <c r="AK210" s="1326">
        <v>41348</v>
      </c>
      <c r="AL210" s="1314">
        <v>0.32</v>
      </c>
      <c r="AN210" s="1326">
        <v>41348</v>
      </c>
      <c r="AO210" s="1314">
        <v>0.96</v>
      </c>
      <c r="AQ210" s="1326">
        <v>41348</v>
      </c>
      <c r="AR210" s="1327">
        <v>2.13</v>
      </c>
      <c r="AT210" s="1326">
        <v>41348</v>
      </c>
      <c r="AU210" s="1314">
        <v>930.495</v>
      </c>
      <c r="AV210" s="1314">
        <f t="shared" si="42"/>
        <v>2.7026240669320136E-3</v>
      </c>
      <c r="AX210" s="1314">
        <v>3.2115</v>
      </c>
      <c r="AY210" s="1314">
        <f t="shared" si="43"/>
        <v>2.030118185284021E-2</v>
      </c>
    </row>
    <row r="211" spans="1:51" x14ac:dyDescent="0.75">
      <c r="A211" s="1326">
        <v>41341</v>
      </c>
      <c r="B211" s="1314">
        <v>924.45</v>
      </c>
      <c r="C211" s="1314">
        <f t="shared" ref="C211:C274" si="44">(B211-B210)/B210</f>
        <v>-6.4965421630422075E-3</v>
      </c>
      <c r="E211" s="1326">
        <v>41341</v>
      </c>
      <c r="F211" s="1314">
        <v>10.36</v>
      </c>
      <c r="G211" s="1314">
        <f t="shared" si="34"/>
        <v>2.7777777777777714E-2</v>
      </c>
      <c r="I211" s="1326">
        <v>41341</v>
      </c>
      <c r="J211" s="1314">
        <v>5.64</v>
      </c>
      <c r="K211" s="1314">
        <f t="shared" si="35"/>
        <v>2.5454545454545396E-2</v>
      </c>
      <c r="M211" s="1326">
        <v>41341</v>
      </c>
      <c r="N211" s="1314">
        <v>11.2</v>
      </c>
      <c r="O211" s="1314">
        <f t="shared" si="36"/>
        <v>3.3210332103320979E-2</v>
      </c>
      <c r="Q211" s="1326">
        <v>41341</v>
      </c>
      <c r="R211" s="1314">
        <v>8.36</v>
      </c>
      <c r="S211" s="1314">
        <f t="shared" si="37"/>
        <v>-8.3036773428232843E-3</v>
      </c>
      <c r="U211" s="1326">
        <v>41341</v>
      </c>
      <c r="V211" s="1314">
        <v>33.36</v>
      </c>
      <c r="W211" s="1314">
        <f t="shared" si="38"/>
        <v>8.1595648232093074E-3</v>
      </c>
      <c r="Y211" s="1326">
        <v>41341</v>
      </c>
      <c r="Z211" s="1314">
        <v>13.31</v>
      </c>
      <c r="AA211" s="1314">
        <f t="shared" si="39"/>
        <v>-2.7046783625730937E-2</v>
      </c>
      <c r="AC211" s="1326">
        <v>41341</v>
      </c>
      <c r="AD211" s="1314">
        <v>10.87</v>
      </c>
      <c r="AE211" s="1314">
        <f t="shared" si="40"/>
        <v>-3.8053097345132875E-2</v>
      </c>
      <c r="AG211" s="1326">
        <v>41341</v>
      </c>
      <c r="AH211" s="1314">
        <v>5.94</v>
      </c>
      <c r="AI211" s="1314">
        <f t="shared" si="41"/>
        <v>-2.622950819672119E-2</v>
      </c>
      <c r="AK211" s="1326">
        <v>41341</v>
      </c>
      <c r="AL211" s="1314">
        <v>0.51</v>
      </c>
      <c r="AN211" s="1326">
        <v>41341</v>
      </c>
      <c r="AO211" s="1314">
        <v>0.72</v>
      </c>
      <c r="AQ211" s="1326">
        <v>41341</v>
      </c>
      <c r="AR211" s="1327">
        <v>2.1</v>
      </c>
      <c r="AT211" s="1326">
        <v>41341</v>
      </c>
      <c r="AU211" s="1314">
        <v>924.45</v>
      </c>
      <c r="AV211" s="1314">
        <f t="shared" si="42"/>
        <v>-6.4965421630422075E-3</v>
      </c>
      <c r="AX211" s="1314">
        <v>3.2437999999999998</v>
      </c>
      <c r="AY211" s="1314">
        <f t="shared" si="43"/>
        <v>1.0057605480305083E-2</v>
      </c>
    </row>
    <row r="212" spans="1:51" x14ac:dyDescent="0.75">
      <c r="A212" s="1326">
        <v>41334</v>
      </c>
      <c r="B212" s="1314">
        <v>903.45100000000002</v>
      </c>
      <c r="C212" s="1314">
        <f t="shared" si="44"/>
        <v>-2.2715127913894774E-2</v>
      </c>
      <c r="E212" s="1326">
        <v>41334</v>
      </c>
      <c r="F212" s="1314">
        <v>9.91</v>
      </c>
      <c r="G212" s="1314">
        <f t="shared" si="34"/>
        <v>-4.343629343629337E-2</v>
      </c>
      <c r="I212" s="1326">
        <v>41334</v>
      </c>
      <c r="J212" s="1314">
        <v>5.49</v>
      </c>
      <c r="K212" s="1314">
        <f t="shared" si="35"/>
        <v>-2.659574468085097E-2</v>
      </c>
      <c r="M212" s="1326">
        <v>41334</v>
      </c>
      <c r="N212" s="1314">
        <v>11.64</v>
      </c>
      <c r="O212" s="1314">
        <f t="shared" si="36"/>
        <v>3.9285714285714403E-2</v>
      </c>
      <c r="Q212" s="1326">
        <v>41334</v>
      </c>
      <c r="R212" s="1314">
        <v>8.1300000000000008</v>
      </c>
      <c r="S212" s="1314">
        <f t="shared" si="37"/>
        <v>-2.751196172248788E-2</v>
      </c>
      <c r="U212" s="1326">
        <v>41334</v>
      </c>
      <c r="V212" s="1314">
        <v>30.19</v>
      </c>
      <c r="W212" s="1314">
        <f t="shared" si="38"/>
        <v>-9.5023980815347672E-2</v>
      </c>
      <c r="Y212" s="1326">
        <v>41334</v>
      </c>
      <c r="Z212" s="1314">
        <v>12.95</v>
      </c>
      <c r="AA212" s="1314">
        <f t="shared" si="39"/>
        <v>-2.7047332832456888E-2</v>
      </c>
      <c r="AC212" s="1326">
        <v>41334</v>
      </c>
      <c r="AD212" s="1314">
        <v>10.29</v>
      </c>
      <c r="AE212" s="1314">
        <f t="shared" si="40"/>
        <v>-5.3357865685372596E-2</v>
      </c>
      <c r="AG212" s="1326">
        <v>41334</v>
      </c>
      <c r="AH212" s="1314">
        <v>5.89</v>
      </c>
      <c r="AI212" s="1314">
        <f t="shared" si="41"/>
        <v>-8.4175084175085371E-3</v>
      </c>
      <c r="AK212" s="1326">
        <v>41334</v>
      </c>
      <c r="AL212" s="1314">
        <v>-0.55000000000000004</v>
      </c>
      <c r="AN212" s="1326">
        <v>41334</v>
      </c>
      <c r="AO212" s="1314">
        <v>-1.04</v>
      </c>
      <c r="AQ212" s="1326">
        <v>41334</v>
      </c>
      <c r="AR212" s="1327">
        <v>2.0499999999999998</v>
      </c>
      <c r="AT212" s="1326">
        <v>41334</v>
      </c>
      <c r="AU212" s="1314">
        <v>903.45100000000002</v>
      </c>
      <c r="AV212" s="1314">
        <f t="shared" si="42"/>
        <v>-2.2715127913894774E-2</v>
      </c>
      <c r="AX212" s="1314">
        <v>3.0506000000000002</v>
      </c>
      <c r="AY212" s="1314">
        <f t="shared" si="43"/>
        <v>-5.9559775571860041E-2</v>
      </c>
    </row>
    <row r="213" spans="1:51" x14ac:dyDescent="0.75">
      <c r="A213" s="1326">
        <v>41327</v>
      </c>
      <c r="B213" s="1314">
        <v>902.04499999999996</v>
      </c>
      <c r="C213" s="1314">
        <f t="shared" si="44"/>
        <v>-1.5562548494606379E-3</v>
      </c>
      <c r="E213" s="1326">
        <v>41327</v>
      </c>
      <c r="F213" s="1314">
        <v>10.07</v>
      </c>
      <c r="G213" s="1314">
        <f t="shared" si="34"/>
        <v>1.6145307769929378E-2</v>
      </c>
      <c r="I213" s="1326">
        <v>41327</v>
      </c>
      <c r="J213" s="1314">
        <v>5.7</v>
      </c>
      <c r="K213" s="1314">
        <f t="shared" si="35"/>
        <v>3.8251366120218573E-2</v>
      </c>
      <c r="M213" s="1326">
        <v>41327</v>
      </c>
      <c r="N213" s="1314">
        <v>11.5</v>
      </c>
      <c r="O213" s="1314">
        <f t="shared" si="36"/>
        <v>-1.2027491408934755E-2</v>
      </c>
      <c r="Q213" s="1326">
        <v>41327</v>
      </c>
      <c r="R213" s="1314">
        <v>8.26</v>
      </c>
      <c r="S213" s="1314">
        <f t="shared" si="37"/>
        <v>1.5990159901598893E-2</v>
      </c>
      <c r="U213" s="1326">
        <v>41327</v>
      </c>
      <c r="V213" s="1314">
        <v>31.25</v>
      </c>
      <c r="W213" s="1314">
        <f t="shared" si="38"/>
        <v>3.5110963895329535E-2</v>
      </c>
      <c r="Y213" s="1326">
        <v>41327</v>
      </c>
      <c r="Z213" s="1314">
        <v>13.7</v>
      </c>
      <c r="AA213" s="1314">
        <f t="shared" si="39"/>
        <v>5.7915057915057917E-2</v>
      </c>
      <c r="AC213" s="1326">
        <v>41327</v>
      </c>
      <c r="AD213" s="1314">
        <v>10.119999999999999</v>
      </c>
      <c r="AE213" s="1314">
        <f t="shared" si="40"/>
        <v>-1.6520894071914476E-2</v>
      </c>
      <c r="AG213" s="1326">
        <v>41327</v>
      </c>
      <c r="AH213" s="1314">
        <v>5.94</v>
      </c>
      <c r="AI213" s="1314">
        <f t="shared" si="41"/>
        <v>8.4889643463498671E-3</v>
      </c>
      <c r="AK213" s="1326">
        <v>41327</v>
      </c>
      <c r="AL213" s="1314">
        <v>-0.49</v>
      </c>
      <c r="AN213" s="1326">
        <v>41327</v>
      </c>
      <c r="AO213" s="1314">
        <v>-0.6</v>
      </c>
      <c r="AQ213" s="1326">
        <v>41327</v>
      </c>
      <c r="AR213" s="1327">
        <v>2.11</v>
      </c>
      <c r="AT213" s="1326">
        <v>41327</v>
      </c>
      <c r="AU213" s="1314">
        <v>902.04499999999996</v>
      </c>
      <c r="AV213" s="1314">
        <f t="shared" si="42"/>
        <v>-1.5562548494606379E-3</v>
      </c>
      <c r="AX213" s="1314">
        <v>3.1524999999999999</v>
      </c>
      <c r="AY213" s="1314">
        <f t="shared" si="43"/>
        <v>3.340326493148877E-2</v>
      </c>
    </row>
    <row r="214" spans="1:51" x14ac:dyDescent="0.75">
      <c r="A214" s="1326">
        <v>41320</v>
      </c>
      <c r="B214" s="1314">
        <v>905.76800000000003</v>
      </c>
      <c r="C214" s="1314">
        <f t="shared" si="44"/>
        <v>4.1272885499061248E-3</v>
      </c>
      <c r="E214" s="1326">
        <v>41320</v>
      </c>
      <c r="F214" s="1314">
        <v>10.07</v>
      </c>
      <c r="G214" s="1314">
        <f t="shared" si="34"/>
        <v>0</v>
      </c>
      <c r="I214" s="1326">
        <v>41320</v>
      </c>
      <c r="J214" s="1314">
        <v>5.49</v>
      </c>
      <c r="K214" s="1314">
        <f t="shared" si="35"/>
        <v>-3.6842105263157884E-2</v>
      </c>
      <c r="M214" s="1326">
        <v>41320</v>
      </c>
      <c r="N214" s="1314">
        <v>11.13</v>
      </c>
      <c r="O214" s="1314">
        <f t="shared" si="36"/>
        <v>-3.2173913043478192E-2</v>
      </c>
      <c r="Q214" s="1326">
        <v>41320</v>
      </c>
      <c r="R214" s="1314">
        <v>8.3800000000000008</v>
      </c>
      <c r="S214" s="1314">
        <f t="shared" si="37"/>
        <v>1.4527845036319733E-2</v>
      </c>
      <c r="U214" s="1326">
        <v>41320</v>
      </c>
      <c r="V214" s="1314">
        <v>31.33</v>
      </c>
      <c r="W214" s="1314">
        <f t="shared" si="38"/>
        <v>2.5599999999999456E-3</v>
      </c>
      <c r="Y214" s="1326">
        <v>41320</v>
      </c>
      <c r="Z214" s="1314">
        <v>13.42</v>
      </c>
      <c r="AA214" s="1314">
        <f t="shared" si="39"/>
        <v>-2.0437956204379517E-2</v>
      </c>
      <c r="AC214" s="1326">
        <v>41320</v>
      </c>
      <c r="AD214" s="1314">
        <v>9.86</v>
      </c>
      <c r="AE214" s="1314">
        <f t="shared" si="40"/>
        <v>-2.5691699604743063E-2</v>
      </c>
      <c r="AG214" s="1326">
        <v>41320</v>
      </c>
      <c r="AH214" s="1314">
        <v>6.23</v>
      </c>
      <c r="AI214" s="1314">
        <f t="shared" si="41"/>
        <v>4.8821548821548821E-2</v>
      </c>
      <c r="AK214" s="1326">
        <v>41320</v>
      </c>
      <c r="AL214" s="1314">
        <v>0.64</v>
      </c>
      <c r="AN214" s="1326">
        <v>41320</v>
      </c>
      <c r="AO214" s="1314">
        <v>1.18</v>
      </c>
      <c r="AQ214" s="1326">
        <v>41320</v>
      </c>
      <c r="AR214" s="1327">
        <v>2.12</v>
      </c>
      <c r="AT214" s="1326">
        <v>41320</v>
      </c>
      <c r="AU214" s="1314">
        <v>905.76800000000003</v>
      </c>
      <c r="AV214" s="1314">
        <f t="shared" si="42"/>
        <v>4.1272885499061248E-3</v>
      </c>
      <c r="AX214" s="1314">
        <v>3.1753</v>
      </c>
      <c r="AY214" s="1314">
        <f t="shared" si="43"/>
        <v>7.2323552735924362E-3</v>
      </c>
    </row>
    <row r="215" spans="1:51" x14ac:dyDescent="0.75">
      <c r="A215" s="1326">
        <v>41313</v>
      </c>
      <c r="B215" s="1314">
        <v>903.89700000000005</v>
      </c>
      <c r="C215" s="1314">
        <f t="shared" si="44"/>
        <v>-2.0656503652149126E-3</v>
      </c>
      <c r="E215" s="1326">
        <v>41313</v>
      </c>
      <c r="F215" s="1314">
        <v>9.8800000000000008</v>
      </c>
      <c r="G215" s="1314">
        <f t="shared" si="34"/>
        <v>-1.8867924528301838E-2</v>
      </c>
      <c r="I215" s="1326">
        <v>41313</v>
      </c>
      <c r="J215" s="1314">
        <v>5.52</v>
      </c>
      <c r="K215" s="1314">
        <f t="shared" si="35"/>
        <v>5.4644808743168228E-3</v>
      </c>
      <c r="M215" s="1326">
        <v>41313</v>
      </c>
      <c r="N215" s="1314">
        <v>10.87</v>
      </c>
      <c r="O215" s="1314">
        <f t="shared" si="36"/>
        <v>-2.3360287511231047E-2</v>
      </c>
      <c r="Q215" s="1326">
        <v>41313</v>
      </c>
      <c r="R215" s="1314">
        <v>8.14</v>
      </c>
      <c r="S215" s="1314">
        <f t="shared" si="37"/>
        <v>-2.8639618138424843E-2</v>
      </c>
      <c r="U215" s="1326">
        <v>41313</v>
      </c>
      <c r="V215" s="1314">
        <v>30.82</v>
      </c>
      <c r="W215" s="1314">
        <f t="shared" si="38"/>
        <v>-1.6278327481646922E-2</v>
      </c>
      <c r="Y215" s="1326">
        <v>41313</v>
      </c>
      <c r="Z215" s="1314">
        <v>12.49</v>
      </c>
      <c r="AA215" s="1314">
        <f t="shared" si="39"/>
        <v>-6.9299552906110257E-2</v>
      </c>
      <c r="AC215" s="1326">
        <v>41313</v>
      </c>
      <c r="AD215" s="1314">
        <v>10.17</v>
      </c>
      <c r="AE215" s="1314">
        <f t="shared" si="40"/>
        <v>3.1440162271805329E-2</v>
      </c>
      <c r="AG215" s="1326">
        <v>41313</v>
      </c>
      <c r="AH215" s="1314">
        <v>6.54</v>
      </c>
      <c r="AI215" s="1314">
        <f t="shared" si="41"/>
        <v>4.9759229534510369E-2</v>
      </c>
      <c r="AK215" s="1326">
        <v>41313</v>
      </c>
      <c r="AL215" s="1314">
        <v>0.01</v>
      </c>
      <c r="AN215" s="1326">
        <v>41313</v>
      </c>
      <c r="AO215" s="1314">
        <v>-0.01</v>
      </c>
      <c r="AQ215" s="1326">
        <v>41313</v>
      </c>
      <c r="AR215" s="1327">
        <v>2.12</v>
      </c>
      <c r="AT215" s="1326">
        <v>41313</v>
      </c>
      <c r="AU215" s="1314">
        <v>903.89700000000005</v>
      </c>
      <c r="AV215" s="1314">
        <f t="shared" si="42"/>
        <v>-2.0656503652149126E-3</v>
      </c>
      <c r="AX215" s="1314">
        <v>3.1635</v>
      </c>
      <c r="AY215" s="1314">
        <f t="shared" si="43"/>
        <v>-3.7161842975466986E-3</v>
      </c>
    </row>
    <row r="216" spans="1:51" x14ac:dyDescent="0.75">
      <c r="A216" s="1326">
        <v>41306</v>
      </c>
      <c r="B216" s="1314">
        <v>900.60500000000002</v>
      </c>
      <c r="C216" s="1314">
        <f t="shared" si="44"/>
        <v>-3.6420078836416426E-3</v>
      </c>
      <c r="E216" s="1326">
        <v>41306</v>
      </c>
      <c r="F216" s="1314">
        <v>9.94</v>
      </c>
      <c r="G216" s="1314">
        <f t="shared" si="34"/>
        <v>6.0728744939269955E-3</v>
      </c>
      <c r="I216" s="1326">
        <v>41306</v>
      </c>
      <c r="J216" s="1314">
        <v>5.46</v>
      </c>
      <c r="K216" s="1314">
        <f t="shared" si="35"/>
        <v>-1.0869565217391235E-2</v>
      </c>
      <c r="M216" s="1326">
        <v>41306</v>
      </c>
      <c r="N216" s="1314">
        <v>10.55</v>
      </c>
      <c r="O216" s="1314">
        <f t="shared" si="36"/>
        <v>-2.943882244710198E-2</v>
      </c>
      <c r="Q216" s="1326">
        <v>41306</v>
      </c>
      <c r="R216" s="1314">
        <v>8.34</v>
      </c>
      <c r="S216" s="1314">
        <f t="shared" si="37"/>
        <v>2.4570024570024482E-2</v>
      </c>
      <c r="U216" s="1326">
        <v>41306</v>
      </c>
      <c r="V216" s="1314">
        <v>30.37</v>
      </c>
      <c r="W216" s="1314">
        <f t="shared" si="38"/>
        <v>-1.4600908500973371E-2</v>
      </c>
      <c r="Y216" s="1326">
        <v>41306</v>
      </c>
      <c r="Z216" s="1314">
        <v>11.16</v>
      </c>
      <c r="AA216" s="1314">
        <f t="shared" si="39"/>
        <v>-0.10648518815052042</v>
      </c>
      <c r="AC216" s="1326">
        <v>41306</v>
      </c>
      <c r="AD216" s="1314">
        <v>10.29</v>
      </c>
      <c r="AE216" s="1314">
        <f t="shared" si="40"/>
        <v>1.1799410029498449E-2</v>
      </c>
      <c r="AG216" s="1326">
        <v>41306</v>
      </c>
      <c r="AH216" s="1314">
        <v>5.91</v>
      </c>
      <c r="AI216" s="1314">
        <f t="shared" si="41"/>
        <v>-9.6330275229357776E-2</v>
      </c>
      <c r="AK216" s="1326">
        <v>41306</v>
      </c>
      <c r="AL216" s="1314">
        <v>-0.17</v>
      </c>
      <c r="AN216" s="1326">
        <v>41306</v>
      </c>
      <c r="AO216" s="1314">
        <v>1.07</v>
      </c>
      <c r="AQ216" s="1326">
        <v>41306</v>
      </c>
      <c r="AR216" s="1327">
        <v>2.12</v>
      </c>
      <c r="AT216" s="1326">
        <v>41306</v>
      </c>
      <c r="AU216" s="1314">
        <v>900.60500000000002</v>
      </c>
      <c r="AV216" s="1314">
        <f t="shared" si="42"/>
        <v>-3.6420078836416426E-3</v>
      </c>
      <c r="AX216" s="1314">
        <v>3.2178</v>
      </c>
      <c r="AY216" s="1314">
        <f t="shared" si="43"/>
        <v>1.7164532954006644E-2</v>
      </c>
    </row>
    <row r="217" spans="1:51" x14ac:dyDescent="0.75">
      <c r="A217" s="1326">
        <v>41299</v>
      </c>
      <c r="B217" s="1314">
        <v>894.86500000000001</v>
      </c>
      <c r="C217" s="1314">
        <f t="shared" si="44"/>
        <v>-6.3734933738986673E-3</v>
      </c>
      <c r="E217" s="1326">
        <v>41299</v>
      </c>
      <c r="F217" s="1314">
        <v>9.48</v>
      </c>
      <c r="G217" s="1314">
        <f t="shared" si="34"/>
        <v>-4.6277665995975763E-2</v>
      </c>
      <c r="I217" s="1326">
        <v>41299</v>
      </c>
      <c r="J217" s="1314">
        <v>5.48</v>
      </c>
      <c r="K217" s="1314">
        <f t="shared" si="35"/>
        <v>3.6630036630037476E-3</v>
      </c>
      <c r="M217" s="1326">
        <v>41299</v>
      </c>
      <c r="N217" s="1314">
        <v>9.7799999999999994</v>
      </c>
      <c r="O217" s="1314">
        <f t="shared" si="36"/>
        <v>-7.2985781990521456E-2</v>
      </c>
      <c r="Q217" s="1326">
        <v>41299</v>
      </c>
      <c r="R217" s="1314">
        <v>8.7799999999999994</v>
      </c>
      <c r="S217" s="1314">
        <f t="shared" si="37"/>
        <v>5.2757793764987952E-2</v>
      </c>
      <c r="U217" s="1326">
        <v>41299</v>
      </c>
      <c r="V217" s="1314">
        <v>29.84</v>
      </c>
      <c r="W217" s="1314">
        <f t="shared" si="38"/>
        <v>-1.7451432334540704E-2</v>
      </c>
      <c r="Y217" s="1326">
        <v>41299</v>
      </c>
      <c r="Z217" s="1314">
        <v>11.06</v>
      </c>
      <c r="AA217" s="1314">
        <f t="shared" si="39"/>
        <v>-8.9605734767024773E-3</v>
      </c>
      <c r="AC217" s="1326">
        <v>41299</v>
      </c>
      <c r="AD217" s="1314">
        <v>9.8699999999999992</v>
      </c>
      <c r="AE217" s="1314">
        <f t="shared" si="40"/>
        <v>-4.0816326530612242E-2</v>
      </c>
      <c r="AG217" s="1326">
        <v>41299</v>
      </c>
      <c r="AH217" s="1314">
        <v>5.76</v>
      </c>
      <c r="AI217" s="1314">
        <f t="shared" si="41"/>
        <v>-2.5380710659898536E-2</v>
      </c>
      <c r="AK217" s="1326">
        <v>41299</v>
      </c>
      <c r="AL217" s="1314">
        <v>0.09</v>
      </c>
      <c r="AN217" s="1326">
        <v>41299</v>
      </c>
      <c r="AO217" s="1314">
        <v>0.08</v>
      </c>
      <c r="AQ217" s="1326">
        <v>41299</v>
      </c>
      <c r="AR217" s="1327">
        <v>2.0499999999999998</v>
      </c>
      <c r="AT217" s="1326">
        <v>41299</v>
      </c>
      <c r="AU217" s="1314">
        <v>894.86500000000001</v>
      </c>
      <c r="AV217" s="1314">
        <f t="shared" si="42"/>
        <v>-6.3734933738986673E-3</v>
      </c>
      <c r="AX217" s="1314">
        <v>3.1333000000000002</v>
      </c>
      <c r="AY217" s="1314">
        <f t="shared" si="43"/>
        <v>-2.6260177761203245E-2</v>
      </c>
    </row>
    <row r="218" spans="1:51" x14ac:dyDescent="0.75">
      <c r="A218" s="1326">
        <v>41292</v>
      </c>
      <c r="B218" s="1314">
        <v>883.71500000000003</v>
      </c>
      <c r="C218" s="1314">
        <f t="shared" si="44"/>
        <v>-1.245997999698276E-2</v>
      </c>
      <c r="E218" s="1326">
        <v>41292</v>
      </c>
      <c r="F218" s="1314">
        <v>9.58</v>
      </c>
      <c r="G218" s="1314">
        <f t="shared" si="34"/>
        <v>1.0548523206751016E-2</v>
      </c>
      <c r="I218" s="1326">
        <v>41292</v>
      </c>
      <c r="J218" s="1314">
        <v>5.23</v>
      </c>
      <c r="K218" s="1314">
        <f t="shared" si="35"/>
        <v>-4.5620437956204379E-2</v>
      </c>
      <c r="M218" s="1326">
        <v>41292</v>
      </c>
      <c r="N218" s="1314">
        <v>9.16</v>
      </c>
      <c r="O218" s="1314">
        <f t="shared" si="36"/>
        <v>-6.3394683026584797E-2</v>
      </c>
      <c r="Q218" s="1326">
        <v>41292</v>
      </c>
      <c r="R218" s="1314">
        <v>8.9600000000000009</v>
      </c>
      <c r="S218" s="1314">
        <f t="shared" si="37"/>
        <v>2.0501138952164179E-2</v>
      </c>
      <c r="U218" s="1326">
        <v>41292</v>
      </c>
      <c r="V218" s="1314">
        <v>29.05</v>
      </c>
      <c r="W218" s="1314">
        <f t="shared" si="38"/>
        <v>-2.6474530831099168E-2</v>
      </c>
      <c r="Y218" s="1326">
        <v>41292</v>
      </c>
      <c r="Z218" s="1314">
        <v>10.79</v>
      </c>
      <c r="AA218" s="1314">
        <f t="shared" si="39"/>
        <v>-2.441229656419542E-2</v>
      </c>
      <c r="AC218" s="1326">
        <v>41292</v>
      </c>
      <c r="AD218" s="1314">
        <v>10.38</v>
      </c>
      <c r="AE218" s="1314">
        <f t="shared" si="40"/>
        <v>5.1671732522796512E-2</v>
      </c>
      <c r="AG218" s="1326">
        <v>41292</v>
      </c>
      <c r="AH218" s="1314">
        <v>5.22</v>
      </c>
      <c r="AI218" s="1314">
        <f t="shared" si="41"/>
        <v>-9.3750000000000014E-2</v>
      </c>
      <c r="AK218" s="1326">
        <v>41292</v>
      </c>
      <c r="AL218" s="1314">
        <v>0.49</v>
      </c>
      <c r="AN218" s="1326">
        <v>41292</v>
      </c>
      <c r="AO218" s="1314">
        <v>-7.0000000000000007E-2</v>
      </c>
      <c r="AQ218" s="1326">
        <v>41292</v>
      </c>
      <c r="AR218" s="1327">
        <v>2.04</v>
      </c>
      <c r="AT218" s="1326">
        <v>41292</v>
      </c>
      <c r="AU218" s="1314">
        <v>883.71500000000003</v>
      </c>
      <c r="AV218" s="1314">
        <f t="shared" si="42"/>
        <v>-1.245997999698276E-2</v>
      </c>
      <c r="AX218" s="1314">
        <v>3.0289000000000001</v>
      </c>
      <c r="AY218" s="1314">
        <f t="shared" si="43"/>
        <v>-3.3319503398972342E-2</v>
      </c>
    </row>
    <row r="219" spans="1:51" x14ac:dyDescent="0.75">
      <c r="A219" s="1326">
        <v>41285</v>
      </c>
      <c r="B219" s="1314">
        <v>874.846</v>
      </c>
      <c r="C219" s="1314">
        <f t="shared" si="44"/>
        <v>-1.0036041031328005E-2</v>
      </c>
      <c r="E219" s="1326">
        <v>41285</v>
      </c>
      <c r="F219" s="1314">
        <v>9.81</v>
      </c>
      <c r="G219" s="1314">
        <f t="shared" si="34"/>
        <v>2.4008350730688979E-2</v>
      </c>
      <c r="I219" s="1326">
        <v>41285</v>
      </c>
      <c r="J219" s="1314">
        <v>5.0999999999999996</v>
      </c>
      <c r="K219" s="1314">
        <f t="shared" si="35"/>
        <v>-2.4856596558317547E-2</v>
      </c>
      <c r="M219" s="1326">
        <v>41285</v>
      </c>
      <c r="N219" s="1314">
        <v>8.9600000000000009</v>
      </c>
      <c r="O219" s="1314">
        <f t="shared" si="36"/>
        <v>-2.1834061135371102E-2</v>
      </c>
      <c r="Q219" s="1326">
        <v>41285</v>
      </c>
      <c r="R219" s="1314">
        <v>8.7799999999999994</v>
      </c>
      <c r="S219" s="1314">
        <f t="shared" si="37"/>
        <v>-2.0089285714285879E-2</v>
      </c>
      <c r="U219" s="1326">
        <v>41285</v>
      </c>
      <c r="V219" s="1314">
        <v>29.19</v>
      </c>
      <c r="W219" s="1314">
        <f t="shared" si="38"/>
        <v>4.8192771084337544E-3</v>
      </c>
      <c r="Y219" s="1326">
        <v>41285</v>
      </c>
      <c r="Z219" s="1314">
        <v>10.35</v>
      </c>
      <c r="AA219" s="1314">
        <f t="shared" si="39"/>
        <v>-4.0778498609823868E-2</v>
      </c>
      <c r="AC219" s="1326">
        <v>41285</v>
      </c>
      <c r="AD219" s="1314">
        <v>10.039999999999999</v>
      </c>
      <c r="AE219" s="1314">
        <f t="shared" si="40"/>
        <v>-3.2755298651252561E-2</v>
      </c>
      <c r="AG219" s="1326">
        <v>41285</v>
      </c>
      <c r="AH219" s="1314">
        <v>4.8</v>
      </c>
      <c r="AI219" s="1314">
        <f t="shared" si="41"/>
        <v>-8.0459770114942514E-2</v>
      </c>
      <c r="AK219" s="1326">
        <v>41285</v>
      </c>
      <c r="AL219" s="1314">
        <v>-0.32</v>
      </c>
      <c r="AN219" s="1326">
        <v>41285</v>
      </c>
      <c r="AO219" s="1314">
        <v>-0.77</v>
      </c>
      <c r="AQ219" s="1326">
        <v>41285</v>
      </c>
      <c r="AR219" s="1327">
        <v>2.0499999999999998</v>
      </c>
      <c r="AT219" s="1326">
        <v>41285</v>
      </c>
      <c r="AU219" s="1314">
        <v>874.846</v>
      </c>
      <c r="AV219" s="1314">
        <f t="shared" si="42"/>
        <v>-1.0036041031328005E-2</v>
      </c>
      <c r="AX219" s="1314">
        <v>3.0478999999999998</v>
      </c>
      <c r="AY219" s="1314">
        <f t="shared" si="43"/>
        <v>6.272904354716129E-3</v>
      </c>
    </row>
    <row r="220" spans="1:51" x14ac:dyDescent="0.75">
      <c r="A220" s="1326">
        <v>41278</v>
      </c>
      <c r="B220" s="1314">
        <v>871.38</v>
      </c>
      <c r="C220" s="1314">
        <f t="shared" si="44"/>
        <v>-3.9618401410076842E-3</v>
      </c>
      <c r="E220" s="1326">
        <v>41278</v>
      </c>
      <c r="F220" s="1314">
        <v>9.93</v>
      </c>
      <c r="G220" s="1314">
        <f t="shared" si="34"/>
        <v>1.2232415902140593E-2</v>
      </c>
      <c r="I220" s="1326">
        <v>41278</v>
      </c>
      <c r="J220" s="1314">
        <v>4.91</v>
      </c>
      <c r="K220" s="1314">
        <f t="shared" si="35"/>
        <v>-3.7254901960784216E-2</v>
      </c>
      <c r="M220" s="1326">
        <v>41278</v>
      </c>
      <c r="N220" s="1314">
        <v>8.94</v>
      </c>
      <c r="O220" s="1314">
        <f t="shared" si="36"/>
        <v>-2.2321428571430075E-3</v>
      </c>
      <c r="Q220" s="1326">
        <v>41278</v>
      </c>
      <c r="R220" s="1314">
        <v>8.77</v>
      </c>
      <c r="S220" s="1314">
        <f t="shared" si="37"/>
        <v>-1.1389521640090875E-3</v>
      </c>
      <c r="U220" s="1326">
        <v>41278</v>
      </c>
      <c r="V220" s="1314">
        <v>29.38</v>
      </c>
      <c r="W220" s="1314">
        <f t="shared" si="38"/>
        <v>6.5090784515244166E-3</v>
      </c>
      <c r="Y220" s="1326">
        <v>41278</v>
      </c>
      <c r="Z220" s="1314">
        <v>10.64</v>
      </c>
      <c r="AA220" s="1314">
        <f t="shared" si="39"/>
        <v>2.8019323671497676E-2</v>
      </c>
      <c r="AC220" s="1326">
        <v>41278</v>
      </c>
      <c r="AD220" s="1314">
        <v>11.18</v>
      </c>
      <c r="AE220" s="1314">
        <f t="shared" si="40"/>
        <v>0.11354581673306779</v>
      </c>
      <c r="AG220" s="1326">
        <v>41278</v>
      </c>
      <c r="AH220" s="1314">
        <v>4.71</v>
      </c>
      <c r="AI220" s="1314">
        <f t="shared" si="41"/>
        <v>-1.8749999999999972E-2</v>
      </c>
      <c r="AK220" s="1326">
        <v>41278</v>
      </c>
      <c r="AL220" s="1314">
        <v>0.85</v>
      </c>
      <c r="AN220" s="1326">
        <v>41278</v>
      </c>
      <c r="AO220" s="1314">
        <v>0.83</v>
      </c>
      <c r="AQ220" s="1326">
        <v>41278</v>
      </c>
      <c r="AR220" s="1327">
        <v>2.06</v>
      </c>
      <c r="AT220" s="1326">
        <v>41278</v>
      </c>
      <c r="AU220" s="1314">
        <v>871.38</v>
      </c>
      <c r="AV220" s="1314">
        <f t="shared" si="42"/>
        <v>-3.9618401410076842E-3</v>
      </c>
      <c r="AX220" s="1314">
        <v>3.0972</v>
      </c>
      <c r="AY220" s="1314">
        <f t="shared" si="43"/>
        <v>1.6175071360608986E-2</v>
      </c>
    </row>
    <row r="221" spans="1:51" x14ac:dyDescent="0.75">
      <c r="A221" s="1326">
        <v>41271</v>
      </c>
      <c r="B221" s="1314">
        <v>832.1</v>
      </c>
      <c r="C221" s="1314">
        <f t="shared" si="44"/>
        <v>-4.5077922376001257E-2</v>
      </c>
      <c r="E221" s="1326">
        <v>41271</v>
      </c>
      <c r="F221" s="1314">
        <v>9</v>
      </c>
      <c r="G221" s="1314">
        <f t="shared" si="34"/>
        <v>-9.3655589123867039E-2</v>
      </c>
      <c r="I221" s="1326">
        <v>41271</v>
      </c>
      <c r="J221" s="1314">
        <v>4.91</v>
      </c>
      <c r="K221" s="1314">
        <f t="shared" si="35"/>
        <v>0</v>
      </c>
      <c r="M221" s="1326">
        <v>41271</v>
      </c>
      <c r="N221" s="1314">
        <v>8.66</v>
      </c>
      <c r="O221" s="1314">
        <f t="shared" si="36"/>
        <v>-3.1319910514541319E-2</v>
      </c>
      <c r="Q221" s="1326">
        <v>41271</v>
      </c>
      <c r="R221" s="1314">
        <v>8</v>
      </c>
      <c r="S221" s="1314">
        <f t="shared" si="37"/>
        <v>-8.7799315849486845E-2</v>
      </c>
      <c r="U221" s="1326">
        <v>41271</v>
      </c>
      <c r="V221" s="1314">
        <v>28.48</v>
      </c>
      <c r="W221" s="1314">
        <f t="shared" si="38"/>
        <v>-3.0633083730428817E-2</v>
      </c>
      <c r="Y221" s="1326">
        <v>41271</v>
      </c>
      <c r="Z221" s="1314">
        <v>10.15</v>
      </c>
      <c r="AA221" s="1314">
        <f t="shared" si="39"/>
        <v>-4.6052631578947387E-2</v>
      </c>
      <c r="AC221" s="1326">
        <v>41271</v>
      </c>
      <c r="AD221" s="1314">
        <v>10.5</v>
      </c>
      <c r="AE221" s="1314">
        <f t="shared" si="40"/>
        <v>-6.0822898032200333E-2</v>
      </c>
      <c r="AG221" s="1326">
        <v>41271</v>
      </c>
      <c r="AH221" s="1314">
        <v>4.3499999999999996</v>
      </c>
      <c r="AI221" s="1314">
        <f t="shared" si="41"/>
        <v>-7.6433121019108347E-2</v>
      </c>
      <c r="AK221" s="1326">
        <v>41271</v>
      </c>
      <c r="AL221" s="1314">
        <v>0.09</v>
      </c>
      <c r="AN221" s="1326">
        <v>41271</v>
      </c>
      <c r="AO221" s="1314">
        <v>0.14000000000000001</v>
      </c>
      <c r="AQ221" s="1326">
        <v>41271</v>
      </c>
      <c r="AR221" s="1327">
        <v>2.02</v>
      </c>
      <c r="AT221" s="1326">
        <v>41271</v>
      </c>
      <c r="AU221" s="1314">
        <v>832.1</v>
      </c>
      <c r="AV221" s="1314">
        <f t="shared" si="42"/>
        <v>-4.5077922376001257E-2</v>
      </c>
      <c r="AX221" s="1314">
        <v>2.8672</v>
      </c>
      <c r="AY221" s="1314">
        <f t="shared" si="43"/>
        <v>-7.4260622497739889E-2</v>
      </c>
    </row>
    <row r="222" spans="1:51" x14ac:dyDescent="0.75">
      <c r="A222" s="1326">
        <v>41264</v>
      </c>
      <c r="B222" s="1314">
        <v>848.21</v>
      </c>
      <c r="C222" s="1314">
        <f t="shared" si="44"/>
        <v>1.9360653767576029E-2</v>
      </c>
      <c r="E222" s="1326">
        <v>41264</v>
      </c>
      <c r="F222" s="1314">
        <v>9.34</v>
      </c>
      <c r="G222" s="1314">
        <f t="shared" si="34"/>
        <v>3.7777777777777764E-2</v>
      </c>
      <c r="I222" s="1326">
        <v>41264</v>
      </c>
      <c r="J222" s="1314">
        <v>5.17</v>
      </c>
      <c r="K222" s="1314">
        <f t="shared" si="35"/>
        <v>5.2953156822810543E-2</v>
      </c>
      <c r="M222" s="1326">
        <v>41264</v>
      </c>
      <c r="N222" s="1314">
        <v>8.65</v>
      </c>
      <c r="O222" s="1314">
        <f t="shared" si="36"/>
        <v>-1.1547344110854256E-3</v>
      </c>
      <c r="Q222" s="1326">
        <v>41264</v>
      </c>
      <c r="R222" s="1314">
        <v>8</v>
      </c>
      <c r="S222" s="1314">
        <f t="shared" si="37"/>
        <v>0</v>
      </c>
      <c r="U222" s="1326">
        <v>41264</v>
      </c>
      <c r="V222" s="1314">
        <v>28.99</v>
      </c>
      <c r="W222" s="1314">
        <f t="shared" si="38"/>
        <v>1.7907303370786446E-2</v>
      </c>
      <c r="Y222" s="1326">
        <v>41264</v>
      </c>
      <c r="Z222" s="1314">
        <v>10.31</v>
      </c>
      <c r="AA222" s="1314">
        <f t="shared" si="39"/>
        <v>1.5763546798029569E-2</v>
      </c>
      <c r="AC222" s="1326">
        <v>41264</v>
      </c>
      <c r="AD222" s="1314">
        <v>11.244999999999999</v>
      </c>
      <c r="AE222" s="1314">
        <f t="shared" si="40"/>
        <v>7.0952380952380878E-2</v>
      </c>
      <c r="AG222" s="1326">
        <v>41264</v>
      </c>
      <c r="AH222" s="1314">
        <v>4.4800000000000004</v>
      </c>
      <c r="AI222" s="1314">
        <f t="shared" si="41"/>
        <v>2.9885057471264551E-2</v>
      </c>
      <c r="AK222" s="1326">
        <v>41264</v>
      </c>
      <c r="AL222" s="1314">
        <v>1.07</v>
      </c>
      <c r="AN222" s="1326">
        <v>41264</v>
      </c>
      <c r="AO222" s="1314">
        <v>1.29</v>
      </c>
      <c r="AQ222" s="1326">
        <v>41264</v>
      </c>
      <c r="AR222" s="1327">
        <v>2.0499999999999998</v>
      </c>
      <c r="AT222" s="1326">
        <v>41264</v>
      </c>
      <c r="AU222" s="1314">
        <v>848.21</v>
      </c>
      <c r="AV222" s="1314">
        <f t="shared" si="42"/>
        <v>1.9360653767576029E-2</v>
      </c>
      <c r="AX222" s="1314">
        <v>2.9312</v>
      </c>
      <c r="AY222" s="1314">
        <f t="shared" si="43"/>
        <v>2.2321428571428593E-2</v>
      </c>
    </row>
    <row r="223" spans="1:51" x14ac:dyDescent="0.75">
      <c r="A223" s="1326">
        <v>41257</v>
      </c>
      <c r="B223" s="1314">
        <v>836.85</v>
      </c>
      <c r="C223" s="1314">
        <f t="shared" si="44"/>
        <v>-1.3392909774702035E-2</v>
      </c>
      <c r="E223" s="1326">
        <v>41257</v>
      </c>
      <c r="F223" s="1314">
        <v>8.59</v>
      </c>
      <c r="G223" s="1314">
        <f t="shared" si="34"/>
        <v>-8.0299785867237683E-2</v>
      </c>
      <c r="I223" s="1326">
        <v>41257</v>
      </c>
      <c r="J223" s="1314">
        <v>5.16</v>
      </c>
      <c r="K223" s="1314">
        <f t="shared" si="35"/>
        <v>-1.9342359767891271E-3</v>
      </c>
      <c r="M223" s="1326">
        <v>41257</v>
      </c>
      <c r="N223" s="1314">
        <v>8.5399999999999991</v>
      </c>
      <c r="O223" s="1314">
        <f t="shared" si="36"/>
        <v>-1.2716763005780486E-2</v>
      </c>
      <c r="Q223" s="1326">
        <v>41257</v>
      </c>
      <c r="R223" s="1314">
        <v>8.1199999999999992</v>
      </c>
      <c r="S223" s="1314">
        <f t="shared" si="37"/>
        <v>1.4999999999999902E-2</v>
      </c>
      <c r="U223" s="1326">
        <v>41257</v>
      </c>
      <c r="V223" s="1314">
        <v>28.02</v>
      </c>
      <c r="W223" s="1314">
        <f t="shared" si="38"/>
        <v>-3.3459813728871989E-2</v>
      </c>
      <c r="Y223" s="1326">
        <v>41257</v>
      </c>
      <c r="Z223" s="1314">
        <v>10.119999999999999</v>
      </c>
      <c r="AA223" s="1314">
        <f t="shared" si="39"/>
        <v>-1.8428709990300801E-2</v>
      </c>
      <c r="AC223" s="1326">
        <v>41257</v>
      </c>
      <c r="AD223" s="1314">
        <v>10.75</v>
      </c>
      <c r="AE223" s="1314">
        <f t="shared" si="40"/>
        <v>-4.4019564250778055E-2</v>
      </c>
      <c r="AG223" s="1326">
        <v>41257</v>
      </c>
      <c r="AH223" s="1314">
        <v>4.24</v>
      </c>
      <c r="AI223" s="1314">
        <f t="shared" si="41"/>
        <v>-5.3571428571428617E-2</v>
      </c>
      <c r="AK223" s="1326">
        <v>41257</v>
      </c>
      <c r="AL223" s="1314">
        <v>0.55000000000000004</v>
      </c>
      <c r="AN223" s="1326">
        <v>41257</v>
      </c>
      <c r="AO223" s="1314">
        <v>0.82</v>
      </c>
      <c r="AQ223" s="1326">
        <v>41257</v>
      </c>
      <c r="AR223" s="1327">
        <v>2.0099999999999998</v>
      </c>
      <c r="AT223" s="1326">
        <v>41257</v>
      </c>
      <c r="AU223" s="1314">
        <v>836.85</v>
      </c>
      <c r="AV223" s="1314">
        <f t="shared" si="42"/>
        <v>-1.3392909774702035E-2</v>
      </c>
      <c r="AX223" s="1314">
        <v>2.8639999999999999</v>
      </c>
      <c r="AY223" s="1314">
        <f t="shared" si="43"/>
        <v>-2.2925764192139788E-2</v>
      </c>
    </row>
    <row r="224" spans="1:51" x14ac:dyDescent="0.75">
      <c r="A224" s="1326">
        <v>41250</v>
      </c>
      <c r="B224" s="1314">
        <v>839.01</v>
      </c>
      <c r="C224" s="1314">
        <f t="shared" si="44"/>
        <v>2.5811077253987788E-3</v>
      </c>
      <c r="E224" s="1326">
        <v>41250</v>
      </c>
      <c r="F224" s="1314">
        <v>8.11</v>
      </c>
      <c r="G224" s="1314">
        <f t="shared" si="34"/>
        <v>-5.5878928987194459E-2</v>
      </c>
      <c r="I224" s="1326">
        <v>41250</v>
      </c>
      <c r="J224" s="1314">
        <v>4.74</v>
      </c>
      <c r="K224" s="1314">
        <f t="shared" si="35"/>
        <v>-8.139534883720928E-2</v>
      </c>
      <c r="M224" s="1326">
        <v>41250</v>
      </c>
      <c r="N224" s="1314">
        <v>8.6300000000000008</v>
      </c>
      <c r="O224" s="1314">
        <f t="shared" si="36"/>
        <v>1.0538641686182862E-2</v>
      </c>
      <c r="Q224" s="1326">
        <v>41250</v>
      </c>
      <c r="R224" s="1314">
        <v>8.77</v>
      </c>
      <c r="S224" s="1314">
        <f t="shared" si="37"/>
        <v>8.0049261083743897E-2</v>
      </c>
      <c r="U224" s="1326">
        <v>41250</v>
      </c>
      <c r="V224" s="1314">
        <v>27.99</v>
      </c>
      <c r="W224" s="1314">
        <f t="shared" si="38"/>
        <v>-1.0706638115632098E-3</v>
      </c>
      <c r="Y224" s="1326">
        <v>41250</v>
      </c>
      <c r="Z224" s="1314">
        <v>9.84</v>
      </c>
      <c r="AA224" s="1314">
        <f t="shared" si="39"/>
        <v>-2.7667984189723258E-2</v>
      </c>
      <c r="AC224" s="1326">
        <v>41250</v>
      </c>
      <c r="AD224" s="1314">
        <v>10.23</v>
      </c>
      <c r="AE224" s="1314">
        <f t="shared" si="40"/>
        <v>-4.8372093023255777E-2</v>
      </c>
      <c r="AG224" s="1326">
        <v>41250</v>
      </c>
      <c r="AH224" s="1314">
        <v>4.41</v>
      </c>
      <c r="AI224" s="1314">
        <f t="shared" si="41"/>
        <v>4.0094339622641494E-2</v>
      </c>
      <c r="AK224" s="1326">
        <v>41250</v>
      </c>
      <c r="AL224" s="1314">
        <v>-0.61</v>
      </c>
      <c r="AN224" s="1326">
        <v>41250</v>
      </c>
      <c r="AO224" s="1314">
        <v>1.32</v>
      </c>
      <c r="AQ224" s="1326">
        <v>41250</v>
      </c>
      <c r="AR224" s="1327">
        <v>1.97</v>
      </c>
      <c r="AT224" s="1326">
        <v>41250</v>
      </c>
      <c r="AU224" s="1314">
        <v>839.01</v>
      </c>
      <c r="AV224" s="1314">
        <f t="shared" si="42"/>
        <v>2.5811077253987788E-3</v>
      </c>
      <c r="AX224" s="1314">
        <v>2.8104</v>
      </c>
      <c r="AY224" s="1314">
        <f t="shared" si="43"/>
        <v>-1.8715083798882638E-2</v>
      </c>
    </row>
    <row r="225" spans="1:51" x14ac:dyDescent="0.75">
      <c r="A225" s="1326">
        <v>41243</v>
      </c>
      <c r="B225" s="1314">
        <v>837.83</v>
      </c>
      <c r="C225" s="1314">
        <f t="shared" si="44"/>
        <v>-1.4064194705664414E-3</v>
      </c>
      <c r="E225" s="1326">
        <v>41243</v>
      </c>
      <c r="F225" s="1314">
        <v>8.1</v>
      </c>
      <c r="G225" s="1314">
        <f t="shared" si="34"/>
        <v>-1.2330456226880132E-3</v>
      </c>
      <c r="I225" s="1326">
        <v>41243</v>
      </c>
      <c r="J225" s="1314">
        <v>4.8899999999999997</v>
      </c>
      <c r="K225" s="1314">
        <f t="shared" si="35"/>
        <v>3.1645569620253049E-2</v>
      </c>
      <c r="M225" s="1326">
        <v>41243</v>
      </c>
      <c r="N225" s="1314">
        <v>8.1999999999999993</v>
      </c>
      <c r="O225" s="1314">
        <f t="shared" si="36"/>
        <v>-4.9826187717265519E-2</v>
      </c>
      <c r="Q225" s="1326">
        <v>41243</v>
      </c>
      <c r="R225" s="1314">
        <v>8.6999999999999993</v>
      </c>
      <c r="S225" s="1314">
        <f t="shared" si="37"/>
        <v>-7.9817559863170229E-3</v>
      </c>
      <c r="U225" s="1326">
        <v>41243</v>
      </c>
      <c r="V225" s="1314">
        <v>27.35</v>
      </c>
      <c r="W225" s="1314">
        <f t="shared" si="38"/>
        <v>-2.2865309038942374E-2</v>
      </c>
      <c r="Y225" s="1326">
        <v>41243</v>
      </c>
      <c r="Z225" s="1314">
        <v>9.6999999999999993</v>
      </c>
      <c r="AA225" s="1314">
        <f t="shared" si="39"/>
        <v>-1.4227642276422823E-2</v>
      </c>
      <c r="AC225" s="1326">
        <v>41243</v>
      </c>
      <c r="AD225" s="1314">
        <v>10.15</v>
      </c>
      <c r="AE225" s="1314">
        <f t="shared" si="40"/>
        <v>-7.8201368523949238E-3</v>
      </c>
      <c r="AG225" s="1326">
        <v>41243</v>
      </c>
      <c r="AH225" s="1314">
        <v>4.67</v>
      </c>
      <c r="AI225" s="1314">
        <f t="shared" si="41"/>
        <v>5.8956916099773195E-2</v>
      </c>
      <c r="AK225" s="1326">
        <v>41243</v>
      </c>
      <c r="AL225" s="1314">
        <v>1.55</v>
      </c>
      <c r="AN225" s="1326">
        <v>41243</v>
      </c>
      <c r="AO225" s="1314">
        <v>-0.36</v>
      </c>
      <c r="AQ225" s="1326">
        <v>41243</v>
      </c>
      <c r="AR225" s="1327">
        <v>1.99</v>
      </c>
      <c r="AT225" s="1326">
        <v>41243</v>
      </c>
      <c r="AU225" s="1314">
        <v>837.83</v>
      </c>
      <c r="AV225" s="1314">
        <f t="shared" si="42"/>
        <v>-1.4064194705664414E-3</v>
      </c>
      <c r="AX225" s="1314">
        <v>2.8089</v>
      </c>
      <c r="AY225" s="1314">
        <f t="shared" si="43"/>
        <v>-5.3373185311701428E-4</v>
      </c>
    </row>
    <row r="226" spans="1:51" x14ac:dyDescent="0.75">
      <c r="A226" s="1326">
        <v>41236</v>
      </c>
      <c r="B226" s="1314">
        <v>832.17</v>
      </c>
      <c r="C226" s="1314">
        <f t="shared" si="44"/>
        <v>-6.7555470680210564E-3</v>
      </c>
      <c r="E226" s="1326">
        <v>41236</v>
      </c>
      <c r="F226" s="1314">
        <v>8.74</v>
      </c>
      <c r="G226" s="1314">
        <f t="shared" si="34"/>
        <v>7.9012345679012413E-2</v>
      </c>
      <c r="I226" s="1326">
        <v>41236</v>
      </c>
      <c r="J226" s="1314">
        <v>4.74</v>
      </c>
      <c r="K226" s="1314">
        <f t="shared" si="35"/>
        <v>-3.0674846625766763E-2</v>
      </c>
      <c r="M226" s="1326">
        <v>41236</v>
      </c>
      <c r="N226" s="1314">
        <v>8.07</v>
      </c>
      <c r="O226" s="1314">
        <f t="shared" si="36"/>
        <v>-1.5853658536585245E-2</v>
      </c>
      <c r="Q226" s="1326">
        <v>41236</v>
      </c>
      <c r="R226" s="1314">
        <v>8.41</v>
      </c>
      <c r="S226" s="1314">
        <f t="shared" si="37"/>
        <v>-3.3333333333333236E-2</v>
      </c>
      <c r="U226" s="1326">
        <v>41236</v>
      </c>
      <c r="V226" s="1314">
        <v>24.73</v>
      </c>
      <c r="W226" s="1314">
        <f t="shared" si="38"/>
        <v>-9.5795246800731287E-2</v>
      </c>
      <c r="Y226" s="1326">
        <v>41236</v>
      </c>
      <c r="Z226" s="1314">
        <v>9.4</v>
      </c>
      <c r="AA226" s="1314">
        <f t="shared" si="39"/>
        <v>-3.0927835051546285E-2</v>
      </c>
      <c r="AC226" s="1326">
        <v>41236</v>
      </c>
      <c r="AD226" s="1314">
        <v>9.7799999999999994</v>
      </c>
      <c r="AE226" s="1314">
        <f t="shared" si="40"/>
        <v>-3.6453201970443445E-2</v>
      </c>
      <c r="AG226" s="1326">
        <v>41236</v>
      </c>
      <c r="AH226" s="1314">
        <v>4.51</v>
      </c>
      <c r="AI226" s="1314">
        <f t="shared" si="41"/>
        <v>-3.4261241970021443E-2</v>
      </c>
      <c r="AK226" s="1326">
        <v>41236</v>
      </c>
      <c r="AL226" s="1314">
        <v>0.42</v>
      </c>
      <c r="AN226" s="1326">
        <v>41236</v>
      </c>
      <c r="AO226" s="1314">
        <v>0.15</v>
      </c>
      <c r="AQ226" s="1326">
        <v>41236</v>
      </c>
      <c r="AR226" s="1327">
        <v>2.02</v>
      </c>
      <c r="AT226" s="1326">
        <v>41236</v>
      </c>
      <c r="AU226" s="1314">
        <v>832.17</v>
      </c>
      <c r="AV226" s="1314">
        <f t="shared" si="42"/>
        <v>-6.7555470680210564E-3</v>
      </c>
      <c r="AX226" s="1314">
        <v>2.8283999999999998</v>
      </c>
      <c r="AY226" s="1314">
        <f t="shared" si="43"/>
        <v>6.9422193741321692E-3</v>
      </c>
    </row>
    <row r="227" spans="1:51" x14ac:dyDescent="0.75">
      <c r="A227" s="1326">
        <v>41229</v>
      </c>
      <c r="B227" s="1314">
        <v>802.81</v>
      </c>
      <c r="C227" s="1314">
        <f t="shared" si="44"/>
        <v>-3.5281252628669643E-2</v>
      </c>
      <c r="E227" s="1326">
        <v>41229</v>
      </c>
      <c r="F227" s="1314">
        <v>8.6</v>
      </c>
      <c r="G227" s="1314">
        <f t="shared" si="34"/>
        <v>-1.6018306636155669E-2</v>
      </c>
      <c r="I227" s="1326">
        <v>41229</v>
      </c>
      <c r="J227" s="1314">
        <v>4.07</v>
      </c>
      <c r="K227" s="1314">
        <f t="shared" si="35"/>
        <v>-0.1413502109704641</v>
      </c>
      <c r="M227" s="1326">
        <v>41229</v>
      </c>
      <c r="N227" s="1314">
        <v>7.7003000000000004</v>
      </c>
      <c r="O227" s="1314">
        <f t="shared" si="36"/>
        <v>-4.5811648079306058E-2</v>
      </c>
      <c r="Q227" s="1326">
        <v>41229</v>
      </c>
      <c r="R227" s="1314">
        <v>7.91</v>
      </c>
      <c r="S227" s="1314">
        <f t="shared" si="37"/>
        <v>-5.9453032104637336E-2</v>
      </c>
      <c r="U227" s="1326">
        <v>41229</v>
      </c>
      <c r="V227" s="1314">
        <v>23.38</v>
      </c>
      <c r="W227" s="1314">
        <f t="shared" si="38"/>
        <v>-5.458956732713309E-2</v>
      </c>
      <c r="Y227" s="1326">
        <v>41229</v>
      </c>
      <c r="Z227" s="1314">
        <v>8.7200000000000006</v>
      </c>
      <c r="AA227" s="1314">
        <f t="shared" si="39"/>
        <v>-7.2340425531914859E-2</v>
      </c>
      <c r="AC227" s="1326">
        <v>41229</v>
      </c>
      <c r="AD227" s="1314">
        <v>8.92</v>
      </c>
      <c r="AE227" s="1314">
        <f t="shared" si="40"/>
        <v>-8.7934560327198305E-2</v>
      </c>
      <c r="AG227" s="1326">
        <v>41229</v>
      </c>
      <c r="AH227" s="1314">
        <v>4.2300000000000004</v>
      </c>
      <c r="AI227" s="1314">
        <f t="shared" si="41"/>
        <v>-6.2084257206208283E-2</v>
      </c>
      <c r="AK227" s="1326">
        <v>41229</v>
      </c>
      <c r="AL227" s="1314">
        <v>-1.07</v>
      </c>
      <c r="AN227" s="1326">
        <v>41229</v>
      </c>
      <c r="AO227" s="1314">
        <v>-0.27</v>
      </c>
      <c r="AQ227" s="1326">
        <v>41229</v>
      </c>
      <c r="AR227" s="1327">
        <v>1.96</v>
      </c>
      <c r="AT227" s="1326">
        <v>41229</v>
      </c>
      <c r="AU227" s="1314">
        <v>802.81</v>
      </c>
      <c r="AV227" s="1314">
        <f t="shared" si="42"/>
        <v>-3.5281252628669643E-2</v>
      </c>
      <c r="AX227" s="1314">
        <v>2.7324000000000002</v>
      </c>
      <c r="AY227" s="1314">
        <f t="shared" si="43"/>
        <v>-3.3941450997029998E-2</v>
      </c>
    </row>
    <row r="228" spans="1:51" x14ac:dyDescent="0.75">
      <c r="A228" s="1326">
        <v>41222</v>
      </c>
      <c r="B228" s="1314">
        <v>815.24</v>
      </c>
      <c r="C228" s="1314">
        <f t="shared" si="44"/>
        <v>1.5483115556607497E-2</v>
      </c>
      <c r="E228" s="1326">
        <v>41222</v>
      </c>
      <c r="F228" s="1314">
        <v>9.51</v>
      </c>
      <c r="G228" s="1314">
        <f t="shared" si="34"/>
        <v>0.10581395348837211</v>
      </c>
      <c r="I228" s="1326">
        <v>41222</v>
      </c>
      <c r="J228" s="1314">
        <v>4.51</v>
      </c>
      <c r="K228" s="1314">
        <f t="shared" si="35"/>
        <v>0.10810810810810798</v>
      </c>
      <c r="M228" s="1326">
        <v>41222</v>
      </c>
      <c r="N228" s="1314">
        <v>8.25</v>
      </c>
      <c r="O228" s="1314">
        <f t="shared" si="36"/>
        <v>7.1386829084581063E-2</v>
      </c>
      <c r="Q228" s="1326">
        <v>41222</v>
      </c>
      <c r="R228" s="1314">
        <v>8.5299999999999994</v>
      </c>
      <c r="S228" s="1314">
        <f t="shared" si="37"/>
        <v>7.8381795195954382E-2</v>
      </c>
      <c r="U228" s="1326">
        <v>41222</v>
      </c>
      <c r="V228" s="1314">
        <v>24.7</v>
      </c>
      <c r="W228" s="1314">
        <f t="shared" si="38"/>
        <v>5.6458511548331924E-2</v>
      </c>
      <c r="Y228" s="1326">
        <v>41222</v>
      </c>
      <c r="Z228" s="1314">
        <v>8.75</v>
      </c>
      <c r="AA228" s="1314">
        <f t="shared" si="39"/>
        <v>3.4403669724769907E-3</v>
      </c>
      <c r="AC228" s="1326">
        <v>41222</v>
      </c>
      <c r="AD228" s="1314">
        <v>9.5399999999999991</v>
      </c>
      <c r="AE228" s="1314">
        <f t="shared" si="40"/>
        <v>6.9506726457399012E-2</v>
      </c>
      <c r="AG228" s="1326">
        <v>41222</v>
      </c>
      <c r="AH228" s="1314">
        <v>4.74</v>
      </c>
      <c r="AI228" s="1314">
        <f t="shared" si="41"/>
        <v>0.12056737588652476</v>
      </c>
      <c r="AK228" s="1326">
        <v>41222</v>
      </c>
      <c r="AL228" s="1314">
        <v>7.0000000000000007E-2</v>
      </c>
      <c r="AN228" s="1326">
        <v>41222</v>
      </c>
      <c r="AO228" s="1314">
        <v>-0.8</v>
      </c>
      <c r="AQ228" s="1326">
        <v>41222</v>
      </c>
      <c r="AR228" s="1327">
        <v>1.97</v>
      </c>
      <c r="AT228" s="1326">
        <v>41222</v>
      </c>
      <c r="AU228" s="1314">
        <v>815.24</v>
      </c>
      <c r="AV228" s="1314">
        <f t="shared" si="42"/>
        <v>1.5483115556607497E-2</v>
      </c>
      <c r="AX228" s="1314">
        <v>2.7408000000000001</v>
      </c>
      <c r="AY228" s="1314">
        <f t="shared" si="43"/>
        <v>3.0742204655247996E-3</v>
      </c>
    </row>
    <row r="229" spans="1:51" x14ac:dyDescent="0.75">
      <c r="A229" s="1326">
        <v>41215</v>
      </c>
      <c r="B229" s="1314">
        <v>835.05</v>
      </c>
      <c r="C229" s="1314">
        <f t="shared" si="44"/>
        <v>2.4299592757960779E-2</v>
      </c>
      <c r="E229" s="1326">
        <v>41215</v>
      </c>
      <c r="F229" s="1314">
        <v>9.43</v>
      </c>
      <c r="G229" s="1314">
        <f t="shared" si="34"/>
        <v>-8.4121976866456446E-3</v>
      </c>
      <c r="I229" s="1326">
        <v>41215</v>
      </c>
      <c r="J229" s="1314">
        <v>4.84</v>
      </c>
      <c r="K229" s="1314">
        <f t="shared" si="35"/>
        <v>7.3170731707317097E-2</v>
      </c>
      <c r="M229" s="1326">
        <v>41215</v>
      </c>
      <c r="N229" s="1314">
        <v>8.51</v>
      </c>
      <c r="O229" s="1314">
        <f t="shared" si="36"/>
        <v>3.1515151515151489E-2</v>
      </c>
      <c r="Q229" s="1326">
        <v>41215</v>
      </c>
      <c r="R229" s="1314">
        <v>8.58</v>
      </c>
      <c r="S229" s="1314">
        <f t="shared" si="37"/>
        <v>5.8616647127785132E-3</v>
      </c>
      <c r="U229" s="1326">
        <v>41215</v>
      </c>
      <c r="V229" s="1314">
        <v>24.92</v>
      </c>
      <c r="W229" s="1314">
        <f t="shared" si="38"/>
        <v>8.9068825910932157E-3</v>
      </c>
      <c r="Y229" s="1326">
        <v>41215</v>
      </c>
      <c r="Z229" s="1314">
        <v>9.17</v>
      </c>
      <c r="AA229" s="1314">
        <f t="shared" si="39"/>
        <v>4.7999999999999994E-2</v>
      </c>
      <c r="AC229" s="1326">
        <v>41215</v>
      </c>
      <c r="AD229" s="1314">
        <v>10.25</v>
      </c>
      <c r="AE229" s="1314">
        <f t="shared" si="40"/>
        <v>7.4423480083857532E-2</v>
      </c>
      <c r="AG229" s="1326">
        <v>41215</v>
      </c>
      <c r="AH229" s="1314">
        <v>4.7300000000000004</v>
      </c>
      <c r="AI229" s="1314">
        <f t="shared" si="41"/>
        <v>-2.1097046413501657E-3</v>
      </c>
      <c r="AK229" s="1326">
        <v>41215</v>
      </c>
      <c r="AL229" s="1314">
        <v>0.1</v>
      </c>
      <c r="AN229" s="1326">
        <v>41215</v>
      </c>
      <c r="AO229" s="1314">
        <v>0.81</v>
      </c>
      <c r="AQ229" s="1326">
        <v>41215</v>
      </c>
      <c r="AR229" s="1327">
        <v>1.99</v>
      </c>
      <c r="AT229" s="1326">
        <v>41215</v>
      </c>
      <c r="AU229" s="1314">
        <v>835.05</v>
      </c>
      <c r="AV229" s="1314">
        <f t="shared" si="42"/>
        <v>2.4299592757960779E-2</v>
      </c>
      <c r="AX229" s="1314">
        <v>2.9066000000000001</v>
      </c>
      <c r="AY229" s="1314">
        <f t="shared" si="43"/>
        <v>6.0493286631640372E-2</v>
      </c>
    </row>
    <row r="230" spans="1:51" x14ac:dyDescent="0.75">
      <c r="A230" s="1326">
        <v>41208</v>
      </c>
      <c r="B230" s="1314">
        <v>832.52</v>
      </c>
      <c r="C230" s="1314">
        <f t="shared" si="44"/>
        <v>-3.0297586970839743E-3</v>
      </c>
      <c r="E230" s="1326">
        <v>41208</v>
      </c>
      <c r="F230" s="1314">
        <v>9.3699999999999992</v>
      </c>
      <c r="G230" s="1314">
        <f t="shared" si="34"/>
        <v>-6.3626723223754508E-3</v>
      </c>
      <c r="I230" s="1326">
        <v>41208</v>
      </c>
      <c r="J230" s="1314">
        <v>4.74</v>
      </c>
      <c r="K230" s="1314">
        <f t="shared" si="35"/>
        <v>-2.0661157024793316E-2</v>
      </c>
      <c r="M230" s="1326">
        <v>41208</v>
      </c>
      <c r="N230" s="1314">
        <v>8.4499999999999993</v>
      </c>
      <c r="O230" s="1314">
        <f t="shared" si="36"/>
        <v>-7.0505287896592828E-3</v>
      </c>
      <c r="Q230" s="1326">
        <v>41208</v>
      </c>
      <c r="R230" s="1314">
        <v>7.89</v>
      </c>
      <c r="S230" s="1314">
        <f t="shared" si="37"/>
        <v>-8.0419580419580458E-2</v>
      </c>
      <c r="U230" s="1326">
        <v>41208</v>
      </c>
      <c r="V230" s="1314">
        <v>24.93</v>
      </c>
      <c r="W230" s="1314">
        <f t="shared" si="38"/>
        <v>4.0128410914919783E-4</v>
      </c>
      <c r="Y230" s="1326">
        <v>41208</v>
      </c>
      <c r="Z230" s="1314">
        <v>8.8000000000000007</v>
      </c>
      <c r="AA230" s="1314">
        <f t="shared" si="39"/>
        <v>-4.0348964013086068E-2</v>
      </c>
      <c r="AC230" s="1326">
        <v>41208</v>
      </c>
      <c r="AD230" s="1314">
        <v>9.89</v>
      </c>
      <c r="AE230" s="1314">
        <f t="shared" si="40"/>
        <v>-3.5121951219512143E-2</v>
      </c>
      <c r="AG230" s="1326">
        <v>41208</v>
      </c>
      <c r="AH230" s="1314">
        <v>4.7300000000000004</v>
      </c>
      <c r="AI230" s="1314">
        <f t="shared" si="41"/>
        <v>0</v>
      </c>
      <c r="AK230" s="1326">
        <v>41208</v>
      </c>
      <c r="AL230" s="1314">
        <v>0.81</v>
      </c>
      <c r="AN230" s="1326">
        <v>41208</v>
      </c>
      <c r="AO230" s="1314">
        <v>-0.38</v>
      </c>
      <c r="AQ230" s="1326">
        <v>41208</v>
      </c>
      <c r="AR230" s="1327">
        <v>2.02</v>
      </c>
      <c r="AT230" s="1326">
        <v>41208</v>
      </c>
      <c r="AU230" s="1314">
        <v>832.52</v>
      </c>
      <c r="AV230" s="1314">
        <f t="shared" si="42"/>
        <v>-3.0297586970839743E-3</v>
      </c>
      <c r="AX230" s="1314">
        <v>2.9041999999999999</v>
      </c>
      <c r="AY230" s="1314">
        <f t="shared" si="43"/>
        <v>-8.2570701162876887E-4</v>
      </c>
    </row>
    <row r="231" spans="1:51" x14ac:dyDescent="0.75">
      <c r="A231" s="1326">
        <v>41201</v>
      </c>
      <c r="B231" s="1314">
        <v>844.65</v>
      </c>
      <c r="C231" s="1314">
        <f t="shared" si="44"/>
        <v>1.4570220535242392E-2</v>
      </c>
      <c r="E231" s="1326">
        <v>41201</v>
      </c>
      <c r="F231" s="1314">
        <v>9.51</v>
      </c>
      <c r="G231" s="1314">
        <f t="shared" si="34"/>
        <v>1.4941302027748194E-2</v>
      </c>
      <c r="I231" s="1326">
        <v>41201</v>
      </c>
      <c r="J231" s="1314">
        <v>4.79</v>
      </c>
      <c r="K231" s="1314">
        <f t="shared" si="35"/>
        <v>1.0548523206751016E-2</v>
      </c>
      <c r="M231" s="1326">
        <v>41201</v>
      </c>
      <c r="N231" s="1314">
        <v>7.71</v>
      </c>
      <c r="O231" s="1314">
        <f t="shared" si="36"/>
        <v>-8.7573964497041343E-2</v>
      </c>
      <c r="Q231" s="1326">
        <v>41201</v>
      </c>
      <c r="R231" s="1314">
        <v>7.61</v>
      </c>
      <c r="S231" s="1314">
        <f t="shared" si="37"/>
        <v>-3.5487959442331983E-2</v>
      </c>
      <c r="U231" s="1326">
        <v>41201</v>
      </c>
      <c r="V231" s="1314">
        <v>24.47</v>
      </c>
      <c r="W231" s="1314">
        <f t="shared" si="38"/>
        <v>-1.8451664661050977E-2</v>
      </c>
      <c r="Y231" s="1326">
        <v>41201</v>
      </c>
      <c r="Z231" s="1314">
        <v>8.85</v>
      </c>
      <c r="AA231" s="1314">
        <f t="shared" si="39"/>
        <v>5.6818181818180605E-3</v>
      </c>
      <c r="AC231" s="1326">
        <v>41201</v>
      </c>
      <c r="AD231" s="1314">
        <v>9.67</v>
      </c>
      <c r="AE231" s="1314">
        <f t="shared" si="40"/>
        <v>-2.2244691607684594E-2</v>
      </c>
      <c r="AG231" s="1326">
        <v>41201</v>
      </c>
      <c r="AH231" s="1314">
        <v>4.8099999999999996</v>
      </c>
      <c r="AI231" s="1314">
        <f t="shared" si="41"/>
        <v>1.6913319238900461E-2</v>
      </c>
      <c r="AK231" s="1326">
        <v>41201</v>
      </c>
      <c r="AL231" s="1314">
        <v>-1.23</v>
      </c>
      <c r="AN231" s="1326">
        <v>41201</v>
      </c>
      <c r="AO231" s="1314">
        <v>1.73</v>
      </c>
      <c r="AQ231" s="1326">
        <v>41201</v>
      </c>
      <c r="AR231" s="1327">
        <v>2</v>
      </c>
      <c r="AT231" s="1326">
        <v>41201</v>
      </c>
      <c r="AU231" s="1314">
        <v>844.65</v>
      </c>
      <c r="AV231" s="1314">
        <f t="shared" si="42"/>
        <v>1.4570220535242392E-2</v>
      </c>
      <c r="AX231" s="1314">
        <v>2.9339</v>
      </c>
      <c r="AY231" s="1314">
        <f t="shared" si="43"/>
        <v>1.022656841815304E-2</v>
      </c>
    </row>
    <row r="232" spans="1:51" x14ac:dyDescent="0.75">
      <c r="A232" s="1326">
        <v>41194</v>
      </c>
      <c r="B232" s="1314">
        <v>841.69</v>
      </c>
      <c r="C232" s="1314">
        <f t="shared" si="44"/>
        <v>-3.5044101106966471E-3</v>
      </c>
      <c r="E232" s="1326">
        <v>41194</v>
      </c>
      <c r="F232" s="1314">
        <v>9.85</v>
      </c>
      <c r="G232" s="1314">
        <f t="shared" si="34"/>
        <v>3.575184016824394E-2</v>
      </c>
      <c r="I232" s="1326">
        <v>41194</v>
      </c>
      <c r="J232" s="1314">
        <v>4.96</v>
      </c>
      <c r="K232" s="1314">
        <f t="shared" si="35"/>
        <v>3.5490605427974935E-2</v>
      </c>
      <c r="M232" s="1326">
        <v>41194</v>
      </c>
      <c r="N232" s="1314">
        <v>7.98</v>
      </c>
      <c r="O232" s="1314">
        <f t="shared" si="36"/>
        <v>3.5019455252918351E-2</v>
      </c>
      <c r="Q232" s="1326">
        <v>41194</v>
      </c>
      <c r="R232" s="1314">
        <v>8.57</v>
      </c>
      <c r="S232" s="1314">
        <f t="shared" si="37"/>
        <v>0.12614980289093297</v>
      </c>
      <c r="U232" s="1326">
        <v>41194</v>
      </c>
      <c r="V232" s="1314">
        <v>23.52</v>
      </c>
      <c r="W232" s="1314">
        <f t="shared" si="38"/>
        <v>-3.882304863097668E-2</v>
      </c>
      <c r="Y232" s="1326">
        <v>41194</v>
      </c>
      <c r="Z232" s="1314">
        <v>8.59</v>
      </c>
      <c r="AA232" s="1314">
        <f t="shared" si="39"/>
        <v>-2.9378531073446304E-2</v>
      </c>
      <c r="AC232" s="1326">
        <v>41194</v>
      </c>
      <c r="AD232" s="1314">
        <v>9.8800000000000008</v>
      </c>
      <c r="AE232" s="1314">
        <f t="shared" si="40"/>
        <v>2.1716649431230698E-2</v>
      </c>
      <c r="AG232" s="1326">
        <v>41194</v>
      </c>
      <c r="AH232" s="1314">
        <v>4.93</v>
      </c>
      <c r="AI232" s="1314">
        <f t="shared" si="41"/>
        <v>2.4948024948024974E-2</v>
      </c>
      <c r="AK232" s="1326">
        <v>41194</v>
      </c>
      <c r="AL232" s="1314">
        <v>-0.11</v>
      </c>
      <c r="AN232" s="1326">
        <v>41194</v>
      </c>
      <c r="AO232" s="1314">
        <v>0.56000000000000005</v>
      </c>
      <c r="AQ232" s="1326">
        <v>41194</v>
      </c>
      <c r="AR232" s="1327">
        <v>2.02</v>
      </c>
      <c r="AT232" s="1326">
        <v>41194</v>
      </c>
      <c r="AU232" s="1314">
        <v>841.69</v>
      </c>
      <c r="AV232" s="1314">
        <f t="shared" si="42"/>
        <v>-3.5044101106966471E-3</v>
      </c>
      <c r="AX232" s="1314">
        <v>2.8317000000000001</v>
      </c>
      <c r="AY232" s="1314">
        <f t="shared" si="43"/>
        <v>-3.4834179760727987E-2</v>
      </c>
    </row>
    <row r="233" spans="1:51" x14ac:dyDescent="0.75">
      <c r="A233" s="1326">
        <v>41187</v>
      </c>
      <c r="B233" s="1314">
        <v>860.71</v>
      </c>
      <c r="C233" s="1314">
        <f t="shared" si="44"/>
        <v>2.2597393339590561E-2</v>
      </c>
      <c r="E233" s="1326">
        <v>41187</v>
      </c>
      <c r="F233" s="1314">
        <v>9.81</v>
      </c>
      <c r="G233" s="1314">
        <f t="shared" si="34"/>
        <v>-4.0609137055836698E-3</v>
      </c>
      <c r="I233" s="1326">
        <v>41187</v>
      </c>
      <c r="J233" s="1314">
        <v>5.39</v>
      </c>
      <c r="K233" s="1314">
        <f t="shared" si="35"/>
        <v>8.6693548387096711E-2</v>
      </c>
      <c r="M233" s="1326">
        <v>41187</v>
      </c>
      <c r="N233" s="1314">
        <v>8.4</v>
      </c>
      <c r="O233" s="1314">
        <f t="shared" si="36"/>
        <v>5.2631578947368411E-2</v>
      </c>
      <c r="Q233" s="1326">
        <v>41187</v>
      </c>
      <c r="R233" s="1314">
        <v>8.9600000000000009</v>
      </c>
      <c r="S233" s="1314">
        <f t="shared" si="37"/>
        <v>4.5507584597432968E-2</v>
      </c>
      <c r="U233" s="1326">
        <v>41187</v>
      </c>
      <c r="V233" s="1314">
        <v>25.41</v>
      </c>
      <c r="W233" s="1314">
        <f t="shared" si="38"/>
        <v>8.0357142857142877E-2</v>
      </c>
      <c r="Y233" s="1326">
        <v>41187</v>
      </c>
      <c r="Z233" s="1314">
        <v>9.61</v>
      </c>
      <c r="AA233" s="1314">
        <f t="shared" si="39"/>
        <v>0.11874272409778808</v>
      </c>
      <c r="AC233" s="1326">
        <v>41187</v>
      </c>
      <c r="AD233" s="1314">
        <v>10.64</v>
      </c>
      <c r="AE233" s="1314">
        <f t="shared" si="40"/>
        <v>7.69230769230769E-2</v>
      </c>
      <c r="AG233" s="1326">
        <v>41187</v>
      </c>
      <c r="AH233" s="1314">
        <v>5.47</v>
      </c>
      <c r="AI233" s="1314">
        <f t="shared" si="41"/>
        <v>0.10953346855983774</v>
      </c>
      <c r="AK233" s="1326">
        <v>41187</v>
      </c>
      <c r="AL233" s="1314">
        <v>-1.1100000000000001</v>
      </c>
      <c r="AN233" s="1326">
        <v>41187</v>
      </c>
      <c r="AO233" s="1314">
        <v>1.47</v>
      </c>
      <c r="AQ233" s="1326">
        <v>41187</v>
      </c>
      <c r="AR233" s="1327">
        <v>2.0299999999999998</v>
      </c>
      <c r="AT233" s="1326">
        <v>41187</v>
      </c>
      <c r="AU233" s="1314">
        <v>860.71</v>
      </c>
      <c r="AV233" s="1314">
        <f t="shared" si="42"/>
        <v>2.2597393339590561E-2</v>
      </c>
      <c r="AX233" s="1314">
        <v>2.9712000000000001</v>
      </c>
      <c r="AY233" s="1314">
        <f t="shared" si="43"/>
        <v>4.926369318783768E-2</v>
      </c>
    </row>
    <row r="234" spans="1:51" x14ac:dyDescent="0.75">
      <c r="A234" s="1326">
        <v>41180</v>
      </c>
      <c r="B234" s="1314">
        <v>849.28</v>
      </c>
      <c r="C234" s="1314">
        <f t="shared" si="44"/>
        <v>-1.3279734172950312E-2</v>
      </c>
      <c r="E234" s="1326">
        <v>41180</v>
      </c>
      <c r="F234" s="1314">
        <v>9.92</v>
      </c>
      <c r="G234" s="1314">
        <f t="shared" si="34"/>
        <v>1.1213047910295558E-2</v>
      </c>
      <c r="I234" s="1326">
        <v>41180</v>
      </c>
      <c r="J234" s="1314">
        <v>5.54</v>
      </c>
      <c r="K234" s="1314">
        <f t="shared" si="35"/>
        <v>2.7829313543599327E-2</v>
      </c>
      <c r="M234" s="1326">
        <v>41180</v>
      </c>
      <c r="N234" s="1314">
        <v>8</v>
      </c>
      <c r="O234" s="1314">
        <f t="shared" si="36"/>
        <v>-4.7619047619047658E-2</v>
      </c>
      <c r="Q234" s="1326">
        <v>41180</v>
      </c>
      <c r="R234" s="1314">
        <v>8.61</v>
      </c>
      <c r="S234" s="1314">
        <f t="shared" si="37"/>
        <v>-3.9062500000000153E-2</v>
      </c>
      <c r="U234" s="1326">
        <v>41180</v>
      </c>
      <c r="V234" s="1314">
        <v>25.14</v>
      </c>
      <c r="W234" s="1314">
        <f t="shared" si="38"/>
        <v>-1.0625737898465154E-2</v>
      </c>
      <c r="Y234" s="1326">
        <v>41180</v>
      </c>
      <c r="Z234" s="1314">
        <v>9.83</v>
      </c>
      <c r="AA234" s="1314">
        <f t="shared" si="39"/>
        <v>2.2892819979188413E-2</v>
      </c>
      <c r="AC234" s="1326">
        <v>41180</v>
      </c>
      <c r="AD234" s="1314">
        <v>10.705</v>
      </c>
      <c r="AE234" s="1314">
        <f t="shared" si="40"/>
        <v>6.1090225563909303E-3</v>
      </c>
      <c r="AG234" s="1326">
        <v>41180</v>
      </c>
      <c r="AH234" s="1314">
        <v>5.65</v>
      </c>
      <c r="AI234" s="1314">
        <f t="shared" si="41"/>
        <v>3.2906764168190238E-2</v>
      </c>
      <c r="AK234" s="1326">
        <v>41180</v>
      </c>
      <c r="AL234" s="1314">
        <v>-0.67</v>
      </c>
      <c r="AN234" s="1326">
        <v>41180</v>
      </c>
      <c r="AO234" s="1314">
        <v>-0.38</v>
      </c>
      <c r="AQ234" s="1326">
        <v>41180</v>
      </c>
      <c r="AR234" s="1327">
        <v>2.06</v>
      </c>
      <c r="AT234" s="1326">
        <v>41180</v>
      </c>
      <c r="AU234" s="1314">
        <v>849.28</v>
      </c>
      <c r="AV234" s="1314">
        <f t="shared" si="42"/>
        <v>-1.3279734172950312E-2</v>
      </c>
      <c r="AX234" s="1314">
        <v>2.823</v>
      </c>
      <c r="AY234" s="1314">
        <f t="shared" si="43"/>
        <v>-4.987883683360262E-2</v>
      </c>
    </row>
    <row r="235" spans="1:51" x14ac:dyDescent="0.75">
      <c r="A235" s="1326">
        <v>41173</v>
      </c>
      <c r="B235" s="1314">
        <v>861.51</v>
      </c>
      <c r="C235" s="1314">
        <f t="shared" si="44"/>
        <v>1.4400433308214038E-2</v>
      </c>
      <c r="E235" s="1326">
        <v>41173</v>
      </c>
      <c r="F235" s="1314">
        <v>9.77</v>
      </c>
      <c r="G235" s="1314">
        <f t="shared" si="34"/>
        <v>-1.5120967741935519E-2</v>
      </c>
      <c r="I235" s="1326">
        <v>41173</v>
      </c>
      <c r="J235" s="1314">
        <v>4.93</v>
      </c>
      <c r="K235" s="1314">
        <f t="shared" si="35"/>
        <v>-0.11010830324909752</v>
      </c>
      <c r="M235" s="1326">
        <v>41173</v>
      </c>
      <c r="N235" s="1314">
        <v>7.91</v>
      </c>
      <c r="O235" s="1314">
        <f t="shared" si="36"/>
        <v>-1.1249999999999982E-2</v>
      </c>
      <c r="Q235" s="1326">
        <v>41173</v>
      </c>
      <c r="R235" s="1314">
        <v>8.93</v>
      </c>
      <c r="S235" s="1314">
        <f t="shared" si="37"/>
        <v>3.7166085946573786E-2</v>
      </c>
      <c r="U235" s="1326">
        <v>41173</v>
      </c>
      <c r="V235" s="1314">
        <v>26.18</v>
      </c>
      <c r="W235" s="1314">
        <f t="shared" si="38"/>
        <v>4.1368337311058039E-2</v>
      </c>
      <c r="Y235" s="1326">
        <v>41173</v>
      </c>
      <c r="Z235" s="1314">
        <v>10.52</v>
      </c>
      <c r="AA235" s="1314">
        <f t="shared" si="39"/>
        <v>7.0193285859613375E-2</v>
      </c>
      <c r="AC235" s="1326">
        <v>41173</v>
      </c>
      <c r="AD235" s="1314">
        <v>12.01</v>
      </c>
      <c r="AE235" s="1314">
        <f t="shared" si="40"/>
        <v>0.12190565156468937</v>
      </c>
      <c r="AG235" s="1326">
        <v>41173</v>
      </c>
      <c r="AH235" s="1314">
        <v>5.7</v>
      </c>
      <c r="AI235" s="1314">
        <f t="shared" si="41"/>
        <v>8.8495575221238625E-3</v>
      </c>
      <c r="AK235" s="1326">
        <v>41173</v>
      </c>
      <c r="AL235" s="1314">
        <v>-0.26</v>
      </c>
      <c r="AN235" s="1326">
        <v>41173</v>
      </c>
      <c r="AO235" s="1314">
        <v>-1.1399999999999999</v>
      </c>
      <c r="AQ235" s="1326">
        <v>41173</v>
      </c>
      <c r="AR235" s="1327">
        <v>2.12</v>
      </c>
      <c r="AT235" s="1326">
        <v>41173</v>
      </c>
      <c r="AU235" s="1314">
        <v>861.51</v>
      </c>
      <c r="AV235" s="1314">
        <f t="shared" si="42"/>
        <v>1.4400433308214038E-2</v>
      </c>
      <c r="AX235" s="1314">
        <v>2.9434</v>
      </c>
      <c r="AY235" s="1314">
        <f t="shared" si="43"/>
        <v>4.2649663478568918E-2</v>
      </c>
    </row>
    <row r="236" spans="1:51" x14ac:dyDescent="0.75">
      <c r="A236" s="1326">
        <v>41166</v>
      </c>
      <c r="B236" s="1314">
        <v>866.47</v>
      </c>
      <c r="C236" s="1314">
        <f t="shared" si="44"/>
        <v>5.7573330547527439E-3</v>
      </c>
      <c r="E236" s="1326">
        <v>41166</v>
      </c>
      <c r="F236" s="1314">
        <v>9.9949999999999992</v>
      </c>
      <c r="G236" s="1314">
        <f t="shared" si="34"/>
        <v>2.30296827021494E-2</v>
      </c>
      <c r="I236" s="1326">
        <v>41166</v>
      </c>
      <c r="J236" s="1314">
        <v>5.07</v>
      </c>
      <c r="K236" s="1314">
        <f t="shared" si="35"/>
        <v>2.839756592292101E-2</v>
      </c>
      <c r="M236" s="1326">
        <v>41166</v>
      </c>
      <c r="N236" s="1314">
        <v>7.99</v>
      </c>
      <c r="O236" s="1314">
        <f t="shared" si="36"/>
        <v>1.011378002528446E-2</v>
      </c>
      <c r="Q236" s="1326">
        <v>41166</v>
      </c>
      <c r="R236" s="1314">
        <v>9.4</v>
      </c>
      <c r="S236" s="1314">
        <f t="shared" si="37"/>
        <v>5.2631578947368494E-2</v>
      </c>
      <c r="U236" s="1326">
        <v>41166</v>
      </c>
      <c r="V236" s="1314">
        <v>27.07</v>
      </c>
      <c r="W236" s="1314">
        <f t="shared" si="38"/>
        <v>3.3995416348357545E-2</v>
      </c>
      <c r="Y236" s="1326">
        <v>41166</v>
      </c>
      <c r="Z236" s="1314">
        <v>11</v>
      </c>
      <c r="AA236" s="1314">
        <f t="shared" si="39"/>
        <v>4.5627376425855556E-2</v>
      </c>
      <c r="AC236" s="1326">
        <v>41166</v>
      </c>
      <c r="AD236" s="1314">
        <v>13.16</v>
      </c>
      <c r="AE236" s="1314">
        <f t="shared" si="40"/>
        <v>9.5753538717735245E-2</v>
      </c>
      <c r="AG236" s="1326">
        <v>41166</v>
      </c>
      <c r="AH236" s="1314">
        <v>5.12</v>
      </c>
      <c r="AI236" s="1314">
        <f t="shared" si="41"/>
        <v>-0.10175438596491229</v>
      </c>
      <c r="AK236" s="1326">
        <v>41166</v>
      </c>
      <c r="AL236" s="1314">
        <v>0.62</v>
      </c>
      <c r="AN236" s="1326">
        <v>41166</v>
      </c>
      <c r="AO236" s="1314">
        <v>1.85</v>
      </c>
      <c r="AQ236" s="1326">
        <v>41166</v>
      </c>
      <c r="AR236" s="1327">
        <v>2.13</v>
      </c>
      <c r="AT236" s="1326">
        <v>41166</v>
      </c>
      <c r="AU236" s="1314">
        <v>866.47</v>
      </c>
      <c r="AV236" s="1314">
        <f t="shared" si="42"/>
        <v>5.7573330547527439E-3</v>
      </c>
      <c r="AX236" s="1314">
        <v>3.0884</v>
      </c>
      <c r="AY236" s="1314">
        <f t="shared" si="43"/>
        <v>4.9262757355439293E-2</v>
      </c>
    </row>
    <row r="237" spans="1:51" x14ac:dyDescent="0.75">
      <c r="A237" s="1326">
        <v>41159</v>
      </c>
      <c r="B237" s="1314">
        <v>849.24</v>
      </c>
      <c r="C237" s="1314">
        <f t="shared" si="44"/>
        <v>-1.9885281660069035E-2</v>
      </c>
      <c r="E237" s="1326">
        <v>41159</v>
      </c>
      <c r="F237" s="1314">
        <v>10.105</v>
      </c>
      <c r="G237" s="1314">
        <f t="shared" si="34"/>
        <v>1.1005502751375809E-2</v>
      </c>
      <c r="I237" s="1326">
        <v>41159</v>
      </c>
      <c r="J237" s="1314">
        <v>4.67</v>
      </c>
      <c r="K237" s="1314">
        <f t="shared" si="35"/>
        <v>-7.8895463510848196E-2</v>
      </c>
      <c r="M237" s="1326">
        <v>41159</v>
      </c>
      <c r="N237" s="1314">
        <v>7.89</v>
      </c>
      <c r="O237" s="1314">
        <f t="shared" si="36"/>
        <v>-1.2515644555694684E-2</v>
      </c>
      <c r="Q237" s="1326">
        <v>41159</v>
      </c>
      <c r="R237" s="1314">
        <v>9.68</v>
      </c>
      <c r="S237" s="1314">
        <f t="shared" si="37"/>
        <v>2.9787234042553123E-2</v>
      </c>
      <c r="U237" s="1326">
        <v>41159</v>
      </c>
      <c r="V237" s="1314">
        <v>25.5</v>
      </c>
      <c r="W237" s="1314">
        <f t="shared" si="38"/>
        <v>-5.7997783524196538E-2</v>
      </c>
      <c r="Y237" s="1326">
        <v>41159</v>
      </c>
      <c r="Z237" s="1314">
        <v>10.5</v>
      </c>
      <c r="AA237" s="1314">
        <f t="shared" si="39"/>
        <v>-4.5454545454545456E-2</v>
      </c>
      <c r="AC237" s="1326">
        <v>41159</v>
      </c>
      <c r="AD237" s="1314">
        <v>12.45</v>
      </c>
      <c r="AE237" s="1314">
        <f t="shared" si="40"/>
        <v>-5.3951367781155078E-2</v>
      </c>
      <c r="AG237" s="1326">
        <v>41159</v>
      </c>
      <c r="AH237" s="1314">
        <v>4.92</v>
      </c>
      <c r="AI237" s="1314">
        <f t="shared" si="41"/>
        <v>-3.9062500000000035E-2</v>
      </c>
      <c r="AK237" s="1326">
        <v>41159</v>
      </c>
      <c r="AL237" s="1314">
        <v>0.81</v>
      </c>
      <c r="AN237" s="1326">
        <v>41159</v>
      </c>
      <c r="AO237" s="1314">
        <v>1.31</v>
      </c>
      <c r="AQ237" s="1326">
        <v>41159</v>
      </c>
      <c r="AR237" s="1327">
        <v>2.1</v>
      </c>
      <c r="AT237" s="1326">
        <v>41159</v>
      </c>
      <c r="AU237" s="1314">
        <v>849.24</v>
      </c>
      <c r="AV237" s="1314">
        <f t="shared" si="42"/>
        <v>-1.9885281660069035E-2</v>
      </c>
      <c r="AX237" s="1314">
        <v>2.8245</v>
      </c>
      <c r="AY237" s="1314">
        <f t="shared" si="43"/>
        <v>-8.5448776065276524E-2</v>
      </c>
    </row>
    <row r="238" spans="1:51" x14ac:dyDescent="0.75">
      <c r="A238" s="1326">
        <v>41152</v>
      </c>
      <c r="B238" s="1314">
        <v>828.86</v>
      </c>
      <c r="C238" s="1314">
        <f t="shared" si="44"/>
        <v>-2.3997927558758413E-2</v>
      </c>
      <c r="E238" s="1326">
        <v>41152</v>
      </c>
      <c r="F238" s="1314">
        <v>9.73</v>
      </c>
      <c r="G238" s="1314">
        <f t="shared" si="34"/>
        <v>-3.7110341415141017E-2</v>
      </c>
      <c r="I238" s="1326">
        <v>41152</v>
      </c>
      <c r="J238" s="1314">
        <v>4.28</v>
      </c>
      <c r="K238" s="1314">
        <f t="shared" si="35"/>
        <v>-8.3511777301927131E-2</v>
      </c>
      <c r="M238" s="1326">
        <v>41152</v>
      </c>
      <c r="N238" s="1314">
        <v>7.61</v>
      </c>
      <c r="O238" s="1314">
        <f t="shared" si="36"/>
        <v>-3.5487959442331983E-2</v>
      </c>
      <c r="Q238" s="1326">
        <v>41152</v>
      </c>
      <c r="R238" s="1314">
        <v>9.49</v>
      </c>
      <c r="S238" s="1314">
        <f t="shared" si="37"/>
        <v>-1.9628099173553668E-2</v>
      </c>
      <c r="U238" s="1326">
        <v>41152</v>
      </c>
      <c r="V238" s="1314">
        <v>24.52</v>
      </c>
      <c r="W238" s="1314">
        <f t="shared" si="38"/>
        <v>-3.8431372549019627E-2</v>
      </c>
      <c r="Y238" s="1326">
        <v>41152</v>
      </c>
      <c r="Z238" s="1314">
        <v>9.56</v>
      </c>
      <c r="AA238" s="1314">
        <f t="shared" si="39"/>
        <v>-8.9523809523809478E-2</v>
      </c>
      <c r="AC238" s="1326">
        <v>41152</v>
      </c>
      <c r="AD238" s="1314">
        <v>11.61</v>
      </c>
      <c r="AE238" s="1314">
        <f t="shared" si="40"/>
        <v>-6.7469879518072276E-2</v>
      </c>
      <c r="AG238" s="1326">
        <v>41152</v>
      </c>
      <c r="AH238" s="1314">
        <v>4.7</v>
      </c>
      <c r="AI238" s="1314">
        <f t="shared" si="41"/>
        <v>-4.4715447154471497E-2</v>
      </c>
      <c r="AK238" s="1326">
        <v>41152</v>
      </c>
      <c r="AL238" s="1314">
        <v>0.42</v>
      </c>
      <c r="AN238" s="1326">
        <v>41152</v>
      </c>
      <c r="AO238" s="1314">
        <v>-0.09</v>
      </c>
      <c r="AQ238" s="1326">
        <v>41152</v>
      </c>
      <c r="AR238" s="1327">
        <v>2.11</v>
      </c>
      <c r="AT238" s="1326">
        <v>41152</v>
      </c>
      <c r="AU238" s="1314">
        <v>828.86</v>
      </c>
      <c r="AV238" s="1314">
        <f t="shared" si="42"/>
        <v>-2.3997927558758413E-2</v>
      </c>
      <c r="AX238" s="1314">
        <v>2.6722999999999999</v>
      </c>
      <c r="AY238" s="1314">
        <f t="shared" si="43"/>
        <v>-5.3885643476721583E-2</v>
      </c>
    </row>
    <row r="239" spans="1:51" x14ac:dyDescent="0.75">
      <c r="A239" s="1326">
        <v>41145</v>
      </c>
      <c r="B239" s="1314">
        <v>830.66</v>
      </c>
      <c r="C239" s="1314">
        <f t="shared" si="44"/>
        <v>2.1716574572303578E-3</v>
      </c>
      <c r="E239" s="1326">
        <v>41145</v>
      </c>
      <c r="F239" s="1314">
        <v>9.4499999999999993</v>
      </c>
      <c r="G239" s="1314">
        <f t="shared" si="34"/>
        <v>-2.8776978417266303E-2</v>
      </c>
      <c r="I239" s="1326">
        <v>41145</v>
      </c>
      <c r="J239" s="1314">
        <v>4.8499999999999996</v>
      </c>
      <c r="K239" s="1314">
        <f t="shared" si="35"/>
        <v>0.13317757009345779</v>
      </c>
      <c r="M239" s="1326">
        <v>41145</v>
      </c>
      <c r="N239" s="1314">
        <v>7.55</v>
      </c>
      <c r="O239" s="1314">
        <f t="shared" si="36"/>
        <v>-7.8843626806833766E-3</v>
      </c>
      <c r="Q239" s="1326">
        <v>41145</v>
      </c>
      <c r="R239" s="1314">
        <v>9.89</v>
      </c>
      <c r="S239" s="1314">
        <f t="shared" si="37"/>
        <v>4.2149631190727115E-2</v>
      </c>
      <c r="U239" s="1326">
        <v>41145</v>
      </c>
      <c r="V239" s="1314">
        <v>25.01</v>
      </c>
      <c r="W239" s="1314">
        <f t="shared" si="38"/>
        <v>1.9983686786296983E-2</v>
      </c>
      <c r="Y239" s="1326">
        <v>41145</v>
      </c>
      <c r="Z239" s="1314">
        <v>9.83</v>
      </c>
      <c r="AA239" s="1314">
        <f t="shared" si="39"/>
        <v>2.8242677824267735E-2</v>
      </c>
      <c r="AC239" s="1326">
        <v>41145</v>
      </c>
      <c r="AD239" s="1314">
        <v>11.85</v>
      </c>
      <c r="AE239" s="1314">
        <f t="shared" si="40"/>
        <v>2.0671834625323016E-2</v>
      </c>
      <c r="AG239" s="1326">
        <v>41145</v>
      </c>
      <c r="AH239" s="1314">
        <v>4.9000000000000004</v>
      </c>
      <c r="AI239" s="1314">
        <f t="shared" si="41"/>
        <v>4.2553191489361736E-2</v>
      </c>
      <c r="AK239" s="1326">
        <v>41145</v>
      </c>
      <c r="AL239" s="1314">
        <v>-1.05</v>
      </c>
      <c r="AN239" s="1326">
        <v>41145</v>
      </c>
      <c r="AO239" s="1314">
        <v>0.22</v>
      </c>
      <c r="AQ239" s="1326">
        <v>41145</v>
      </c>
      <c r="AR239" s="1327">
        <v>2.1800000000000002</v>
      </c>
      <c r="AT239" s="1326">
        <v>41145</v>
      </c>
      <c r="AU239" s="1314">
        <v>830.66</v>
      </c>
      <c r="AV239" s="1314">
        <f t="shared" si="42"/>
        <v>2.1716574572303578E-3</v>
      </c>
      <c r="AX239" s="1314">
        <v>2.8010999999999999</v>
      </c>
      <c r="AY239" s="1314">
        <f t="shared" si="43"/>
        <v>4.8198181341915218E-2</v>
      </c>
    </row>
    <row r="240" spans="1:51" x14ac:dyDescent="0.75">
      <c r="A240" s="1326">
        <v>41138</v>
      </c>
      <c r="B240" s="1314">
        <v>835.25</v>
      </c>
      <c r="C240" s="1314">
        <f t="shared" si="44"/>
        <v>5.5257265307105579E-3</v>
      </c>
      <c r="E240" s="1326">
        <v>41138</v>
      </c>
      <c r="F240" s="1314">
        <v>9.66</v>
      </c>
      <c r="G240" s="1314">
        <f t="shared" si="34"/>
        <v>2.2222222222222313E-2</v>
      </c>
      <c r="I240" s="1326">
        <v>41138</v>
      </c>
      <c r="J240" s="1314">
        <v>4.84</v>
      </c>
      <c r="K240" s="1314">
        <f t="shared" si="35"/>
        <v>-2.061855670103049E-3</v>
      </c>
      <c r="M240" s="1326">
        <v>41138</v>
      </c>
      <c r="N240" s="1314">
        <v>7.95</v>
      </c>
      <c r="O240" s="1314">
        <f t="shared" si="36"/>
        <v>5.2980132450331174E-2</v>
      </c>
      <c r="Q240" s="1326">
        <v>41138</v>
      </c>
      <c r="R240" s="1314">
        <v>9.9</v>
      </c>
      <c r="S240" s="1314">
        <f t="shared" si="37"/>
        <v>1.0111223458038206E-3</v>
      </c>
      <c r="U240" s="1326">
        <v>41138</v>
      </c>
      <c r="V240" s="1314">
        <v>25.52</v>
      </c>
      <c r="W240" s="1314">
        <f t="shared" si="38"/>
        <v>2.0391843262694841E-2</v>
      </c>
      <c r="Y240" s="1326">
        <v>41138</v>
      </c>
      <c r="Z240" s="1314">
        <v>10.02</v>
      </c>
      <c r="AA240" s="1314">
        <f t="shared" si="39"/>
        <v>1.9328585961342779E-2</v>
      </c>
      <c r="AC240" s="1326">
        <v>41138</v>
      </c>
      <c r="AD240" s="1314">
        <v>12.36</v>
      </c>
      <c r="AE240" s="1314">
        <f t="shared" si="40"/>
        <v>4.303797468354429E-2</v>
      </c>
      <c r="AG240" s="1326">
        <v>41138</v>
      </c>
      <c r="AH240" s="1314">
        <v>5.35</v>
      </c>
      <c r="AI240" s="1314">
        <f t="shared" si="41"/>
        <v>9.1836734693877403E-2</v>
      </c>
      <c r="AK240" s="1326">
        <v>41138</v>
      </c>
      <c r="AL240" s="1314">
        <v>1.2</v>
      </c>
      <c r="AN240" s="1326">
        <v>41138</v>
      </c>
      <c r="AO240" s="1314">
        <v>-0.18</v>
      </c>
      <c r="AQ240" s="1326">
        <v>41138</v>
      </c>
      <c r="AR240" s="1327">
        <v>2.2200000000000002</v>
      </c>
      <c r="AT240" s="1326">
        <v>41138</v>
      </c>
      <c r="AU240" s="1314">
        <v>835.25</v>
      </c>
      <c r="AV240" s="1314">
        <f t="shared" si="42"/>
        <v>5.5257265307105579E-3</v>
      </c>
      <c r="AX240" s="1314">
        <v>2.9308999999999998</v>
      </c>
      <c r="AY240" s="1314">
        <f t="shared" si="43"/>
        <v>4.6338938274249376E-2</v>
      </c>
    </row>
    <row r="241" spans="1:51" x14ac:dyDescent="0.75">
      <c r="A241" s="1326">
        <v>41131</v>
      </c>
      <c r="B241" s="1314">
        <v>826.66300000000001</v>
      </c>
      <c r="C241" s="1314">
        <f t="shared" si="44"/>
        <v>-1.028075426519005E-2</v>
      </c>
      <c r="E241" s="1326">
        <v>41131</v>
      </c>
      <c r="F241" s="1314">
        <v>9.08</v>
      </c>
      <c r="G241" s="1314">
        <f t="shared" si="34"/>
        <v>-6.0041407867494831E-2</v>
      </c>
      <c r="I241" s="1326">
        <v>41131</v>
      </c>
      <c r="J241" s="1314">
        <v>4.7300000000000004</v>
      </c>
      <c r="K241" s="1314">
        <f t="shared" si="35"/>
        <v>-2.272727272727261E-2</v>
      </c>
      <c r="M241" s="1326">
        <v>41131</v>
      </c>
      <c r="N241" s="1314">
        <v>7.55</v>
      </c>
      <c r="O241" s="1314">
        <f t="shared" si="36"/>
        <v>-5.0314465408805076E-2</v>
      </c>
      <c r="Q241" s="1326">
        <v>41131</v>
      </c>
      <c r="R241" s="1314">
        <v>8.57</v>
      </c>
      <c r="S241" s="1314">
        <f t="shared" si="37"/>
        <v>-0.13434343434343435</v>
      </c>
      <c r="U241" s="1326">
        <v>41131</v>
      </c>
      <c r="V241" s="1314">
        <v>25.08</v>
      </c>
      <c r="W241" s="1314">
        <f t="shared" si="38"/>
        <v>-1.7241379310344879E-2</v>
      </c>
      <c r="Y241" s="1326">
        <v>41131</v>
      </c>
      <c r="Z241" s="1314">
        <v>10.24</v>
      </c>
      <c r="AA241" s="1314">
        <f t="shared" si="39"/>
        <v>2.1956087824351361E-2</v>
      </c>
      <c r="AC241" s="1326">
        <v>41131</v>
      </c>
      <c r="AD241" s="1314">
        <v>11.93</v>
      </c>
      <c r="AE241" s="1314">
        <f t="shared" si="40"/>
        <v>-3.4789644012944959E-2</v>
      </c>
      <c r="AG241" s="1326">
        <v>41131</v>
      </c>
      <c r="AH241" s="1314">
        <v>5.14</v>
      </c>
      <c r="AI241" s="1314">
        <f t="shared" si="41"/>
        <v>-3.925233644859813E-2</v>
      </c>
      <c r="AK241" s="1326">
        <v>41131</v>
      </c>
      <c r="AL241" s="1314">
        <v>0.71</v>
      </c>
      <c r="AN241" s="1326">
        <v>41131</v>
      </c>
      <c r="AO241" s="1314">
        <v>0.88</v>
      </c>
      <c r="AQ241" s="1326">
        <v>41131</v>
      </c>
      <c r="AR241" s="1327">
        <v>2.17</v>
      </c>
      <c r="AT241" s="1326">
        <v>41131</v>
      </c>
      <c r="AU241" s="1314">
        <v>826.66300000000001</v>
      </c>
      <c r="AV241" s="1314">
        <f t="shared" si="42"/>
        <v>-1.028075426519005E-2</v>
      </c>
      <c r="AX241" s="1314">
        <v>2.7507999999999999</v>
      </c>
      <c r="AY241" s="1314">
        <f t="shared" si="43"/>
        <v>-6.1448701763963269E-2</v>
      </c>
    </row>
    <row r="242" spans="1:51" x14ac:dyDescent="0.75">
      <c r="A242" s="1326">
        <v>41124</v>
      </c>
      <c r="B242" s="1314">
        <v>816.85</v>
      </c>
      <c r="C242" s="1314">
        <f t="shared" si="44"/>
        <v>-1.1870617168060005E-2</v>
      </c>
      <c r="E242" s="1326">
        <v>41124</v>
      </c>
      <c r="F242" s="1314">
        <v>9.02</v>
      </c>
      <c r="G242" s="1314">
        <f t="shared" si="34"/>
        <v>-6.607929515418557E-3</v>
      </c>
      <c r="I242" s="1326">
        <v>41124</v>
      </c>
      <c r="J242" s="1314">
        <v>4.21</v>
      </c>
      <c r="K242" s="1314">
        <f t="shared" si="35"/>
        <v>-0.10993657505285422</v>
      </c>
      <c r="M242" s="1326">
        <v>41124</v>
      </c>
      <c r="N242" s="1314">
        <v>7.47</v>
      </c>
      <c r="O242" s="1314">
        <f t="shared" si="36"/>
        <v>-1.0596026490066236E-2</v>
      </c>
      <c r="Q242" s="1326">
        <v>41124</v>
      </c>
      <c r="R242" s="1314">
        <v>7.19</v>
      </c>
      <c r="S242" s="1314">
        <f t="shared" si="37"/>
        <v>-0.16102683780630103</v>
      </c>
      <c r="U242" s="1326">
        <v>41124</v>
      </c>
      <c r="V242" s="1314">
        <v>24.54</v>
      </c>
      <c r="W242" s="1314">
        <f t="shared" si="38"/>
        <v>-2.1531100478468866E-2</v>
      </c>
      <c r="Y242" s="1326">
        <v>41124</v>
      </c>
      <c r="Z242" s="1314">
        <v>9.73</v>
      </c>
      <c r="AA242" s="1314">
        <f t="shared" si="39"/>
        <v>-4.9804687499999979E-2</v>
      </c>
      <c r="AC242" s="1326">
        <v>41124</v>
      </c>
      <c r="AD242" s="1314">
        <v>10.48</v>
      </c>
      <c r="AE242" s="1314">
        <f t="shared" si="40"/>
        <v>-0.12154233025984906</v>
      </c>
      <c r="AG242" s="1326">
        <v>41124</v>
      </c>
      <c r="AH242" s="1314">
        <v>5.0199999999999996</v>
      </c>
      <c r="AI242" s="1314">
        <f t="shared" si="41"/>
        <v>-2.3346303501945546E-2</v>
      </c>
      <c r="AK242" s="1326">
        <v>41124</v>
      </c>
      <c r="AL242" s="1314">
        <v>-1.25</v>
      </c>
      <c r="AN242" s="1326">
        <v>41124</v>
      </c>
      <c r="AO242" s="1314">
        <v>0.99</v>
      </c>
      <c r="AQ242" s="1326">
        <v>41124</v>
      </c>
      <c r="AR242" s="1327">
        <v>2.12</v>
      </c>
      <c r="AT242" s="1326">
        <v>41124</v>
      </c>
      <c r="AU242" s="1314">
        <v>816.85</v>
      </c>
      <c r="AV242" s="1314">
        <f t="shared" si="42"/>
        <v>-1.1870617168060005E-2</v>
      </c>
      <c r="AX242" s="1314">
        <v>2.6435</v>
      </c>
      <c r="AY242" s="1314">
        <f t="shared" si="43"/>
        <v>-3.9006834375454394E-2</v>
      </c>
    </row>
    <row r="243" spans="1:51" x14ac:dyDescent="0.75">
      <c r="A243" s="1326">
        <v>41117</v>
      </c>
      <c r="B243" s="1314">
        <v>815.31</v>
      </c>
      <c r="C243" s="1314">
        <f t="shared" si="44"/>
        <v>-1.8852910571097231E-3</v>
      </c>
      <c r="E243" s="1326">
        <v>41117</v>
      </c>
      <c r="F243" s="1314">
        <v>9.86</v>
      </c>
      <c r="G243" s="1314">
        <f t="shared" si="34"/>
        <v>9.3126385809312623E-2</v>
      </c>
      <c r="I243" s="1326">
        <v>41117</v>
      </c>
      <c r="J243" s="1314">
        <v>4.1399999999999997</v>
      </c>
      <c r="K243" s="1314">
        <f t="shared" si="35"/>
        <v>-1.6627078384798169E-2</v>
      </c>
      <c r="M243" s="1326">
        <v>41117</v>
      </c>
      <c r="N243" s="1314">
        <v>7.59</v>
      </c>
      <c r="O243" s="1314">
        <f t="shared" si="36"/>
        <v>1.6064257028112466E-2</v>
      </c>
      <c r="Q243" s="1326">
        <v>41117</v>
      </c>
      <c r="R243" s="1314">
        <v>7.79</v>
      </c>
      <c r="S243" s="1314">
        <f t="shared" si="37"/>
        <v>8.3449235048678669E-2</v>
      </c>
      <c r="U243" s="1326">
        <v>41117</v>
      </c>
      <c r="V243" s="1314">
        <v>24.39</v>
      </c>
      <c r="W243" s="1314">
        <f t="shared" si="38"/>
        <v>-6.112469437652754E-3</v>
      </c>
      <c r="Y243" s="1326">
        <v>41117</v>
      </c>
      <c r="Z243" s="1314">
        <v>8.7899999999999991</v>
      </c>
      <c r="AA243" s="1314">
        <f t="shared" si="39"/>
        <v>-9.6608427543679473E-2</v>
      </c>
      <c r="AC243" s="1326">
        <v>41117</v>
      </c>
      <c r="AD243" s="1314">
        <v>10.72</v>
      </c>
      <c r="AE243" s="1314">
        <f t="shared" si="40"/>
        <v>2.2900763358778647E-2</v>
      </c>
      <c r="AG243" s="1326">
        <v>41117</v>
      </c>
      <c r="AH243" s="1314">
        <v>4.83</v>
      </c>
      <c r="AI243" s="1314">
        <f t="shared" si="41"/>
        <v>-3.7848605577689147E-2</v>
      </c>
      <c r="AK243" s="1326">
        <v>41117</v>
      </c>
      <c r="AL243" s="1314">
        <v>-1.26</v>
      </c>
      <c r="AN243" s="1326">
        <v>41117</v>
      </c>
      <c r="AO243" s="1314">
        <v>0.85</v>
      </c>
      <c r="AQ243" s="1326">
        <v>41117</v>
      </c>
      <c r="AR243" s="1327">
        <v>2.13</v>
      </c>
      <c r="AT243" s="1326">
        <v>41117</v>
      </c>
      <c r="AU243" s="1314">
        <v>815.31</v>
      </c>
      <c r="AV243" s="1314">
        <f t="shared" si="42"/>
        <v>-1.8852910571097231E-3</v>
      </c>
      <c r="AX243" s="1314">
        <v>2.6276999999999999</v>
      </c>
      <c r="AY243" s="1314">
        <f t="shared" si="43"/>
        <v>-5.9769245318706402E-3</v>
      </c>
    </row>
    <row r="244" spans="1:51" x14ac:dyDescent="0.75">
      <c r="A244" s="1326">
        <v>41110</v>
      </c>
      <c r="B244" s="1314">
        <v>802.87</v>
      </c>
      <c r="C244" s="1314">
        <f t="shared" si="44"/>
        <v>-1.5258000024530476E-2</v>
      </c>
      <c r="E244" s="1326">
        <v>41110</v>
      </c>
      <c r="F244" s="1314">
        <v>9.64</v>
      </c>
      <c r="G244" s="1314">
        <f t="shared" si="34"/>
        <v>-2.2312373225152015E-2</v>
      </c>
      <c r="I244" s="1326">
        <v>41110</v>
      </c>
      <c r="J244" s="1314">
        <v>4.3</v>
      </c>
      <c r="K244" s="1314">
        <f t="shared" si="35"/>
        <v>3.8647342995169122E-2</v>
      </c>
      <c r="M244" s="1326">
        <v>41110</v>
      </c>
      <c r="N244" s="1314">
        <v>7.62</v>
      </c>
      <c r="O244" s="1314">
        <f t="shared" si="36"/>
        <v>3.952569169960507E-3</v>
      </c>
      <c r="Q244" s="1326">
        <v>41110</v>
      </c>
      <c r="R244" s="1314">
        <v>8.17</v>
      </c>
      <c r="S244" s="1314">
        <f t="shared" si="37"/>
        <v>4.8780487804878037E-2</v>
      </c>
      <c r="U244" s="1326">
        <v>41110</v>
      </c>
      <c r="V244" s="1314">
        <v>23.52</v>
      </c>
      <c r="W244" s="1314">
        <f t="shared" si="38"/>
        <v>-3.5670356703567073E-2</v>
      </c>
      <c r="Y244" s="1326">
        <v>41110</v>
      </c>
      <c r="Z244" s="1314">
        <v>8.5399999999999991</v>
      </c>
      <c r="AA244" s="1314">
        <f t="shared" si="39"/>
        <v>-2.8441410693970423E-2</v>
      </c>
      <c r="AC244" s="1326">
        <v>41110</v>
      </c>
      <c r="AD244" s="1314">
        <v>10.81</v>
      </c>
      <c r="AE244" s="1314">
        <f t="shared" si="40"/>
        <v>8.3955223880596876E-3</v>
      </c>
      <c r="AG244" s="1326">
        <v>41110</v>
      </c>
      <c r="AH244" s="1314">
        <v>4.84</v>
      </c>
      <c r="AI244" s="1314">
        <f t="shared" si="41"/>
        <v>2.0703933747411567E-3</v>
      </c>
      <c r="AK244" s="1326">
        <v>41110</v>
      </c>
      <c r="AL244" s="1314">
        <v>-1.32</v>
      </c>
      <c r="AN244" s="1326">
        <v>41110</v>
      </c>
      <c r="AO244" s="1314">
        <v>-1.63</v>
      </c>
      <c r="AQ244" s="1326">
        <v>41110</v>
      </c>
      <c r="AR244" s="1327">
        <v>2.17</v>
      </c>
      <c r="AT244" s="1326">
        <v>41110</v>
      </c>
      <c r="AU244" s="1314">
        <v>802.87</v>
      </c>
      <c r="AV244" s="1314">
        <f t="shared" si="42"/>
        <v>-1.5258000024530476E-2</v>
      </c>
      <c r="AX244" s="1314">
        <v>2.5448</v>
      </c>
      <c r="AY244" s="1314">
        <f t="shared" si="43"/>
        <v>-3.1548502492674192E-2</v>
      </c>
    </row>
    <row r="245" spans="1:51" x14ac:dyDescent="0.75">
      <c r="A245" s="1326">
        <v>41103</v>
      </c>
      <c r="B245" s="1314">
        <v>800.93</v>
      </c>
      <c r="C245" s="1314">
        <f t="shared" si="44"/>
        <v>-2.4163314110628802E-3</v>
      </c>
      <c r="E245" s="1326">
        <v>41103</v>
      </c>
      <c r="F245" s="1314">
        <v>10.335000000000001</v>
      </c>
      <c r="G245" s="1314">
        <f t="shared" si="34"/>
        <v>7.2095435684647324E-2</v>
      </c>
      <c r="I245" s="1326">
        <v>41103</v>
      </c>
      <c r="J245" s="1314">
        <v>5.16</v>
      </c>
      <c r="K245" s="1314">
        <f t="shared" si="35"/>
        <v>0.20000000000000009</v>
      </c>
      <c r="M245" s="1326">
        <v>41103</v>
      </c>
      <c r="N245" s="1314">
        <v>8.1300000000000008</v>
      </c>
      <c r="O245" s="1314">
        <f t="shared" si="36"/>
        <v>6.6929133858267806E-2</v>
      </c>
      <c r="Q245" s="1326">
        <v>41103</v>
      </c>
      <c r="R245" s="1314">
        <v>8.9499999999999993</v>
      </c>
      <c r="S245" s="1314">
        <f t="shared" si="37"/>
        <v>9.5471236230110085E-2</v>
      </c>
      <c r="U245" s="1326">
        <v>41103</v>
      </c>
      <c r="V245" s="1314">
        <v>22.97</v>
      </c>
      <c r="W245" s="1314">
        <f t="shared" si="38"/>
        <v>-2.3384353741496628E-2</v>
      </c>
      <c r="Y245" s="1326">
        <v>41103</v>
      </c>
      <c r="Z245" s="1314">
        <v>8.75</v>
      </c>
      <c r="AA245" s="1314">
        <f t="shared" si="39"/>
        <v>2.4590163934426333E-2</v>
      </c>
      <c r="AC245" s="1326">
        <v>41103</v>
      </c>
      <c r="AD245" s="1314">
        <v>11.97</v>
      </c>
      <c r="AE245" s="1314">
        <f t="shared" si="40"/>
        <v>0.10730804810360778</v>
      </c>
      <c r="AG245" s="1326">
        <v>41103</v>
      </c>
      <c r="AH245" s="1314">
        <v>4.71</v>
      </c>
      <c r="AI245" s="1314">
        <f t="shared" si="41"/>
        <v>-2.6859504132231385E-2</v>
      </c>
      <c r="AK245" s="1326">
        <v>41103</v>
      </c>
      <c r="AL245" s="1314">
        <v>-1.18</v>
      </c>
      <c r="AN245" s="1326">
        <v>41103</v>
      </c>
      <c r="AO245" s="1314">
        <v>0.53</v>
      </c>
      <c r="AQ245" s="1326">
        <v>41103</v>
      </c>
      <c r="AR245" s="1327">
        <v>2.27</v>
      </c>
      <c r="AT245" s="1326">
        <v>41103</v>
      </c>
      <c r="AU245" s="1314">
        <v>800.93</v>
      </c>
      <c r="AV245" s="1314">
        <f t="shared" si="42"/>
        <v>-2.4163314110628802E-3</v>
      </c>
      <c r="AX245" s="1314">
        <v>2.5727000000000002</v>
      </c>
      <c r="AY245" s="1314">
        <f t="shared" si="43"/>
        <v>1.0963533480037825E-2</v>
      </c>
    </row>
    <row r="246" spans="1:51" x14ac:dyDescent="0.75">
      <c r="A246" s="1326">
        <v>41096</v>
      </c>
      <c r="B246" s="1314">
        <v>801.1</v>
      </c>
      <c r="C246" s="1314">
        <f t="shared" si="44"/>
        <v>2.1225325559046703E-4</v>
      </c>
      <c r="E246" s="1326">
        <v>41096</v>
      </c>
      <c r="F246" s="1314">
        <v>10.9</v>
      </c>
      <c r="G246" s="1314">
        <f t="shared" si="34"/>
        <v>5.4668601838413107E-2</v>
      </c>
      <c r="I246" s="1326">
        <v>41096</v>
      </c>
      <c r="J246" s="1314">
        <v>5.63</v>
      </c>
      <c r="K246" s="1314">
        <f t="shared" si="35"/>
        <v>9.1085271317829411E-2</v>
      </c>
      <c r="M246" s="1326">
        <v>41096</v>
      </c>
      <c r="N246" s="1314">
        <v>8.2799999999999994</v>
      </c>
      <c r="O246" s="1314">
        <f t="shared" si="36"/>
        <v>1.8450184501844841E-2</v>
      </c>
      <c r="Q246" s="1326">
        <v>41096</v>
      </c>
      <c r="R246" s="1314">
        <v>8.93</v>
      </c>
      <c r="S246" s="1314">
        <f t="shared" si="37"/>
        <v>-2.2346368715083324E-3</v>
      </c>
      <c r="U246" s="1326">
        <v>41096</v>
      </c>
      <c r="V246" s="1314">
        <v>24.18</v>
      </c>
      <c r="W246" s="1314">
        <f t="shared" si="38"/>
        <v>5.267740531127562E-2</v>
      </c>
      <c r="Y246" s="1326">
        <v>41096</v>
      </c>
      <c r="Z246" s="1314">
        <v>9.1199999999999992</v>
      </c>
      <c r="AA246" s="1314">
        <f t="shared" si="39"/>
        <v>4.2285714285714197E-2</v>
      </c>
      <c r="AC246" s="1326">
        <v>41096</v>
      </c>
      <c r="AD246" s="1314">
        <v>13.11</v>
      </c>
      <c r="AE246" s="1314">
        <f t="shared" si="40"/>
        <v>9.5238095238095136E-2</v>
      </c>
      <c r="AG246" s="1326">
        <v>41096</v>
      </c>
      <c r="AH246" s="1314">
        <v>4.45</v>
      </c>
      <c r="AI246" s="1314">
        <f t="shared" si="41"/>
        <v>-5.5201698513800378E-2</v>
      </c>
      <c r="AK246" s="1326">
        <v>41096</v>
      </c>
      <c r="AL246" s="1314">
        <v>1.55</v>
      </c>
      <c r="AN246" s="1326">
        <v>41096</v>
      </c>
      <c r="AO246" s="1314">
        <v>-0.47</v>
      </c>
      <c r="AQ246" s="1326">
        <v>41096</v>
      </c>
      <c r="AR246" s="1327">
        <v>2.37</v>
      </c>
      <c r="AT246" s="1326">
        <v>41096</v>
      </c>
      <c r="AU246" s="1314">
        <v>801.1</v>
      </c>
      <c r="AV246" s="1314">
        <f t="shared" si="42"/>
        <v>2.1225325559046703E-4</v>
      </c>
      <c r="AX246" s="1314">
        <v>2.6616</v>
      </c>
      <c r="AY246" s="1314">
        <f t="shared" si="43"/>
        <v>3.4555136626889943E-2</v>
      </c>
    </row>
    <row r="247" spans="1:51" x14ac:dyDescent="0.75">
      <c r="A247" s="1326">
        <v>41089</v>
      </c>
      <c r="B247" s="1314">
        <v>803.63</v>
      </c>
      <c r="C247" s="1314">
        <f t="shared" si="44"/>
        <v>3.1581575333915523E-3</v>
      </c>
      <c r="E247" s="1326">
        <v>41089</v>
      </c>
      <c r="F247" s="1314">
        <v>11.14</v>
      </c>
      <c r="G247" s="1314">
        <f t="shared" si="34"/>
        <v>2.201834862385323E-2</v>
      </c>
      <c r="I247" s="1326">
        <v>41089</v>
      </c>
      <c r="J247" s="1314">
        <v>5.74</v>
      </c>
      <c r="K247" s="1314">
        <f t="shared" si="35"/>
        <v>1.9538188277087091E-2</v>
      </c>
      <c r="M247" s="1326">
        <v>41089</v>
      </c>
      <c r="N247" s="1314">
        <v>8.1300000000000008</v>
      </c>
      <c r="O247" s="1314">
        <f t="shared" si="36"/>
        <v>-1.8115942028985338E-2</v>
      </c>
      <c r="Q247" s="1326">
        <v>41089</v>
      </c>
      <c r="R247" s="1314">
        <v>9.15</v>
      </c>
      <c r="S247" s="1314">
        <f t="shared" si="37"/>
        <v>2.4636058230683162E-2</v>
      </c>
      <c r="U247" s="1326">
        <v>41089</v>
      </c>
      <c r="V247" s="1314">
        <v>24.32</v>
      </c>
      <c r="W247" s="1314">
        <f t="shared" si="38"/>
        <v>5.7899090157154907E-3</v>
      </c>
      <c r="Y247" s="1326">
        <v>41089</v>
      </c>
      <c r="Z247" s="1314">
        <v>9.43</v>
      </c>
      <c r="AA247" s="1314">
        <f t="shared" si="39"/>
        <v>3.3991228070175496E-2</v>
      </c>
      <c r="AC247" s="1326">
        <v>41089</v>
      </c>
      <c r="AD247" s="1314">
        <v>13.22</v>
      </c>
      <c r="AE247" s="1314">
        <f t="shared" si="40"/>
        <v>8.390541571319696E-3</v>
      </c>
      <c r="AG247" s="1326">
        <v>41089</v>
      </c>
      <c r="AH247" s="1314">
        <v>4.42</v>
      </c>
      <c r="AI247" s="1314">
        <f t="shared" si="41"/>
        <v>-6.7415730337079208E-3</v>
      </c>
      <c r="AK247" s="1326">
        <v>41089</v>
      </c>
      <c r="AL247" s="1314">
        <v>0.89</v>
      </c>
      <c r="AN247" s="1326">
        <v>41089</v>
      </c>
      <c r="AO247" s="1314">
        <v>0.03</v>
      </c>
      <c r="AQ247" s="1326">
        <v>41089</v>
      </c>
      <c r="AR247" s="1327">
        <v>2.4700000000000002</v>
      </c>
      <c r="AT247" s="1326">
        <v>41089</v>
      </c>
      <c r="AU247" s="1314">
        <v>803.63</v>
      </c>
      <c r="AV247" s="1314">
        <f t="shared" si="42"/>
        <v>3.1581575333915523E-3</v>
      </c>
      <c r="AX247" s="1314">
        <v>2.7532999999999999</v>
      </c>
      <c r="AY247" s="1314">
        <f t="shared" si="43"/>
        <v>3.4452960625187816E-2</v>
      </c>
    </row>
    <row r="248" spans="1:51" x14ac:dyDescent="0.75">
      <c r="A248" s="1326">
        <v>41082</v>
      </c>
      <c r="B248" s="1314">
        <v>786.85</v>
      </c>
      <c r="C248" s="1314">
        <f t="shared" si="44"/>
        <v>-2.0880255839129915E-2</v>
      </c>
      <c r="E248" s="1326">
        <v>41082</v>
      </c>
      <c r="F248" s="1314">
        <v>11.04</v>
      </c>
      <c r="G248" s="1314">
        <f t="shared" si="34"/>
        <v>-8.9766606822263388E-3</v>
      </c>
      <c r="I248" s="1326">
        <v>41082</v>
      </c>
      <c r="J248" s="1314">
        <v>5.63</v>
      </c>
      <c r="K248" s="1314">
        <f t="shared" si="35"/>
        <v>-1.9163763066202145E-2</v>
      </c>
      <c r="M248" s="1326">
        <v>41082</v>
      </c>
      <c r="N248" s="1314">
        <v>7.9</v>
      </c>
      <c r="O248" s="1314">
        <f t="shared" si="36"/>
        <v>-2.8290282902829079E-2</v>
      </c>
      <c r="Q248" s="1326">
        <v>41082</v>
      </c>
      <c r="R248" s="1314">
        <v>9.2100000000000009</v>
      </c>
      <c r="S248" s="1314">
        <f t="shared" si="37"/>
        <v>6.5573770491803816E-3</v>
      </c>
      <c r="U248" s="1326">
        <v>41082</v>
      </c>
      <c r="V248" s="1314">
        <v>23.59</v>
      </c>
      <c r="W248" s="1314">
        <f t="shared" si="38"/>
        <v>-3.001644736842107E-2</v>
      </c>
      <c r="Y248" s="1326">
        <v>41082</v>
      </c>
      <c r="Z248" s="1314">
        <v>9.34</v>
      </c>
      <c r="AA248" s="1314">
        <f t="shared" si="39"/>
        <v>-9.5440084835630816E-3</v>
      </c>
      <c r="AC248" s="1326">
        <v>41082</v>
      </c>
      <c r="AD248" s="1314">
        <v>13.41</v>
      </c>
      <c r="AE248" s="1314">
        <f t="shared" si="40"/>
        <v>1.4372163388804803E-2</v>
      </c>
      <c r="AG248" s="1326">
        <v>41082</v>
      </c>
      <c r="AH248" s="1314">
        <v>3.82</v>
      </c>
      <c r="AI248" s="1314">
        <f t="shared" si="41"/>
        <v>-0.13574660633484165</v>
      </c>
      <c r="AK248" s="1326">
        <v>41082</v>
      </c>
      <c r="AL248" s="1314">
        <v>1.17</v>
      </c>
      <c r="AN248" s="1326">
        <v>41082</v>
      </c>
      <c r="AO248" s="1314">
        <v>-0.19</v>
      </c>
      <c r="AQ248" s="1326">
        <v>41082</v>
      </c>
      <c r="AR248" s="1327">
        <v>2.5</v>
      </c>
      <c r="AT248" s="1326">
        <v>41082</v>
      </c>
      <c r="AU248" s="1314">
        <v>786.85</v>
      </c>
      <c r="AV248" s="1314">
        <f t="shared" si="42"/>
        <v>-2.0880255839129915E-2</v>
      </c>
      <c r="AX248" s="1314">
        <v>2.7616000000000001</v>
      </c>
      <c r="AY248" s="1314">
        <f t="shared" si="43"/>
        <v>3.0145643409727222E-3</v>
      </c>
    </row>
    <row r="249" spans="1:51" x14ac:dyDescent="0.75">
      <c r="A249" s="1326">
        <v>41075</v>
      </c>
      <c r="B249" s="1314">
        <v>790.5</v>
      </c>
      <c r="C249" s="1314">
        <f t="shared" si="44"/>
        <v>4.6387494439854831E-3</v>
      </c>
      <c r="E249" s="1326">
        <v>41075</v>
      </c>
      <c r="F249" s="1314">
        <v>11.39</v>
      </c>
      <c r="G249" s="1314">
        <f t="shared" si="34"/>
        <v>3.1702898550724772E-2</v>
      </c>
      <c r="I249" s="1326">
        <v>41075</v>
      </c>
      <c r="J249" s="1314">
        <v>6.09</v>
      </c>
      <c r="K249" s="1314">
        <f t="shared" si="35"/>
        <v>8.1705150976909405E-2</v>
      </c>
      <c r="M249" s="1326">
        <v>41075</v>
      </c>
      <c r="N249" s="1314">
        <v>7.98</v>
      </c>
      <c r="O249" s="1314">
        <f t="shared" si="36"/>
        <v>1.0126582278481022E-2</v>
      </c>
      <c r="Q249" s="1326">
        <v>41075</v>
      </c>
      <c r="R249" s="1314">
        <v>9.36</v>
      </c>
      <c r="S249" s="1314">
        <f t="shared" si="37"/>
        <v>1.6286644951139909E-2</v>
      </c>
      <c r="U249" s="1326">
        <v>41075</v>
      </c>
      <c r="V249" s="1314">
        <v>23.96</v>
      </c>
      <c r="W249" s="1314">
        <f t="shared" si="38"/>
        <v>1.5684612123781305E-2</v>
      </c>
      <c r="Y249" s="1326">
        <v>41075</v>
      </c>
      <c r="Z249" s="1314">
        <v>9.65</v>
      </c>
      <c r="AA249" s="1314">
        <f t="shared" si="39"/>
        <v>3.31905781584583E-2</v>
      </c>
      <c r="AC249" s="1326">
        <v>41075</v>
      </c>
      <c r="AD249" s="1314">
        <v>13.5</v>
      </c>
      <c r="AE249" s="1314">
        <f t="shared" si="40"/>
        <v>6.7114093959731438E-3</v>
      </c>
      <c r="AG249" s="1326">
        <v>41075</v>
      </c>
      <c r="AH249" s="1314">
        <v>3.81</v>
      </c>
      <c r="AI249" s="1314">
        <f t="shared" si="41"/>
        <v>-2.6178010471203631E-3</v>
      </c>
      <c r="AK249" s="1326">
        <v>41075</v>
      </c>
      <c r="AL249" s="1314">
        <v>-1.04</v>
      </c>
      <c r="AN249" s="1326">
        <v>41075</v>
      </c>
      <c r="AO249" s="1314">
        <v>0.66</v>
      </c>
      <c r="AQ249" s="1326">
        <v>41075</v>
      </c>
      <c r="AR249" s="1327">
        <v>2.5299999999999998</v>
      </c>
      <c r="AT249" s="1326">
        <v>41075</v>
      </c>
      <c r="AU249" s="1314">
        <v>790.5</v>
      </c>
      <c r="AV249" s="1314">
        <f t="shared" si="42"/>
        <v>4.6387494439854831E-3</v>
      </c>
      <c r="AX249" s="1314">
        <v>2.6840000000000002</v>
      </c>
      <c r="AY249" s="1314">
        <f t="shared" si="43"/>
        <v>-2.8099652375434492E-2</v>
      </c>
    </row>
    <row r="250" spans="1:51" x14ac:dyDescent="0.75">
      <c r="A250" s="1326">
        <v>41068</v>
      </c>
      <c r="B250" s="1314">
        <v>782.56</v>
      </c>
      <c r="C250" s="1314">
        <f t="shared" si="44"/>
        <v>-1.0044275774826129E-2</v>
      </c>
      <c r="E250" s="1326">
        <v>41068</v>
      </c>
      <c r="F250" s="1314">
        <v>10.64</v>
      </c>
      <c r="G250" s="1314">
        <f t="shared" si="34"/>
        <v>-6.5847234416154518E-2</v>
      </c>
      <c r="I250" s="1326">
        <v>41068</v>
      </c>
      <c r="J250" s="1314">
        <v>4.8600000000000003</v>
      </c>
      <c r="K250" s="1314">
        <f t="shared" si="35"/>
        <v>-0.20197044334975361</v>
      </c>
      <c r="M250" s="1326">
        <v>41068</v>
      </c>
      <c r="N250" s="1314">
        <v>7.96</v>
      </c>
      <c r="O250" s="1314">
        <f t="shared" si="36"/>
        <v>-2.5062656641604585E-3</v>
      </c>
      <c r="Q250" s="1326">
        <v>41068</v>
      </c>
      <c r="R250" s="1314">
        <v>9.32</v>
      </c>
      <c r="S250" s="1314">
        <f t="shared" si="37"/>
        <v>-4.2735042735041829E-3</v>
      </c>
      <c r="U250" s="1326">
        <v>41068</v>
      </c>
      <c r="V250" s="1314">
        <v>24.37</v>
      </c>
      <c r="W250" s="1314">
        <f t="shared" si="38"/>
        <v>1.7111853088480806E-2</v>
      </c>
      <c r="Y250" s="1326">
        <v>41068</v>
      </c>
      <c r="Z250" s="1314">
        <v>10.39</v>
      </c>
      <c r="AA250" s="1314">
        <f t="shared" si="39"/>
        <v>7.6683937823834217E-2</v>
      </c>
      <c r="AC250" s="1326">
        <v>41068</v>
      </c>
      <c r="AD250" s="1314">
        <v>13.12</v>
      </c>
      <c r="AE250" s="1314">
        <f t="shared" si="40"/>
        <v>-2.8148148148148207E-2</v>
      </c>
      <c r="AG250" s="1326">
        <v>41068</v>
      </c>
      <c r="AH250" s="1314">
        <v>3.99</v>
      </c>
      <c r="AI250" s="1314">
        <f t="shared" si="41"/>
        <v>4.7244094488189017E-2</v>
      </c>
      <c r="AK250" s="1326">
        <v>41068</v>
      </c>
      <c r="AL250" s="1314">
        <v>0.16</v>
      </c>
      <c r="AN250" s="1326">
        <v>41068</v>
      </c>
      <c r="AO250" s="1314">
        <v>-0.17</v>
      </c>
      <c r="AQ250" s="1326">
        <v>41068</v>
      </c>
      <c r="AR250" s="1327">
        <v>2.54</v>
      </c>
      <c r="AT250" s="1326">
        <v>41068</v>
      </c>
      <c r="AU250" s="1314">
        <v>782.56</v>
      </c>
      <c r="AV250" s="1314">
        <f t="shared" si="42"/>
        <v>-1.0044275774826129E-2</v>
      </c>
      <c r="AX250" s="1314">
        <v>2.7454000000000001</v>
      </c>
      <c r="AY250" s="1314">
        <f t="shared" si="43"/>
        <v>2.2876304023844968E-2</v>
      </c>
    </row>
    <row r="251" spans="1:51" x14ac:dyDescent="0.75">
      <c r="A251" s="1326">
        <v>41061</v>
      </c>
      <c r="B251" s="1314">
        <v>754.62</v>
      </c>
      <c r="C251" s="1314">
        <f t="shared" si="44"/>
        <v>-3.5703332651809375E-2</v>
      </c>
      <c r="E251" s="1326">
        <v>41061</v>
      </c>
      <c r="F251" s="1314">
        <v>10.08</v>
      </c>
      <c r="G251" s="1314">
        <f t="shared" si="34"/>
        <v>-5.2631578947368467E-2</v>
      </c>
      <c r="I251" s="1326">
        <v>41061</v>
      </c>
      <c r="J251" s="1314">
        <v>4.82</v>
      </c>
      <c r="K251" s="1314">
        <f t="shared" si="35"/>
        <v>-8.2304526748971252E-3</v>
      </c>
      <c r="M251" s="1326">
        <v>41061</v>
      </c>
      <c r="N251" s="1314">
        <v>7.68</v>
      </c>
      <c r="O251" s="1314">
        <f t="shared" si="36"/>
        <v>-3.5175879396984959E-2</v>
      </c>
      <c r="Q251" s="1326">
        <v>41061</v>
      </c>
      <c r="R251" s="1314">
        <v>8.61</v>
      </c>
      <c r="S251" s="1314">
        <f t="shared" si="37"/>
        <v>-7.618025751072971E-2</v>
      </c>
      <c r="U251" s="1326">
        <v>41061</v>
      </c>
      <c r="V251" s="1314">
        <v>23.17</v>
      </c>
      <c r="W251" s="1314">
        <f t="shared" si="38"/>
        <v>-4.924086992203526E-2</v>
      </c>
      <c r="Y251" s="1326">
        <v>41061</v>
      </c>
      <c r="Z251" s="1314">
        <v>10.199999999999999</v>
      </c>
      <c r="AA251" s="1314">
        <f t="shared" si="39"/>
        <v>-1.8286814244465956E-2</v>
      </c>
      <c r="AC251" s="1326">
        <v>41061</v>
      </c>
      <c r="AD251" s="1314">
        <v>12.55</v>
      </c>
      <c r="AE251" s="1314">
        <f t="shared" si="40"/>
        <v>-4.3445121951219398E-2</v>
      </c>
      <c r="AG251" s="1326">
        <v>41061</v>
      </c>
      <c r="AH251" s="1314">
        <v>4.0999999999999996</v>
      </c>
      <c r="AI251" s="1314">
        <f t="shared" si="41"/>
        <v>2.7568922305764267E-2</v>
      </c>
      <c r="AK251" s="1326">
        <v>41061</v>
      </c>
      <c r="AL251" s="1314">
        <v>-0.5</v>
      </c>
      <c r="AN251" s="1326">
        <v>41061</v>
      </c>
      <c r="AO251" s="1314">
        <v>0.5</v>
      </c>
      <c r="AQ251" s="1326">
        <v>41061</v>
      </c>
      <c r="AR251" s="1327">
        <v>2.5099999999999998</v>
      </c>
      <c r="AT251" s="1326">
        <v>41061</v>
      </c>
      <c r="AU251" s="1314">
        <v>754.62</v>
      </c>
      <c r="AV251" s="1314">
        <f t="shared" si="42"/>
        <v>-3.5703332651809375E-2</v>
      </c>
      <c r="AX251" s="1314">
        <v>2.5194000000000001</v>
      </c>
      <c r="AY251" s="1314">
        <f t="shared" si="43"/>
        <v>-8.2319516281780428E-2</v>
      </c>
    </row>
    <row r="252" spans="1:51" x14ac:dyDescent="0.75">
      <c r="A252" s="1326">
        <v>41054</v>
      </c>
      <c r="B252" s="1314">
        <v>779.51</v>
      </c>
      <c r="C252" s="1314">
        <f t="shared" si="44"/>
        <v>3.2983488378256591E-2</v>
      </c>
      <c r="E252" s="1326">
        <v>41054</v>
      </c>
      <c r="F252" s="1314">
        <v>10.95</v>
      </c>
      <c r="G252" s="1314">
        <f t="shared" si="34"/>
        <v>8.6309523809523725E-2</v>
      </c>
      <c r="I252" s="1326">
        <v>41054</v>
      </c>
      <c r="J252" s="1314">
        <v>4.3099999999999996</v>
      </c>
      <c r="K252" s="1314">
        <f t="shared" si="35"/>
        <v>-0.10580912863070553</v>
      </c>
      <c r="M252" s="1326">
        <v>41054</v>
      </c>
      <c r="N252" s="1314">
        <v>7.91</v>
      </c>
      <c r="O252" s="1314">
        <f t="shared" si="36"/>
        <v>2.9947916666666723E-2</v>
      </c>
      <c r="Q252" s="1326">
        <v>41054</v>
      </c>
      <c r="R252" s="1314">
        <v>9.0299999999999994</v>
      </c>
      <c r="S252" s="1314">
        <f t="shared" si="37"/>
        <v>4.8780487804878044E-2</v>
      </c>
      <c r="U252" s="1326">
        <v>41054</v>
      </c>
      <c r="V252" s="1314">
        <v>24.08</v>
      </c>
      <c r="W252" s="1314">
        <f t="shared" si="38"/>
        <v>3.927492447129894E-2</v>
      </c>
      <c r="Y252" s="1326">
        <v>41054</v>
      </c>
      <c r="Z252" s="1314">
        <v>9.9499999999999993</v>
      </c>
      <c r="AA252" s="1314">
        <f t="shared" si="39"/>
        <v>-2.4509803921568631E-2</v>
      </c>
      <c r="AC252" s="1326">
        <v>41054</v>
      </c>
      <c r="AD252" s="1314">
        <v>13.25</v>
      </c>
      <c r="AE252" s="1314">
        <f t="shared" si="40"/>
        <v>5.5776892430278828E-2</v>
      </c>
      <c r="AG252" s="1326">
        <v>41054</v>
      </c>
      <c r="AH252" s="1314">
        <v>3.96</v>
      </c>
      <c r="AI252" s="1314">
        <f t="shared" si="41"/>
        <v>-3.414634146341456E-2</v>
      </c>
      <c r="AK252" s="1326">
        <v>41054</v>
      </c>
      <c r="AL252" s="1314">
        <v>0.51</v>
      </c>
      <c r="AN252" s="1326">
        <v>41054</v>
      </c>
      <c r="AO252" s="1314">
        <v>-1.06</v>
      </c>
      <c r="AQ252" s="1326">
        <v>41054</v>
      </c>
      <c r="AR252" s="1327">
        <v>2.5499999999999998</v>
      </c>
      <c r="AT252" s="1326">
        <v>41054</v>
      </c>
      <c r="AU252" s="1314">
        <v>779.51</v>
      </c>
      <c r="AV252" s="1314">
        <f t="shared" si="42"/>
        <v>3.2983488378256591E-2</v>
      </c>
      <c r="AX252" s="1314">
        <v>2.8412000000000002</v>
      </c>
      <c r="AY252" s="1314">
        <f t="shared" si="43"/>
        <v>0.12772882432325161</v>
      </c>
    </row>
    <row r="253" spans="1:51" x14ac:dyDescent="0.75">
      <c r="A253" s="1326">
        <v>41047</v>
      </c>
      <c r="B253" s="1314">
        <v>764.49</v>
      </c>
      <c r="C253" s="1314">
        <f t="shared" si="44"/>
        <v>-1.9268514836243259E-2</v>
      </c>
      <c r="E253" s="1326">
        <v>41047</v>
      </c>
      <c r="F253" s="1314">
        <v>11.83</v>
      </c>
      <c r="G253" s="1314">
        <f t="shared" si="34"/>
        <v>8.036529680365305E-2</v>
      </c>
      <c r="I253" s="1326">
        <v>41047</v>
      </c>
      <c r="J253" s="1314">
        <v>4.21</v>
      </c>
      <c r="K253" s="1314">
        <f t="shared" si="35"/>
        <v>-2.3201856148491799E-2</v>
      </c>
      <c r="M253" s="1326">
        <v>41047</v>
      </c>
      <c r="N253" s="1314">
        <v>7.9</v>
      </c>
      <c r="O253" s="1314">
        <f t="shared" si="36"/>
        <v>-1.2642225031605293E-3</v>
      </c>
      <c r="Q253" s="1326">
        <v>41047</v>
      </c>
      <c r="R253" s="1314">
        <v>9.73</v>
      </c>
      <c r="S253" s="1314">
        <f t="shared" si="37"/>
        <v>7.7519379844961364E-2</v>
      </c>
      <c r="U253" s="1326">
        <v>41047</v>
      </c>
      <c r="V253" s="1314">
        <v>23.92</v>
      </c>
      <c r="W253" s="1314">
        <f t="shared" si="38"/>
        <v>-6.6445182724251079E-3</v>
      </c>
      <c r="Y253" s="1326">
        <v>41047</v>
      </c>
      <c r="Z253" s="1314">
        <v>9.3699999999999992</v>
      </c>
      <c r="AA253" s="1314">
        <f t="shared" si="39"/>
        <v>-5.8291457286432175E-2</v>
      </c>
      <c r="AC253" s="1326">
        <v>41047</v>
      </c>
      <c r="AD253" s="1314">
        <v>12.55</v>
      </c>
      <c r="AE253" s="1314">
        <f t="shared" si="40"/>
        <v>-5.283018867924523E-2</v>
      </c>
      <c r="AG253" s="1326">
        <v>41047</v>
      </c>
      <c r="AH253" s="1314">
        <v>3.87</v>
      </c>
      <c r="AI253" s="1314">
        <f t="shared" si="41"/>
        <v>-2.2727272727272693E-2</v>
      </c>
      <c r="AK253" s="1326">
        <v>41047</v>
      </c>
      <c r="AL253" s="1314">
        <v>-0.48</v>
      </c>
      <c r="AN253" s="1326">
        <v>41047</v>
      </c>
      <c r="AO253" s="1314">
        <v>-0.13</v>
      </c>
      <c r="AQ253" s="1326">
        <v>41047</v>
      </c>
      <c r="AR253" s="1327">
        <v>2.4900000000000002</v>
      </c>
      <c r="AT253" s="1326">
        <v>41047</v>
      </c>
      <c r="AU253" s="1314">
        <v>764.49</v>
      </c>
      <c r="AV253" s="1314">
        <f t="shared" si="42"/>
        <v>-1.9268514836243259E-2</v>
      </c>
      <c r="AX253" s="1314">
        <v>2.8064</v>
      </c>
      <c r="AY253" s="1314">
        <f t="shared" si="43"/>
        <v>-1.224834576939327E-2</v>
      </c>
    </row>
    <row r="254" spans="1:51" x14ac:dyDescent="0.75">
      <c r="A254" s="1326">
        <v>41040</v>
      </c>
      <c r="B254" s="1314">
        <v>801.41</v>
      </c>
      <c r="C254" s="1314">
        <f t="shared" si="44"/>
        <v>4.8293633664272861E-2</v>
      </c>
      <c r="E254" s="1326">
        <v>41040</v>
      </c>
      <c r="F254" s="1314">
        <v>12.03</v>
      </c>
      <c r="G254" s="1314">
        <f t="shared" si="34"/>
        <v>1.6906170752324538E-2</v>
      </c>
      <c r="I254" s="1326">
        <v>41040</v>
      </c>
      <c r="J254" s="1314">
        <v>4.63</v>
      </c>
      <c r="K254" s="1314">
        <f t="shared" si="35"/>
        <v>9.9762470308788584E-2</v>
      </c>
      <c r="M254" s="1326">
        <v>41040</v>
      </c>
      <c r="N254" s="1314">
        <v>8.26</v>
      </c>
      <c r="O254" s="1314">
        <f t="shared" si="36"/>
        <v>4.5569620253164481E-2</v>
      </c>
      <c r="Q254" s="1326">
        <v>41040</v>
      </c>
      <c r="R254" s="1314">
        <v>9.74</v>
      </c>
      <c r="S254" s="1314">
        <f t="shared" si="37"/>
        <v>1.0277492291880562E-3</v>
      </c>
      <c r="U254" s="1326">
        <v>41040</v>
      </c>
      <c r="V254" s="1314">
        <v>25.29</v>
      </c>
      <c r="W254" s="1314">
        <f t="shared" si="38"/>
        <v>5.7274247491638682E-2</v>
      </c>
      <c r="Y254" s="1326">
        <v>41040</v>
      </c>
      <c r="Z254" s="1314">
        <v>10.77</v>
      </c>
      <c r="AA254" s="1314">
        <f t="shared" si="39"/>
        <v>0.14941302027748138</v>
      </c>
      <c r="AC254" s="1326">
        <v>41040</v>
      </c>
      <c r="AD254" s="1314">
        <v>13.69</v>
      </c>
      <c r="AE254" s="1314">
        <f t="shared" si="40"/>
        <v>9.083665338645408E-2</v>
      </c>
      <c r="AG254" s="1326">
        <v>41040</v>
      </c>
      <c r="AH254" s="1314">
        <v>4.57</v>
      </c>
      <c r="AI254" s="1314">
        <f t="shared" si="41"/>
        <v>0.18087855297157626</v>
      </c>
      <c r="AK254" s="1326">
        <v>41040</v>
      </c>
      <c r="AL254" s="1314">
        <v>0.82</v>
      </c>
      <c r="AN254" s="1326">
        <v>41040</v>
      </c>
      <c r="AO254" s="1314">
        <v>0.2</v>
      </c>
      <c r="AQ254" s="1326">
        <v>41040</v>
      </c>
      <c r="AR254" s="1327">
        <v>2.46</v>
      </c>
      <c r="AT254" s="1326">
        <v>41040</v>
      </c>
      <c r="AU254" s="1314">
        <v>801.41</v>
      </c>
      <c r="AV254" s="1314">
        <f t="shared" si="42"/>
        <v>4.8293633664272861E-2</v>
      </c>
      <c r="AX254" s="1314">
        <v>3.0103</v>
      </c>
      <c r="AY254" s="1314">
        <f t="shared" si="43"/>
        <v>7.2655359179019371E-2</v>
      </c>
    </row>
    <row r="255" spans="1:51" x14ac:dyDescent="0.75">
      <c r="A255" s="1326">
        <v>41033</v>
      </c>
      <c r="B255" s="1314">
        <v>809.52</v>
      </c>
      <c r="C255" s="1314">
        <f t="shared" si="44"/>
        <v>1.0119664092037801E-2</v>
      </c>
      <c r="E255" s="1326">
        <v>41033</v>
      </c>
      <c r="F255" s="1314">
        <v>11.96</v>
      </c>
      <c r="G255" s="1314">
        <f t="shared" si="34"/>
        <v>-5.8187863674146727E-3</v>
      </c>
      <c r="I255" s="1326">
        <v>41033</v>
      </c>
      <c r="J255" s="1314">
        <v>4.5999999999999996</v>
      </c>
      <c r="K255" s="1314">
        <f t="shared" si="35"/>
        <v>-6.4794816414687362E-3</v>
      </c>
      <c r="M255" s="1326">
        <v>41033</v>
      </c>
      <c r="N255" s="1314">
        <v>8.07</v>
      </c>
      <c r="O255" s="1314">
        <f t="shared" si="36"/>
        <v>-2.3002421307505995E-2</v>
      </c>
      <c r="Q255" s="1326">
        <v>41033</v>
      </c>
      <c r="R255" s="1314">
        <v>10.039999999999999</v>
      </c>
      <c r="S255" s="1314">
        <f t="shared" si="37"/>
        <v>3.0800821355236031E-2</v>
      </c>
      <c r="U255" s="1326">
        <v>41033</v>
      </c>
      <c r="V255" s="1314">
        <v>25.86</v>
      </c>
      <c r="W255" s="1314">
        <f t="shared" si="38"/>
        <v>2.2538552787663119E-2</v>
      </c>
      <c r="Y255" s="1326">
        <v>41033</v>
      </c>
      <c r="Z255" s="1314">
        <v>11.73</v>
      </c>
      <c r="AA255" s="1314">
        <f t="shared" si="39"/>
        <v>8.9136490250696462E-2</v>
      </c>
      <c r="AC255" s="1326">
        <v>41033</v>
      </c>
      <c r="AD255" s="1314">
        <v>14.27</v>
      </c>
      <c r="AE255" s="1314">
        <f t="shared" si="40"/>
        <v>4.2366691015339672E-2</v>
      </c>
      <c r="AG255" s="1326">
        <v>41033</v>
      </c>
      <c r="AH255" s="1314">
        <v>4.38</v>
      </c>
      <c r="AI255" s="1314">
        <f t="shared" si="41"/>
        <v>-4.1575492341356754E-2</v>
      </c>
      <c r="AK255" s="1326">
        <v>41033</v>
      </c>
      <c r="AL255" s="1314">
        <v>-1.59</v>
      </c>
      <c r="AN255" s="1326">
        <v>41033</v>
      </c>
      <c r="AO255" s="1314">
        <v>0.14000000000000001</v>
      </c>
      <c r="AQ255" s="1326">
        <v>41033</v>
      </c>
      <c r="AR255" s="1327">
        <v>2.4900000000000002</v>
      </c>
      <c r="AT255" s="1326">
        <v>41033</v>
      </c>
      <c r="AU255" s="1314">
        <v>809.52</v>
      </c>
      <c r="AV255" s="1314">
        <f t="shared" si="42"/>
        <v>1.0119664092037801E-2</v>
      </c>
      <c r="AX255" s="1314">
        <v>3.0709</v>
      </c>
      <c r="AY255" s="1314">
        <f t="shared" si="43"/>
        <v>2.0130883965053314E-2</v>
      </c>
    </row>
    <row r="256" spans="1:51" x14ac:dyDescent="0.75">
      <c r="A256" s="1326">
        <v>41026</v>
      </c>
      <c r="B256" s="1314">
        <v>831.59</v>
      </c>
      <c r="C256" s="1314">
        <f t="shared" si="44"/>
        <v>2.7263069473268172E-2</v>
      </c>
      <c r="E256" s="1326">
        <v>41026</v>
      </c>
      <c r="F256" s="1314">
        <v>12.74</v>
      </c>
      <c r="G256" s="1314">
        <f t="shared" si="34"/>
        <v>6.5217391304347769E-2</v>
      </c>
      <c r="I256" s="1326">
        <v>41026</v>
      </c>
      <c r="J256" s="1314">
        <v>4.7699999999999996</v>
      </c>
      <c r="K256" s="1314">
        <f t="shared" si="35"/>
        <v>3.6956521739130423E-2</v>
      </c>
      <c r="M256" s="1326">
        <v>41026</v>
      </c>
      <c r="N256" s="1314">
        <v>8.0399999999999991</v>
      </c>
      <c r="O256" s="1314">
        <f t="shared" si="36"/>
        <v>-3.7174721189592486E-3</v>
      </c>
      <c r="Q256" s="1326">
        <v>41026</v>
      </c>
      <c r="R256" s="1314">
        <v>10.1</v>
      </c>
      <c r="S256" s="1314">
        <f t="shared" si="37"/>
        <v>5.9760956175299307E-3</v>
      </c>
      <c r="U256" s="1326">
        <v>41026</v>
      </c>
      <c r="V256" s="1314">
        <v>27.29</v>
      </c>
      <c r="W256" s="1314">
        <f t="shared" si="38"/>
        <v>5.5297757153905634E-2</v>
      </c>
      <c r="Y256" s="1326">
        <v>41026</v>
      </c>
      <c r="Z256" s="1314">
        <v>11.15</v>
      </c>
      <c r="AA256" s="1314">
        <f t="shared" si="39"/>
        <v>-4.9445865302642798E-2</v>
      </c>
      <c r="AC256" s="1326">
        <v>41026</v>
      </c>
      <c r="AD256" s="1314">
        <v>14.97</v>
      </c>
      <c r="AE256" s="1314">
        <f t="shared" si="40"/>
        <v>4.9053959355290895E-2</v>
      </c>
      <c r="AG256" s="1326">
        <v>41026</v>
      </c>
      <c r="AH256" s="1314">
        <v>4.5999999999999996</v>
      </c>
      <c r="AI256" s="1314">
        <f t="shared" si="41"/>
        <v>5.0228310502283047E-2</v>
      </c>
      <c r="AK256" s="1326">
        <v>41026</v>
      </c>
      <c r="AL256" s="1314">
        <v>0.67</v>
      </c>
      <c r="AN256" s="1326">
        <v>41026</v>
      </c>
      <c r="AO256" s="1314">
        <v>-7.0000000000000007E-2</v>
      </c>
      <c r="AQ256" s="1326">
        <v>41026</v>
      </c>
      <c r="AR256" s="1327">
        <v>2.52</v>
      </c>
      <c r="AT256" s="1326">
        <v>41026</v>
      </c>
      <c r="AU256" s="1314">
        <v>831.59</v>
      </c>
      <c r="AV256" s="1314">
        <f t="shared" si="42"/>
        <v>2.7263069473268172E-2</v>
      </c>
      <c r="AX256" s="1314">
        <v>3.1223999999999998</v>
      </c>
      <c r="AY256" s="1314">
        <f t="shared" si="43"/>
        <v>1.6770327916897289E-2</v>
      </c>
    </row>
    <row r="257" spans="1:51" x14ac:dyDescent="0.75">
      <c r="A257" s="1326">
        <v>41019</v>
      </c>
      <c r="B257" s="1314">
        <v>816.13</v>
      </c>
      <c r="C257" s="1314">
        <f t="shared" si="44"/>
        <v>-1.859089214637025E-2</v>
      </c>
      <c r="E257" s="1326">
        <v>41019</v>
      </c>
      <c r="F257" s="1314">
        <v>12.01</v>
      </c>
      <c r="G257" s="1314">
        <f t="shared" si="34"/>
        <v>-5.7299843014128764E-2</v>
      </c>
      <c r="I257" s="1326">
        <v>41019</v>
      </c>
      <c r="J257" s="1314">
        <v>4.9000000000000004</v>
      </c>
      <c r="K257" s="1314">
        <f t="shared" si="35"/>
        <v>2.7253668763102892E-2</v>
      </c>
      <c r="M257" s="1326">
        <v>41019</v>
      </c>
      <c r="N257" s="1314">
        <v>8.01</v>
      </c>
      <c r="O257" s="1314">
        <f t="shared" si="36"/>
        <v>-3.7313432835820106E-3</v>
      </c>
      <c r="Q257" s="1326">
        <v>41019</v>
      </c>
      <c r="R257" s="1314">
        <v>9.23</v>
      </c>
      <c r="S257" s="1314">
        <f t="shared" si="37"/>
        <v>-8.6138613861386062E-2</v>
      </c>
      <c r="U257" s="1326">
        <v>41019</v>
      </c>
      <c r="V257" s="1314">
        <v>26.89</v>
      </c>
      <c r="W257" s="1314">
        <f t="shared" si="38"/>
        <v>-1.4657383657017171E-2</v>
      </c>
      <c r="Y257" s="1326">
        <v>41019</v>
      </c>
      <c r="Z257" s="1314">
        <v>11</v>
      </c>
      <c r="AA257" s="1314">
        <f t="shared" si="39"/>
        <v>-1.345291479820631E-2</v>
      </c>
      <c r="AC257" s="1326">
        <v>41019</v>
      </c>
      <c r="AD257" s="1314">
        <v>15.5</v>
      </c>
      <c r="AE257" s="1314">
        <f t="shared" si="40"/>
        <v>3.5404141616566423E-2</v>
      </c>
      <c r="AG257" s="1326">
        <v>41019</v>
      </c>
      <c r="AH257" s="1314">
        <v>3.97</v>
      </c>
      <c r="AI257" s="1314">
        <f t="shared" si="41"/>
        <v>-0.13695652173913034</v>
      </c>
      <c r="AK257" s="1326">
        <v>41019</v>
      </c>
      <c r="AL257" s="1314">
        <v>0.18</v>
      </c>
      <c r="AN257" s="1326">
        <v>41019</v>
      </c>
      <c r="AO257" s="1314">
        <v>0.42</v>
      </c>
      <c r="AQ257" s="1326">
        <v>41019</v>
      </c>
      <c r="AR257" s="1327">
        <v>2.54</v>
      </c>
      <c r="AT257" s="1326">
        <v>41019</v>
      </c>
      <c r="AU257" s="1314">
        <v>816.13</v>
      </c>
      <c r="AV257" s="1314">
        <f t="shared" si="42"/>
        <v>-1.859089214637025E-2</v>
      </c>
      <c r="AX257" s="1314">
        <v>3.1240000000000001</v>
      </c>
      <c r="AY257" s="1314">
        <f t="shared" si="43"/>
        <v>5.1242633871389576E-4</v>
      </c>
    </row>
    <row r="258" spans="1:51" x14ac:dyDescent="0.75">
      <c r="A258" s="1326">
        <v>41012</v>
      </c>
      <c r="B258" s="1314">
        <v>810.73</v>
      </c>
      <c r="C258" s="1314">
        <f t="shared" si="44"/>
        <v>-6.6165929447514213E-3</v>
      </c>
      <c r="E258" s="1326">
        <v>41012</v>
      </c>
      <c r="F258" s="1314">
        <v>12.05</v>
      </c>
      <c r="G258" s="1314">
        <f t="shared" si="34"/>
        <v>3.3305578684430411E-3</v>
      </c>
      <c r="I258" s="1326">
        <v>41012</v>
      </c>
      <c r="J258" s="1314">
        <v>5.64</v>
      </c>
      <c r="K258" s="1314">
        <f t="shared" si="35"/>
        <v>0.15102040816326515</v>
      </c>
      <c r="M258" s="1326">
        <v>41012</v>
      </c>
      <c r="N258" s="1314">
        <v>7.97</v>
      </c>
      <c r="O258" s="1314">
        <f t="shared" si="36"/>
        <v>-4.9937578027465712E-3</v>
      </c>
      <c r="Q258" s="1326">
        <v>41012</v>
      </c>
      <c r="R258" s="1314">
        <v>8.89</v>
      </c>
      <c r="S258" s="1314">
        <f t="shared" si="37"/>
        <v>-3.6836403033586117E-2</v>
      </c>
      <c r="U258" s="1326">
        <v>41012</v>
      </c>
      <c r="V258" s="1314">
        <v>26.395</v>
      </c>
      <c r="W258" s="1314">
        <f t="shared" si="38"/>
        <v>-1.8408330234287874E-2</v>
      </c>
      <c r="Y258" s="1326">
        <v>41012</v>
      </c>
      <c r="Z258" s="1314">
        <v>11.34</v>
      </c>
      <c r="AA258" s="1314">
        <f t="shared" si="39"/>
        <v>3.0909090909090896E-2</v>
      </c>
      <c r="AC258" s="1326">
        <v>41012</v>
      </c>
      <c r="AD258" s="1314">
        <v>14.25</v>
      </c>
      <c r="AE258" s="1314">
        <f t="shared" si="40"/>
        <v>-8.0645161290322578E-2</v>
      </c>
      <c r="AG258" s="1326">
        <v>41012</v>
      </c>
      <c r="AH258" s="1314">
        <v>4.22</v>
      </c>
      <c r="AI258" s="1314">
        <f t="shared" si="41"/>
        <v>6.2972292191435658E-2</v>
      </c>
      <c r="AK258" s="1326">
        <v>41012</v>
      </c>
      <c r="AL258" s="1314">
        <v>-0.19</v>
      </c>
      <c r="AN258" s="1326">
        <v>41012</v>
      </c>
      <c r="AO258" s="1314">
        <v>-0.13</v>
      </c>
      <c r="AQ258" s="1326">
        <v>41012</v>
      </c>
      <c r="AR258" s="1327">
        <v>2.57</v>
      </c>
      <c r="AT258" s="1326">
        <v>41012</v>
      </c>
      <c r="AU258" s="1314">
        <v>810.73</v>
      </c>
      <c r="AV258" s="1314">
        <f t="shared" si="42"/>
        <v>-6.6165929447514213E-3</v>
      </c>
      <c r="AX258" s="1314">
        <v>3.1273</v>
      </c>
      <c r="AY258" s="1314">
        <f t="shared" si="43"/>
        <v>1.0563380281689689E-3</v>
      </c>
    </row>
    <row r="259" spans="1:51" x14ac:dyDescent="0.75">
      <c r="A259" s="1326">
        <v>41005</v>
      </c>
      <c r="B259" s="1314">
        <v>827.42</v>
      </c>
      <c r="C259" s="1314">
        <f t="shared" si="44"/>
        <v>2.058638510971586E-2</v>
      </c>
      <c r="E259" s="1326">
        <v>41005</v>
      </c>
      <c r="F259" s="1314">
        <v>12.6</v>
      </c>
      <c r="G259" s="1314">
        <f t="shared" si="34"/>
        <v>4.5643153526970862E-2</v>
      </c>
      <c r="I259" s="1326">
        <v>41005</v>
      </c>
      <c r="J259" s="1314">
        <v>6.06</v>
      </c>
      <c r="K259" s="1314">
        <f t="shared" si="35"/>
        <v>7.4468085106382975E-2</v>
      </c>
      <c r="M259" s="1326">
        <v>41005</v>
      </c>
      <c r="N259" s="1314">
        <v>8.15</v>
      </c>
      <c r="O259" s="1314">
        <f t="shared" si="36"/>
        <v>2.2584692597239726E-2</v>
      </c>
      <c r="Q259" s="1326">
        <v>41005</v>
      </c>
      <c r="R259" s="1314">
        <v>9.39</v>
      </c>
      <c r="S259" s="1314">
        <f t="shared" si="37"/>
        <v>5.6242969628796394E-2</v>
      </c>
      <c r="U259" s="1326">
        <v>41005</v>
      </c>
      <c r="V259" s="1314">
        <v>27.4</v>
      </c>
      <c r="W259" s="1314">
        <f t="shared" si="38"/>
        <v>3.807539306686869E-2</v>
      </c>
      <c r="Y259" s="1326">
        <v>41005</v>
      </c>
      <c r="Z259" s="1314">
        <v>11.7</v>
      </c>
      <c r="AA259" s="1314">
        <f t="shared" si="39"/>
        <v>3.1746031746031696E-2</v>
      </c>
      <c r="AC259" s="1326">
        <v>41005</v>
      </c>
      <c r="AD259" s="1314">
        <v>14.63</v>
      </c>
      <c r="AE259" s="1314">
        <f t="shared" si="40"/>
        <v>2.666666666666672E-2</v>
      </c>
      <c r="AG259" s="1326">
        <v>41005</v>
      </c>
      <c r="AH259" s="1314">
        <v>4.59</v>
      </c>
      <c r="AI259" s="1314">
        <f t="shared" si="41"/>
        <v>8.7677725118483443E-2</v>
      </c>
      <c r="AK259" s="1326">
        <v>41005</v>
      </c>
      <c r="AL259" s="1314">
        <v>-0.64</v>
      </c>
      <c r="AN259" s="1326">
        <v>41005</v>
      </c>
      <c r="AO259" s="1314">
        <v>-0.68</v>
      </c>
      <c r="AQ259" s="1326">
        <v>41005</v>
      </c>
      <c r="AR259" s="1327">
        <v>2.65</v>
      </c>
      <c r="AT259" s="1326">
        <v>41005</v>
      </c>
      <c r="AU259" s="1314">
        <v>827.42</v>
      </c>
      <c r="AV259" s="1314">
        <f t="shared" si="42"/>
        <v>2.058638510971586E-2</v>
      </c>
      <c r="AX259" s="1314">
        <v>3.2157</v>
      </c>
      <c r="AY259" s="1314">
        <f t="shared" si="43"/>
        <v>2.8267195344226659E-2</v>
      </c>
    </row>
    <row r="260" spans="1:51" x14ac:dyDescent="0.75">
      <c r="A260" s="1326">
        <v>40998</v>
      </c>
      <c r="B260" s="1314">
        <v>834.08</v>
      </c>
      <c r="C260" s="1314">
        <f t="shared" si="44"/>
        <v>8.0491165309033892E-3</v>
      </c>
      <c r="E260" s="1326">
        <v>40998</v>
      </c>
      <c r="F260" s="1314">
        <v>13.2</v>
      </c>
      <c r="G260" s="1314">
        <f t="shared" si="34"/>
        <v>4.7619047619047596E-2</v>
      </c>
      <c r="I260" s="1326">
        <v>40998</v>
      </c>
      <c r="J260" s="1314">
        <v>6.45</v>
      </c>
      <c r="K260" s="1314">
        <f t="shared" si="35"/>
        <v>6.4356435643564455E-2</v>
      </c>
      <c r="M260" s="1326">
        <v>40998</v>
      </c>
      <c r="N260" s="1314">
        <v>8.4</v>
      </c>
      <c r="O260" s="1314">
        <f t="shared" si="36"/>
        <v>3.0674846625766871E-2</v>
      </c>
      <c r="Q260" s="1326">
        <v>40998</v>
      </c>
      <c r="R260" s="1314">
        <v>9.6199999999999992</v>
      </c>
      <c r="S260" s="1314">
        <f t="shared" si="37"/>
        <v>2.4494142705005179E-2</v>
      </c>
      <c r="U260" s="1326">
        <v>40998</v>
      </c>
      <c r="V260" s="1314">
        <v>28.46</v>
      </c>
      <c r="W260" s="1314">
        <f t="shared" si="38"/>
        <v>3.8686131386861396E-2</v>
      </c>
      <c r="Y260" s="1326">
        <v>40998</v>
      </c>
      <c r="Z260" s="1314">
        <v>12.16</v>
      </c>
      <c r="AA260" s="1314">
        <f t="shared" si="39"/>
        <v>3.9316239316239392E-2</v>
      </c>
      <c r="AC260" s="1326">
        <v>40998</v>
      </c>
      <c r="AD260" s="1314">
        <v>15.63</v>
      </c>
      <c r="AE260" s="1314">
        <f t="shared" si="40"/>
        <v>6.835269993164729E-2</v>
      </c>
      <c r="AG260" s="1326">
        <v>40998</v>
      </c>
      <c r="AH260" s="1314">
        <v>4.7699999999999996</v>
      </c>
      <c r="AI260" s="1314">
        <f t="shared" si="41"/>
        <v>3.9215686274509741E-2</v>
      </c>
      <c r="AK260" s="1326">
        <v>40998</v>
      </c>
      <c r="AL260" s="1314">
        <v>-0.66</v>
      </c>
      <c r="AN260" s="1326">
        <v>40998</v>
      </c>
      <c r="AO260" s="1314">
        <v>-0.39</v>
      </c>
      <c r="AQ260" s="1326">
        <v>40998</v>
      </c>
      <c r="AR260" s="1327">
        <v>2.59</v>
      </c>
      <c r="AT260" s="1326">
        <v>40998</v>
      </c>
      <c r="AU260" s="1314">
        <v>834.08</v>
      </c>
      <c r="AV260" s="1314">
        <f t="shared" si="42"/>
        <v>8.0491165309033892E-3</v>
      </c>
      <c r="AX260" s="1314">
        <v>3.3357999999999999</v>
      </c>
      <c r="AY260" s="1314">
        <f t="shared" si="43"/>
        <v>3.7348011319463838E-2</v>
      </c>
    </row>
    <row r="261" spans="1:51" x14ac:dyDescent="0.75">
      <c r="A261" s="1326">
        <v>40991</v>
      </c>
      <c r="B261" s="1314">
        <v>828.14</v>
      </c>
      <c r="C261" s="1314">
        <f t="shared" si="44"/>
        <v>-7.1216190293497674E-3</v>
      </c>
      <c r="E261" s="1326">
        <v>40991</v>
      </c>
      <c r="F261" s="1314">
        <v>12.49</v>
      </c>
      <c r="G261" s="1314">
        <f t="shared" ref="G261:G324" si="45">(F261-F260)/F260</f>
        <v>-5.3787878787878718E-2</v>
      </c>
      <c r="I261" s="1326">
        <v>40991</v>
      </c>
      <c r="J261" s="1314">
        <v>6.63</v>
      </c>
      <c r="K261" s="1314">
        <f t="shared" ref="K261:K324" si="46">(J261-J260)/J260</f>
        <v>2.7906976744186001E-2</v>
      </c>
      <c r="M261" s="1326">
        <v>40991</v>
      </c>
      <c r="N261" s="1314">
        <v>7.93</v>
      </c>
      <c r="O261" s="1314">
        <f t="shared" ref="O261:O324" si="47">(N261-N260)/N260</f>
        <v>-5.5952380952381024E-2</v>
      </c>
      <c r="Q261" s="1326">
        <v>40991</v>
      </c>
      <c r="R261" s="1314">
        <v>10.1</v>
      </c>
      <c r="S261" s="1314">
        <f t="shared" ref="S261:S324" si="48">(R261-R260)/R260</f>
        <v>4.9896049896049947E-2</v>
      </c>
      <c r="U261" s="1326">
        <v>40991</v>
      </c>
      <c r="V261" s="1314">
        <v>28.7</v>
      </c>
      <c r="W261" s="1314">
        <f t="shared" ref="W261:W324" si="49">(V261-V260)/V260</f>
        <v>8.4328882642304443E-3</v>
      </c>
      <c r="Y261" s="1326">
        <v>40991</v>
      </c>
      <c r="Z261" s="1314">
        <v>11.9</v>
      </c>
      <c r="AA261" s="1314">
        <f t="shared" ref="AA261:AA324" si="50">(Z261-Z260)/Z260</f>
        <v>-2.1381578947368404E-2</v>
      </c>
      <c r="AC261" s="1326">
        <v>40991</v>
      </c>
      <c r="AD261" s="1314">
        <v>15.67</v>
      </c>
      <c r="AE261" s="1314">
        <f t="shared" ref="AE261:AE324" si="51">(AD261-AD260)/AD260</f>
        <v>2.559181062060086E-3</v>
      </c>
      <c r="AG261" s="1326">
        <v>40991</v>
      </c>
      <c r="AH261" s="1314">
        <v>4.75</v>
      </c>
      <c r="AI261" s="1314">
        <f t="shared" ref="AI261:AI324" si="52">(AH261-AH260)/AH260</f>
        <v>-4.1928721174003302E-3</v>
      </c>
      <c r="AK261" s="1326">
        <v>40991</v>
      </c>
      <c r="AL261" s="1314">
        <v>0.62</v>
      </c>
      <c r="AN261" s="1326">
        <v>40991</v>
      </c>
      <c r="AO261" s="1314">
        <v>-0.32</v>
      </c>
      <c r="AQ261" s="1326">
        <v>40991</v>
      </c>
      <c r="AR261" s="1327">
        <v>2.66</v>
      </c>
      <c r="AT261" s="1326">
        <v>40991</v>
      </c>
      <c r="AU261" s="1314">
        <v>828.14</v>
      </c>
      <c r="AV261" s="1314">
        <f t="shared" ref="AV261:AV324" si="53">(AU261-AU260)/AU260</f>
        <v>-7.1216190293497674E-3</v>
      </c>
      <c r="AX261" s="1314">
        <v>3.3050999999999999</v>
      </c>
      <c r="AY261" s="1314">
        <f t="shared" ref="AY261:AY324" si="54">(AX261-AX260)/AX260</f>
        <v>-9.2031896396666327E-3</v>
      </c>
    </row>
    <row r="262" spans="1:51" x14ac:dyDescent="0.75">
      <c r="A262" s="1326">
        <v>40984</v>
      </c>
      <c r="B262" s="1314">
        <v>832.31</v>
      </c>
      <c r="C262" s="1314">
        <f t="shared" si="44"/>
        <v>5.0353804912212415E-3</v>
      </c>
      <c r="E262" s="1326">
        <v>40984</v>
      </c>
      <c r="F262" s="1314">
        <v>12.355</v>
      </c>
      <c r="G262" s="1314">
        <f t="shared" si="45"/>
        <v>-1.080864691753401E-2</v>
      </c>
      <c r="I262" s="1326">
        <v>40984</v>
      </c>
      <c r="J262" s="1314">
        <v>6.82</v>
      </c>
      <c r="K262" s="1314">
        <f t="shared" si="46"/>
        <v>2.8657616892911068E-2</v>
      </c>
      <c r="M262" s="1326">
        <v>40984</v>
      </c>
      <c r="N262" s="1314">
        <v>7.69</v>
      </c>
      <c r="O262" s="1314">
        <f t="shared" si="47"/>
        <v>-3.0264817150062968E-2</v>
      </c>
      <c r="Q262" s="1326">
        <v>40984</v>
      </c>
      <c r="R262" s="1314">
        <v>9.4</v>
      </c>
      <c r="S262" s="1314">
        <f t="shared" si="48"/>
        <v>-6.9306930693069244E-2</v>
      </c>
      <c r="U262" s="1326">
        <v>40984</v>
      </c>
      <c r="V262" s="1314">
        <v>28.46</v>
      </c>
      <c r="W262" s="1314">
        <f t="shared" si="49"/>
        <v>-8.3623693379790403E-3</v>
      </c>
      <c r="Y262" s="1326">
        <v>40984</v>
      </c>
      <c r="Z262" s="1314">
        <v>12.12</v>
      </c>
      <c r="AA262" s="1314">
        <f t="shared" si="50"/>
        <v>1.8487394957983096E-2</v>
      </c>
      <c r="AC262" s="1326">
        <v>40984</v>
      </c>
      <c r="AD262" s="1314">
        <v>15.715</v>
      </c>
      <c r="AE262" s="1314">
        <f t="shared" si="51"/>
        <v>2.8717294192724908E-3</v>
      </c>
      <c r="AG262" s="1326">
        <v>40984</v>
      </c>
      <c r="AH262" s="1314">
        <v>4.37</v>
      </c>
      <c r="AI262" s="1314">
        <f t="shared" si="52"/>
        <v>-7.9999999999999974E-2</v>
      </c>
      <c r="AK262" s="1326">
        <v>40984</v>
      </c>
      <c r="AL262" s="1314">
        <v>-0.75</v>
      </c>
      <c r="AN262" s="1326">
        <v>40984</v>
      </c>
      <c r="AO262" s="1314">
        <v>1.53</v>
      </c>
      <c r="AQ262" s="1326">
        <v>40984</v>
      </c>
      <c r="AR262" s="1327">
        <v>2.63</v>
      </c>
      <c r="AT262" s="1326">
        <v>40984</v>
      </c>
      <c r="AU262" s="1314">
        <v>832.31</v>
      </c>
      <c r="AV262" s="1314">
        <f t="shared" si="53"/>
        <v>5.0353804912212415E-3</v>
      </c>
      <c r="AX262" s="1314">
        <v>3.4060999999999999</v>
      </c>
      <c r="AY262" s="1314">
        <f t="shared" si="54"/>
        <v>3.0558833318205192E-2</v>
      </c>
    </row>
    <row r="263" spans="1:51" x14ac:dyDescent="0.75">
      <c r="A263" s="1326">
        <v>40977</v>
      </c>
      <c r="B263" s="1314">
        <v>813.79</v>
      </c>
      <c r="C263" s="1314">
        <f t="shared" si="44"/>
        <v>-2.2251324626641495E-2</v>
      </c>
      <c r="E263" s="1326">
        <v>40977</v>
      </c>
      <c r="F263" s="1314">
        <v>12.06</v>
      </c>
      <c r="G263" s="1314">
        <f t="shared" si="45"/>
        <v>-2.3876972885471463E-2</v>
      </c>
      <c r="I263" s="1326">
        <v>40977</v>
      </c>
      <c r="J263" s="1314">
        <v>6.76</v>
      </c>
      <c r="K263" s="1314">
        <f t="shared" si="46"/>
        <v>-8.7976539589443535E-3</v>
      </c>
      <c r="M263" s="1326">
        <v>40977</v>
      </c>
      <c r="N263" s="1314">
        <v>7.29</v>
      </c>
      <c r="O263" s="1314">
        <f t="shared" si="47"/>
        <v>-5.2015604681404468E-2</v>
      </c>
      <c r="Q263" s="1326">
        <v>40977</v>
      </c>
      <c r="R263" s="1314">
        <v>9.52</v>
      </c>
      <c r="S263" s="1314">
        <f t="shared" si="48"/>
        <v>1.2765957446808427E-2</v>
      </c>
      <c r="U263" s="1326">
        <v>40977</v>
      </c>
      <c r="V263" s="1314">
        <v>27.14</v>
      </c>
      <c r="W263" s="1314">
        <f t="shared" si="49"/>
        <v>-4.6380885453267753E-2</v>
      </c>
      <c r="Y263" s="1326">
        <v>40977</v>
      </c>
      <c r="Z263" s="1314">
        <v>11.64</v>
      </c>
      <c r="AA263" s="1314">
        <f t="shared" si="50"/>
        <v>-3.9603960396039493E-2</v>
      </c>
      <c r="AC263" s="1326">
        <v>40977</v>
      </c>
      <c r="AD263" s="1314">
        <v>15.94</v>
      </c>
      <c r="AE263" s="1314">
        <f t="shared" si="51"/>
        <v>1.4317531021317191E-2</v>
      </c>
      <c r="AG263" s="1326">
        <v>40977</v>
      </c>
      <c r="AH263" s="1314">
        <v>4.3099999999999996</v>
      </c>
      <c r="AI263" s="1314">
        <f t="shared" si="52"/>
        <v>-1.3729977116704919E-2</v>
      </c>
      <c r="AK263" s="1326">
        <v>40977</v>
      </c>
      <c r="AL263" s="1314">
        <v>1.66</v>
      </c>
      <c r="AN263" s="1326">
        <v>40977</v>
      </c>
      <c r="AO263" s="1314">
        <v>0.08</v>
      </c>
      <c r="AQ263" s="1326">
        <v>40977</v>
      </c>
      <c r="AR263" s="1327">
        <v>2.5299999999999998</v>
      </c>
      <c r="AT263" s="1326">
        <v>40977</v>
      </c>
      <c r="AU263" s="1314">
        <v>813.79</v>
      </c>
      <c r="AV263" s="1314">
        <f t="shared" si="53"/>
        <v>-2.2251324626641495E-2</v>
      </c>
      <c r="AX263" s="1314">
        <v>3.1778</v>
      </c>
      <c r="AY263" s="1314">
        <f t="shared" si="54"/>
        <v>-6.7026804850121829E-2</v>
      </c>
    </row>
    <row r="264" spans="1:51" x14ac:dyDescent="0.75">
      <c r="A264" s="1326">
        <v>40970</v>
      </c>
      <c r="B264" s="1314">
        <v>811.79</v>
      </c>
      <c r="C264" s="1314">
        <f t="shared" si="44"/>
        <v>-2.4576364909866181E-3</v>
      </c>
      <c r="E264" s="1326">
        <v>40970</v>
      </c>
      <c r="F264" s="1314">
        <v>11.6</v>
      </c>
      <c r="G264" s="1314">
        <f t="shared" si="45"/>
        <v>-3.814262023217254E-2</v>
      </c>
      <c r="I264" s="1326">
        <v>40970</v>
      </c>
      <c r="J264" s="1314">
        <v>6.81</v>
      </c>
      <c r="K264" s="1314">
        <f t="shared" si="46"/>
        <v>7.3964497041419854E-3</v>
      </c>
      <c r="M264" s="1326">
        <v>40970</v>
      </c>
      <c r="N264" s="1314">
        <v>7.14</v>
      </c>
      <c r="O264" s="1314">
        <f t="shared" si="47"/>
        <v>-2.0576131687242847E-2</v>
      </c>
      <c r="Q264" s="1326">
        <v>40970</v>
      </c>
      <c r="R264" s="1314">
        <v>9.6300000000000008</v>
      </c>
      <c r="S264" s="1314">
        <f t="shared" si="48"/>
        <v>1.1554621848739623E-2</v>
      </c>
      <c r="U264" s="1326">
        <v>40970</v>
      </c>
      <c r="V264" s="1314">
        <v>28.04</v>
      </c>
      <c r="W264" s="1314">
        <f t="shared" si="49"/>
        <v>3.3161385408990364E-2</v>
      </c>
      <c r="Y264" s="1326">
        <v>40970</v>
      </c>
      <c r="Z264" s="1314">
        <v>12.17</v>
      </c>
      <c r="AA264" s="1314">
        <f t="shared" si="50"/>
        <v>4.5532646048109908E-2</v>
      </c>
      <c r="AC264" s="1326">
        <v>40970</v>
      </c>
      <c r="AD264" s="1314">
        <v>17.43</v>
      </c>
      <c r="AE264" s="1314">
        <f t="shared" si="51"/>
        <v>9.3475533249686341E-2</v>
      </c>
      <c r="AG264" s="1326">
        <v>40970</v>
      </c>
      <c r="AH264" s="1314">
        <v>4.05</v>
      </c>
      <c r="AI264" s="1314">
        <f t="shared" si="52"/>
        <v>-6.0324825986078842E-2</v>
      </c>
      <c r="AK264" s="1326">
        <v>40970</v>
      </c>
      <c r="AL264" s="1314">
        <v>-3.36</v>
      </c>
      <c r="AN264" s="1326">
        <v>40970</v>
      </c>
      <c r="AO264" s="1314">
        <v>0.43</v>
      </c>
      <c r="AQ264" s="1326">
        <v>40970</v>
      </c>
      <c r="AR264" s="1327">
        <v>2.54</v>
      </c>
      <c r="AT264" s="1326">
        <v>40970</v>
      </c>
      <c r="AU264" s="1314">
        <v>811.79</v>
      </c>
      <c r="AV264" s="1314">
        <f t="shared" si="53"/>
        <v>-2.4576364909866181E-3</v>
      </c>
      <c r="AX264" s="1314">
        <v>3.1023999999999998</v>
      </c>
      <c r="AY264" s="1314">
        <f t="shared" si="54"/>
        <v>-2.3727106803448968E-2</v>
      </c>
    </row>
    <row r="265" spans="1:51" x14ac:dyDescent="0.75">
      <c r="A265" s="1326">
        <v>40963</v>
      </c>
      <c r="B265" s="1314">
        <v>812.23</v>
      </c>
      <c r="C265" s="1314">
        <f t="shared" si="44"/>
        <v>5.4201209672458963E-4</v>
      </c>
      <c r="E265" s="1326">
        <v>40963</v>
      </c>
      <c r="F265" s="1314">
        <v>12.66</v>
      </c>
      <c r="G265" s="1314">
        <f t="shared" si="45"/>
        <v>9.137931034482763E-2</v>
      </c>
      <c r="I265" s="1326">
        <v>40963</v>
      </c>
      <c r="J265" s="1314">
        <v>7.52</v>
      </c>
      <c r="K265" s="1314">
        <f t="shared" si="46"/>
        <v>0.10425844346549193</v>
      </c>
      <c r="M265" s="1326">
        <v>40963</v>
      </c>
      <c r="N265" s="1314">
        <v>7.2</v>
      </c>
      <c r="O265" s="1314">
        <f t="shared" si="47"/>
        <v>8.4033613445378859E-3</v>
      </c>
      <c r="Q265" s="1326">
        <v>40963</v>
      </c>
      <c r="R265" s="1314">
        <v>10.48</v>
      </c>
      <c r="S265" s="1314">
        <f t="shared" si="48"/>
        <v>8.826583592938729E-2</v>
      </c>
      <c r="U265" s="1326">
        <v>40963</v>
      </c>
      <c r="V265" s="1314">
        <v>29.02</v>
      </c>
      <c r="W265" s="1314">
        <f t="shared" si="49"/>
        <v>3.4950071326676192E-2</v>
      </c>
      <c r="Y265" s="1326">
        <v>40963</v>
      </c>
      <c r="Z265" s="1314">
        <v>12.6</v>
      </c>
      <c r="AA265" s="1314">
        <f t="shared" si="50"/>
        <v>3.5332785538208684E-2</v>
      </c>
      <c r="AC265" s="1326">
        <v>40963</v>
      </c>
      <c r="AD265" s="1314">
        <v>17.87</v>
      </c>
      <c r="AE265" s="1314">
        <f t="shared" si="51"/>
        <v>2.5243832472748209E-2</v>
      </c>
      <c r="AG265" s="1326">
        <v>40963</v>
      </c>
      <c r="AH265" s="1314">
        <v>5.24</v>
      </c>
      <c r="AI265" s="1314">
        <f t="shared" si="52"/>
        <v>0.29382716049382729</v>
      </c>
      <c r="AK265" s="1326">
        <v>40963</v>
      </c>
      <c r="AL265" s="1314">
        <v>-0.56000000000000005</v>
      </c>
      <c r="AN265" s="1326">
        <v>40963</v>
      </c>
      <c r="AO265" s="1314">
        <v>-1.02</v>
      </c>
      <c r="AQ265" s="1326">
        <v>40963</v>
      </c>
      <c r="AR265" s="1327">
        <v>2.61</v>
      </c>
      <c r="AT265" s="1326">
        <v>40963</v>
      </c>
      <c r="AU265" s="1314">
        <v>812.23</v>
      </c>
      <c r="AV265" s="1314">
        <f t="shared" si="53"/>
        <v>5.4201209672458963E-4</v>
      </c>
      <c r="AX265" s="1314">
        <v>3.0992000000000002</v>
      </c>
      <c r="AY265" s="1314">
        <f t="shared" si="54"/>
        <v>-1.0314595152139143E-3</v>
      </c>
    </row>
    <row r="266" spans="1:51" x14ac:dyDescent="0.75">
      <c r="A266" s="1326">
        <v>40956</v>
      </c>
      <c r="B266" s="1314">
        <v>810.05</v>
      </c>
      <c r="C266" s="1314">
        <f t="shared" si="44"/>
        <v>-2.6839688265639827E-3</v>
      </c>
      <c r="E266" s="1326">
        <v>40956</v>
      </c>
      <c r="F266" s="1314">
        <v>12.95</v>
      </c>
      <c r="G266" s="1314">
        <f t="shared" si="45"/>
        <v>2.2906793048973077E-2</v>
      </c>
      <c r="I266" s="1326">
        <v>40956</v>
      </c>
      <c r="J266" s="1314">
        <v>7.82</v>
      </c>
      <c r="K266" s="1314">
        <f t="shared" si="46"/>
        <v>3.9893617021276695E-2</v>
      </c>
      <c r="M266" s="1326">
        <v>40956</v>
      </c>
      <c r="N266" s="1314">
        <v>7</v>
      </c>
      <c r="O266" s="1314">
        <f t="shared" si="47"/>
        <v>-2.7777777777777801E-2</v>
      </c>
      <c r="Q266" s="1326">
        <v>40956</v>
      </c>
      <c r="R266" s="1314">
        <v>10.62</v>
      </c>
      <c r="S266" s="1314">
        <f t="shared" si="48"/>
        <v>1.3358778625954082E-2</v>
      </c>
      <c r="U266" s="1326">
        <v>40956</v>
      </c>
      <c r="V266" s="1314">
        <v>29.48</v>
      </c>
      <c r="W266" s="1314">
        <f t="shared" si="49"/>
        <v>1.5851137146795344E-2</v>
      </c>
      <c r="Y266" s="1326">
        <v>40956</v>
      </c>
      <c r="Z266" s="1314">
        <v>13.13</v>
      </c>
      <c r="AA266" s="1314">
        <f t="shared" si="50"/>
        <v>4.2063492063492157E-2</v>
      </c>
      <c r="AC266" s="1326">
        <v>40956</v>
      </c>
      <c r="AD266" s="1314">
        <v>18.39</v>
      </c>
      <c r="AE266" s="1314">
        <f t="shared" si="51"/>
        <v>2.9099048684946813E-2</v>
      </c>
      <c r="AG266" s="1326">
        <v>40956</v>
      </c>
      <c r="AH266" s="1314">
        <v>5.33</v>
      </c>
      <c r="AI266" s="1314">
        <f t="shared" si="52"/>
        <v>1.7175572519083943E-2</v>
      </c>
      <c r="AK266" s="1326">
        <v>40956</v>
      </c>
      <c r="AL266" s="1314">
        <v>0.33</v>
      </c>
      <c r="AN266" s="1326">
        <v>40956</v>
      </c>
      <c r="AO266" s="1314">
        <v>0.36</v>
      </c>
      <c r="AQ266" s="1326">
        <v>40956</v>
      </c>
      <c r="AR266" s="1327">
        <v>2.61</v>
      </c>
      <c r="AT266" s="1326">
        <v>40956</v>
      </c>
      <c r="AU266" s="1314">
        <v>810.05</v>
      </c>
      <c r="AV266" s="1314">
        <f t="shared" si="53"/>
        <v>-2.6839688265639827E-3</v>
      </c>
      <c r="AX266" s="1314">
        <v>3.1476000000000002</v>
      </c>
      <c r="AY266" s="1314">
        <f t="shared" si="54"/>
        <v>1.56169334021683E-2</v>
      </c>
    </row>
    <row r="267" spans="1:51" x14ac:dyDescent="0.75">
      <c r="A267" s="1326">
        <v>40949</v>
      </c>
      <c r="B267" s="1314">
        <v>798.24</v>
      </c>
      <c r="C267" s="1314">
        <f t="shared" si="44"/>
        <v>-1.4579346953891669E-2</v>
      </c>
      <c r="E267" s="1326">
        <v>40949</v>
      </c>
      <c r="F267" s="1314">
        <v>12.41</v>
      </c>
      <c r="G267" s="1314">
        <f t="shared" si="45"/>
        <v>-4.1698841698841638E-2</v>
      </c>
      <c r="I267" s="1326">
        <v>40949</v>
      </c>
      <c r="J267" s="1314">
        <v>7.86</v>
      </c>
      <c r="K267" s="1314">
        <f t="shared" si="46"/>
        <v>5.1150895140665009E-3</v>
      </c>
      <c r="M267" s="1326">
        <v>40949</v>
      </c>
      <c r="N267" s="1314">
        <v>6.75</v>
      </c>
      <c r="O267" s="1314">
        <f t="shared" si="47"/>
        <v>-3.5714285714285712E-2</v>
      </c>
      <c r="Q267" s="1326">
        <v>40949</v>
      </c>
      <c r="R267" s="1314">
        <v>9.9499999999999993</v>
      </c>
      <c r="S267" s="1314">
        <f t="shared" si="48"/>
        <v>-6.3088512241054606E-2</v>
      </c>
      <c r="U267" s="1326">
        <v>40949</v>
      </c>
      <c r="V267" s="1314">
        <v>28.734999999999999</v>
      </c>
      <c r="W267" s="1314">
        <f t="shared" si="49"/>
        <v>-2.5271370420624186E-2</v>
      </c>
      <c r="Y267" s="1326">
        <v>40949</v>
      </c>
      <c r="Z267" s="1314">
        <v>12.98</v>
      </c>
      <c r="AA267" s="1314">
        <f t="shared" si="50"/>
        <v>-1.1424219345011451E-2</v>
      </c>
      <c r="AC267" s="1326">
        <v>40949</v>
      </c>
      <c r="AD267" s="1314">
        <v>18.055</v>
      </c>
      <c r="AE267" s="1314">
        <f t="shared" si="51"/>
        <v>-1.8216421968461165E-2</v>
      </c>
      <c r="AG267" s="1326">
        <v>40949</v>
      </c>
      <c r="AH267" s="1314">
        <v>5.16</v>
      </c>
      <c r="AI267" s="1314">
        <f t="shared" si="52"/>
        <v>-3.1894934333958708E-2</v>
      </c>
      <c r="AK267" s="1326">
        <v>40949</v>
      </c>
      <c r="AL267" s="1314">
        <v>-1.61</v>
      </c>
      <c r="AN267" s="1326">
        <v>40949</v>
      </c>
      <c r="AO267" s="1314">
        <v>-0.38</v>
      </c>
      <c r="AQ267" s="1326">
        <v>40949</v>
      </c>
      <c r="AR267" s="1327">
        <v>2.6</v>
      </c>
      <c r="AT267" s="1326">
        <v>40949</v>
      </c>
      <c r="AU267" s="1314">
        <v>798.24</v>
      </c>
      <c r="AV267" s="1314">
        <f t="shared" si="53"/>
        <v>-1.4579346953891669E-2</v>
      </c>
      <c r="AX267" s="1314">
        <v>3.1404000000000001</v>
      </c>
      <c r="AY267" s="1314">
        <f t="shared" si="54"/>
        <v>-2.2874571101792144E-3</v>
      </c>
    </row>
    <row r="268" spans="1:51" x14ac:dyDescent="0.75">
      <c r="A268" s="1326">
        <v>40942</v>
      </c>
      <c r="B268" s="1314">
        <v>801.04</v>
      </c>
      <c r="C268" s="1314">
        <f t="shared" si="44"/>
        <v>3.5077169773501133E-3</v>
      </c>
      <c r="E268" s="1326">
        <v>40942</v>
      </c>
      <c r="F268" s="1314">
        <v>12.03</v>
      </c>
      <c r="G268" s="1314">
        <f t="shared" si="45"/>
        <v>-3.0620467365028266E-2</v>
      </c>
      <c r="I268" s="1326">
        <v>40942</v>
      </c>
      <c r="J268" s="1314">
        <v>7.56</v>
      </c>
      <c r="K268" s="1314">
        <f t="shared" si="46"/>
        <v>-3.8167938931297801E-2</v>
      </c>
      <c r="M268" s="1326">
        <v>40942</v>
      </c>
      <c r="N268" s="1314">
        <v>6.86</v>
      </c>
      <c r="O268" s="1314">
        <f t="shared" si="47"/>
        <v>1.6296296296296343E-2</v>
      </c>
      <c r="Q268" s="1326">
        <v>40942</v>
      </c>
      <c r="R268" s="1314">
        <v>10.19</v>
      </c>
      <c r="S268" s="1314">
        <f t="shared" si="48"/>
        <v>2.41206030150754E-2</v>
      </c>
      <c r="U268" s="1326">
        <v>40942</v>
      </c>
      <c r="V268" s="1314">
        <v>30.35</v>
      </c>
      <c r="W268" s="1314">
        <f t="shared" si="49"/>
        <v>5.6203236471202435E-2</v>
      </c>
      <c r="Y268" s="1326">
        <v>40942</v>
      </c>
      <c r="Z268" s="1314">
        <v>12.74</v>
      </c>
      <c r="AA268" s="1314">
        <f t="shared" si="50"/>
        <v>-1.8489984591679522E-2</v>
      </c>
      <c r="AC268" s="1326">
        <v>40942</v>
      </c>
      <c r="AD268" s="1314">
        <v>17.91</v>
      </c>
      <c r="AE268" s="1314">
        <f t="shared" si="51"/>
        <v>-8.0310163389642527E-3</v>
      </c>
      <c r="AG268" s="1326">
        <v>40942</v>
      </c>
      <c r="AH268" s="1314">
        <v>5.48</v>
      </c>
      <c r="AI268" s="1314">
        <f t="shared" si="52"/>
        <v>6.2015503875969047E-2</v>
      </c>
      <c r="AK268" s="1326">
        <v>40942</v>
      </c>
      <c r="AL268" s="1314">
        <v>1.62</v>
      </c>
      <c r="AN268" s="1326">
        <v>40942</v>
      </c>
      <c r="AO268" s="1314">
        <v>0.39</v>
      </c>
      <c r="AQ268" s="1326">
        <v>40942</v>
      </c>
      <c r="AR268" s="1327">
        <v>2.6</v>
      </c>
      <c r="AT268" s="1326">
        <v>40942</v>
      </c>
      <c r="AU268" s="1314">
        <v>801.04</v>
      </c>
      <c r="AV268" s="1314">
        <f t="shared" si="53"/>
        <v>3.5077169773501133E-3</v>
      </c>
      <c r="AX268" s="1314">
        <v>3.1192000000000002</v>
      </c>
      <c r="AY268" s="1314">
        <f t="shared" si="54"/>
        <v>-6.7507323907782081E-3</v>
      </c>
    </row>
    <row r="269" spans="1:51" x14ac:dyDescent="0.75">
      <c r="A269" s="1326">
        <v>40935</v>
      </c>
      <c r="B269" s="1314">
        <v>782.06</v>
      </c>
      <c r="C269" s="1314">
        <f t="shared" si="44"/>
        <v>-2.3694197543193872E-2</v>
      </c>
      <c r="E269" s="1326">
        <v>40935</v>
      </c>
      <c r="F269" s="1314">
        <v>13.58</v>
      </c>
      <c r="G269" s="1314">
        <f t="shared" si="45"/>
        <v>0.12884455527847055</v>
      </c>
      <c r="I269" s="1326">
        <v>40935</v>
      </c>
      <c r="J269" s="1314">
        <v>7.97</v>
      </c>
      <c r="K269" s="1314">
        <f t="shared" si="46"/>
        <v>5.4232804232804258E-2</v>
      </c>
      <c r="M269" s="1326">
        <v>40935</v>
      </c>
      <c r="N269" s="1314">
        <v>6.8</v>
      </c>
      <c r="O269" s="1314">
        <f t="shared" si="47"/>
        <v>-8.7463556851312668E-3</v>
      </c>
      <c r="Q269" s="1326">
        <v>40935</v>
      </c>
      <c r="R269" s="1314">
        <v>9.08</v>
      </c>
      <c r="S269" s="1314">
        <f t="shared" si="48"/>
        <v>-0.10893032384690868</v>
      </c>
      <c r="U269" s="1326">
        <v>40935</v>
      </c>
      <c r="V269" s="1314">
        <v>28.97</v>
      </c>
      <c r="W269" s="1314">
        <f t="shared" si="49"/>
        <v>-4.5469522240527263E-2</v>
      </c>
      <c r="Y269" s="1326">
        <v>40935</v>
      </c>
      <c r="Z269" s="1314">
        <v>12.39</v>
      </c>
      <c r="AA269" s="1314">
        <f t="shared" si="50"/>
        <v>-2.7472527472527444E-2</v>
      </c>
      <c r="AC269" s="1326">
        <v>40935</v>
      </c>
      <c r="AD269" s="1314">
        <v>17.260000000000002</v>
      </c>
      <c r="AE269" s="1314">
        <f t="shared" si="51"/>
        <v>-3.629257398101611E-2</v>
      </c>
      <c r="AG269" s="1326">
        <v>40935</v>
      </c>
      <c r="AH269" s="1314">
        <v>5.04</v>
      </c>
      <c r="AI269" s="1314">
        <f t="shared" si="52"/>
        <v>-8.0291970802919777E-2</v>
      </c>
      <c r="AK269" s="1326">
        <v>40935</v>
      </c>
      <c r="AL269" s="1314">
        <v>1.81</v>
      </c>
      <c r="AN269" s="1326">
        <v>40935</v>
      </c>
      <c r="AO269" s="1314">
        <v>-1.71</v>
      </c>
      <c r="AQ269" s="1326">
        <v>40935</v>
      </c>
      <c r="AR269" s="1327">
        <v>2.7</v>
      </c>
      <c r="AT269" s="1326">
        <v>40935</v>
      </c>
      <c r="AU269" s="1314">
        <v>782.06</v>
      </c>
      <c r="AV269" s="1314">
        <f t="shared" si="53"/>
        <v>-2.3694197543193872E-2</v>
      </c>
      <c r="AX269" s="1314">
        <v>3.0573999999999999</v>
      </c>
      <c r="AY269" s="1314">
        <f t="shared" si="54"/>
        <v>-1.9812772505770807E-2</v>
      </c>
    </row>
    <row r="270" spans="1:51" x14ac:dyDescent="0.75">
      <c r="A270" s="1326">
        <v>40928</v>
      </c>
      <c r="B270" s="1314">
        <v>778.95</v>
      </c>
      <c r="C270" s="1314">
        <f t="shared" si="44"/>
        <v>-3.9766769813056541E-3</v>
      </c>
      <c r="E270" s="1326">
        <v>40928</v>
      </c>
      <c r="F270" s="1314">
        <v>12.97</v>
      </c>
      <c r="G270" s="1314">
        <f t="shared" si="45"/>
        <v>-4.4918998527245908E-2</v>
      </c>
      <c r="I270" s="1326">
        <v>40928</v>
      </c>
      <c r="J270" s="1314">
        <v>8.5399999999999991</v>
      </c>
      <c r="K270" s="1314">
        <f t="shared" si="46"/>
        <v>7.1518193224592144E-2</v>
      </c>
      <c r="M270" s="1326">
        <v>40928</v>
      </c>
      <c r="N270" s="1314">
        <v>6.65</v>
      </c>
      <c r="O270" s="1314">
        <f t="shared" si="47"/>
        <v>-2.2058823529411686E-2</v>
      </c>
      <c r="Q270" s="1326">
        <v>40928</v>
      </c>
      <c r="R270" s="1314">
        <v>8.0399999999999991</v>
      </c>
      <c r="S270" s="1314">
        <f t="shared" si="48"/>
        <v>-0.1145374449339208</v>
      </c>
      <c r="U270" s="1326">
        <v>40928</v>
      </c>
      <c r="V270" s="1314">
        <v>27.07</v>
      </c>
      <c r="W270" s="1314">
        <f t="shared" si="49"/>
        <v>-6.5585088022091773E-2</v>
      </c>
      <c r="Y270" s="1326">
        <v>40928</v>
      </c>
      <c r="Z270" s="1314">
        <v>11.7</v>
      </c>
      <c r="AA270" s="1314">
        <f t="shared" si="50"/>
        <v>-5.5690072639225284E-2</v>
      </c>
      <c r="AC270" s="1326">
        <v>40928</v>
      </c>
      <c r="AD270" s="1314">
        <v>19.05</v>
      </c>
      <c r="AE270" s="1314">
        <f t="shared" si="51"/>
        <v>0.10370799536500573</v>
      </c>
      <c r="AG270" s="1326">
        <v>40928</v>
      </c>
      <c r="AH270" s="1314">
        <v>4.88</v>
      </c>
      <c r="AI270" s="1314">
        <f t="shared" si="52"/>
        <v>-3.1746031746031772E-2</v>
      </c>
      <c r="AK270" s="1326">
        <v>40928</v>
      </c>
      <c r="AL270" s="1314">
        <v>0.6</v>
      </c>
      <c r="AN270" s="1326">
        <v>40928</v>
      </c>
      <c r="AO270" s="1314">
        <v>-0.17</v>
      </c>
      <c r="AQ270" s="1326">
        <v>40928</v>
      </c>
      <c r="AR270" s="1327">
        <v>2.76</v>
      </c>
      <c r="AT270" s="1326">
        <v>40928</v>
      </c>
      <c r="AU270" s="1314">
        <v>778.95</v>
      </c>
      <c r="AV270" s="1314">
        <f t="shared" si="53"/>
        <v>-3.9766769813056541E-3</v>
      </c>
      <c r="AX270" s="1314">
        <v>3.0998000000000001</v>
      </c>
      <c r="AY270" s="1314">
        <f t="shared" si="54"/>
        <v>1.386799241185328E-2</v>
      </c>
    </row>
    <row r="271" spans="1:51" x14ac:dyDescent="0.75">
      <c r="A271" s="1326">
        <v>40921</v>
      </c>
      <c r="B271" s="1314">
        <v>762.7</v>
      </c>
      <c r="C271" s="1314">
        <f t="shared" si="44"/>
        <v>-2.0861416008729698E-2</v>
      </c>
      <c r="E271" s="1326">
        <v>40921</v>
      </c>
      <c r="F271" s="1314">
        <v>11.73</v>
      </c>
      <c r="G271" s="1314">
        <f t="shared" si="45"/>
        <v>-9.5605242868157303E-2</v>
      </c>
      <c r="I271" s="1326">
        <v>40921</v>
      </c>
      <c r="J271" s="1314">
        <v>8</v>
      </c>
      <c r="K271" s="1314">
        <f t="shared" si="46"/>
        <v>-6.3231850117095922E-2</v>
      </c>
      <c r="M271" s="1326">
        <v>40921</v>
      </c>
      <c r="N271" s="1314">
        <v>6.42</v>
      </c>
      <c r="O271" s="1314">
        <f t="shared" si="47"/>
        <v>-3.4586466165413596E-2</v>
      </c>
      <c r="Q271" s="1326">
        <v>40921</v>
      </c>
      <c r="R271" s="1314">
        <v>7.84</v>
      </c>
      <c r="S271" s="1314">
        <f t="shared" si="48"/>
        <v>-2.4875621890547178E-2</v>
      </c>
      <c r="U271" s="1326">
        <v>40921</v>
      </c>
      <c r="V271" s="1314">
        <v>25.05</v>
      </c>
      <c r="W271" s="1314">
        <f t="shared" si="49"/>
        <v>-7.4621352050240106E-2</v>
      </c>
      <c r="Y271" s="1326">
        <v>40921</v>
      </c>
      <c r="Z271" s="1314">
        <v>10.4</v>
      </c>
      <c r="AA271" s="1314">
        <f t="shared" si="50"/>
        <v>-0.11111111111111102</v>
      </c>
      <c r="AC271" s="1326">
        <v>40921</v>
      </c>
      <c r="AD271" s="1314">
        <v>17.29</v>
      </c>
      <c r="AE271" s="1314">
        <f t="shared" si="51"/>
        <v>-9.2388451443569636E-2</v>
      </c>
      <c r="AG271" s="1326">
        <v>40921</v>
      </c>
      <c r="AH271" s="1314">
        <v>4.72</v>
      </c>
      <c r="AI271" s="1314">
        <f t="shared" si="52"/>
        <v>-3.2786885245901669E-2</v>
      </c>
      <c r="AK271" s="1326">
        <v>40921</v>
      </c>
      <c r="AL271" s="1314">
        <v>0.87</v>
      </c>
      <c r="AN271" s="1326">
        <v>40921</v>
      </c>
      <c r="AO271" s="1314">
        <v>0.16</v>
      </c>
      <c r="AQ271" s="1326">
        <v>40921</v>
      </c>
      <c r="AR271" s="1327">
        <v>2.81</v>
      </c>
      <c r="AT271" s="1326">
        <v>40921</v>
      </c>
      <c r="AU271" s="1314">
        <v>762.7</v>
      </c>
      <c r="AV271" s="1314">
        <f t="shared" si="53"/>
        <v>-2.0861416008729698E-2</v>
      </c>
      <c r="AX271" s="1314">
        <v>2.91</v>
      </c>
      <c r="AY271" s="1314">
        <f t="shared" si="54"/>
        <v>-6.1229756758500536E-2</v>
      </c>
    </row>
    <row r="272" spans="1:51" x14ac:dyDescent="0.75">
      <c r="A272" s="1326">
        <v>40914</v>
      </c>
      <c r="B272" s="1314">
        <v>754.51</v>
      </c>
      <c r="C272" s="1314">
        <f t="shared" si="44"/>
        <v>-1.0738167038153997E-2</v>
      </c>
      <c r="E272" s="1326">
        <v>40914</v>
      </c>
      <c r="F272" s="1314">
        <v>11.15</v>
      </c>
      <c r="G272" s="1314">
        <f t="shared" si="45"/>
        <v>-4.9445865302642798E-2</v>
      </c>
      <c r="I272" s="1326">
        <v>40914</v>
      </c>
      <c r="J272" s="1314">
        <v>7.99</v>
      </c>
      <c r="K272" s="1314">
        <f t="shared" si="46"/>
        <v>-1.2499999999999734E-3</v>
      </c>
      <c r="M272" s="1326">
        <v>40914</v>
      </c>
      <c r="N272" s="1314">
        <v>6.33</v>
      </c>
      <c r="O272" s="1314">
        <f t="shared" si="47"/>
        <v>-1.4018691588785024E-2</v>
      </c>
      <c r="Q272" s="1326">
        <v>40914</v>
      </c>
      <c r="R272" s="1314">
        <v>7.46</v>
      </c>
      <c r="S272" s="1314">
        <f t="shared" si="48"/>
        <v>-4.8469387755102025E-2</v>
      </c>
      <c r="U272" s="1326">
        <v>40914</v>
      </c>
      <c r="V272" s="1314">
        <v>25.38</v>
      </c>
      <c r="W272" s="1314">
        <f t="shared" si="49"/>
        <v>1.317365269461071E-2</v>
      </c>
      <c r="Y272" s="1326">
        <v>40914</v>
      </c>
      <c r="Z272" s="1314">
        <v>9.77</v>
      </c>
      <c r="AA272" s="1314">
        <f t="shared" si="50"/>
        <v>-6.0576923076923153E-2</v>
      </c>
      <c r="AC272" s="1326">
        <v>40914</v>
      </c>
      <c r="AD272" s="1314">
        <v>16.809999999999999</v>
      </c>
      <c r="AE272" s="1314">
        <f t="shared" si="51"/>
        <v>-2.7761711972238316E-2</v>
      </c>
      <c r="AG272" s="1326">
        <v>40914</v>
      </c>
      <c r="AH272" s="1314">
        <v>4.12</v>
      </c>
      <c r="AI272" s="1314">
        <f t="shared" si="52"/>
        <v>-0.12711864406779655</v>
      </c>
      <c r="AK272" s="1326">
        <v>40914</v>
      </c>
      <c r="AL272" s="1314">
        <v>-0.57999999999999996</v>
      </c>
      <c r="AN272" s="1326">
        <v>40914</v>
      </c>
      <c r="AO272" s="1314">
        <v>0.85</v>
      </c>
      <c r="AQ272" s="1326">
        <v>40914</v>
      </c>
      <c r="AR272" s="1327">
        <v>2.88</v>
      </c>
      <c r="AT272" s="1326">
        <v>40914</v>
      </c>
      <c r="AU272" s="1314">
        <v>754.51</v>
      </c>
      <c r="AV272" s="1314">
        <f t="shared" si="53"/>
        <v>-1.0738167038153997E-2</v>
      </c>
      <c r="AX272" s="1314">
        <v>3.0156000000000001</v>
      </c>
      <c r="AY272" s="1314">
        <f t="shared" si="54"/>
        <v>3.6288659793814404E-2</v>
      </c>
    </row>
    <row r="273" spans="1:51" x14ac:dyDescent="0.75">
      <c r="A273" s="1326">
        <v>40907</v>
      </c>
      <c r="B273" s="1314">
        <v>742.58</v>
      </c>
      <c r="C273" s="1314">
        <f t="shared" si="44"/>
        <v>-1.5811586327550264E-2</v>
      </c>
      <c r="E273" s="1326">
        <v>40907</v>
      </c>
      <c r="F273" s="1314">
        <v>10.83</v>
      </c>
      <c r="G273" s="1314">
        <f t="shared" si="45"/>
        <v>-2.8699551569506751E-2</v>
      </c>
      <c r="I273" s="1326">
        <v>40907</v>
      </c>
      <c r="J273" s="1314">
        <v>7.55</v>
      </c>
      <c r="K273" s="1314">
        <f t="shared" si="46"/>
        <v>-5.5068836045056371E-2</v>
      </c>
      <c r="M273" s="1326">
        <v>40907</v>
      </c>
      <c r="N273" s="1314">
        <v>6.5</v>
      </c>
      <c r="O273" s="1314">
        <f t="shared" si="47"/>
        <v>2.6856240126382293E-2</v>
      </c>
      <c r="Q273" s="1326">
        <v>40907</v>
      </c>
      <c r="R273" s="1314">
        <v>7.31</v>
      </c>
      <c r="S273" s="1314">
        <f t="shared" si="48"/>
        <v>-2.0107238605898171E-2</v>
      </c>
      <c r="U273" s="1326">
        <v>40907</v>
      </c>
      <c r="V273" s="1314">
        <v>24.82</v>
      </c>
      <c r="W273" s="1314">
        <f t="shared" si="49"/>
        <v>-2.2064617809298612E-2</v>
      </c>
      <c r="Y273" s="1326">
        <v>40907</v>
      </c>
      <c r="Z273" s="1314">
        <v>8.99</v>
      </c>
      <c r="AA273" s="1314">
        <f t="shared" si="50"/>
        <v>-7.9836233367451326E-2</v>
      </c>
      <c r="AC273" s="1326">
        <v>40907</v>
      </c>
      <c r="AD273" s="1314">
        <v>16.89</v>
      </c>
      <c r="AE273" s="1314">
        <f t="shared" si="51"/>
        <v>4.7590719809638225E-3</v>
      </c>
      <c r="AG273" s="1326">
        <v>40907</v>
      </c>
      <c r="AH273" s="1314">
        <v>3.4491999999999998</v>
      </c>
      <c r="AI273" s="1314">
        <f t="shared" si="52"/>
        <v>-0.1628155339805826</v>
      </c>
      <c r="AK273" s="1326">
        <v>40907</v>
      </c>
      <c r="AL273" s="1314">
        <v>-0.18</v>
      </c>
      <c r="AN273" s="1326">
        <v>40907</v>
      </c>
      <c r="AO273" s="1314">
        <v>-0.46</v>
      </c>
      <c r="AQ273" s="1326">
        <v>40907</v>
      </c>
      <c r="AR273" s="1327">
        <v>3.03</v>
      </c>
      <c r="AT273" s="1326">
        <v>40907</v>
      </c>
      <c r="AU273" s="1314">
        <v>742.58</v>
      </c>
      <c r="AV273" s="1314">
        <f t="shared" si="53"/>
        <v>-1.5811586327550264E-2</v>
      </c>
      <c r="AX273" s="1314">
        <v>2.8940999999999999</v>
      </c>
      <c r="AY273" s="1314">
        <f t="shared" si="54"/>
        <v>-4.0290489454834912E-2</v>
      </c>
    </row>
    <row r="274" spans="1:51" x14ac:dyDescent="0.75">
      <c r="A274" s="1326">
        <v>40900</v>
      </c>
      <c r="B274" s="1314">
        <v>747.41</v>
      </c>
      <c r="C274" s="1314">
        <f t="shared" si="44"/>
        <v>6.5043496996955571E-3</v>
      </c>
      <c r="E274" s="1326">
        <v>40900</v>
      </c>
      <c r="F274" s="1314">
        <v>11.33</v>
      </c>
      <c r="G274" s="1314">
        <f t="shared" si="45"/>
        <v>4.616805170821791E-2</v>
      </c>
      <c r="I274" s="1326">
        <v>40900</v>
      </c>
      <c r="J274" s="1314">
        <v>8.2100000000000009</v>
      </c>
      <c r="K274" s="1314">
        <f t="shared" si="46"/>
        <v>8.7417218543046502E-2</v>
      </c>
      <c r="M274" s="1326">
        <v>40900</v>
      </c>
      <c r="N274" s="1314">
        <v>6.76</v>
      </c>
      <c r="O274" s="1314">
        <f t="shared" si="47"/>
        <v>3.9999999999999966E-2</v>
      </c>
      <c r="Q274" s="1326">
        <v>40900</v>
      </c>
      <c r="R274" s="1314">
        <v>7.68</v>
      </c>
      <c r="S274" s="1314">
        <f t="shared" si="48"/>
        <v>5.0615595075239418E-2</v>
      </c>
      <c r="U274" s="1326">
        <v>40900</v>
      </c>
      <c r="V274" s="1314">
        <v>25.25</v>
      </c>
      <c r="W274" s="1314">
        <f t="shared" si="49"/>
        <v>1.7324738114423841E-2</v>
      </c>
      <c r="Y274" s="1326">
        <v>40900</v>
      </c>
      <c r="Z274" s="1314">
        <v>9.08</v>
      </c>
      <c r="AA274" s="1314">
        <f t="shared" si="50"/>
        <v>1.0011123470522788E-2</v>
      </c>
      <c r="AC274" s="1326">
        <v>40900</v>
      </c>
      <c r="AD274" s="1314">
        <v>16.905000000000001</v>
      </c>
      <c r="AE274" s="1314">
        <f t="shared" si="51"/>
        <v>8.8809946714035336E-4</v>
      </c>
      <c r="AG274" s="1326">
        <v>40900</v>
      </c>
      <c r="AH274" s="1314">
        <v>3.6</v>
      </c>
      <c r="AI274" s="1314">
        <f t="shared" si="52"/>
        <v>4.3720282964165684E-2</v>
      </c>
      <c r="AK274" s="1326">
        <v>40900</v>
      </c>
      <c r="AL274" s="1314">
        <v>-0.51</v>
      </c>
      <c r="AN274" s="1326">
        <v>40900</v>
      </c>
      <c r="AO274" s="1314">
        <v>1.48</v>
      </c>
      <c r="AQ274" s="1326">
        <v>40900</v>
      </c>
      <c r="AR274" s="1327">
        <v>3.07</v>
      </c>
      <c r="AT274" s="1326">
        <v>40900</v>
      </c>
      <c r="AU274" s="1314">
        <v>747.41</v>
      </c>
      <c r="AV274" s="1314">
        <f t="shared" si="53"/>
        <v>6.5043496996955571E-3</v>
      </c>
      <c r="AX274" s="1314">
        <v>3.0568</v>
      </c>
      <c r="AY274" s="1314">
        <f t="shared" si="54"/>
        <v>5.6217822466397178E-2</v>
      </c>
    </row>
    <row r="275" spans="1:51" x14ac:dyDescent="0.75">
      <c r="A275" s="1326">
        <v>40893</v>
      </c>
      <c r="B275" s="1314">
        <v>720.74</v>
      </c>
      <c r="C275" s="1314">
        <f t="shared" ref="C275:C338" si="55">(B275-B274)/B274</f>
        <v>-3.5683226074042305E-2</v>
      </c>
      <c r="E275" s="1326">
        <v>40893</v>
      </c>
      <c r="F275" s="1314">
        <v>10.81</v>
      </c>
      <c r="G275" s="1314">
        <f t="shared" si="45"/>
        <v>-4.5895851721094401E-2</v>
      </c>
      <c r="I275" s="1326">
        <v>40893</v>
      </c>
      <c r="J275" s="1314">
        <v>7.27</v>
      </c>
      <c r="K275" s="1314">
        <f t="shared" si="46"/>
        <v>-0.11449451887941549</v>
      </c>
      <c r="M275" s="1326">
        <v>40893</v>
      </c>
      <c r="N275" s="1314">
        <v>6.81</v>
      </c>
      <c r="O275" s="1314">
        <f t="shared" si="47"/>
        <v>7.3964497041419854E-3</v>
      </c>
      <c r="Q275" s="1326">
        <v>40893</v>
      </c>
      <c r="R275" s="1314">
        <v>7.56</v>
      </c>
      <c r="S275" s="1314">
        <f t="shared" si="48"/>
        <v>-1.5625000000000014E-2</v>
      </c>
      <c r="U275" s="1326">
        <v>40893</v>
      </c>
      <c r="V275" s="1314">
        <v>23.13</v>
      </c>
      <c r="W275" s="1314">
        <f t="shared" si="49"/>
        <v>-8.3960396039603993E-2</v>
      </c>
      <c r="Y275" s="1326">
        <v>40893</v>
      </c>
      <c r="Z275" s="1314">
        <v>8.66</v>
      </c>
      <c r="AA275" s="1314">
        <f t="shared" si="50"/>
        <v>-4.6255506607929507E-2</v>
      </c>
      <c r="AC275" s="1326">
        <v>40893</v>
      </c>
      <c r="AD275" s="1314">
        <v>16.71</v>
      </c>
      <c r="AE275" s="1314">
        <f t="shared" si="51"/>
        <v>-1.1535048802129563E-2</v>
      </c>
      <c r="AG275" s="1326">
        <v>40893</v>
      </c>
      <c r="AH275" s="1314">
        <v>3.36</v>
      </c>
      <c r="AI275" s="1314">
        <f t="shared" si="52"/>
        <v>-6.6666666666666721E-2</v>
      </c>
      <c r="AK275" s="1326">
        <v>40893</v>
      </c>
      <c r="AL275" s="1314">
        <v>-0.4</v>
      </c>
      <c r="AN275" s="1326">
        <v>40893</v>
      </c>
      <c r="AO275" s="1314">
        <v>0.61</v>
      </c>
      <c r="AQ275" s="1326">
        <v>40893</v>
      </c>
      <c r="AR275" s="1327">
        <v>3.03</v>
      </c>
      <c r="AT275" s="1326">
        <v>40893</v>
      </c>
      <c r="AU275" s="1314">
        <v>720.74</v>
      </c>
      <c r="AV275" s="1314">
        <f t="shared" si="53"/>
        <v>-3.5683226074042305E-2</v>
      </c>
      <c r="AX275" s="1314">
        <v>2.8511000000000002</v>
      </c>
      <c r="AY275" s="1314">
        <f t="shared" si="54"/>
        <v>-6.7292593561894723E-2</v>
      </c>
    </row>
    <row r="276" spans="1:51" x14ac:dyDescent="0.75">
      <c r="A276" s="1326">
        <v>40886</v>
      </c>
      <c r="B276" s="1314">
        <v>742.25</v>
      </c>
      <c r="C276" s="1314">
        <f t="shared" si="55"/>
        <v>2.9844326664261719E-2</v>
      </c>
      <c r="E276" s="1326">
        <v>40886</v>
      </c>
      <c r="F276" s="1314">
        <v>11.26</v>
      </c>
      <c r="G276" s="1314">
        <f t="shared" si="45"/>
        <v>4.1628122109158117E-2</v>
      </c>
      <c r="I276" s="1326">
        <v>40886</v>
      </c>
      <c r="J276" s="1314">
        <v>7.57</v>
      </c>
      <c r="K276" s="1314">
        <f t="shared" si="46"/>
        <v>4.1265474552957461E-2</v>
      </c>
      <c r="M276" s="1326">
        <v>40886</v>
      </c>
      <c r="N276" s="1314">
        <v>6.72</v>
      </c>
      <c r="O276" s="1314">
        <f t="shared" si="47"/>
        <v>-1.3215859030836984E-2</v>
      </c>
      <c r="Q276" s="1326">
        <v>40886</v>
      </c>
      <c r="R276" s="1314">
        <v>8.42</v>
      </c>
      <c r="S276" s="1314">
        <f t="shared" si="48"/>
        <v>0.11375661375661381</v>
      </c>
      <c r="U276" s="1326">
        <v>40886</v>
      </c>
      <c r="V276" s="1314">
        <v>23.53</v>
      </c>
      <c r="W276" s="1314">
        <f t="shared" si="49"/>
        <v>1.7293558149589369E-2</v>
      </c>
      <c r="Y276" s="1326">
        <v>40886</v>
      </c>
      <c r="Z276" s="1314">
        <v>9.43</v>
      </c>
      <c r="AA276" s="1314">
        <f t="shared" si="50"/>
        <v>8.891454965357963E-2</v>
      </c>
      <c r="AC276" s="1326">
        <v>40886</v>
      </c>
      <c r="AD276" s="1314">
        <v>18.46</v>
      </c>
      <c r="AE276" s="1314">
        <f t="shared" si="51"/>
        <v>0.1047277079593058</v>
      </c>
      <c r="AG276" s="1326">
        <v>40886</v>
      </c>
      <c r="AH276" s="1314">
        <v>3.92</v>
      </c>
      <c r="AI276" s="1314">
        <f t="shared" si="52"/>
        <v>0.16666666666666669</v>
      </c>
      <c r="AK276" s="1326">
        <v>40886</v>
      </c>
      <c r="AL276" s="1314">
        <v>0.45</v>
      </c>
      <c r="AN276" s="1326">
        <v>40886</v>
      </c>
      <c r="AO276" s="1314">
        <v>0.1</v>
      </c>
      <c r="AQ276" s="1326">
        <v>40886</v>
      </c>
      <c r="AR276" s="1327">
        <v>3.04</v>
      </c>
      <c r="AT276" s="1326">
        <v>40886</v>
      </c>
      <c r="AU276" s="1314">
        <v>742.25</v>
      </c>
      <c r="AV276" s="1314">
        <f t="shared" si="53"/>
        <v>2.9844326664261719E-2</v>
      </c>
      <c r="AX276" s="1314">
        <v>3.1072000000000002</v>
      </c>
      <c r="AY276" s="1314">
        <f t="shared" si="54"/>
        <v>8.98249798323454E-2</v>
      </c>
    </row>
    <row r="277" spans="1:51" x14ac:dyDescent="0.75">
      <c r="A277" s="1326">
        <v>40879</v>
      </c>
      <c r="B277" s="1314">
        <v>736.28</v>
      </c>
      <c r="C277" s="1314">
        <f t="shared" si="55"/>
        <v>-8.0431121589761238E-3</v>
      </c>
      <c r="E277" s="1326">
        <v>40879</v>
      </c>
      <c r="F277" s="1314">
        <v>11.82</v>
      </c>
      <c r="G277" s="1314">
        <f t="shared" si="45"/>
        <v>4.9733570159857951E-2</v>
      </c>
      <c r="I277" s="1326">
        <v>40879</v>
      </c>
      <c r="J277" s="1314">
        <v>7.86</v>
      </c>
      <c r="K277" s="1314">
        <f t="shared" si="46"/>
        <v>3.8309114927344783E-2</v>
      </c>
      <c r="M277" s="1326">
        <v>40879</v>
      </c>
      <c r="N277" s="1314">
        <v>6.29</v>
      </c>
      <c r="O277" s="1314">
        <f t="shared" si="47"/>
        <v>-6.3988095238095205E-2</v>
      </c>
      <c r="Q277" s="1326">
        <v>40879</v>
      </c>
      <c r="R277" s="1314">
        <v>8.81</v>
      </c>
      <c r="S277" s="1314">
        <f t="shared" si="48"/>
        <v>4.6318289786223349E-2</v>
      </c>
      <c r="U277" s="1326">
        <v>40879</v>
      </c>
      <c r="V277" s="1314">
        <v>23.82</v>
      </c>
      <c r="W277" s="1314">
        <f t="shared" si="49"/>
        <v>1.2324691882702896E-2</v>
      </c>
      <c r="Y277" s="1326">
        <v>40879</v>
      </c>
      <c r="Z277" s="1314">
        <v>9.66</v>
      </c>
      <c r="AA277" s="1314">
        <f t="shared" si="50"/>
        <v>2.439024390243907E-2</v>
      </c>
      <c r="AC277" s="1326">
        <v>40879</v>
      </c>
      <c r="AD277" s="1314">
        <v>18.760000000000002</v>
      </c>
      <c r="AE277" s="1314">
        <f t="shared" si="51"/>
        <v>1.6251354279523331E-2</v>
      </c>
      <c r="AG277" s="1326">
        <v>40879</v>
      </c>
      <c r="AH277" s="1314">
        <v>3.84</v>
      </c>
      <c r="AI277" s="1314">
        <f t="shared" si="52"/>
        <v>-2.0408163265306142E-2</v>
      </c>
      <c r="AK277" s="1326">
        <v>40879</v>
      </c>
      <c r="AL277" s="1314">
        <v>2.2000000000000002</v>
      </c>
      <c r="AN277" s="1326">
        <v>40879</v>
      </c>
      <c r="AO277" s="1314">
        <v>0.53</v>
      </c>
      <c r="AQ277" s="1326">
        <v>40879</v>
      </c>
      <c r="AR277" s="1327">
        <v>3.16</v>
      </c>
      <c r="AT277" s="1326">
        <v>40879</v>
      </c>
      <c r="AU277" s="1314">
        <v>736.28</v>
      </c>
      <c r="AV277" s="1314">
        <f t="shared" si="53"/>
        <v>-8.0431121589761238E-3</v>
      </c>
      <c r="AX277" s="1314">
        <v>3.0236999999999998</v>
      </c>
      <c r="AY277" s="1314">
        <f t="shared" si="54"/>
        <v>-2.6873069001029978E-2</v>
      </c>
    </row>
    <row r="278" spans="1:51" x14ac:dyDescent="0.75">
      <c r="A278" s="1326">
        <v>40872</v>
      </c>
      <c r="B278" s="1314">
        <v>683.85</v>
      </c>
      <c r="C278" s="1314">
        <f t="shared" si="55"/>
        <v>-7.1209322540337849E-2</v>
      </c>
      <c r="E278" s="1326">
        <v>40872</v>
      </c>
      <c r="F278" s="1314">
        <v>10.3</v>
      </c>
      <c r="G278" s="1314">
        <f t="shared" si="45"/>
        <v>-0.12859560067681891</v>
      </c>
      <c r="I278" s="1326">
        <v>40872</v>
      </c>
      <c r="J278" s="1314">
        <v>7.54</v>
      </c>
      <c r="K278" s="1314">
        <f t="shared" si="46"/>
        <v>-4.0712468193384262E-2</v>
      </c>
      <c r="M278" s="1326">
        <v>40872</v>
      </c>
      <c r="N278" s="1314">
        <v>5.87</v>
      </c>
      <c r="O278" s="1314">
        <f t="shared" si="47"/>
        <v>-6.6772655007949114E-2</v>
      </c>
      <c r="Q278" s="1326">
        <v>40872</v>
      </c>
      <c r="R278" s="1314">
        <v>8.49</v>
      </c>
      <c r="S278" s="1314">
        <f t="shared" si="48"/>
        <v>-3.6322360953462002E-2</v>
      </c>
      <c r="U278" s="1326">
        <v>40872</v>
      </c>
      <c r="V278" s="1314">
        <v>20.95</v>
      </c>
      <c r="W278" s="1314">
        <f t="shared" si="49"/>
        <v>-0.12048698572628047</v>
      </c>
      <c r="Y278" s="1326">
        <v>40872</v>
      </c>
      <c r="Z278" s="1314">
        <v>8.59</v>
      </c>
      <c r="AA278" s="1314">
        <f t="shared" si="50"/>
        <v>-0.11076604554865427</v>
      </c>
      <c r="AC278" s="1326">
        <v>40872</v>
      </c>
      <c r="AD278" s="1314">
        <v>17.03</v>
      </c>
      <c r="AE278" s="1314">
        <f t="shared" si="51"/>
        <v>-9.2217484008528805E-2</v>
      </c>
      <c r="AG278" s="1326">
        <v>40872</v>
      </c>
      <c r="AH278" s="1314">
        <v>3.6</v>
      </c>
      <c r="AI278" s="1314">
        <f t="shared" si="52"/>
        <v>-6.2499999999999944E-2</v>
      </c>
      <c r="AK278" s="1326">
        <v>40872</v>
      </c>
      <c r="AL278" s="1314">
        <v>-2.39</v>
      </c>
      <c r="AN278" s="1326">
        <v>40872</v>
      </c>
      <c r="AO278" s="1314">
        <v>-0.4</v>
      </c>
      <c r="AQ278" s="1326">
        <v>40872</v>
      </c>
      <c r="AR278" s="1327">
        <v>3.12</v>
      </c>
      <c r="AT278" s="1326">
        <v>40872</v>
      </c>
      <c r="AU278" s="1314">
        <v>683.85</v>
      </c>
      <c r="AV278" s="1314">
        <f t="shared" si="53"/>
        <v>-7.1209322540337849E-2</v>
      </c>
      <c r="AX278" s="1314">
        <v>2.9190999999999998</v>
      </c>
      <c r="AY278" s="1314">
        <f t="shared" si="54"/>
        <v>-3.4593378972781703E-2</v>
      </c>
    </row>
    <row r="279" spans="1:51" x14ac:dyDescent="0.75">
      <c r="A279" s="1326">
        <v>40865</v>
      </c>
      <c r="B279" s="1314">
        <v>719.08</v>
      </c>
      <c r="C279" s="1314">
        <f t="shared" si="55"/>
        <v>5.1517145572859573E-2</v>
      </c>
      <c r="E279" s="1326">
        <v>40865</v>
      </c>
      <c r="F279" s="1314">
        <v>11.93</v>
      </c>
      <c r="G279" s="1314">
        <f t="shared" si="45"/>
        <v>0.15825242718446592</v>
      </c>
      <c r="I279" s="1326">
        <v>40865</v>
      </c>
      <c r="J279" s="1314">
        <v>8.41</v>
      </c>
      <c r="K279" s="1314">
        <f t="shared" si="46"/>
        <v>0.1153846153846154</v>
      </c>
      <c r="M279" s="1326">
        <v>40865</v>
      </c>
      <c r="N279" s="1314">
        <v>5.91</v>
      </c>
      <c r="O279" s="1314">
        <f t="shared" si="47"/>
        <v>6.8143100511073315E-3</v>
      </c>
      <c r="Q279" s="1326">
        <v>40865</v>
      </c>
      <c r="R279" s="1314">
        <v>9.68</v>
      </c>
      <c r="S279" s="1314">
        <f t="shared" si="48"/>
        <v>0.14016489988221431</v>
      </c>
      <c r="U279" s="1326">
        <v>40865</v>
      </c>
      <c r="V279" s="1314">
        <v>22.62</v>
      </c>
      <c r="W279" s="1314">
        <f t="shared" si="49"/>
        <v>7.9713603818615836E-2</v>
      </c>
      <c r="Y279" s="1326">
        <v>40865</v>
      </c>
      <c r="Z279" s="1314">
        <v>9.6199999999999992</v>
      </c>
      <c r="AA279" s="1314">
        <f t="shared" si="50"/>
        <v>0.11990686845168794</v>
      </c>
      <c r="AC279" s="1326">
        <v>40865</v>
      </c>
      <c r="AD279" s="1314">
        <v>18.75</v>
      </c>
      <c r="AE279" s="1314">
        <f t="shared" si="51"/>
        <v>0.10099823840281848</v>
      </c>
      <c r="AG279" s="1326">
        <v>40865</v>
      </c>
      <c r="AH279" s="1314">
        <v>4.08</v>
      </c>
      <c r="AI279" s="1314">
        <f t="shared" si="52"/>
        <v>0.13333333333333333</v>
      </c>
      <c r="AK279" s="1326">
        <v>40865</v>
      </c>
      <c r="AL279" s="1314">
        <v>0.44</v>
      </c>
      <c r="AN279" s="1326">
        <v>40865</v>
      </c>
      <c r="AO279" s="1314">
        <v>-0.09</v>
      </c>
      <c r="AQ279" s="1326">
        <v>40865</v>
      </c>
      <c r="AR279" s="1327">
        <v>2.97</v>
      </c>
      <c r="AT279" s="1326">
        <v>40865</v>
      </c>
      <c r="AU279" s="1314">
        <v>719.08</v>
      </c>
      <c r="AV279" s="1314">
        <f t="shared" si="53"/>
        <v>5.1517145572859573E-2</v>
      </c>
      <c r="AX279" s="1314">
        <v>2.9941</v>
      </c>
      <c r="AY279" s="1314">
        <f t="shared" si="54"/>
        <v>2.5692850536124211E-2</v>
      </c>
    </row>
    <row r="280" spans="1:51" x14ac:dyDescent="0.75">
      <c r="A280" s="1326">
        <v>40858</v>
      </c>
      <c r="B280" s="1314">
        <v>747.15</v>
      </c>
      <c r="C280" s="1314">
        <f t="shared" si="55"/>
        <v>3.9035990432218858E-2</v>
      </c>
      <c r="E280" s="1326">
        <v>40858</v>
      </c>
      <c r="F280" s="1314">
        <v>12.75</v>
      </c>
      <c r="G280" s="1314">
        <f t="shared" si="45"/>
        <v>6.8734283319362974E-2</v>
      </c>
      <c r="I280" s="1326">
        <v>40858</v>
      </c>
      <c r="J280" s="1314">
        <v>17.850000000000001</v>
      </c>
      <c r="K280" s="1314">
        <f t="shared" si="46"/>
        <v>1.1224732461355531</v>
      </c>
      <c r="M280" s="1326">
        <v>40858</v>
      </c>
      <c r="N280" s="1314">
        <v>5.71</v>
      </c>
      <c r="O280" s="1314">
        <f t="shared" si="47"/>
        <v>-3.384094754653133E-2</v>
      </c>
      <c r="Q280" s="1326">
        <v>40858</v>
      </c>
      <c r="R280" s="1314">
        <v>9.0299999999999994</v>
      </c>
      <c r="S280" s="1314">
        <f t="shared" si="48"/>
        <v>-6.7148760330578552E-2</v>
      </c>
      <c r="U280" s="1326">
        <v>40858</v>
      </c>
      <c r="V280" s="1314">
        <v>24</v>
      </c>
      <c r="W280" s="1314">
        <f t="shared" si="49"/>
        <v>6.100795755968165E-2</v>
      </c>
      <c r="Y280" s="1326">
        <v>40858</v>
      </c>
      <c r="Z280" s="1314">
        <v>10.83</v>
      </c>
      <c r="AA280" s="1314">
        <f t="shared" si="50"/>
        <v>0.12577962577962587</v>
      </c>
      <c r="AC280" s="1326">
        <v>40858</v>
      </c>
      <c r="AD280" s="1314">
        <v>19.78</v>
      </c>
      <c r="AE280" s="1314">
        <f t="shared" si="51"/>
        <v>5.4933333333333396E-2</v>
      </c>
      <c r="AG280" s="1326">
        <v>40858</v>
      </c>
      <c r="AH280" s="1314">
        <v>3.92</v>
      </c>
      <c r="AI280" s="1314">
        <f t="shared" si="52"/>
        <v>-3.9215686274509838E-2</v>
      </c>
      <c r="AK280" s="1326">
        <v>40858</v>
      </c>
      <c r="AL280" s="1314">
        <v>-1.04</v>
      </c>
      <c r="AN280" s="1326">
        <v>40858</v>
      </c>
      <c r="AO280" s="1314">
        <v>0.54</v>
      </c>
      <c r="AQ280" s="1326">
        <v>40858</v>
      </c>
      <c r="AR280" s="1327">
        <v>2.87</v>
      </c>
      <c r="AT280" s="1326">
        <v>40858</v>
      </c>
      <c r="AU280" s="1314">
        <v>747.15</v>
      </c>
      <c r="AV280" s="1314">
        <f t="shared" si="53"/>
        <v>3.9035990432218858E-2</v>
      </c>
      <c r="AX280" s="1314">
        <v>3.13</v>
      </c>
      <c r="AY280" s="1314">
        <f t="shared" si="54"/>
        <v>4.5389265555592632E-2</v>
      </c>
    </row>
    <row r="281" spans="1:51" x14ac:dyDescent="0.75">
      <c r="A281" s="1326">
        <v>40851</v>
      </c>
      <c r="B281" s="1314">
        <v>742.88</v>
      </c>
      <c r="C281" s="1314">
        <f t="shared" si="55"/>
        <v>-5.7150505253295613E-3</v>
      </c>
      <c r="E281" s="1326">
        <v>40851</v>
      </c>
      <c r="F281" s="1314">
        <v>13.76</v>
      </c>
      <c r="G281" s="1314">
        <f t="shared" si="45"/>
        <v>7.9215686274509783E-2</v>
      </c>
      <c r="I281" s="1326">
        <v>40851</v>
      </c>
      <c r="J281" s="1314">
        <v>18.190000000000001</v>
      </c>
      <c r="K281" s="1314">
        <f t="shared" si="46"/>
        <v>1.9047619047619039E-2</v>
      </c>
      <c r="M281" s="1326">
        <v>40851</v>
      </c>
      <c r="N281" s="1314">
        <v>5.96</v>
      </c>
      <c r="O281" s="1314">
        <f t="shared" si="47"/>
        <v>4.3782837127845885E-2</v>
      </c>
      <c r="Q281" s="1326">
        <v>40851</v>
      </c>
      <c r="R281" s="1314">
        <v>8.82</v>
      </c>
      <c r="S281" s="1314">
        <f t="shared" si="48"/>
        <v>-2.3255813953488271E-2</v>
      </c>
      <c r="U281" s="1326">
        <v>40851</v>
      </c>
      <c r="V281" s="1314">
        <v>24.66</v>
      </c>
      <c r="W281" s="1314">
        <f t="shared" si="49"/>
        <v>2.7500000000000007E-2</v>
      </c>
      <c r="Y281" s="1326">
        <v>40851</v>
      </c>
      <c r="Z281" s="1314">
        <v>11.09</v>
      </c>
      <c r="AA281" s="1314">
        <f t="shared" si="50"/>
        <v>2.4007386888273294E-2</v>
      </c>
      <c r="AC281" s="1326">
        <v>40851</v>
      </c>
      <c r="AD281" s="1314">
        <v>19.809999999999999</v>
      </c>
      <c r="AE281" s="1314">
        <f t="shared" si="51"/>
        <v>1.5166835187056412E-3</v>
      </c>
      <c r="AG281" s="1326">
        <v>40851</v>
      </c>
      <c r="AH281" s="1314">
        <v>4.04</v>
      </c>
      <c r="AI281" s="1314">
        <f t="shared" si="52"/>
        <v>3.0612244897959211E-2</v>
      </c>
      <c r="AK281" s="1326">
        <v>40851</v>
      </c>
      <c r="AL281" s="1314">
        <v>0.84</v>
      </c>
      <c r="AN281" s="1326">
        <v>40851</v>
      </c>
      <c r="AO281" s="1314">
        <v>-1.73</v>
      </c>
      <c r="AQ281" s="1326">
        <v>40851</v>
      </c>
      <c r="AR281" s="1327">
        <v>2.82</v>
      </c>
      <c r="AT281" s="1326">
        <v>40851</v>
      </c>
      <c r="AU281" s="1314">
        <v>742.88</v>
      </c>
      <c r="AV281" s="1314">
        <f t="shared" si="53"/>
        <v>-5.7150505253295613E-3</v>
      </c>
      <c r="AX281" s="1314">
        <v>3.0916000000000001</v>
      </c>
      <c r="AY281" s="1314">
        <f t="shared" si="54"/>
        <v>-1.226837060702868E-2</v>
      </c>
    </row>
    <row r="282" spans="1:51" x14ac:dyDescent="0.75">
      <c r="A282" s="1326">
        <v>40844</v>
      </c>
      <c r="B282" s="1314">
        <v>760.44</v>
      </c>
      <c r="C282" s="1314">
        <f t="shared" si="55"/>
        <v>2.3637734223562433E-2</v>
      </c>
      <c r="E282" s="1326">
        <v>40844</v>
      </c>
      <c r="F282" s="1314">
        <v>14.03</v>
      </c>
      <c r="G282" s="1314">
        <f t="shared" si="45"/>
        <v>1.9622093023255783E-2</v>
      </c>
      <c r="I282" s="1326">
        <v>40844</v>
      </c>
      <c r="J282" s="1314">
        <v>17.86</v>
      </c>
      <c r="K282" s="1314">
        <f t="shared" si="46"/>
        <v>-1.8141836173721927E-2</v>
      </c>
      <c r="M282" s="1326">
        <v>40844</v>
      </c>
      <c r="N282" s="1314">
        <v>6.21</v>
      </c>
      <c r="O282" s="1314">
        <f t="shared" si="47"/>
        <v>4.1946308724832217E-2</v>
      </c>
      <c r="Q282" s="1326">
        <v>40844</v>
      </c>
      <c r="R282" s="1314">
        <v>8.7100000000000009</v>
      </c>
      <c r="S282" s="1314">
        <f t="shared" si="48"/>
        <v>-1.2471655328798121E-2</v>
      </c>
      <c r="U282" s="1326">
        <v>40844</v>
      </c>
      <c r="V282" s="1314">
        <v>25.32</v>
      </c>
      <c r="W282" s="1314">
        <f t="shared" si="49"/>
        <v>2.6763990267639908E-2</v>
      </c>
      <c r="Y282" s="1326">
        <v>40844</v>
      </c>
      <c r="Z282" s="1314">
        <v>11.4</v>
      </c>
      <c r="AA282" s="1314">
        <f t="shared" si="50"/>
        <v>2.7953110910730432E-2</v>
      </c>
      <c r="AC282" s="1326">
        <v>40844</v>
      </c>
      <c r="AD282" s="1314">
        <v>19.73</v>
      </c>
      <c r="AE282" s="1314">
        <f t="shared" si="51"/>
        <v>-4.038364462392645E-3</v>
      </c>
      <c r="AG282" s="1326">
        <v>40844</v>
      </c>
      <c r="AH282" s="1314">
        <v>4.2</v>
      </c>
      <c r="AI282" s="1314">
        <f t="shared" si="52"/>
        <v>3.9603960396039639E-2</v>
      </c>
      <c r="AK282" s="1326">
        <v>40844</v>
      </c>
      <c r="AL282" s="1314">
        <v>2.46</v>
      </c>
      <c r="AN282" s="1326">
        <v>40844</v>
      </c>
      <c r="AO282" s="1314">
        <v>0.34</v>
      </c>
      <c r="AQ282" s="1326">
        <v>40844</v>
      </c>
      <c r="AR282" s="1327">
        <v>3</v>
      </c>
      <c r="AT282" s="1326">
        <v>40844</v>
      </c>
      <c r="AU282" s="1314">
        <v>760.44</v>
      </c>
      <c r="AV282" s="1314">
        <f t="shared" si="53"/>
        <v>2.3637734223562433E-2</v>
      </c>
      <c r="AX282" s="1314">
        <v>3.3754</v>
      </c>
      <c r="AY282" s="1314">
        <f t="shared" si="54"/>
        <v>9.1797127700866801E-2</v>
      </c>
    </row>
    <row r="283" spans="1:51" x14ac:dyDescent="0.75">
      <c r="A283" s="1326">
        <v>40837</v>
      </c>
      <c r="B283" s="1314">
        <v>729.82</v>
      </c>
      <c r="C283" s="1314">
        <f t="shared" si="55"/>
        <v>-4.0266161695860295E-2</v>
      </c>
      <c r="E283" s="1326">
        <v>40837</v>
      </c>
      <c r="F283" s="1314">
        <v>11.82</v>
      </c>
      <c r="G283" s="1314">
        <f t="shared" si="45"/>
        <v>-0.15751960085531</v>
      </c>
      <c r="I283" s="1326">
        <v>40837</v>
      </c>
      <c r="J283" s="1314">
        <v>16.690000000000001</v>
      </c>
      <c r="K283" s="1314">
        <f t="shared" si="46"/>
        <v>-6.5509518477043574E-2</v>
      </c>
      <c r="M283" s="1326">
        <v>40837</v>
      </c>
      <c r="N283" s="1314">
        <v>5.96</v>
      </c>
      <c r="O283" s="1314">
        <f t="shared" si="47"/>
        <v>-4.0257648953301126E-2</v>
      </c>
      <c r="Q283" s="1326">
        <v>40837</v>
      </c>
      <c r="R283" s="1314">
        <v>7.64</v>
      </c>
      <c r="S283" s="1314">
        <f t="shared" si="48"/>
        <v>-0.12284730195177969</v>
      </c>
      <c r="U283" s="1326">
        <v>40837</v>
      </c>
      <c r="V283" s="1314">
        <v>23.32</v>
      </c>
      <c r="W283" s="1314">
        <f t="shared" si="49"/>
        <v>-7.8988941548183256E-2</v>
      </c>
      <c r="Y283" s="1326">
        <v>40837</v>
      </c>
      <c r="Z283" s="1314">
        <v>9.9700000000000006</v>
      </c>
      <c r="AA283" s="1314">
        <f t="shared" si="50"/>
        <v>-0.12543859649122804</v>
      </c>
      <c r="AC283" s="1326">
        <v>40837</v>
      </c>
      <c r="AD283" s="1314">
        <v>18.585000000000001</v>
      </c>
      <c r="AE283" s="1314">
        <f t="shared" si="51"/>
        <v>-5.8033451596553452E-2</v>
      </c>
      <c r="AG283" s="1326">
        <v>40837</v>
      </c>
      <c r="AH283" s="1314">
        <v>4.3600000000000003</v>
      </c>
      <c r="AI283" s="1314">
        <f t="shared" si="52"/>
        <v>3.8095238095238126E-2</v>
      </c>
      <c r="AK283" s="1326">
        <v>40837</v>
      </c>
      <c r="AL283" s="1314">
        <v>-1.74</v>
      </c>
      <c r="AN283" s="1326">
        <v>40837</v>
      </c>
      <c r="AO283" s="1314">
        <v>2.2400000000000002</v>
      </c>
      <c r="AQ283" s="1326">
        <v>40837</v>
      </c>
      <c r="AR283" s="1327">
        <v>3.11</v>
      </c>
      <c r="AT283" s="1326">
        <v>40837</v>
      </c>
      <c r="AU283" s="1314">
        <v>729.82</v>
      </c>
      <c r="AV283" s="1314">
        <f t="shared" si="53"/>
        <v>-4.0266161695860295E-2</v>
      </c>
      <c r="AX283" s="1314">
        <v>3.2637999999999998</v>
      </c>
      <c r="AY283" s="1314">
        <f t="shared" si="54"/>
        <v>-3.3062748118741526E-2</v>
      </c>
    </row>
    <row r="284" spans="1:51" x14ac:dyDescent="0.75">
      <c r="A284" s="1326">
        <v>40830</v>
      </c>
      <c r="B284" s="1314">
        <v>722.74</v>
      </c>
      <c r="C284" s="1314">
        <f t="shared" si="55"/>
        <v>-9.7010221698501549E-3</v>
      </c>
      <c r="E284" s="1326">
        <v>40830</v>
      </c>
      <c r="F284" s="1314">
        <v>13.2</v>
      </c>
      <c r="G284" s="1314">
        <f t="shared" si="45"/>
        <v>0.11675126903553291</v>
      </c>
      <c r="I284" s="1326">
        <v>40830</v>
      </c>
      <c r="J284" s="1314">
        <v>16.61</v>
      </c>
      <c r="K284" s="1314">
        <f t="shared" si="46"/>
        <v>-4.7932893948473242E-3</v>
      </c>
      <c r="M284" s="1326">
        <v>40830</v>
      </c>
      <c r="N284" s="1314">
        <v>6.23</v>
      </c>
      <c r="O284" s="1314">
        <f t="shared" si="47"/>
        <v>4.5302013422818872E-2</v>
      </c>
      <c r="Q284" s="1326">
        <v>40830</v>
      </c>
      <c r="R284" s="1314">
        <v>8.3699999999999992</v>
      </c>
      <c r="S284" s="1314">
        <f t="shared" si="48"/>
        <v>9.5549738219895236E-2</v>
      </c>
      <c r="U284" s="1326">
        <v>40830</v>
      </c>
      <c r="V284" s="1314">
        <v>23.79</v>
      </c>
      <c r="W284" s="1314">
        <f t="shared" si="49"/>
        <v>2.0154373927958786E-2</v>
      </c>
      <c r="Y284" s="1326">
        <v>40830</v>
      </c>
      <c r="Z284" s="1314">
        <v>10.16</v>
      </c>
      <c r="AA284" s="1314">
        <f t="shared" si="50"/>
        <v>1.9057171514543579E-2</v>
      </c>
      <c r="AC284" s="1326">
        <v>40830</v>
      </c>
      <c r="AD284" s="1314">
        <v>17.074999999999999</v>
      </c>
      <c r="AE284" s="1314">
        <f t="shared" si="51"/>
        <v>-8.1248318536454214E-2</v>
      </c>
      <c r="AG284" s="1326">
        <v>40830</v>
      </c>
      <c r="AH284" s="1314">
        <v>4.4000000000000004</v>
      </c>
      <c r="AI284" s="1314">
        <f t="shared" si="52"/>
        <v>9.174311926605512E-3</v>
      </c>
      <c r="AK284" s="1326">
        <v>40830</v>
      </c>
      <c r="AL284" s="1314">
        <v>2.19</v>
      </c>
      <c r="AN284" s="1326">
        <v>40830</v>
      </c>
      <c r="AO284" s="1314">
        <v>-0.28999999999999998</v>
      </c>
      <c r="AQ284" s="1326">
        <v>40830</v>
      </c>
      <c r="AR284" s="1327">
        <v>3.23</v>
      </c>
      <c r="AT284" s="1326">
        <v>40830</v>
      </c>
      <c r="AU284" s="1314">
        <v>722.74</v>
      </c>
      <c r="AV284" s="1314">
        <f t="shared" si="53"/>
        <v>-9.7010221698501549E-3</v>
      </c>
      <c r="AX284" s="1314">
        <v>3.2315</v>
      </c>
      <c r="AY284" s="1314">
        <f t="shared" si="54"/>
        <v>-9.8964397328266968E-3</v>
      </c>
    </row>
    <row r="285" spans="1:51" x14ac:dyDescent="0.75">
      <c r="A285" s="1326">
        <v>40823</v>
      </c>
      <c r="B285" s="1314">
        <v>679.95</v>
      </c>
      <c r="C285" s="1314">
        <f t="shared" si="55"/>
        <v>-5.9205246700058063E-2</v>
      </c>
      <c r="E285" s="1326">
        <v>40823</v>
      </c>
      <c r="F285" s="1314">
        <v>11.15</v>
      </c>
      <c r="G285" s="1314">
        <f t="shared" si="45"/>
        <v>-0.15530303030303022</v>
      </c>
      <c r="I285" s="1326">
        <v>40823</v>
      </c>
      <c r="J285" s="1314">
        <v>14.72</v>
      </c>
      <c r="K285" s="1314">
        <f t="shared" si="46"/>
        <v>-0.11378687537627928</v>
      </c>
      <c r="M285" s="1326">
        <v>40823</v>
      </c>
      <c r="N285" s="1314">
        <v>6.1</v>
      </c>
      <c r="O285" s="1314">
        <f t="shared" si="47"/>
        <v>-2.0866773675762562E-2</v>
      </c>
      <c r="Q285" s="1326">
        <v>40823</v>
      </c>
      <c r="R285" s="1314">
        <v>7.46</v>
      </c>
      <c r="S285" s="1314">
        <f t="shared" si="48"/>
        <v>-0.10872162485065703</v>
      </c>
      <c r="U285" s="1326">
        <v>40823</v>
      </c>
      <c r="V285" s="1314">
        <v>22.41</v>
      </c>
      <c r="W285" s="1314">
        <f t="shared" si="49"/>
        <v>-5.8007566204287479E-2</v>
      </c>
      <c r="Y285" s="1326">
        <v>40823</v>
      </c>
      <c r="Z285" s="1314">
        <v>9.0399999999999991</v>
      </c>
      <c r="AA285" s="1314">
        <f t="shared" si="50"/>
        <v>-0.11023622047244104</v>
      </c>
      <c r="AC285" s="1326">
        <v>40823</v>
      </c>
      <c r="AD285" s="1314">
        <v>15.06</v>
      </c>
      <c r="AE285" s="1314">
        <f t="shared" si="51"/>
        <v>-0.11800878477305997</v>
      </c>
      <c r="AG285" s="1326">
        <v>40823</v>
      </c>
      <c r="AH285" s="1314">
        <v>4.04</v>
      </c>
      <c r="AI285" s="1314">
        <f t="shared" si="52"/>
        <v>-8.1818181818181887E-2</v>
      </c>
      <c r="AK285" s="1326">
        <v>40823</v>
      </c>
      <c r="AL285" s="1314">
        <v>0.23</v>
      </c>
      <c r="AN285" s="1326">
        <v>40823</v>
      </c>
      <c r="AO285" s="1314">
        <v>-1.63</v>
      </c>
      <c r="AQ285" s="1326">
        <v>40823</v>
      </c>
      <c r="AR285" s="1327">
        <v>3.19</v>
      </c>
      <c r="AT285" s="1326">
        <v>40823</v>
      </c>
      <c r="AU285" s="1314">
        <v>679.95</v>
      </c>
      <c r="AV285" s="1314">
        <f t="shared" si="53"/>
        <v>-5.9205246700058063E-2</v>
      </c>
      <c r="AX285" s="1314">
        <v>3.0167000000000002</v>
      </c>
      <c r="AY285" s="1314">
        <f t="shared" si="54"/>
        <v>-6.6470679251121725E-2</v>
      </c>
    </row>
    <row r="286" spans="1:51" x14ac:dyDescent="0.75">
      <c r="A286" s="1326">
        <v>40816</v>
      </c>
      <c r="B286" s="1314">
        <v>665.97</v>
      </c>
      <c r="C286" s="1314">
        <f t="shared" si="55"/>
        <v>-2.0560335318773465E-2</v>
      </c>
      <c r="E286" s="1326">
        <v>40816</v>
      </c>
      <c r="F286" s="1314">
        <v>10.88</v>
      </c>
      <c r="G286" s="1314">
        <f t="shared" si="45"/>
        <v>-2.421524663677126E-2</v>
      </c>
      <c r="I286" s="1326">
        <v>40816</v>
      </c>
      <c r="J286" s="1314">
        <v>14</v>
      </c>
      <c r="K286" s="1314">
        <f t="shared" si="46"/>
        <v>-4.8913043478260913E-2</v>
      </c>
      <c r="M286" s="1326">
        <v>40816</v>
      </c>
      <c r="N286" s="1314">
        <v>5.71</v>
      </c>
      <c r="O286" s="1314">
        <f t="shared" si="47"/>
        <v>-6.3934426229508151E-2</v>
      </c>
      <c r="Q286" s="1326">
        <v>40816</v>
      </c>
      <c r="R286" s="1314">
        <v>8.2100000000000009</v>
      </c>
      <c r="S286" s="1314">
        <f t="shared" si="48"/>
        <v>0.10053619302949074</v>
      </c>
      <c r="U286" s="1326">
        <v>40816</v>
      </c>
      <c r="V286" s="1314">
        <v>21.1</v>
      </c>
      <c r="W286" s="1314">
        <f t="shared" si="49"/>
        <v>-5.8456046407853582E-2</v>
      </c>
      <c r="Y286" s="1326">
        <v>40816</v>
      </c>
      <c r="Z286" s="1314">
        <v>8.36</v>
      </c>
      <c r="AA286" s="1314">
        <f t="shared" si="50"/>
        <v>-7.5221238938053075E-2</v>
      </c>
      <c r="AC286" s="1326">
        <v>40816</v>
      </c>
      <c r="AD286" s="1314">
        <v>14.97</v>
      </c>
      <c r="AE286" s="1314">
        <f t="shared" si="51"/>
        <v>-5.9760956175298708E-3</v>
      </c>
      <c r="AG286" s="1326">
        <v>40816</v>
      </c>
      <c r="AH286" s="1314">
        <v>3.96</v>
      </c>
      <c r="AI286" s="1314">
        <f t="shared" si="52"/>
        <v>-1.980198019801982E-2</v>
      </c>
      <c r="AK286" s="1326">
        <v>40816</v>
      </c>
      <c r="AL286" s="1314">
        <v>-0.93</v>
      </c>
      <c r="AN286" s="1326">
        <v>40816</v>
      </c>
      <c r="AO286" s="1314">
        <v>2.4500000000000002</v>
      </c>
      <c r="AQ286" s="1326">
        <v>40816</v>
      </c>
      <c r="AR286" s="1327">
        <v>3.12</v>
      </c>
      <c r="AT286" s="1326">
        <v>40816</v>
      </c>
      <c r="AU286" s="1314">
        <v>665.97</v>
      </c>
      <c r="AV286" s="1314">
        <f t="shared" si="53"/>
        <v>-2.0560335318773465E-2</v>
      </c>
      <c r="AX286" s="1314">
        <v>2.9134000000000002</v>
      </c>
      <c r="AY286" s="1314">
        <f t="shared" si="54"/>
        <v>-3.4242715550104399E-2</v>
      </c>
    </row>
    <row r="287" spans="1:51" x14ac:dyDescent="0.75">
      <c r="A287" s="1326">
        <v>40809</v>
      </c>
      <c r="B287" s="1314">
        <v>670.68</v>
      </c>
      <c r="C287" s="1314">
        <f t="shared" si="55"/>
        <v>7.0723906482272813E-3</v>
      </c>
      <c r="E287" s="1326">
        <v>40809</v>
      </c>
      <c r="F287" s="1314">
        <v>12.16</v>
      </c>
      <c r="G287" s="1314">
        <f t="shared" si="45"/>
        <v>0.11764705882352934</v>
      </c>
      <c r="I287" s="1326">
        <v>40809</v>
      </c>
      <c r="J287" s="1314">
        <v>13.83</v>
      </c>
      <c r="K287" s="1314">
        <f t="shared" si="46"/>
        <v>-1.2142857142857138E-2</v>
      </c>
      <c r="M287" s="1326">
        <v>40809</v>
      </c>
      <c r="N287" s="1314">
        <v>6.02</v>
      </c>
      <c r="O287" s="1314">
        <f t="shared" si="47"/>
        <v>5.4290718038528828E-2</v>
      </c>
      <c r="Q287" s="1326">
        <v>40809</v>
      </c>
      <c r="R287" s="1314">
        <v>7.68</v>
      </c>
      <c r="S287" s="1314">
        <f t="shared" si="48"/>
        <v>-6.4555420219244958E-2</v>
      </c>
      <c r="U287" s="1326">
        <v>40809</v>
      </c>
      <c r="V287" s="1314">
        <v>22.53</v>
      </c>
      <c r="W287" s="1314">
        <f t="shared" si="49"/>
        <v>6.777251184834121E-2</v>
      </c>
      <c r="Y287" s="1326">
        <v>40809</v>
      </c>
      <c r="Z287" s="1314">
        <v>8.92</v>
      </c>
      <c r="AA287" s="1314">
        <f t="shared" si="50"/>
        <v>6.6985645933014412E-2</v>
      </c>
      <c r="AC287" s="1326">
        <v>40809</v>
      </c>
      <c r="AD287" s="1314">
        <v>16.47</v>
      </c>
      <c r="AE287" s="1314">
        <f t="shared" si="51"/>
        <v>0.10020040080160308</v>
      </c>
      <c r="AG287" s="1326">
        <v>40809</v>
      </c>
      <c r="AH287" s="1314">
        <v>4.96</v>
      </c>
      <c r="AI287" s="1314">
        <f t="shared" si="52"/>
        <v>0.25252525252525254</v>
      </c>
      <c r="AK287" s="1326">
        <v>40809</v>
      </c>
      <c r="AL287" s="1314">
        <v>-1.56</v>
      </c>
      <c r="AN287" s="1326">
        <v>40809</v>
      </c>
      <c r="AO287" s="1314">
        <v>-1.6</v>
      </c>
      <c r="AQ287" s="1326">
        <v>40809</v>
      </c>
      <c r="AR287" s="1327">
        <v>3</v>
      </c>
      <c r="AT287" s="1326">
        <v>40809</v>
      </c>
      <c r="AU287" s="1314">
        <v>670.68</v>
      </c>
      <c r="AV287" s="1314">
        <f t="shared" si="53"/>
        <v>7.0723906482272813E-3</v>
      </c>
      <c r="AX287" s="1314">
        <v>2.9001999999999999</v>
      </c>
      <c r="AY287" s="1314">
        <f t="shared" si="54"/>
        <v>-4.5307887691358279E-3</v>
      </c>
    </row>
    <row r="288" spans="1:51" x14ac:dyDescent="0.75">
      <c r="A288" s="1326">
        <v>40802</v>
      </c>
      <c r="B288" s="1314">
        <v>720.38</v>
      </c>
      <c r="C288" s="1314">
        <f t="shared" si="55"/>
        <v>7.4103894554780295E-2</v>
      </c>
      <c r="E288" s="1326">
        <v>40802</v>
      </c>
      <c r="F288" s="1314">
        <v>12.25</v>
      </c>
      <c r="G288" s="1314">
        <f t="shared" si="45"/>
        <v>7.4013157894736725E-3</v>
      </c>
      <c r="I288" s="1326">
        <v>40802</v>
      </c>
      <c r="J288" s="1314">
        <v>13.275</v>
      </c>
      <c r="K288" s="1314">
        <f t="shared" si="46"/>
        <v>-4.0130151843817768E-2</v>
      </c>
      <c r="M288" s="1326">
        <v>40802</v>
      </c>
      <c r="N288" s="1314">
        <v>6.43</v>
      </c>
      <c r="O288" s="1314">
        <f t="shared" si="47"/>
        <v>6.8106312292358834E-2</v>
      </c>
      <c r="Q288" s="1326">
        <v>40802</v>
      </c>
      <c r="R288" s="1314">
        <v>8.2799999999999994</v>
      </c>
      <c r="S288" s="1314">
        <f t="shared" si="48"/>
        <v>7.8124999999999958E-2</v>
      </c>
      <c r="U288" s="1326">
        <v>40802</v>
      </c>
      <c r="V288" s="1314">
        <v>24.03</v>
      </c>
      <c r="W288" s="1314">
        <f t="shared" si="49"/>
        <v>6.6577896138482015E-2</v>
      </c>
      <c r="Y288" s="1326">
        <v>40802</v>
      </c>
      <c r="Z288" s="1314">
        <v>10.64</v>
      </c>
      <c r="AA288" s="1314">
        <f t="shared" si="50"/>
        <v>0.1928251121076234</v>
      </c>
      <c r="AC288" s="1326">
        <v>40802</v>
      </c>
      <c r="AD288" s="1314">
        <v>17.52</v>
      </c>
      <c r="AE288" s="1314">
        <f t="shared" si="51"/>
        <v>6.3752276867031013E-2</v>
      </c>
      <c r="AG288" s="1326">
        <v>40802</v>
      </c>
      <c r="AH288" s="1314">
        <v>6.24</v>
      </c>
      <c r="AI288" s="1314">
        <f t="shared" si="52"/>
        <v>0.25806451612903231</v>
      </c>
      <c r="AK288" s="1326">
        <v>40802</v>
      </c>
      <c r="AL288" s="1314">
        <v>0.27</v>
      </c>
      <c r="AN288" s="1326">
        <v>40802</v>
      </c>
      <c r="AO288" s="1314">
        <v>-0.34</v>
      </c>
      <c r="AQ288" s="1326">
        <v>40802</v>
      </c>
      <c r="AR288" s="1327">
        <v>3.01</v>
      </c>
      <c r="AT288" s="1326">
        <v>40802</v>
      </c>
      <c r="AU288" s="1314">
        <v>720.38</v>
      </c>
      <c r="AV288" s="1314">
        <f t="shared" si="53"/>
        <v>7.4103894554780295E-2</v>
      </c>
      <c r="AX288" s="1314">
        <v>3.3130000000000002</v>
      </c>
      <c r="AY288" s="1314">
        <f t="shared" si="54"/>
        <v>0.14233501137852572</v>
      </c>
    </row>
    <row r="289" spans="1:51" x14ac:dyDescent="0.75">
      <c r="A289" s="1326">
        <v>40795</v>
      </c>
      <c r="B289" s="1314">
        <v>683.58</v>
      </c>
      <c r="C289" s="1314">
        <f t="shared" si="55"/>
        <v>-5.1084150031927532E-2</v>
      </c>
      <c r="E289" s="1326">
        <v>40795</v>
      </c>
      <c r="F289" s="1314">
        <v>10.81</v>
      </c>
      <c r="G289" s="1314">
        <f t="shared" si="45"/>
        <v>-0.11755102040816323</v>
      </c>
      <c r="I289" s="1326">
        <v>40795</v>
      </c>
      <c r="J289" s="1314">
        <v>10.96</v>
      </c>
      <c r="K289" s="1314">
        <f t="shared" si="46"/>
        <v>-0.17438794726930315</v>
      </c>
      <c r="M289" s="1326">
        <v>40795</v>
      </c>
      <c r="N289" s="1314">
        <v>6.13</v>
      </c>
      <c r="O289" s="1314">
        <f t="shared" si="47"/>
        <v>-4.6656298600311015E-2</v>
      </c>
      <c r="Q289" s="1326">
        <v>40795</v>
      </c>
      <c r="R289" s="1314">
        <v>7.32</v>
      </c>
      <c r="S289" s="1314">
        <f t="shared" si="48"/>
        <v>-0.11594202898550715</v>
      </c>
      <c r="U289" s="1326">
        <v>40795</v>
      </c>
      <c r="V289" s="1314">
        <v>21.87</v>
      </c>
      <c r="W289" s="1314">
        <f t="shared" si="49"/>
        <v>-8.98876404494382E-2</v>
      </c>
      <c r="Y289" s="1326">
        <v>40795</v>
      </c>
      <c r="Z289" s="1314">
        <v>10.51</v>
      </c>
      <c r="AA289" s="1314">
        <f t="shared" si="50"/>
        <v>-1.2218045112782027E-2</v>
      </c>
      <c r="AC289" s="1326">
        <v>40795</v>
      </c>
      <c r="AD289" s="1314">
        <v>15.54</v>
      </c>
      <c r="AE289" s="1314">
        <f t="shared" si="51"/>
        <v>-0.11301369863013701</v>
      </c>
      <c r="AG289" s="1326">
        <v>40795</v>
      </c>
      <c r="AH289" s="1314">
        <v>5.72</v>
      </c>
      <c r="AI289" s="1314">
        <f t="shared" si="52"/>
        <v>-8.3333333333333398E-2</v>
      </c>
      <c r="AK289" s="1326">
        <v>40795</v>
      </c>
      <c r="AL289" s="1314">
        <v>0.41</v>
      </c>
      <c r="AN289" s="1326">
        <v>40795</v>
      </c>
      <c r="AO289" s="1314">
        <v>-0.26</v>
      </c>
      <c r="AQ289" s="1326">
        <v>40795</v>
      </c>
      <c r="AR289" s="1327">
        <v>2.91</v>
      </c>
      <c r="AT289" s="1326">
        <v>40795</v>
      </c>
      <c r="AU289" s="1314">
        <v>683.58</v>
      </c>
      <c r="AV289" s="1314">
        <f t="shared" si="53"/>
        <v>-5.1084150031927532E-2</v>
      </c>
      <c r="AX289" s="1314">
        <v>3.2463000000000002</v>
      </c>
      <c r="AY289" s="1314">
        <f t="shared" si="54"/>
        <v>-2.0132810141865371E-2</v>
      </c>
    </row>
    <row r="290" spans="1:51" x14ac:dyDescent="0.75">
      <c r="A290" s="1326">
        <v>40788</v>
      </c>
      <c r="B290" s="1314">
        <v>694.58</v>
      </c>
      <c r="C290" s="1314">
        <f t="shared" si="55"/>
        <v>1.6091752245530881E-2</v>
      </c>
      <c r="E290" s="1326">
        <v>40788</v>
      </c>
      <c r="F290" s="1314">
        <v>11</v>
      </c>
      <c r="G290" s="1314">
        <f t="shared" si="45"/>
        <v>1.7576318223866742E-2</v>
      </c>
      <c r="I290" s="1326">
        <v>40788</v>
      </c>
      <c r="J290" s="1314">
        <v>10.99</v>
      </c>
      <c r="K290" s="1314">
        <f t="shared" si="46"/>
        <v>2.7372262773722044E-3</v>
      </c>
      <c r="M290" s="1326">
        <v>40788</v>
      </c>
      <c r="N290" s="1314">
        <v>5.82</v>
      </c>
      <c r="O290" s="1314">
        <f t="shared" si="47"/>
        <v>-5.057096247960842E-2</v>
      </c>
      <c r="Q290" s="1326">
        <v>40788</v>
      </c>
      <c r="R290" s="1314">
        <v>7.86</v>
      </c>
      <c r="S290" s="1314">
        <f t="shared" si="48"/>
        <v>7.3770491803278687E-2</v>
      </c>
      <c r="U290" s="1326">
        <v>40788</v>
      </c>
      <c r="V290" s="1314">
        <v>21.07</v>
      </c>
      <c r="W290" s="1314">
        <f t="shared" si="49"/>
        <v>-3.657978966620945E-2</v>
      </c>
      <c r="Y290" s="1326">
        <v>40788</v>
      </c>
      <c r="Z290" s="1314">
        <v>10.64</v>
      </c>
      <c r="AA290" s="1314">
        <f t="shared" si="50"/>
        <v>1.2369172216936326E-2</v>
      </c>
      <c r="AC290" s="1326">
        <v>40788</v>
      </c>
      <c r="AD290" s="1314">
        <v>15.24</v>
      </c>
      <c r="AE290" s="1314">
        <f t="shared" si="51"/>
        <v>-1.9305019305019239E-2</v>
      </c>
      <c r="AG290" s="1326">
        <v>40788</v>
      </c>
      <c r="AH290" s="1314">
        <v>6.04</v>
      </c>
      <c r="AI290" s="1314">
        <f t="shared" si="52"/>
        <v>5.5944055944056E-2</v>
      </c>
      <c r="AK290" s="1326">
        <v>40788</v>
      </c>
      <c r="AL290" s="1314">
        <v>-0.88</v>
      </c>
      <c r="AN290" s="1326">
        <v>40788</v>
      </c>
      <c r="AO290" s="1314">
        <v>-1.1599999999999999</v>
      </c>
      <c r="AQ290" s="1326">
        <v>40788</v>
      </c>
      <c r="AR290" s="1327">
        <v>2.95</v>
      </c>
      <c r="AT290" s="1326">
        <v>40788</v>
      </c>
      <c r="AU290" s="1314">
        <v>694.58</v>
      </c>
      <c r="AV290" s="1314">
        <f t="shared" si="53"/>
        <v>1.6091752245530881E-2</v>
      </c>
      <c r="AX290" s="1314">
        <v>3.2968999999999999</v>
      </c>
      <c r="AY290" s="1314">
        <f t="shared" si="54"/>
        <v>1.5586975941841405E-2</v>
      </c>
    </row>
    <row r="291" spans="1:51" x14ac:dyDescent="0.75">
      <c r="A291" s="1326">
        <v>40781</v>
      </c>
      <c r="B291" s="1314">
        <v>696.46</v>
      </c>
      <c r="C291" s="1314">
        <f t="shared" si="55"/>
        <v>2.7066716576924117E-3</v>
      </c>
      <c r="E291" s="1326">
        <v>40781</v>
      </c>
      <c r="F291" s="1314">
        <v>11.19</v>
      </c>
      <c r="G291" s="1314">
        <f t="shared" si="45"/>
        <v>1.7272727272727228E-2</v>
      </c>
      <c r="I291" s="1326">
        <v>40781</v>
      </c>
      <c r="J291" s="1314">
        <v>11.18</v>
      </c>
      <c r="K291" s="1314">
        <f t="shared" si="46"/>
        <v>1.7288444040036353E-2</v>
      </c>
      <c r="M291" s="1326">
        <v>40781</v>
      </c>
      <c r="N291" s="1314">
        <v>6.08</v>
      </c>
      <c r="O291" s="1314">
        <f t="shared" si="47"/>
        <v>4.4673539518900303E-2</v>
      </c>
      <c r="Q291" s="1326">
        <v>40781</v>
      </c>
      <c r="R291" s="1314">
        <v>8.17</v>
      </c>
      <c r="S291" s="1314">
        <f t="shared" si="48"/>
        <v>3.9440203562340917E-2</v>
      </c>
      <c r="U291" s="1326">
        <v>40781</v>
      </c>
      <c r="V291" s="1314">
        <v>21.78</v>
      </c>
      <c r="W291" s="1314">
        <f t="shared" si="49"/>
        <v>3.3697199810156661E-2</v>
      </c>
      <c r="Y291" s="1326">
        <v>40781</v>
      </c>
      <c r="Z291" s="1314">
        <v>10.82</v>
      </c>
      <c r="AA291" s="1314">
        <f t="shared" si="50"/>
        <v>1.6917293233082678E-2</v>
      </c>
      <c r="AC291" s="1326">
        <v>40781</v>
      </c>
      <c r="AD291" s="1314">
        <v>15.99</v>
      </c>
      <c r="AE291" s="1314">
        <f t="shared" si="51"/>
        <v>4.9212598425196846E-2</v>
      </c>
      <c r="AG291" s="1326">
        <v>40781</v>
      </c>
      <c r="AH291" s="1314">
        <v>6.36</v>
      </c>
      <c r="AI291" s="1314">
        <f t="shared" si="52"/>
        <v>5.2980132450331174E-2</v>
      </c>
      <c r="AK291" s="1326">
        <v>40781</v>
      </c>
      <c r="AL291" s="1314">
        <v>1.1499999999999999</v>
      </c>
      <c r="AN291" s="1326">
        <v>40781</v>
      </c>
      <c r="AO291" s="1314">
        <v>-1.22</v>
      </c>
      <c r="AQ291" s="1326">
        <v>40781</v>
      </c>
      <c r="AR291" s="1327">
        <v>3.01</v>
      </c>
      <c r="AT291" s="1326">
        <v>40781</v>
      </c>
      <c r="AU291" s="1314">
        <v>696.46</v>
      </c>
      <c r="AV291" s="1314">
        <f t="shared" si="53"/>
        <v>2.7066716576924117E-3</v>
      </c>
      <c r="AX291" s="1314">
        <v>3.5350000000000001</v>
      </c>
      <c r="AY291" s="1314">
        <f t="shared" si="54"/>
        <v>7.2219357578331228E-2</v>
      </c>
    </row>
    <row r="292" spans="1:51" x14ac:dyDescent="0.75">
      <c r="A292" s="1326">
        <v>40774</v>
      </c>
      <c r="B292" s="1314">
        <v>663.7</v>
      </c>
      <c r="C292" s="1314">
        <f t="shared" si="55"/>
        <v>-4.7037877265025972E-2</v>
      </c>
      <c r="E292" s="1326">
        <v>40774</v>
      </c>
      <c r="F292" s="1314">
        <v>10.59</v>
      </c>
      <c r="G292" s="1314">
        <f t="shared" si="45"/>
        <v>-5.3619302949061635E-2</v>
      </c>
      <c r="I292" s="1326">
        <v>40774</v>
      </c>
      <c r="J292" s="1314">
        <v>10.58</v>
      </c>
      <c r="K292" s="1314">
        <f t="shared" si="46"/>
        <v>-5.3667262969588521E-2</v>
      </c>
      <c r="M292" s="1326">
        <v>40774</v>
      </c>
      <c r="N292" s="1314">
        <v>5.72</v>
      </c>
      <c r="O292" s="1314">
        <f t="shared" si="47"/>
        <v>-5.9210526315789526E-2</v>
      </c>
      <c r="Q292" s="1326">
        <v>40774</v>
      </c>
      <c r="R292" s="1314">
        <v>8.06</v>
      </c>
      <c r="S292" s="1314">
        <f t="shared" si="48"/>
        <v>-1.346389228886162E-2</v>
      </c>
      <c r="U292" s="1326">
        <v>40774</v>
      </c>
      <c r="V292" s="1314">
        <v>19.46</v>
      </c>
      <c r="W292" s="1314">
        <f t="shared" si="49"/>
        <v>-0.10651974288337926</v>
      </c>
      <c r="Y292" s="1326">
        <v>40774</v>
      </c>
      <c r="Z292" s="1314">
        <v>9.9700000000000006</v>
      </c>
      <c r="AA292" s="1314">
        <f t="shared" si="50"/>
        <v>-7.8558225508317897E-2</v>
      </c>
      <c r="AC292" s="1326">
        <v>40774</v>
      </c>
      <c r="AD292" s="1314">
        <v>16.434999999999999</v>
      </c>
      <c r="AE292" s="1314">
        <f t="shared" si="51"/>
        <v>2.7829893683552126E-2</v>
      </c>
      <c r="AG292" s="1326">
        <v>40774</v>
      </c>
      <c r="AH292" s="1314">
        <v>6</v>
      </c>
      <c r="AI292" s="1314">
        <f t="shared" si="52"/>
        <v>-5.660377358490571E-2</v>
      </c>
      <c r="AK292" s="1326">
        <v>40774</v>
      </c>
      <c r="AL292" s="1314">
        <v>-1.6</v>
      </c>
      <c r="AN292" s="1326">
        <v>40774</v>
      </c>
      <c r="AO292" s="1314">
        <v>1.81</v>
      </c>
      <c r="AQ292" s="1326">
        <v>40774</v>
      </c>
      <c r="AR292" s="1327">
        <v>2.9</v>
      </c>
      <c r="AT292" s="1326">
        <v>40774</v>
      </c>
      <c r="AU292" s="1314">
        <v>663.7</v>
      </c>
      <c r="AV292" s="1314">
        <f t="shared" si="53"/>
        <v>-4.7037877265025972E-2</v>
      </c>
      <c r="AX292" s="1314">
        <v>3.3904000000000001</v>
      </c>
      <c r="AY292" s="1314">
        <f t="shared" si="54"/>
        <v>-4.0905233380480924E-2</v>
      </c>
    </row>
    <row r="293" spans="1:51" x14ac:dyDescent="0.75">
      <c r="A293" s="1326">
        <v>40767</v>
      </c>
      <c r="B293" s="1314">
        <v>699.29</v>
      </c>
      <c r="C293" s="1314">
        <f t="shared" si="55"/>
        <v>5.3623625131836543E-2</v>
      </c>
      <c r="E293" s="1326">
        <v>40767</v>
      </c>
      <c r="F293" s="1314">
        <v>12.38</v>
      </c>
      <c r="G293" s="1314">
        <f t="shared" si="45"/>
        <v>0.16902738432483483</v>
      </c>
      <c r="I293" s="1326">
        <v>40767</v>
      </c>
      <c r="J293" s="1314">
        <v>11.15</v>
      </c>
      <c r="K293" s="1314">
        <f t="shared" si="46"/>
        <v>5.3875236294896059E-2</v>
      </c>
      <c r="M293" s="1326">
        <v>40767</v>
      </c>
      <c r="N293" s="1314">
        <v>6.08</v>
      </c>
      <c r="O293" s="1314">
        <f t="shared" si="47"/>
        <v>6.2937062937062999E-2</v>
      </c>
      <c r="Q293" s="1326">
        <v>40767</v>
      </c>
      <c r="R293" s="1314">
        <v>8.67</v>
      </c>
      <c r="S293" s="1314">
        <f t="shared" si="48"/>
        <v>7.568238213399496E-2</v>
      </c>
      <c r="U293" s="1326">
        <v>40767</v>
      </c>
      <c r="V293" s="1314">
        <v>21.05</v>
      </c>
      <c r="W293" s="1314">
        <f t="shared" si="49"/>
        <v>8.1706063720452193E-2</v>
      </c>
      <c r="Y293" s="1326">
        <v>40767</v>
      </c>
      <c r="Z293" s="1314">
        <v>11.28</v>
      </c>
      <c r="AA293" s="1314">
        <f t="shared" si="50"/>
        <v>0.13139418254764279</v>
      </c>
      <c r="AC293" s="1326">
        <v>40767</v>
      </c>
      <c r="AD293" s="1314">
        <v>18.48</v>
      </c>
      <c r="AE293" s="1314">
        <f t="shared" si="51"/>
        <v>0.12442957103742025</v>
      </c>
      <c r="AG293" s="1326">
        <v>40767</v>
      </c>
      <c r="AH293" s="1314">
        <v>7.04</v>
      </c>
      <c r="AI293" s="1314">
        <f t="shared" si="52"/>
        <v>0.17333333333333334</v>
      </c>
      <c r="AK293" s="1326">
        <v>40767</v>
      </c>
      <c r="AL293" s="1314">
        <v>-1.0900000000000001</v>
      </c>
      <c r="AN293" s="1326">
        <v>40767</v>
      </c>
      <c r="AO293" s="1314">
        <v>-3.42</v>
      </c>
      <c r="AQ293" s="1326">
        <v>40767</v>
      </c>
      <c r="AR293" s="1327">
        <v>2.87</v>
      </c>
      <c r="AT293" s="1326">
        <v>40767</v>
      </c>
      <c r="AU293" s="1314">
        <v>699.29</v>
      </c>
      <c r="AV293" s="1314">
        <f t="shared" si="53"/>
        <v>5.3623625131836543E-2</v>
      </c>
      <c r="AX293" s="1314">
        <v>3.7256999999999998</v>
      </c>
      <c r="AY293" s="1314">
        <f t="shared" si="54"/>
        <v>9.8896885323265599E-2</v>
      </c>
    </row>
    <row r="294" spans="1:51" x14ac:dyDescent="0.75">
      <c r="A294" s="1326">
        <v>40760</v>
      </c>
      <c r="B294" s="1314">
        <v>710.4</v>
      </c>
      <c r="C294" s="1314">
        <f t="shared" si="55"/>
        <v>1.5887543079409136E-2</v>
      </c>
      <c r="E294" s="1326">
        <v>40760</v>
      </c>
      <c r="F294" s="1314">
        <v>13.59</v>
      </c>
      <c r="G294" s="1314">
        <f t="shared" si="45"/>
        <v>9.7738287560581505E-2</v>
      </c>
      <c r="I294" s="1326">
        <v>40760</v>
      </c>
      <c r="J294" s="1314">
        <v>11.58</v>
      </c>
      <c r="K294" s="1314">
        <f t="shared" si="46"/>
        <v>3.8565022421524639E-2</v>
      </c>
      <c r="M294" s="1326">
        <v>40760</v>
      </c>
      <c r="N294" s="1314">
        <v>6.26</v>
      </c>
      <c r="O294" s="1314">
        <f t="shared" si="47"/>
        <v>2.960526315789469E-2</v>
      </c>
      <c r="Q294" s="1326">
        <v>40760</v>
      </c>
      <c r="R294" s="1314">
        <v>10.119999999999999</v>
      </c>
      <c r="S294" s="1314">
        <f t="shared" si="48"/>
        <v>0.16724336793540936</v>
      </c>
      <c r="U294" s="1326">
        <v>40760</v>
      </c>
      <c r="V294" s="1314">
        <v>20.79</v>
      </c>
      <c r="W294" s="1314">
        <f t="shared" si="49"/>
        <v>-1.2351543942992947E-2</v>
      </c>
      <c r="Y294" s="1326">
        <v>40760</v>
      </c>
      <c r="Z294" s="1314">
        <v>11.56</v>
      </c>
      <c r="AA294" s="1314">
        <f t="shared" si="50"/>
        <v>2.4822695035461095E-2</v>
      </c>
      <c r="AC294" s="1326">
        <v>40760</v>
      </c>
      <c r="AD294" s="1314">
        <v>17.89</v>
      </c>
      <c r="AE294" s="1314">
        <f t="shared" si="51"/>
        <v>-3.1926406926406921E-2</v>
      </c>
      <c r="AG294" s="1326">
        <v>40760</v>
      </c>
      <c r="AH294" s="1314">
        <v>7</v>
      </c>
      <c r="AI294" s="1314">
        <f t="shared" si="52"/>
        <v>-5.6818181818181872E-3</v>
      </c>
      <c r="AK294" s="1326">
        <v>40760</v>
      </c>
      <c r="AL294" s="1314">
        <v>-2.27</v>
      </c>
      <c r="AN294" s="1326">
        <v>40760</v>
      </c>
      <c r="AO294" s="1314">
        <v>-0.04</v>
      </c>
      <c r="AQ294" s="1326">
        <v>40760</v>
      </c>
      <c r="AR294" s="1327">
        <v>2.79</v>
      </c>
      <c r="AT294" s="1326">
        <v>40760</v>
      </c>
      <c r="AU294" s="1314">
        <v>710.4</v>
      </c>
      <c r="AV294" s="1314">
        <f t="shared" si="53"/>
        <v>1.5887543079409136E-2</v>
      </c>
      <c r="AX294" s="1314">
        <v>3.8458000000000001</v>
      </c>
      <c r="AY294" s="1314">
        <f t="shared" si="54"/>
        <v>3.223555305043356E-2</v>
      </c>
    </row>
    <row r="295" spans="1:51" x14ac:dyDescent="0.75">
      <c r="A295" s="1326">
        <v>40753</v>
      </c>
      <c r="B295" s="1314">
        <v>771.11</v>
      </c>
      <c r="C295" s="1314">
        <f t="shared" si="55"/>
        <v>8.545889639639645E-2</v>
      </c>
      <c r="E295" s="1326">
        <v>40753</v>
      </c>
      <c r="F295" s="1314">
        <v>13.64</v>
      </c>
      <c r="G295" s="1314">
        <f t="shared" si="45"/>
        <v>3.6791758646063807E-3</v>
      </c>
      <c r="I295" s="1326">
        <v>40753</v>
      </c>
      <c r="J295" s="1314">
        <v>13.88</v>
      </c>
      <c r="K295" s="1314">
        <f t="shared" si="46"/>
        <v>0.19861830742659764</v>
      </c>
      <c r="M295" s="1326">
        <v>40753</v>
      </c>
      <c r="N295" s="1314">
        <v>6.61</v>
      </c>
      <c r="O295" s="1314">
        <f t="shared" si="47"/>
        <v>5.5910543130990503E-2</v>
      </c>
      <c r="Q295" s="1326">
        <v>40753</v>
      </c>
      <c r="R295" s="1314">
        <v>11.24</v>
      </c>
      <c r="S295" s="1314">
        <f t="shared" si="48"/>
        <v>0.11067193675889339</v>
      </c>
      <c r="U295" s="1326">
        <v>40753</v>
      </c>
      <c r="V295" s="1314">
        <v>23.3</v>
      </c>
      <c r="W295" s="1314">
        <f t="shared" si="49"/>
        <v>0.12073112073112081</v>
      </c>
      <c r="Y295" s="1326">
        <v>40753</v>
      </c>
      <c r="Z295" s="1314">
        <v>13.77</v>
      </c>
      <c r="AA295" s="1314">
        <f t="shared" si="50"/>
        <v>0.1911764705882352</v>
      </c>
      <c r="AC295" s="1326">
        <v>40753</v>
      </c>
      <c r="AD295" s="1314">
        <v>20.58</v>
      </c>
      <c r="AE295" s="1314">
        <f t="shared" si="51"/>
        <v>0.1503633314700949</v>
      </c>
      <c r="AG295" s="1326">
        <v>40753</v>
      </c>
      <c r="AH295" s="1314">
        <v>10.48</v>
      </c>
      <c r="AI295" s="1314">
        <f t="shared" si="52"/>
        <v>0.49714285714285722</v>
      </c>
      <c r="AK295" s="1326">
        <v>40753</v>
      </c>
      <c r="AL295" s="1314">
        <v>-1.28</v>
      </c>
      <c r="AN295" s="1326">
        <v>40753</v>
      </c>
      <c r="AO295" s="1314">
        <v>0.63</v>
      </c>
      <c r="AQ295" s="1326">
        <v>40753</v>
      </c>
      <c r="AR295" s="1327">
        <v>2.92</v>
      </c>
      <c r="AT295" s="1326">
        <v>40753</v>
      </c>
      <c r="AU295" s="1314">
        <v>771.11</v>
      </c>
      <c r="AV295" s="1314">
        <f t="shared" si="53"/>
        <v>8.545889639639645E-2</v>
      </c>
      <c r="AX295" s="1314">
        <v>4.1184000000000003</v>
      </c>
      <c r="AY295" s="1314">
        <f t="shared" si="54"/>
        <v>7.0882521191949696E-2</v>
      </c>
    </row>
    <row r="296" spans="1:51" x14ac:dyDescent="0.75">
      <c r="A296" s="1326">
        <v>40746</v>
      </c>
      <c r="B296" s="1314">
        <v>804.32</v>
      </c>
      <c r="C296" s="1314">
        <f t="shared" si="55"/>
        <v>4.3067785400267192E-2</v>
      </c>
      <c r="E296" s="1326">
        <v>40746</v>
      </c>
      <c r="F296" s="1314">
        <v>14.95</v>
      </c>
      <c r="G296" s="1314">
        <f t="shared" si="45"/>
        <v>9.6041055718474974E-2</v>
      </c>
      <c r="I296" s="1326">
        <v>40746</v>
      </c>
      <c r="J296" s="1314">
        <v>15.61</v>
      </c>
      <c r="K296" s="1314">
        <f t="shared" si="46"/>
        <v>0.12463976945244946</v>
      </c>
      <c r="M296" s="1326">
        <v>40746</v>
      </c>
      <c r="N296" s="1314">
        <v>6.58</v>
      </c>
      <c r="O296" s="1314">
        <f t="shared" si="47"/>
        <v>-4.5385779122541978E-3</v>
      </c>
      <c r="Q296" s="1326">
        <v>40746</v>
      </c>
      <c r="R296" s="1314">
        <v>11.82</v>
      </c>
      <c r="S296" s="1314">
        <f t="shared" si="48"/>
        <v>5.1601423487544491E-2</v>
      </c>
      <c r="U296" s="1326">
        <v>40746</v>
      </c>
      <c r="V296" s="1314">
        <v>25.79</v>
      </c>
      <c r="W296" s="1314">
        <f t="shared" si="49"/>
        <v>0.1068669527896995</v>
      </c>
      <c r="Y296" s="1326">
        <v>40746</v>
      </c>
      <c r="Z296" s="1314">
        <v>15.15</v>
      </c>
      <c r="AA296" s="1314">
        <f t="shared" si="50"/>
        <v>0.10021786492374733</v>
      </c>
      <c r="AC296" s="1326">
        <v>40746</v>
      </c>
      <c r="AD296" s="1314">
        <v>22.34</v>
      </c>
      <c r="AE296" s="1314">
        <f t="shared" si="51"/>
        <v>8.5519922254616215E-2</v>
      </c>
      <c r="AG296" s="1326">
        <v>40746</v>
      </c>
      <c r="AH296" s="1314">
        <v>11.8</v>
      </c>
      <c r="AI296" s="1314">
        <f t="shared" si="52"/>
        <v>0.12595419847328246</v>
      </c>
      <c r="AK296" s="1326">
        <v>40746</v>
      </c>
      <c r="AL296" s="1314">
        <v>-0.77</v>
      </c>
      <c r="AN296" s="1326">
        <v>40746</v>
      </c>
      <c r="AO296" s="1314">
        <v>-0.03</v>
      </c>
      <c r="AQ296" s="1326">
        <v>40746</v>
      </c>
      <c r="AR296" s="1327">
        <v>2.95</v>
      </c>
      <c r="AT296" s="1326">
        <v>40746</v>
      </c>
      <c r="AU296" s="1314">
        <v>804.32</v>
      </c>
      <c r="AV296" s="1314">
        <f t="shared" si="53"/>
        <v>4.3067785400267192E-2</v>
      </c>
      <c r="AX296" s="1314">
        <v>4.2575000000000003</v>
      </c>
      <c r="AY296" s="1314">
        <f t="shared" si="54"/>
        <v>3.3775252525252521E-2</v>
      </c>
    </row>
    <row r="297" spans="1:51" x14ac:dyDescent="0.75">
      <c r="A297" s="1326">
        <v>40739</v>
      </c>
      <c r="B297" s="1314">
        <v>787.84</v>
      </c>
      <c r="C297" s="1314">
        <f t="shared" si="55"/>
        <v>-2.0489357469663835E-2</v>
      </c>
      <c r="E297" s="1326">
        <v>40739</v>
      </c>
      <c r="F297" s="1314">
        <v>14.9</v>
      </c>
      <c r="G297" s="1314">
        <f t="shared" si="45"/>
        <v>-3.3444816053510994E-3</v>
      </c>
      <c r="I297" s="1326">
        <v>40739</v>
      </c>
      <c r="J297" s="1314">
        <v>14.16</v>
      </c>
      <c r="K297" s="1314">
        <f t="shared" si="46"/>
        <v>-9.2889173606662351E-2</v>
      </c>
      <c r="M297" s="1326">
        <v>40739</v>
      </c>
      <c r="N297" s="1314">
        <v>6.2</v>
      </c>
      <c r="O297" s="1314">
        <f t="shared" si="47"/>
        <v>-5.7750759878419433E-2</v>
      </c>
      <c r="Q297" s="1326">
        <v>40739</v>
      </c>
      <c r="R297" s="1314">
        <v>12.02</v>
      </c>
      <c r="S297" s="1314">
        <f t="shared" si="48"/>
        <v>1.6920473773265592E-2</v>
      </c>
      <c r="U297" s="1326">
        <v>40739</v>
      </c>
      <c r="V297" s="1314">
        <v>25.3</v>
      </c>
      <c r="W297" s="1314">
        <f t="shared" si="49"/>
        <v>-1.8999612252811108E-2</v>
      </c>
      <c r="Y297" s="1326">
        <v>40739</v>
      </c>
      <c r="Z297" s="1314">
        <v>14.91</v>
      </c>
      <c r="AA297" s="1314">
        <f t="shared" si="50"/>
        <v>-1.5841584158415856E-2</v>
      </c>
      <c r="AC297" s="1326">
        <v>40739</v>
      </c>
      <c r="AD297" s="1314">
        <v>20.98</v>
      </c>
      <c r="AE297" s="1314">
        <f t="shared" si="51"/>
        <v>-6.0877350044762732E-2</v>
      </c>
      <c r="AG297" s="1326">
        <v>40739</v>
      </c>
      <c r="AH297" s="1314">
        <v>11.52</v>
      </c>
      <c r="AI297" s="1314">
        <f t="shared" si="52"/>
        <v>-2.3728813559322128E-2</v>
      </c>
      <c r="AK297" s="1326">
        <v>40739</v>
      </c>
      <c r="AL297" s="1314">
        <v>-0.28999999999999998</v>
      </c>
      <c r="AN297" s="1326">
        <v>40739</v>
      </c>
      <c r="AO297" s="1314">
        <v>-0.25</v>
      </c>
      <c r="AQ297" s="1326">
        <v>40739</v>
      </c>
      <c r="AR297" s="1327">
        <v>2.91</v>
      </c>
      <c r="AT297" s="1326">
        <v>40739</v>
      </c>
      <c r="AU297" s="1314">
        <v>787.84</v>
      </c>
      <c r="AV297" s="1314">
        <f t="shared" si="53"/>
        <v>-2.0489357469663835E-2</v>
      </c>
      <c r="AX297" s="1314">
        <v>4.2465000000000002</v>
      </c>
      <c r="AY297" s="1314">
        <f t="shared" si="54"/>
        <v>-2.5836758661186422E-3</v>
      </c>
    </row>
    <row r="298" spans="1:51" x14ac:dyDescent="0.75">
      <c r="A298" s="1326">
        <v>40732</v>
      </c>
      <c r="B298" s="1314">
        <v>805.53</v>
      </c>
      <c r="C298" s="1314">
        <f t="shared" si="55"/>
        <v>2.2453797725426407E-2</v>
      </c>
      <c r="E298" s="1326">
        <v>40732</v>
      </c>
      <c r="F298" s="1314">
        <v>15.28</v>
      </c>
      <c r="G298" s="1314">
        <f t="shared" si="45"/>
        <v>2.550335570469792E-2</v>
      </c>
      <c r="I298" s="1326">
        <v>40732</v>
      </c>
      <c r="J298" s="1314">
        <v>14.61</v>
      </c>
      <c r="K298" s="1314">
        <f t="shared" si="46"/>
        <v>3.1779661016949103E-2</v>
      </c>
      <c r="M298" s="1326">
        <v>40732</v>
      </c>
      <c r="N298" s="1314">
        <v>6.41</v>
      </c>
      <c r="O298" s="1314">
        <f t="shared" si="47"/>
        <v>3.387096774193548E-2</v>
      </c>
      <c r="Q298" s="1326">
        <v>40732</v>
      </c>
      <c r="R298" s="1314">
        <v>13.12</v>
      </c>
      <c r="S298" s="1314">
        <f t="shared" si="48"/>
        <v>9.1514143094841904E-2</v>
      </c>
      <c r="U298" s="1326">
        <v>40732</v>
      </c>
      <c r="V298" s="1314">
        <v>27.91</v>
      </c>
      <c r="W298" s="1314">
        <f t="shared" si="49"/>
        <v>0.10316205533596835</v>
      </c>
      <c r="Y298" s="1326">
        <v>40732</v>
      </c>
      <c r="Z298" s="1314">
        <v>15.82</v>
      </c>
      <c r="AA298" s="1314">
        <f t="shared" si="50"/>
        <v>6.1032863849765265E-2</v>
      </c>
      <c r="AC298" s="1326">
        <v>40732</v>
      </c>
      <c r="AD298" s="1314">
        <v>23.23</v>
      </c>
      <c r="AE298" s="1314">
        <f t="shared" si="51"/>
        <v>0.10724499523355577</v>
      </c>
      <c r="AG298" s="1326">
        <v>40732</v>
      </c>
      <c r="AH298" s="1314">
        <v>12.28</v>
      </c>
      <c r="AI298" s="1314">
        <f t="shared" si="52"/>
        <v>6.597222222222221E-2</v>
      </c>
      <c r="AK298" s="1326">
        <v>40732</v>
      </c>
      <c r="AL298" s="1314">
        <v>1.1299999999999999</v>
      </c>
      <c r="AN298" s="1326">
        <v>40732</v>
      </c>
      <c r="AO298" s="1314">
        <v>-1.72</v>
      </c>
      <c r="AQ298" s="1326">
        <v>40732</v>
      </c>
      <c r="AR298" s="1327">
        <v>3.03</v>
      </c>
      <c r="AT298" s="1326">
        <v>40732</v>
      </c>
      <c r="AU298" s="1314">
        <v>805.53</v>
      </c>
      <c r="AV298" s="1314">
        <f t="shared" si="53"/>
        <v>2.2453797725426407E-2</v>
      </c>
      <c r="AX298" s="1314">
        <v>4.2824</v>
      </c>
      <c r="AY298" s="1314">
        <f t="shared" si="54"/>
        <v>8.454020958436316E-3</v>
      </c>
    </row>
    <row r="299" spans="1:51" x14ac:dyDescent="0.75">
      <c r="A299" s="1326">
        <v>40725</v>
      </c>
      <c r="B299" s="1314">
        <v>801.59</v>
      </c>
      <c r="C299" s="1314">
        <f t="shared" si="55"/>
        <v>-4.8911896515336992E-3</v>
      </c>
      <c r="E299" s="1326">
        <v>40725</v>
      </c>
      <c r="F299" s="1314">
        <v>15.04</v>
      </c>
      <c r="G299" s="1314">
        <f t="shared" si="45"/>
        <v>-1.5706806282722526E-2</v>
      </c>
      <c r="I299" s="1326">
        <v>40725</v>
      </c>
      <c r="J299" s="1314">
        <v>14.89</v>
      </c>
      <c r="K299" s="1314">
        <f t="shared" si="46"/>
        <v>1.9164955509924787E-2</v>
      </c>
      <c r="M299" s="1326">
        <v>40725</v>
      </c>
      <c r="N299" s="1314">
        <v>6.35</v>
      </c>
      <c r="O299" s="1314">
        <f t="shared" si="47"/>
        <v>-9.3603744149766757E-3</v>
      </c>
      <c r="Q299" s="1326">
        <v>40725</v>
      </c>
      <c r="R299" s="1314">
        <v>13.23</v>
      </c>
      <c r="S299" s="1314">
        <f t="shared" si="48"/>
        <v>8.3841463414635071E-3</v>
      </c>
      <c r="U299" s="1326">
        <v>40725</v>
      </c>
      <c r="V299" s="1314">
        <v>27.6</v>
      </c>
      <c r="W299" s="1314">
        <f t="shared" si="49"/>
        <v>-1.1107130060910022E-2</v>
      </c>
      <c r="Y299" s="1326">
        <v>40725</v>
      </c>
      <c r="Z299" s="1314">
        <v>15.7</v>
      </c>
      <c r="AA299" s="1314">
        <f t="shared" si="50"/>
        <v>-7.5853350189634006E-3</v>
      </c>
      <c r="AC299" s="1326">
        <v>40725</v>
      </c>
      <c r="AD299" s="1314">
        <v>21.555</v>
      </c>
      <c r="AE299" s="1314">
        <f t="shared" si="51"/>
        <v>-7.2105036590615609E-2</v>
      </c>
      <c r="AG299" s="1326">
        <v>40725</v>
      </c>
      <c r="AH299" s="1314">
        <v>11.4</v>
      </c>
      <c r="AI299" s="1314">
        <f t="shared" si="52"/>
        <v>-7.1661237785016207E-2</v>
      </c>
      <c r="AK299" s="1326">
        <v>40725</v>
      </c>
      <c r="AL299" s="1314">
        <v>-0.42</v>
      </c>
      <c r="AN299" s="1326">
        <v>40725</v>
      </c>
      <c r="AO299" s="1314">
        <v>-0.37</v>
      </c>
      <c r="AQ299" s="1326">
        <v>40725</v>
      </c>
      <c r="AR299" s="1327">
        <v>3.05</v>
      </c>
      <c r="AT299" s="1326">
        <v>40725</v>
      </c>
      <c r="AU299" s="1314">
        <v>801.59</v>
      </c>
      <c r="AV299" s="1314">
        <f t="shared" si="53"/>
        <v>-4.8911896515336992E-3</v>
      </c>
      <c r="AX299" s="1314">
        <v>4.3907999999999996</v>
      </c>
      <c r="AY299" s="1314">
        <f t="shared" si="54"/>
        <v>2.5312908649355412E-2</v>
      </c>
    </row>
    <row r="300" spans="1:51" x14ac:dyDescent="0.75">
      <c r="A300" s="1326">
        <v>40718</v>
      </c>
      <c r="B300" s="1314">
        <v>759.32</v>
      </c>
      <c r="C300" s="1314">
        <f t="shared" si="55"/>
        <v>-5.2732693771129852E-2</v>
      </c>
      <c r="E300" s="1326">
        <v>40718</v>
      </c>
      <c r="F300" s="1314">
        <v>13.37</v>
      </c>
      <c r="G300" s="1314">
        <f t="shared" si="45"/>
        <v>-0.1110372340425532</v>
      </c>
      <c r="I300" s="1326">
        <v>40718</v>
      </c>
      <c r="J300" s="1314">
        <v>14.21</v>
      </c>
      <c r="K300" s="1314">
        <f t="shared" si="46"/>
        <v>-4.5668233713901926E-2</v>
      </c>
      <c r="M300" s="1326">
        <v>40718</v>
      </c>
      <c r="N300" s="1314">
        <v>5.96</v>
      </c>
      <c r="O300" s="1314">
        <f t="shared" si="47"/>
        <v>-6.141732283464562E-2</v>
      </c>
      <c r="Q300" s="1326">
        <v>40718</v>
      </c>
      <c r="R300" s="1314">
        <v>13.53</v>
      </c>
      <c r="S300" s="1314">
        <f t="shared" si="48"/>
        <v>2.2675736961451167E-2</v>
      </c>
      <c r="U300" s="1326">
        <v>40718</v>
      </c>
      <c r="V300" s="1314">
        <v>25.72</v>
      </c>
      <c r="W300" s="1314">
        <f t="shared" si="49"/>
        <v>-6.811594202898559E-2</v>
      </c>
      <c r="Y300" s="1326">
        <v>40718</v>
      </c>
      <c r="Z300" s="1314">
        <v>14.29</v>
      </c>
      <c r="AA300" s="1314">
        <f t="shared" si="50"/>
        <v>-8.9808917197452237E-2</v>
      </c>
      <c r="AC300" s="1326">
        <v>40718</v>
      </c>
      <c r="AD300" s="1314">
        <v>19.899999999999999</v>
      </c>
      <c r="AE300" s="1314">
        <f t="shared" si="51"/>
        <v>-7.6780329389932789E-2</v>
      </c>
      <c r="AG300" s="1326">
        <v>40718</v>
      </c>
      <c r="AH300" s="1314">
        <v>8.76</v>
      </c>
      <c r="AI300" s="1314">
        <f t="shared" si="52"/>
        <v>-0.23157894736842111</v>
      </c>
      <c r="AK300" s="1326">
        <v>40718</v>
      </c>
      <c r="AL300" s="1314">
        <v>2.34</v>
      </c>
      <c r="AN300" s="1326">
        <v>40718</v>
      </c>
      <c r="AO300" s="1314">
        <v>-1.1299999999999999</v>
      </c>
      <c r="AQ300" s="1326">
        <v>40718</v>
      </c>
      <c r="AR300" s="1327">
        <v>2.92</v>
      </c>
      <c r="AT300" s="1326">
        <v>40718</v>
      </c>
      <c r="AU300" s="1314">
        <v>759.32</v>
      </c>
      <c r="AV300" s="1314">
        <f t="shared" si="53"/>
        <v>-5.2732693771129852E-2</v>
      </c>
      <c r="AX300" s="1314">
        <v>4.1832000000000003</v>
      </c>
      <c r="AY300" s="1314">
        <f t="shared" si="54"/>
        <v>-4.7280677780814281E-2</v>
      </c>
    </row>
    <row r="301" spans="1:51" x14ac:dyDescent="0.75">
      <c r="A301" s="1326">
        <v>40711</v>
      </c>
      <c r="B301" s="1314">
        <v>758.56</v>
      </c>
      <c r="C301" s="1314">
        <f t="shared" si="55"/>
        <v>-1.0008955381131863E-3</v>
      </c>
      <c r="E301" s="1326">
        <v>40711</v>
      </c>
      <c r="F301" s="1314">
        <v>13.05</v>
      </c>
      <c r="G301" s="1314">
        <f t="shared" si="45"/>
        <v>-2.3934181002243718E-2</v>
      </c>
      <c r="I301" s="1326">
        <v>40711</v>
      </c>
      <c r="J301" s="1314">
        <v>13.95</v>
      </c>
      <c r="K301" s="1314">
        <f t="shared" si="46"/>
        <v>-1.8296973961998701E-2</v>
      </c>
      <c r="M301" s="1326">
        <v>40711</v>
      </c>
      <c r="N301" s="1314">
        <v>5.9</v>
      </c>
      <c r="O301" s="1314">
        <f t="shared" si="47"/>
        <v>-1.0067114093959667E-2</v>
      </c>
      <c r="Q301" s="1326">
        <v>40711</v>
      </c>
      <c r="R301" s="1314">
        <v>12.82</v>
      </c>
      <c r="S301" s="1314">
        <f t="shared" si="48"/>
        <v>-5.2475979305247535E-2</v>
      </c>
      <c r="U301" s="1326">
        <v>40711</v>
      </c>
      <c r="V301" s="1314">
        <v>24.74</v>
      </c>
      <c r="W301" s="1314">
        <f t="shared" si="49"/>
        <v>-3.81026438569207E-2</v>
      </c>
      <c r="Y301" s="1326">
        <v>40711</v>
      </c>
      <c r="Z301" s="1314">
        <v>13.79</v>
      </c>
      <c r="AA301" s="1314">
        <f t="shared" si="50"/>
        <v>-3.4989503149055287E-2</v>
      </c>
      <c r="AC301" s="1326">
        <v>40711</v>
      </c>
      <c r="AD301" s="1314">
        <v>19.605</v>
      </c>
      <c r="AE301" s="1314">
        <f t="shared" si="51"/>
        <v>-1.4824120603014983E-2</v>
      </c>
      <c r="AG301" s="1326">
        <v>40711</v>
      </c>
      <c r="AH301" s="1314">
        <v>8.64</v>
      </c>
      <c r="AI301" s="1314">
        <f t="shared" si="52"/>
        <v>-1.3698630136986212E-2</v>
      </c>
      <c r="AK301" s="1326">
        <v>40711</v>
      </c>
      <c r="AL301" s="1314">
        <v>0.01</v>
      </c>
      <c r="AN301" s="1326">
        <v>40711</v>
      </c>
      <c r="AO301" s="1314">
        <v>0.9</v>
      </c>
      <c r="AQ301" s="1326">
        <v>40711</v>
      </c>
      <c r="AR301" s="1327">
        <v>2.93</v>
      </c>
      <c r="AT301" s="1326">
        <v>40711</v>
      </c>
      <c r="AU301" s="1314">
        <v>758.56</v>
      </c>
      <c r="AV301" s="1314">
        <f t="shared" si="53"/>
        <v>-1.0008955381131863E-3</v>
      </c>
      <c r="AX301" s="1314">
        <v>4.2050000000000001</v>
      </c>
      <c r="AY301" s="1314">
        <f t="shared" si="54"/>
        <v>5.2113214763816742E-3</v>
      </c>
    </row>
    <row r="302" spans="1:51" x14ac:dyDescent="0.75">
      <c r="A302" s="1326">
        <v>40704</v>
      </c>
      <c r="B302" s="1314">
        <v>758.7</v>
      </c>
      <c r="C302" s="1314">
        <f t="shared" si="55"/>
        <v>1.8456021936313549E-4</v>
      </c>
      <c r="E302" s="1326">
        <v>40704</v>
      </c>
      <c r="F302" s="1314">
        <v>13.03</v>
      </c>
      <c r="G302" s="1314">
        <f t="shared" si="45"/>
        <v>-1.5325670498085324E-3</v>
      </c>
      <c r="I302" s="1326">
        <v>40704</v>
      </c>
      <c r="J302" s="1314">
        <v>13.58</v>
      </c>
      <c r="K302" s="1314">
        <f t="shared" si="46"/>
        <v>-2.652329749103937E-2</v>
      </c>
      <c r="M302" s="1326">
        <v>40704</v>
      </c>
      <c r="N302" s="1314">
        <v>6.16</v>
      </c>
      <c r="O302" s="1314">
        <f t="shared" si="47"/>
        <v>4.4067796610169456E-2</v>
      </c>
      <c r="Q302" s="1326">
        <v>40704</v>
      </c>
      <c r="R302" s="1314">
        <v>13.52</v>
      </c>
      <c r="S302" s="1314">
        <f t="shared" si="48"/>
        <v>5.4602184087363441E-2</v>
      </c>
      <c r="U302" s="1326">
        <v>40704</v>
      </c>
      <c r="V302" s="1314">
        <v>25.67</v>
      </c>
      <c r="W302" s="1314">
        <f t="shared" si="49"/>
        <v>3.7590945836701833E-2</v>
      </c>
      <c r="Y302" s="1326">
        <v>40704</v>
      </c>
      <c r="Z302" s="1314">
        <v>14.44</v>
      </c>
      <c r="AA302" s="1314">
        <f t="shared" si="50"/>
        <v>4.7135605511240054E-2</v>
      </c>
      <c r="AC302" s="1326">
        <v>40704</v>
      </c>
      <c r="AD302" s="1314">
        <v>21.15</v>
      </c>
      <c r="AE302" s="1314">
        <f t="shared" si="51"/>
        <v>7.8806426931905024E-2</v>
      </c>
      <c r="AG302" s="1326">
        <v>40704</v>
      </c>
      <c r="AH302" s="1314">
        <v>8.76</v>
      </c>
      <c r="AI302" s="1314">
        <f t="shared" si="52"/>
        <v>1.3888888888888798E-2</v>
      </c>
      <c r="AK302" s="1326">
        <v>40704</v>
      </c>
      <c r="AL302" s="1314">
        <v>-0.98</v>
      </c>
      <c r="AN302" s="1326">
        <v>40704</v>
      </c>
      <c r="AO302" s="1314">
        <v>0.04</v>
      </c>
      <c r="AQ302" s="1326">
        <v>40704</v>
      </c>
      <c r="AR302" s="1327">
        <v>2.91</v>
      </c>
      <c r="AT302" s="1326">
        <v>40704</v>
      </c>
      <c r="AU302" s="1314">
        <v>758.7</v>
      </c>
      <c r="AV302" s="1314">
        <f t="shared" si="53"/>
        <v>1.8456021936313549E-4</v>
      </c>
      <c r="AX302" s="1314">
        <v>4.1816000000000004</v>
      </c>
      <c r="AY302" s="1314">
        <f t="shared" si="54"/>
        <v>-5.56480380499397E-3</v>
      </c>
    </row>
    <row r="303" spans="1:51" x14ac:dyDescent="0.75">
      <c r="A303" s="1326">
        <v>40697</v>
      </c>
      <c r="B303" s="1314">
        <v>777.8</v>
      </c>
      <c r="C303" s="1314">
        <f t="shared" si="55"/>
        <v>2.5174640833003702E-2</v>
      </c>
      <c r="E303" s="1326">
        <v>40697</v>
      </c>
      <c r="F303" s="1314">
        <v>12.71</v>
      </c>
      <c r="G303" s="1314">
        <f t="shared" si="45"/>
        <v>-2.4558710667689831E-2</v>
      </c>
      <c r="I303" s="1326">
        <v>40697</v>
      </c>
      <c r="J303" s="1314">
        <v>13.86</v>
      </c>
      <c r="K303" s="1314">
        <f t="shared" si="46"/>
        <v>2.0618556701030882E-2</v>
      </c>
      <c r="M303" s="1326">
        <v>40697</v>
      </c>
      <c r="N303" s="1314">
        <v>6.12</v>
      </c>
      <c r="O303" s="1314">
        <f t="shared" si="47"/>
        <v>-6.4935064935064991E-3</v>
      </c>
      <c r="Q303" s="1326">
        <v>40697</v>
      </c>
      <c r="R303" s="1314">
        <v>13.17</v>
      </c>
      <c r="S303" s="1314">
        <f t="shared" si="48"/>
        <v>-2.5887573964497018E-2</v>
      </c>
      <c r="U303" s="1326">
        <v>40697</v>
      </c>
      <c r="V303" s="1314">
        <v>26.96</v>
      </c>
      <c r="W303" s="1314">
        <f t="shared" si="49"/>
        <v>5.0253213868328754E-2</v>
      </c>
      <c r="Y303" s="1326">
        <v>40697</v>
      </c>
      <c r="Z303" s="1314">
        <v>15.01</v>
      </c>
      <c r="AA303" s="1314">
        <f t="shared" si="50"/>
        <v>3.9473684210526334E-2</v>
      </c>
      <c r="AC303" s="1326">
        <v>40697</v>
      </c>
      <c r="AD303" s="1314">
        <v>22.19</v>
      </c>
      <c r="AE303" s="1314">
        <f t="shared" si="51"/>
        <v>4.9172576832151434E-2</v>
      </c>
      <c r="AG303" s="1326">
        <v>40697</v>
      </c>
      <c r="AH303" s="1314">
        <v>9.76</v>
      </c>
      <c r="AI303" s="1314">
        <f t="shared" si="52"/>
        <v>0.11415525114155252</v>
      </c>
      <c r="AK303" s="1326">
        <v>40697</v>
      </c>
      <c r="AL303" s="1314">
        <v>-0.93</v>
      </c>
      <c r="AN303" s="1326">
        <v>40697</v>
      </c>
      <c r="AO303" s="1314">
        <v>-0.04</v>
      </c>
      <c r="AQ303" s="1326">
        <v>40697</v>
      </c>
      <c r="AR303" s="1327">
        <v>2.91</v>
      </c>
      <c r="AT303" s="1326">
        <v>40697</v>
      </c>
      <c r="AU303" s="1314">
        <v>777.8</v>
      </c>
      <c r="AV303" s="1314">
        <f t="shared" si="53"/>
        <v>2.5174640833003702E-2</v>
      </c>
      <c r="AX303" s="1314">
        <v>4.2224000000000004</v>
      </c>
      <c r="AY303" s="1314">
        <f t="shared" si="54"/>
        <v>9.7570308016070272E-3</v>
      </c>
    </row>
    <row r="304" spans="1:51" x14ac:dyDescent="0.75">
      <c r="A304" s="1326">
        <v>40690</v>
      </c>
      <c r="B304" s="1314">
        <v>797.2</v>
      </c>
      <c r="C304" s="1314">
        <f t="shared" si="55"/>
        <v>2.4942144510156972E-2</v>
      </c>
      <c r="E304" s="1326">
        <v>40690</v>
      </c>
      <c r="F304" s="1314">
        <v>13.65</v>
      </c>
      <c r="G304" s="1314">
        <f t="shared" si="45"/>
        <v>7.3957513768686034E-2</v>
      </c>
      <c r="I304" s="1326">
        <v>40690</v>
      </c>
      <c r="J304" s="1314">
        <v>14.52</v>
      </c>
      <c r="K304" s="1314">
        <f t="shared" si="46"/>
        <v>4.761904761904763E-2</v>
      </c>
      <c r="M304" s="1326">
        <v>40690</v>
      </c>
      <c r="N304" s="1314">
        <v>6.34</v>
      </c>
      <c r="O304" s="1314">
        <f t="shared" si="47"/>
        <v>3.5947712418300609E-2</v>
      </c>
      <c r="Q304" s="1326">
        <v>40690</v>
      </c>
      <c r="R304" s="1314">
        <v>13.79</v>
      </c>
      <c r="S304" s="1314">
        <f t="shared" si="48"/>
        <v>4.7076689445709891E-2</v>
      </c>
      <c r="U304" s="1326">
        <v>40690</v>
      </c>
      <c r="V304" s="1314">
        <v>28.26</v>
      </c>
      <c r="W304" s="1314">
        <f t="shared" si="49"/>
        <v>4.8219584569732965E-2</v>
      </c>
      <c r="Y304" s="1326">
        <v>40690</v>
      </c>
      <c r="Z304" s="1314">
        <v>15.8</v>
      </c>
      <c r="AA304" s="1314">
        <f t="shared" si="50"/>
        <v>5.2631578947368481E-2</v>
      </c>
      <c r="AC304" s="1326">
        <v>40690</v>
      </c>
      <c r="AD304" s="1314">
        <v>23.36</v>
      </c>
      <c r="AE304" s="1314">
        <f t="shared" si="51"/>
        <v>5.27264533573681E-2</v>
      </c>
      <c r="AG304" s="1326">
        <v>40690</v>
      </c>
      <c r="AH304" s="1314">
        <v>9.4</v>
      </c>
      <c r="AI304" s="1314">
        <f t="shared" si="52"/>
        <v>-3.6885245901639288E-2</v>
      </c>
      <c r="AK304" s="1326">
        <v>40690</v>
      </c>
      <c r="AL304" s="1314">
        <v>1.01</v>
      </c>
      <c r="AN304" s="1326">
        <v>40690</v>
      </c>
      <c r="AO304" s="1314">
        <v>-0.26</v>
      </c>
      <c r="AQ304" s="1326">
        <v>40690</v>
      </c>
      <c r="AR304" s="1327">
        <v>2.95</v>
      </c>
      <c r="AT304" s="1326">
        <v>40690</v>
      </c>
      <c r="AU304" s="1314">
        <v>797.2</v>
      </c>
      <c r="AV304" s="1314">
        <f t="shared" si="53"/>
        <v>2.4942144510156972E-2</v>
      </c>
      <c r="AX304" s="1314">
        <v>4.2423999999999999</v>
      </c>
      <c r="AY304" s="1314">
        <f t="shared" si="54"/>
        <v>4.7366426676770492E-3</v>
      </c>
    </row>
    <row r="305" spans="1:51" x14ac:dyDescent="0.75">
      <c r="A305" s="1326">
        <v>40683</v>
      </c>
      <c r="B305" s="1314">
        <v>797.2</v>
      </c>
      <c r="C305" s="1314">
        <f t="shared" si="55"/>
        <v>0</v>
      </c>
      <c r="E305" s="1326">
        <v>40683</v>
      </c>
      <c r="F305" s="1314">
        <v>14.34</v>
      </c>
      <c r="G305" s="1314">
        <f t="shared" si="45"/>
        <v>5.0549450549450509E-2</v>
      </c>
      <c r="I305" s="1326">
        <v>40683</v>
      </c>
      <c r="J305" s="1314">
        <v>14.18</v>
      </c>
      <c r="K305" s="1314">
        <f t="shared" si="46"/>
        <v>-2.3415977961432497E-2</v>
      </c>
      <c r="M305" s="1326">
        <v>40683</v>
      </c>
      <c r="N305" s="1314">
        <v>6.39</v>
      </c>
      <c r="O305" s="1314">
        <f t="shared" si="47"/>
        <v>7.8864353312302557E-3</v>
      </c>
      <c r="Q305" s="1326">
        <v>40683</v>
      </c>
      <c r="R305" s="1314">
        <v>13.61</v>
      </c>
      <c r="S305" s="1314">
        <f t="shared" si="48"/>
        <v>-1.3052936910804912E-2</v>
      </c>
      <c r="U305" s="1326">
        <v>40683</v>
      </c>
      <c r="V305" s="1314">
        <v>28.1</v>
      </c>
      <c r="W305" s="1314">
        <f t="shared" si="49"/>
        <v>-5.6617126680820994E-3</v>
      </c>
      <c r="Y305" s="1326">
        <v>40683</v>
      </c>
      <c r="Z305" s="1314">
        <v>16.329999999999998</v>
      </c>
      <c r="AA305" s="1314">
        <f t="shared" si="50"/>
        <v>3.35443037974682E-2</v>
      </c>
      <c r="AC305" s="1326">
        <v>40683</v>
      </c>
      <c r="AD305" s="1314">
        <v>22.08</v>
      </c>
      <c r="AE305" s="1314">
        <f t="shared" si="51"/>
        <v>-5.4794520547945258E-2</v>
      </c>
      <c r="AG305" s="1326">
        <v>40683</v>
      </c>
      <c r="AH305" s="1314">
        <v>9.9600000000000009</v>
      </c>
      <c r="AI305" s="1314">
        <f t="shared" si="52"/>
        <v>5.9574468085106434E-2</v>
      </c>
      <c r="AK305" s="1326">
        <v>40683</v>
      </c>
      <c r="AL305" s="1314">
        <v>-0.71</v>
      </c>
      <c r="AN305" s="1326">
        <v>40683</v>
      </c>
      <c r="AO305" s="1314">
        <v>0</v>
      </c>
      <c r="AQ305" s="1326">
        <v>40683</v>
      </c>
      <c r="AR305" s="1327">
        <v>2.99</v>
      </c>
      <c r="AT305" s="1326">
        <v>40683</v>
      </c>
      <c r="AU305" s="1314">
        <v>797.2</v>
      </c>
      <c r="AV305" s="1314">
        <f t="shared" si="53"/>
        <v>0</v>
      </c>
      <c r="AX305" s="1314">
        <v>4.2976000000000001</v>
      </c>
      <c r="AY305" s="1314">
        <f t="shared" si="54"/>
        <v>1.3011502922873877E-2</v>
      </c>
    </row>
    <row r="306" spans="1:51" x14ac:dyDescent="0.75">
      <c r="A306" s="1326">
        <v>40676</v>
      </c>
      <c r="B306" s="1314">
        <v>800.17</v>
      </c>
      <c r="C306" s="1314">
        <f t="shared" si="55"/>
        <v>3.7255393878573928E-3</v>
      </c>
      <c r="E306" s="1326">
        <v>40676</v>
      </c>
      <c r="F306" s="1314">
        <v>14.4</v>
      </c>
      <c r="G306" s="1314">
        <f t="shared" si="45"/>
        <v>4.1841004184100762E-3</v>
      </c>
      <c r="I306" s="1326">
        <v>40676</v>
      </c>
      <c r="J306" s="1314">
        <v>15.83</v>
      </c>
      <c r="K306" s="1314">
        <f t="shared" si="46"/>
        <v>0.11636107193229904</v>
      </c>
      <c r="M306" s="1326">
        <v>40676</v>
      </c>
      <c r="N306" s="1314">
        <v>6.55</v>
      </c>
      <c r="O306" s="1314">
        <f t="shared" si="47"/>
        <v>2.5039123630672951E-2</v>
      </c>
      <c r="Q306" s="1326">
        <v>40676</v>
      </c>
      <c r="R306" s="1314">
        <v>13.66</v>
      </c>
      <c r="S306" s="1314">
        <f t="shared" si="48"/>
        <v>3.6737692872888107E-3</v>
      </c>
      <c r="U306" s="1326">
        <v>40676</v>
      </c>
      <c r="V306" s="1314">
        <v>28.114999999999998</v>
      </c>
      <c r="W306" s="1314">
        <f t="shared" si="49"/>
        <v>5.3380782918138845E-4</v>
      </c>
      <c r="Y306" s="1326">
        <v>40676</v>
      </c>
      <c r="Z306" s="1314">
        <v>17.5</v>
      </c>
      <c r="AA306" s="1314">
        <f t="shared" si="50"/>
        <v>7.1647274954072374E-2</v>
      </c>
      <c r="AC306" s="1326">
        <v>40676</v>
      </c>
      <c r="AD306" s="1314">
        <v>21.87</v>
      </c>
      <c r="AE306" s="1314">
        <f t="shared" si="51"/>
        <v>-9.5108695652172705E-3</v>
      </c>
      <c r="AG306" s="1326">
        <v>40676</v>
      </c>
      <c r="AH306" s="1314">
        <v>9.92</v>
      </c>
      <c r="AI306" s="1314">
        <f t="shared" si="52"/>
        <v>-4.0160642570282049E-3</v>
      </c>
      <c r="AK306" s="1326">
        <v>40676</v>
      </c>
      <c r="AL306" s="1314">
        <v>0.57999999999999996</v>
      </c>
      <c r="AN306" s="1326">
        <v>40676</v>
      </c>
      <c r="AO306" s="1314">
        <v>-1.46</v>
      </c>
      <c r="AQ306" s="1326">
        <v>40676</v>
      </c>
      <c r="AR306" s="1327">
        <v>3.01</v>
      </c>
      <c r="AT306" s="1326">
        <v>40676</v>
      </c>
      <c r="AU306" s="1314">
        <v>800.17</v>
      </c>
      <c r="AV306" s="1314">
        <f t="shared" si="53"/>
        <v>3.7255393878573928E-3</v>
      </c>
      <c r="AX306" s="1314">
        <v>4.3078000000000003</v>
      </c>
      <c r="AY306" s="1314">
        <f t="shared" si="54"/>
        <v>2.373417721519036E-3</v>
      </c>
    </row>
    <row r="307" spans="1:51" x14ac:dyDescent="0.75">
      <c r="A307" s="1326">
        <v>40669</v>
      </c>
      <c r="B307" s="1314">
        <v>800.91</v>
      </c>
      <c r="C307" s="1314">
        <f t="shared" si="55"/>
        <v>9.2480347926066856E-4</v>
      </c>
      <c r="E307" s="1326">
        <v>40669</v>
      </c>
      <c r="F307" s="1314">
        <v>14.5</v>
      </c>
      <c r="G307" s="1314">
        <f t="shared" si="45"/>
        <v>6.9444444444444198E-3</v>
      </c>
      <c r="I307" s="1326">
        <v>40669</v>
      </c>
      <c r="J307" s="1314">
        <v>18.77</v>
      </c>
      <c r="K307" s="1314">
        <f t="shared" si="46"/>
        <v>0.18572331017056218</v>
      </c>
      <c r="M307" s="1326">
        <v>40669</v>
      </c>
      <c r="N307" s="1314">
        <v>6.29</v>
      </c>
      <c r="O307" s="1314">
        <f t="shared" si="47"/>
        <v>-3.9694656488549585E-2</v>
      </c>
      <c r="Q307" s="1326">
        <v>40669</v>
      </c>
      <c r="R307" s="1314">
        <v>13.6</v>
      </c>
      <c r="S307" s="1314">
        <f t="shared" si="48"/>
        <v>-4.3923865300146778E-3</v>
      </c>
      <c r="U307" s="1326">
        <v>40669</v>
      </c>
      <c r="V307" s="1314">
        <v>27.58</v>
      </c>
      <c r="W307" s="1314">
        <f t="shared" si="49"/>
        <v>-1.9028988084652327E-2</v>
      </c>
      <c r="Y307" s="1326">
        <v>40669</v>
      </c>
      <c r="Z307" s="1314">
        <v>16.82</v>
      </c>
      <c r="AA307" s="1314">
        <f t="shared" si="50"/>
        <v>-3.885714285714284E-2</v>
      </c>
      <c r="AC307" s="1326">
        <v>40669</v>
      </c>
      <c r="AD307" s="1314">
        <v>21.42</v>
      </c>
      <c r="AE307" s="1314">
        <f t="shared" si="51"/>
        <v>-2.0576131687242764E-2</v>
      </c>
      <c r="AG307" s="1326">
        <v>40669</v>
      </c>
      <c r="AH307" s="1314">
        <v>9.68</v>
      </c>
      <c r="AI307" s="1314">
        <f t="shared" si="52"/>
        <v>-2.4193548387096794E-2</v>
      </c>
      <c r="AK307" s="1326">
        <v>40669</v>
      </c>
      <c r="AL307" s="1314">
        <v>-1.89</v>
      </c>
      <c r="AN307" s="1326">
        <v>40669</v>
      </c>
      <c r="AO307" s="1314">
        <v>-0.37</v>
      </c>
      <c r="AQ307" s="1326">
        <v>40669</v>
      </c>
      <c r="AR307" s="1327">
        <v>3.05</v>
      </c>
      <c r="AT307" s="1326">
        <v>40669</v>
      </c>
      <c r="AU307" s="1314">
        <v>800.91</v>
      </c>
      <c r="AV307" s="1314">
        <f t="shared" si="53"/>
        <v>9.2480347926066856E-4</v>
      </c>
      <c r="AX307" s="1314">
        <v>4.2854999999999999</v>
      </c>
      <c r="AY307" s="1314">
        <f t="shared" si="54"/>
        <v>-5.1766562978783669E-3</v>
      </c>
    </row>
    <row r="308" spans="1:51" x14ac:dyDescent="0.75">
      <c r="A308" s="1326">
        <v>40662</v>
      </c>
      <c r="B308" s="1314">
        <v>816.66</v>
      </c>
      <c r="C308" s="1314">
        <f t="shared" si="55"/>
        <v>1.9665130913585797E-2</v>
      </c>
      <c r="E308" s="1326">
        <v>40662</v>
      </c>
      <c r="F308" s="1314">
        <v>15.86</v>
      </c>
      <c r="G308" s="1314">
        <f t="shared" si="45"/>
        <v>9.3793103448275822E-2</v>
      </c>
      <c r="I308" s="1326">
        <v>40662</v>
      </c>
      <c r="J308" s="1314">
        <v>19.899999999999999</v>
      </c>
      <c r="K308" s="1314">
        <f t="shared" si="46"/>
        <v>6.0202450719232768E-2</v>
      </c>
      <c r="M308" s="1326">
        <v>40662</v>
      </c>
      <c r="N308" s="1314">
        <v>6.11</v>
      </c>
      <c r="O308" s="1314">
        <f t="shared" si="47"/>
        <v>-2.8616852146263867E-2</v>
      </c>
      <c r="Q308" s="1326">
        <v>40662</v>
      </c>
      <c r="R308" s="1314">
        <v>14.18</v>
      </c>
      <c r="S308" s="1314">
        <f t="shared" si="48"/>
        <v>4.264705882352942E-2</v>
      </c>
      <c r="U308" s="1326">
        <v>40662</v>
      </c>
      <c r="V308" s="1314">
        <v>28.07</v>
      </c>
      <c r="W308" s="1314">
        <f t="shared" si="49"/>
        <v>1.7766497461929008E-2</v>
      </c>
      <c r="Y308" s="1326">
        <v>40662</v>
      </c>
      <c r="Z308" s="1314">
        <v>19.079999999999998</v>
      </c>
      <c r="AA308" s="1314">
        <f t="shared" si="50"/>
        <v>0.13436385255648026</v>
      </c>
      <c r="AC308" s="1326">
        <v>40662</v>
      </c>
      <c r="AD308" s="1314">
        <v>21.76</v>
      </c>
      <c r="AE308" s="1314">
        <f t="shared" si="51"/>
        <v>1.5873015873015865E-2</v>
      </c>
      <c r="AG308" s="1326">
        <v>40662</v>
      </c>
      <c r="AH308" s="1314">
        <v>10.44</v>
      </c>
      <c r="AI308" s="1314">
        <f t="shared" si="52"/>
        <v>7.851239669421485E-2</v>
      </c>
      <c r="AK308" s="1326">
        <v>40662</v>
      </c>
      <c r="AL308" s="1314">
        <v>0.12</v>
      </c>
      <c r="AN308" s="1326">
        <v>40662</v>
      </c>
      <c r="AO308" s="1314">
        <v>-0.31</v>
      </c>
      <c r="AQ308" s="1326">
        <v>40662</v>
      </c>
      <c r="AR308" s="1327">
        <v>3.1</v>
      </c>
      <c r="AT308" s="1326">
        <v>40662</v>
      </c>
      <c r="AU308" s="1314">
        <v>816.66</v>
      </c>
      <c r="AV308" s="1314">
        <f t="shared" si="53"/>
        <v>1.9665130913585797E-2</v>
      </c>
      <c r="AX308" s="1314">
        <v>4.3967999999999998</v>
      </c>
      <c r="AY308" s="1314">
        <f t="shared" si="54"/>
        <v>2.5971298564928236E-2</v>
      </c>
    </row>
    <row r="309" spans="1:51" x14ac:dyDescent="0.75">
      <c r="A309" s="1326">
        <v>40655</v>
      </c>
      <c r="B309" s="1314">
        <v>800.73</v>
      </c>
      <c r="C309" s="1314">
        <f t="shared" si="55"/>
        <v>-1.9506281683932054E-2</v>
      </c>
      <c r="E309" s="1326">
        <v>40655</v>
      </c>
      <c r="F309" s="1314">
        <v>14.71</v>
      </c>
      <c r="G309" s="1314">
        <f t="shared" si="45"/>
        <v>-7.2509457755359302E-2</v>
      </c>
      <c r="I309" s="1326">
        <v>40655</v>
      </c>
      <c r="J309" s="1314">
        <v>20.61</v>
      </c>
      <c r="K309" s="1314">
        <f t="shared" si="46"/>
        <v>3.5678391959799043E-2</v>
      </c>
      <c r="M309" s="1326">
        <v>40655</v>
      </c>
      <c r="N309" s="1314">
        <v>5.96</v>
      </c>
      <c r="O309" s="1314">
        <f t="shared" si="47"/>
        <v>-2.4549918166939501E-2</v>
      </c>
      <c r="Q309" s="1326">
        <v>40655</v>
      </c>
      <c r="R309" s="1314">
        <v>12.86</v>
      </c>
      <c r="S309" s="1314">
        <f t="shared" si="48"/>
        <v>-9.3088857545839232E-2</v>
      </c>
      <c r="U309" s="1326">
        <v>40655</v>
      </c>
      <c r="V309" s="1314">
        <v>27.13</v>
      </c>
      <c r="W309" s="1314">
        <f t="shared" si="49"/>
        <v>-3.3487709298183156E-2</v>
      </c>
      <c r="Y309" s="1326">
        <v>40655</v>
      </c>
      <c r="Z309" s="1314">
        <v>18.43</v>
      </c>
      <c r="AA309" s="1314">
        <f t="shared" si="50"/>
        <v>-3.4067085953878334E-2</v>
      </c>
      <c r="AC309" s="1326">
        <v>40655</v>
      </c>
      <c r="AD309" s="1314">
        <v>20.93</v>
      </c>
      <c r="AE309" s="1314">
        <f t="shared" si="51"/>
        <v>-3.8143382352941256E-2</v>
      </c>
      <c r="AG309" s="1326">
        <v>40655</v>
      </c>
      <c r="AH309" s="1314">
        <v>9.68</v>
      </c>
      <c r="AI309" s="1314">
        <f t="shared" si="52"/>
        <v>-7.2796934865900373E-2</v>
      </c>
      <c r="AK309" s="1326">
        <v>40655</v>
      </c>
      <c r="AL309" s="1314">
        <v>0.17</v>
      </c>
      <c r="AN309" s="1326">
        <v>40655</v>
      </c>
      <c r="AO309" s="1314">
        <v>-1.19</v>
      </c>
      <c r="AQ309" s="1326">
        <v>40655</v>
      </c>
      <c r="AR309" s="1327">
        <v>3.17</v>
      </c>
      <c r="AT309" s="1326">
        <v>40655</v>
      </c>
      <c r="AU309" s="1314">
        <v>800.73</v>
      </c>
      <c r="AV309" s="1314">
        <f t="shared" si="53"/>
        <v>-1.9506281683932054E-2</v>
      </c>
      <c r="AX309" s="1314">
        <v>4.4645999999999999</v>
      </c>
      <c r="AY309" s="1314">
        <f t="shared" si="54"/>
        <v>1.5420305676855914E-2</v>
      </c>
    </row>
    <row r="310" spans="1:51" x14ac:dyDescent="0.75">
      <c r="A310" s="1326">
        <v>40648</v>
      </c>
      <c r="B310" s="1314">
        <v>789.9</v>
      </c>
      <c r="C310" s="1314">
        <f t="shared" si="55"/>
        <v>-1.3525158293057636E-2</v>
      </c>
      <c r="E310" s="1326">
        <v>40648</v>
      </c>
      <c r="F310" s="1314">
        <v>12.51</v>
      </c>
      <c r="G310" s="1314">
        <f t="shared" si="45"/>
        <v>-0.14955812372535696</v>
      </c>
      <c r="I310" s="1326">
        <v>40648</v>
      </c>
      <c r="J310" s="1314">
        <v>19.96</v>
      </c>
      <c r="K310" s="1314">
        <f t="shared" si="46"/>
        <v>-3.1538088306647193E-2</v>
      </c>
      <c r="M310" s="1326">
        <v>40648</v>
      </c>
      <c r="N310" s="1314">
        <v>5.89</v>
      </c>
      <c r="O310" s="1314">
        <f t="shared" si="47"/>
        <v>-1.1744966442953067E-2</v>
      </c>
      <c r="Q310" s="1326">
        <v>40648</v>
      </c>
      <c r="R310" s="1314">
        <v>12.91</v>
      </c>
      <c r="S310" s="1314">
        <f t="shared" si="48"/>
        <v>3.8880248833593088E-3</v>
      </c>
      <c r="U310" s="1326">
        <v>40648</v>
      </c>
      <c r="V310" s="1314">
        <v>25.6</v>
      </c>
      <c r="W310" s="1314">
        <f t="shared" si="49"/>
        <v>-5.6395134537412371E-2</v>
      </c>
      <c r="Y310" s="1326">
        <v>40648</v>
      </c>
      <c r="Z310" s="1314">
        <v>17.690000000000001</v>
      </c>
      <c r="AA310" s="1314">
        <f t="shared" si="50"/>
        <v>-4.015192620727067E-2</v>
      </c>
      <c r="AC310" s="1326">
        <v>40648</v>
      </c>
      <c r="AD310" s="1314">
        <v>18.37</v>
      </c>
      <c r="AE310" s="1314">
        <f t="shared" si="51"/>
        <v>-0.12231247013855703</v>
      </c>
      <c r="AG310" s="1326">
        <v>40648</v>
      </c>
      <c r="AH310" s="1314">
        <v>8.9600000000000009</v>
      </c>
      <c r="AI310" s="1314">
        <f t="shared" si="52"/>
        <v>-7.4380165289256089E-2</v>
      </c>
      <c r="AK310" s="1326">
        <v>40648</v>
      </c>
      <c r="AL310" s="1314">
        <v>-0.16</v>
      </c>
      <c r="AN310" s="1326">
        <v>40648</v>
      </c>
      <c r="AO310" s="1314">
        <v>-1.19</v>
      </c>
      <c r="AQ310" s="1326">
        <v>40648</v>
      </c>
      <c r="AR310" s="1327">
        <v>3.26</v>
      </c>
      <c r="AT310" s="1326">
        <v>40648</v>
      </c>
      <c r="AU310" s="1314">
        <v>789.9</v>
      </c>
      <c r="AV310" s="1314">
        <f t="shared" si="53"/>
        <v>-1.3525158293057636E-2</v>
      </c>
      <c r="AX310" s="1314">
        <v>4.4683999999999999</v>
      </c>
      <c r="AY310" s="1314">
        <f t="shared" si="54"/>
        <v>8.5114007973839212E-4</v>
      </c>
    </row>
    <row r="311" spans="1:51" x14ac:dyDescent="0.75">
      <c r="A311" s="1326">
        <v>40641</v>
      </c>
      <c r="B311" s="1314">
        <v>794.72</v>
      </c>
      <c r="C311" s="1314">
        <f t="shared" si="55"/>
        <v>6.1020382326877455E-3</v>
      </c>
      <c r="E311" s="1326">
        <v>40641</v>
      </c>
      <c r="F311" s="1314">
        <v>12.87</v>
      </c>
      <c r="G311" s="1314">
        <f t="shared" si="45"/>
        <v>2.8776978417266143E-2</v>
      </c>
      <c r="I311" s="1326">
        <v>40641</v>
      </c>
      <c r="J311" s="1314">
        <v>19.350000000000001</v>
      </c>
      <c r="K311" s="1314">
        <f t="shared" si="46"/>
        <v>-3.056112224448895E-2</v>
      </c>
      <c r="M311" s="1326">
        <v>40641</v>
      </c>
      <c r="N311" s="1314">
        <v>6.19</v>
      </c>
      <c r="O311" s="1314">
        <f t="shared" si="47"/>
        <v>5.0933786078098599E-2</v>
      </c>
      <c r="Q311" s="1326">
        <v>40641</v>
      </c>
      <c r="R311" s="1314">
        <v>12.78</v>
      </c>
      <c r="S311" s="1314">
        <f t="shared" si="48"/>
        <v>-1.0069713400464817E-2</v>
      </c>
      <c r="U311" s="1326">
        <v>40641</v>
      </c>
      <c r="V311" s="1314">
        <v>26.03</v>
      </c>
      <c r="W311" s="1314">
        <f t="shared" si="49"/>
        <v>1.6796874999999989E-2</v>
      </c>
      <c r="Y311" s="1326">
        <v>40641</v>
      </c>
      <c r="Z311" s="1314">
        <v>17.91</v>
      </c>
      <c r="AA311" s="1314">
        <f t="shared" si="50"/>
        <v>1.2436404748445384E-2</v>
      </c>
      <c r="AC311" s="1326">
        <v>40641</v>
      </c>
      <c r="AD311" s="1314">
        <v>19.100000000000001</v>
      </c>
      <c r="AE311" s="1314">
        <f t="shared" si="51"/>
        <v>3.9738704409363113E-2</v>
      </c>
      <c r="AG311" s="1326">
        <v>40641</v>
      </c>
      <c r="AH311" s="1314">
        <v>9.56</v>
      </c>
      <c r="AI311" s="1314">
        <f t="shared" si="52"/>
        <v>6.6964285714285671E-2</v>
      </c>
      <c r="AK311" s="1326">
        <v>40641</v>
      </c>
      <c r="AL311" s="1314">
        <v>-0.27</v>
      </c>
      <c r="AN311" s="1326">
        <v>40641</v>
      </c>
      <c r="AO311" s="1314">
        <v>-0.16</v>
      </c>
      <c r="AQ311" s="1326">
        <v>40641</v>
      </c>
      <c r="AR311" s="1327">
        <v>3.33</v>
      </c>
      <c r="AT311" s="1326">
        <v>40641</v>
      </c>
      <c r="AU311" s="1314">
        <v>794.72</v>
      </c>
      <c r="AV311" s="1314">
        <f t="shared" si="53"/>
        <v>6.1020382326877455E-3</v>
      </c>
      <c r="AX311" s="1314">
        <v>4.6417000000000002</v>
      </c>
      <c r="AY311" s="1314">
        <f t="shared" si="54"/>
        <v>3.878345716587598E-2</v>
      </c>
    </row>
    <row r="312" spans="1:51" x14ac:dyDescent="0.75">
      <c r="A312" s="1326">
        <v>40634</v>
      </c>
      <c r="B312" s="1314">
        <v>797.92</v>
      </c>
      <c r="C312" s="1314">
        <f t="shared" si="55"/>
        <v>4.0265753976242349E-3</v>
      </c>
      <c r="E312" s="1326">
        <v>40634</v>
      </c>
      <c r="F312" s="1314">
        <v>13.1</v>
      </c>
      <c r="G312" s="1314">
        <f t="shared" si="45"/>
        <v>1.7871017871017907E-2</v>
      </c>
      <c r="I312" s="1326">
        <v>40634</v>
      </c>
      <c r="J312" s="1314">
        <v>19.66</v>
      </c>
      <c r="K312" s="1314">
        <f t="shared" si="46"/>
        <v>1.6020671834625255E-2</v>
      </c>
      <c r="M312" s="1326">
        <v>40634</v>
      </c>
      <c r="N312" s="1314">
        <v>5.96</v>
      </c>
      <c r="O312" s="1314">
        <f t="shared" si="47"/>
        <v>-3.7156704361874057E-2</v>
      </c>
      <c r="Q312" s="1326">
        <v>40634</v>
      </c>
      <c r="R312" s="1314">
        <v>12.62</v>
      </c>
      <c r="S312" s="1314">
        <f t="shared" si="48"/>
        <v>-1.2519561815336476E-2</v>
      </c>
      <c r="U312" s="1326">
        <v>40634</v>
      </c>
      <c r="V312" s="1314">
        <v>24.71</v>
      </c>
      <c r="W312" s="1314">
        <f t="shared" si="49"/>
        <v>-5.0710718401844032E-2</v>
      </c>
      <c r="Y312" s="1326">
        <v>40634</v>
      </c>
      <c r="Z312" s="1314">
        <v>18.079999999999998</v>
      </c>
      <c r="AA312" s="1314">
        <f t="shared" si="50"/>
        <v>9.4919039642656702E-3</v>
      </c>
      <c r="AC312" s="1326">
        <v>40634</v>
      </c>
      <c r="AD312" s="1314">
        <v>19.13</v>
      </c>
      <c r="AE312" s="1314">
        <f t="shared" si="51"/>
        <v>1.5706806282721247E-3</v>
      </c>
      <c r="AG312" s="1326">
        <v>40634</v>
      </c>
      <c r="AH312" s="1314">
        <v>9.6</v>
      </c>
      <c r="AI312" s="1314">
        <f t="shared" si="52"/>
        <v>4.1841004184099521E-3</v>
      </c>
      <c r="AK312" s="1326">
        <v>40634</v>
      </c>
      <c r="AL312" s="1314">
        <v>1.19</v>
      </c>
      <c r="AN312" s="1326">
        <v>40634</v>
      </c>
      <c r="AO312" s="1314">
        <v>-0.4</v>
      </c>
      <c r="AQ312" s="1326">
        <v>40634</v>
      </c>
      <c r="AR312" s="1327">
        <v>3.3</v>
      </c>
      <c r="AT312" s="1326">
        <v>40634</v>
      </c>
      <c r="AU312" s="1314">
        <v>797.92</v>
      </c>
      <c r="AV312" s="1314">
        <f t="shared" si="53"/>
        <v>4.0265753976242349E-3</v>
      </c>
      <c r="AX312" s="1314">
        <v>4.4852999999999996</v>
      </c>
      <c r="AY312" s="1314">
        <f t="shared" si="54"/>
        <v>-3.3694551565159429E-2</v>
      </c>
    </row>
    <row r="313" spans="1:51" x14ac:dyDescent="0.75">
      <c r="A313" s="1326">
        <v>40627</v>
      </c>
      <c r="B313" s="1314">
        <v>784.92</v>
      </c>
      <c r="C313" s="1314">
        <f t="shared" si="55"/>
        <v>-1.6292360136354524E-2</v>
      </c>
      <c r="E313" s="1326">
        <v>40627</v>
      </c>
      <c r="F313" s="1314">
        <v>12.68</v>
      </c>
      <c r="G313" s="1314">
        <f t="shared" si="45"/>
        <v>-3.2061068702290071E-2</v>
      </c>
      <c r="I313" s="1326">
        <v>40627</v>
      </c>
      <c r="J313" s="1314">
        <v>19.690000000000001</v>
      </c>
      <c r="K313" s="1314">
        <f t="shared" si="46"/>
        <v>1.5259409969481759E-3</v>
      </c>
      <c r="M313" s="1326">
        <v>40627</v>
      </c>
      <c r="N313" s="1314">
        <v>6.08</v>
      </c>
      <c r="O313" s="1314">
        <f t="shared" si="47"/>
        <v>2.0134228187919483E-2</v>
      </c>
      <c r="Q313" s="1326">
        <v>40627</v>
      </c>
      <c r="R313" s="1314">
        <v>12.97</v>
      </c>
      <c r="S313" s="1314">
        <f t="shared" si="48"/>
        <v>2.7733755942947816E-2</v>
      </c>
      <c r="U313" s="1326">
        <v>40627</v>
      </c>
      <c r="V313" s="1314">
        <v>24.39</v>
      </c>
      <c r="W313" s="1314">
        <f t="shared" si="49"/>
        <v>-1.2950222581950638E-2</v>
      </c>
      <c r="Y313" s="1326">
        <v>40627</v>
      </c>
      <c r="Z313" s="1314">
        <v>17.79</v>
      </c>
      <c r="AA313" s="1314">
        <f t="shared" si="50"/>
        <v>-1.6039823008849513E-2</v>
      </c>
      <c r="AC313" s="1326">
        <v>40627</v>
      </c>
      <c r="AD313" s="1314">
        <v>19.95</v>
      </c>
      <c r="AE313" s="1314">
        <f t="shared" si="51"/>
        <v>4.2864610559330912E-2</v>
      </c>
      <c r="AG313" s="1326">
        <v>40627</v>
      </c>
      <c r="AH313" s="1314">
        <v>9.08</v>
      </c>
      <c r="AI313" s="1314">
        <f t="shared" si="52"/>
        <v>-5.4166666666666627E-2</v>
      </c>
      <c r="AK313" s="1326">
        <v>40627</v>
      </c>
      <c r="AL313" s="1314">
        <v>1.39</v>
      </c>
      <c r="AN313" s="1326">
        <v>40627</v>
      </c>
      <c r="AO313" s="1314">
        <v>-1.1200000000000001</v>
      </c>
      <c r="AQ313" s="1326">
        <v>40627</v>
      </c>
      <c r="AR313" s="1327">
        <v>3.2</v>
      </c>
      <c r="AT313" s="1326">
        <v>40627</v>
      </c>
      <c r="AU313" s="1314">
        <v>784.92</v>
      </c>
      <c r="AV313" s="1314">
        <f t="shared" si="53"/>
        <v>-1.6292360136354524E-2</v>
      </c>
      <c r="AX313" s="1314">
        <v>4.5002000000000004</v>
      </c>
      <c r="AY313" s="1314">
        <f t="shared" si="54"/>
        <v>3.3219628564423345E-3</v>
      </c>
    </row>
    <row r="314" spans="1:51" x14ac:dyDescent="0.75">
      <c r="A314" s="1326">
        <v>40620</v>
      </c>
      <c r="B314" s="1314">
        <v>763.22</v>
      </c>
      <c r="C314" s="1314">
        <f t="shared" si="55"/>
        <v>-2.7646129541864052E-2</v>
      </c>
      <c r="E314" s="1326">
        <v>40620</v>
      </c>
      <c r="F314" s="1314">
        <v>11.89</v>
      </c>
      <c r="G314" s="1314">
        <f t="shared" si="45"/>
        <v>-6.2302839116719175E-2</v>
      </c>
      <c r="I314" s="1326">
        <v>40620</v>
      </c>
      <c r="J314" s="1314">
        <v>19.059999999999999</v>
      </c>
      <c r="K314" s="1314">
        <f t="shared" si="46"/>
        <v>-3.1995937023870109E-2</v>
      </c>
      <c r="M314" s="1326">
        <v>40620</v>
      </c>
      <c r="N314" s="1314">
        <v>5.86</v>
      </c>
      <c r="O314" s="1314">
        <f t="shared" si="47"/>
        <v>-3.6184210526315749E-2</v>
      </c>
      <c r="Q314" s="1326">
        <v>40620</v>
      </c>
      <c r="R314" s="1314">
        <v>13.17</v>
      </c>
      <c r="S314" s="1314">
        <f t="shared" si="48"/>
        <v>1.5420200462605959E-2</v>
      </c>
      <c r="U314" s="1326">
        <v>40620</v>
      </c>
      <c r="V314" s="1314">
        <v>23.25</v>
      </c>
      <c r="W314" s="1314">
        <f t="shared" si="49"/>
        <v>-4.6740467404674066E-2</v>
      </c>
      <c r="Y314" s="1326">
        <v>40620</v>
      </c>
      <c r="Z314" s="1314">
        <v>16.72</v>
      </c>
      <c r="AA314" s="1314">
        <f t="shared" si="50"/>
        <v>-6.0146149522203506E-2</v>
      </c>
      <c r="AC314" s="1326">
        <v>40620</v>
      </c>
      <c r="AD314" s="1314">
        <v>18.829999999999998</v>
      </c>
      <c r="AE314" s="1314">
        <f t="shared" si="51"/>
        <v>-5.6140350877193032E-2</v>
      </c>
      <c r="AG314" s="1326">
        <v>40620</v>
      </c>
      <c r="AH314" s="1314">
        <v>8.76</v>
      </c>
      <c r="AI314" s="1314">
        <f t="shared" si="52"/>
        <v>-3.5242290748898709E-2</v>
      </c>
      <c r="AK314" s="1326">
        <v>40620</v>
      </c>
      <c r="AL314" s="1314">
        <v>0.79</v>
      </c>
      <c r="AN314" s="1326">
        <v>40620</v>
      </c>
      <c r="AO314" s="1314">
        <v>0.11</v>
      </c>
      <c r="AQ314" s="1326">
        <v>40620</v>
      </c>
      <c r="AR314" s="1327">
        <v>3.12</v>
      </c>
      <c r="AT314" s="1326">
        <v>40620</v>
      </c>
      <c r="AU314" s="1314">
        <v>763.22</v>
      </c>
      <c r="AV314" s="1314">
        <f t="shared" si="53"/>
        <v>-2.7646129541864052E-2</v>
      </c>
      <c r="AX314" s="1314">
        <v>4.4165999999999999</v>
      </c>
      <c r="AY314" s="1314">
        <f t="shared" si="54"/>
        <v>-1.8576952135460768E-2</v>
      </c>
    </row>
    <row r="315" spans="1:51" x14ac:dyDescent="0.75">
      <c r="A315" s="1326">
        <v>40613</v>
      </c>
      <c r="B315" s="1314">
        <v>777.04</v>
      </c>
      <c r="C315" s="1314">
        <f t="shared" si="55"/>
        <v>1.8107491942034978E-2</v>
      </c>
      <c r="E315" s="1326">
        <v>40613</v>
      </c>
      <c r="F315" s="1314">
        <v>12.6</v>
      </c>
      <c r="G315" s="1314">
        <f t="shared" si="45"/>
        <v>5.9714045416316149E-2</v>
      </c>
      <c r="I315" s="1326">
        <v>40613</v>
      </c>
      <c r="J315" s="1314">
        <v>19.309999999999999</v>
      </c>
      <c r="K315" s="1314">
        <f t="shared" si="46"/>
        <v>1.311647429171039E-2</v>
      </c>
      <c r="M315" s="1326">
        <v>40613</v>
      </c>
      <c r="N315" s="1314">
        <v>6.09</v>
      </c>
      <c r="O315" s="1314">
        <f t="shared" si="47"/>
        <v>3.9249146757679099E-2</v>
      </c>
      <c r="Q315" s="1326">
        <v>40613</v>
      </c>
      <c r="R315" s="1314">
        <v>12.59</v>
      </c>
      <c r="S315" s="1314">
        <f t="shared" si="48"/>
        <v>-4.4039483675018989E-2</v>
      </c>
      <c r="U315" s="1326">
        <v>40613</v>
      </c>
      <c r="V315" s="1314">
        <v>24.8</v>
      </c>
      <c r="W315" s="1314">
        <f t="shared" si="49"/>
        <v>6.6666666666666693E-2</v>
      </c>
      <c r="Y315" s="1326">
        <v>40613</v>
      </c>
      <c r="Z315" s="1314">
        <v>16.96</v>
      </c>
      <c r="AA315" s="1314">
        <f t="shared" si="50"/>
        <v>1.4354066985646053E-2</v>
      </c>
      <c r="AC315" s="1326">
        <v>40613</v>
      </c>
      <c r="AD315" s="1314">
        <v>19.22</v>
      </c>
      <c r="AE315" s="1314">
        <f t="shared" si="51"/>
        <v>2.0711630377057918E-2</v>
      </c>
      <c r="AG315" s="1326">
        <v>40613</v>
      </c>
      <c r="AH315" s="1314">
        <v>9.68</v>
      </c>
      <c r="AI315" s="1314">
        <f t="shared" si="52"/>
        <v>0.1050228310502283</v>
      </c>
      <c r="AK315" s="1326">
        <v>40613</v>
      </c>
      <c r="AL315" s="1314">
        <v>-1.55</v>
      </c>
      <c r="AN315" s="1326">
        <v>40613</v>
      </c>
      <c r="AO315" s="1314">
        <v>0.95</v>
      </c>
      <c r="AQ315" s="1326">
        <v>40613</v>
      </c>
      <c r="AR315" s="1327">
        <v>3.22</v>
      </c>
      <c r="AT315" s="1326">
        <v>40613</v>
      </c>
      <c r="AU315" s="1314">
        <v>777.04</v>
      </c>
      <c r="AV315" s="1314">
        <f t="shared" si="53"/>
        <v>1.8107491942034978E-2</v>
      </c>
      <c r="AX315" s="1314">
        <v>4.548</v>
      </c>
      <c r="AY315" s="1314">
        <f t="shared" si="54"/>
        <v>2.9751392473848705E-2</v>
      </c>
    </row>
    <row r="316" spans="1:51" x14ac:dyDescent="0.75">
      <c r="A316" s="1326">
        <v>40606</v>
      </c>
      <c r="B316" s="1314">
        <v>788.61</v>
      </c>
      <c r="C316" s="1314">
        <f t="shared" si="55"/>
        <v>1.4889838360959603E-2</v>
      </c>
      <c r="E316" s="1326">
        <v>40606</v>
      </c>
      <c r="F316" s="1314">
        <v>13.34</v>
      </c>
      <c r="G316" s="1314">
        <f t="shared" si="45"/>
        <v>5.873015873015875E-2</v>
      </c>
      <c r="I316" s="1326">
        <v>40606</v>
      </c>
      <c r="J316" s="1314">
        <v>20.32</v>
      </c>
      <c r="K316" s="1314">
        <f t="shared" si="46"/>
        <v>5.2304505437597182E-2</v>
      </c>
      <c r="M316" s="1326">
        <v>40606</v>
      </c>
      <c r="N316" s="1314">
        <v>6.43</v>
      </c>
      <c r="O316" s="1314">
        <f t="shared" si="47"/>
        <v>5.5829228243021327E-2</v>
      </c>
      <c r="Q316" s="1326">
        <v>40606</v>
      </c>
      <c r="R316" s="1314">
        <v>12.95</v>
      </c>
      <c r="S316" s="1314">
        <f t="shared" si="48"/>
        <v>2.8594122319300988E-2</v>
      </c>
      <c r="U316" s="1326">
        <v>40606</v>
      </c>
      <c r="V316" s="1314">
        <v>24.16</v>
      </c>
      <c r="W316" s="1314">
        <f t="shared" si="49"/>
        <v>-2.5806451612903247E-2</v>
      </c>
      <c r="Y316" s="1326">
        <v>40606</v>
      </c>
      <c r="Z316" s="1314">
        <v>18.91</v>
      </c>
      <c r="AA316" s="1314">
        <f t="shared" si="50"/>
        <v>0.11497641509433958</v>
      </c>
      <c r="AC316" s="1326">
        <v>40606</v>
      </c>
      <c r="AD316" s="1314">
        <v>20.91</v>
      </c>
      <c r="AE316" s="1314">
        <f t="shared" si="51"/>
        <v>8.7929240374609849E-2</v>
      </c>
      <c r="AG316" s="1326">
        <v>40606</v>
      </c>
      <c r="AH316" s="1314">
        <v>12.12</v>
      </c>
      <c r="AI316" s="1314">
        <f t="shared" si="52"/>
        <v>0.25206611570247928</v>
      </c>
      <c r="AK316" s="1326">
        <v>40606</v>
      </c>
      <c r="AL316" s="1314">
        <v>0.3</v>
      </c>
      <c r="AN316" s="1326">
        <v>40606</v>
      </c>
      <c r="AO316" s="1314">
        <v>-0.61</v>
      </c>
      <c r="AQ316" s="1326">
        <v>40606</v>
      </c>
      <c r="AR316" s="1327">
        <v>3.25</v>
      </c>
      <c r="AT316" s="1326">
        <v>40606</v>
      </c>
      <c r="AU316" s="1314">
        <v>788.61</v>
      </c>
      <c r="AV316" s="1314">
        <f t="shared" si="53"/>
        <v>1.4889838360959603E-2</v>
      </c>
      <c r="AX316" s="1314">
        <v>4.5963000000000003</v>
      </c>
      <c r="AY316" s="1314">
        <f t="shared" si="54"/>
        <v>1.06200527704486E-2</v>
      </c>
    </row>
    <row r="317" spans="1:51" x14ac:dyDescent="0.75">
      <c r="A317" s="1326">
        <v>40599</v>
      </c>
      <c r="B317" s="1314">
        <v>787.58</v>
      </c>
      <c r="C317" s="1314">
        <f t="shared" si="55"/>
        <v>-1.3060955351821212E-3</v>
      </c>
      <c r="E317" s="1326">
        <v>40599</v>
      </c>
      <c r="F317" s="1314">
        <v>12.15</v>
      </c>
      <c r="G317" s="1314">
        <f t="shared" si="45"/>
        <v>-8.9205397301349285E-2</v>
      </c>
      <c r="I317" s="1326">
        <v>40599</v>
      </c>
      <c r="J317" s="1314">
        <v>21.09</v>
      </c>
      <c r="K317" s="1314">
        <f t="shared" si="46"/>
        <v>3.7893700787401556E-2</v>
      </c>
      <c r="M317" s="1326">
        <v>40599</v>
      </c>
      <c r="N317" s="1314">
        <v>6.58</v>
      </c>
      <c r="O317" s="1314">
        <f t="shared" si="47"/>
        <v>2.3328149300155577E-2</v>
      </c>
      <c r="Q317" s="1326">
        <v>40599</v>
      </c>
      <c r="R317" s="1314">
        <v>13.35</v>
      </c>
      <c r="S317" s="1314">
        <f t="shared" si="48"/>
        <v>3.0888030888030917E-2</v>
      </c>
      <c r="U317" s="1326">
        <v>40599</v>
      </c>
      <c r="V317" s="1314">
        <v>23.79</v>
      </c>
      <c r="W317" s="1314">
        <f t="shared" si="49"/>
        <v>-1.5314569536423883E-2</v>
      </c>
      <c r="Y317" s="1326">
        <v>40599</v>
      </c>
      <c r="Z317" s="1314">
        <v>17.809999999999999</v>
      </c>
      <c r="AA317" s="1314">
        <f t="shared" si="50"/>
        <v>-5.8170280274986857E-2</v>
      </c>
      <c r="AC317" s="1326">
        <v>40599</v>
      </c>
      <c r="AD317" s="1314">
        <v>21.83</v>
      </c>
      <c r="AE317" s="1314">
        <f t="shared" si="51"/>
        <v>4.3998087039693837E-2</v>
      </c>
      <c r="AG317" s="1326">
        <v>40599</v>
      </c>
      <c r="AH317" s="1314">
        <v>10.48</v>
      </c>
      <c r="AI317" s="1314">
        <f t="shared" si="52"/>
        <v>-0.13531353135313523</v>
      </c>
      <c r="AK317" s="1326">
        <v>40599</v>
      </c>
      <c r="AL317" s="1314">
        <v>0.01</v>
      </c>
      <c r="AN317" s="1326">
        <v>40599</v>
      </c>
      <c r="AO317" s="1314">
        <v>-7.0000000000000007E-2</v>
      </c>
      <c r="AQ317" s="1326">
        <v>40599</v>
      </c>
      <c r="AR317" s="1327">
        <v>3.24</v>
      </c>
      <c r="AT317" s="1326">
        <v>40599</v>
      </c>
      <c r="AU317" s="1314">
        <v>787.58</v>
      </c>
      <c r="AV317" s="1314">
        <f t="shared" si="53"/>
        <v>-1.3060955351821212E-3</v>
      </c>
      <c r="AX317" s="1314">
        <v>4.4960000000000004</v>
      </c>
      <c r="AY317" s="1314">
        <f t="shared" si="54"/>
        <v>-2.1821900224093256E-2</v>
      </c>
    </row>
    <row r="318" spans="1:51" x14ac:dyDescent="0.75">
      <c r="A318" s="1326">
        <v>40592</v>
      </c>
      <c r="B318" s="1314">
        <v>801.29</v>
      </c>
      <c r="C318" s="1314">
        <f t="shared" si="55"/>
        <v>1.7407755402625666E-2</v>
      </c>
      <c r="E318" s="1326">
        <v>40592</v>
      </c>
      <c r="F318" s="1314">
        <v>12.12</v>
      </c>
      <c r="G318" s="1314">
        <f t="shared" si="45"/>
        <v>-2.4691358024692294E-3</v>
      </c>
      <c r="I318" s="1326">
        <v>40592</v>
      </c>
      <c r="J318" s="1314">
        <v>21.695</v>
      </c>
      <c r="K318" s="1314">
        <f t="shared" si="46"/>
        <v>2.8686581318160286E-2</v>
      </c>
      <c r="M318" s="1326">
        <v>40592</v>
      </c>
      <c r="N318" s="1314">
        <v>6.33</v>
      </c>
      <c r="O318" s="1314">
        <f t="shared" si="47"/>
        <v>-3.7993920972644375E-2</v>
      </c>
      <c r="Q318" s="1326">
        <v>40592</v>
      </c>
      <c r="R318" s="1314">
        <v>13.22</v>
      </c>
      <c r="S318" s="1314">
        <f t="shared" si="48"/>
        <v>-9.7378277153557305E-3</v>
      </c>
      <c r="U318" s="1326">
        <v>40592</v>
      </c>
      <c r="V318" s="1314">
        <v>24.35</v>
      </c>
      <c r="W318" s="1314">
        <f t="shared" si="49"/>
        <v>2.3539302227826915E-2</v>
      </c>
      <c r="Y318" s="1326">
        <v>40592</v>
      </c>
      <c r="Z318" s="1314">
        <v>18.43</v>
      </c>
      <c r="AA318" s="1314">
        <f t="shared" si="50"/>
        <v>3.4811903425042166E-2</v>
      </c>
      <c r="AC318" s="1326">
        <v>40592</v>
      </c>
      <c r="AD318" s="1314">
        <v>22.03</v>
      </c>
      <c r="AE318" s="1314">
        <f t="shared" si="51"/>
        <v>9.1617040769584445E-3</v>
      </c>
      <c r="AG318" s="1326">
        <v>40592</v>
      </c>
      <c r="AH318" s="1314">
        <v>9.6</v>
      </c>
      <c r="AI318" s="1314">
        <f t="shared" si="52"/>
        <v>-8.3969465648855032E-2</v>
      </c>
      <c r="AK318" s="1326">
        <v>40592</v>
      </c>
      <c r="AL318" s="1314">
        <v>0.41</v>
      </c>
      <c r="AN318" s="1326">
        <v>40592</v>
      </c>
      <c r="AO318" s="1314">
        <v>0.57999999999999996</v>
      </c>
      <c r="AQ318" s="1326">
        <v>40592</v>
      </c>
      <c r="AR318" s="1327">
        <v>3.34</v>
      </c>
      <c r="AT318" s="1326">
        <v>40592</v>
      </c>
      <c r="AU318" s="1314">
        <v>801.29</v>
      </c>
      <c r="AV318" s="1314">
        <f t="shared" si="53"/>
        <v>1.7407755402625666E-2</v>
      </c>
      <c r="AX318" s="1314">
        <v>4.6836000000000002</v>
      </c>
      <c r="AY318" s="1314">
        <f t="shared" si="54"/>
        <v>4.1725978647686776E-2</v>
      </c>
    </row>
    <row r="319" spans="1:51" x14ac:dyDescent="0.75">
      <c r="A319" s="1326">
        <v>40585</v>
      </c>
      <c r="B319" s="1314">
        <v>792.65</v>
      </c>
      <c r="C319" s="1314">
        <f t="shared" si="55"/>
        <v>-1.0782613036478662E-2</v>
      </c>
      <c r="E319" s="1326">
        <v>40585</v>
      </c>
      <c r="F319" s="1314">
        <v>11.44</v>
      </c>
      <c r="G319" s="1314">
        <f t="shared" si="45"/>
        <v>-5.6105610561056084E-2</v>
      </c>
      <c r="I319" s="1326">
        <v>40585</v>
      </c>
      <c r="J319" s="1314">
        <v>21.21</v>
      </c>
      <c r="K319" s="1314">
        <f t="shared" si="46"/>
        <v>-2.2355381424291283E-2</v>
      </c>
      <c r="M319" s="1326">
        <v>40585</v>
      </c>
      <c r="N319" s="1314">
        <v>6.41</v>
      </c>
      <c r="O319" s="1314">
        <f t="shared" si="47"/>
        <v>1.2638230647709331E-2</v>
      </c>
      <c r="Q319" s="1326">
        <v>40585</v>
      </c>
      <c r="R319" s="1314">
        <v>13.86</v>
      </c>
      <c r="S319" s="1314">
        <f t="shared" si="48"/>
        <v>4.8411497730710948E-2</v>
      </c>
      <c r="U319" s="1326">
        <v>40585</v>
      </c>
      <c r="V319" s="1314">
        <v>22.97</v>
      </c>
      <c r="W319" s="1314">
        <f t="shared" si="49"/>
        <v>-5.6673511293634599E-2</v>
      </c>
      <c r="Y319" s="1326">
        <v>40585</v>
      </c>
      <c r="Z319" s="1314">
        <v>17.829999999999998</v>
      </c>
      <c r="AA319" s="1314">
        <f t="shared" si="50"/>
        <v>-3.2555615843733121E-2</v>
      </c>
      <c r="AC319" s="1326">
        <v>40585</v>
      </c>
      <c r="AD319" s="1314">
        <v>23.56</v>
      </c>
      <c r="AE319" s="1314">
        <f t="shared" si="51"/>
        <v>6.945074897866535E-2</v>
      </c>
      <c r="AG319" s="1326">
        <v>40585</v>
      </c>
      <c r="AH319" s="1314">
        <v>9.1999999999999993</v>
      </c>
      <c r="AI319" s="1314">
        <f t="shared" si="52"/>
        <v>-4.1666666666666706E-2</v>
      </c>
      <c r="AK319" s="1326">
        <v>40585</v>
      </c>
      <c r="AL319" s="1314">
        <v>1.03</v>
      </c>
      <c r="AN319" s="1326">
        <v>40585</v>
      </c>
      <c r="AO319" s="1314">
        <v>0.7</v>
      </c>
      <c r="AQ319" s="1326">
        <v>40585</v>
      </c>
      <c r="AR319" s="1327">
        <v>3.4</v>
      </c>
      <c r="AT319" s="1326">
        <v>40585</v>
      </c>
      <c r="AU319" s="1314">
        <v>792.65</v>
      </c>
      <c r="AV319" s="1314">
        <f t="shared" si="53"/>
        <v>-1.0782613036478662E-2</v>
      </c>
      <c r="AX319" s="1314">
        <v>4.6875999999999998</v>
      </c>
      <c r="AY319" s="1314">
        <f t="shared" si="54"/>
        <v>8.5404389785625567E-4</v>
      </c>
    </row>
    <row r="320" spans="1:51" x14ac:dyDescent="0.75">
      <c r="A320" s="1326">
        <v>40578</v>
      </c>
      <c r="B320" s="1314">
        <v>780.25</v>
      </c>
      <c r="C320" s="1314">
        <f t="shared" si="55"/>
        <v>-1.5643726739418377E-2</v>
      </c>
      <c r="E320" s="1326">
        <v>40578</v>
      </c>
      <c r="F320" s="1314">
        <v>11.44</v>
      </c>
      <c r="G320" s="1314">
        <f t="shared" si="45"/>
        <v>0</v>
      </c>
      <c r="I320" s="1326">
        <v>40578</v>
      </c>
      <c r="J320" s="1314">
        <v>21.16</v>
      </c>
      <c r="K320" s="1314">
        <f t="shared" si="46"/>
        <v>-2.3573785950023909E-3</v>
      </c>
      <c r="M320" s="1326">
        <v>40578</v>
      </c>
      <c r="N320" s="1314">
        <v>6.5</v>
      </c>
      <c r="O320" s="1314">
        <f t="shared" si="47"/>
        <v>1.4040561622464877E-2</v>
      </c>
      <c r="Q320" s="1326">
        <v>40578</v>
      </c>
      <c r="R320" s="1314">
        <v>13.98</v>
      </c>
      <c r="S320" s="1314">
        <f t="shared" si="48"/>
        <v>8.6580086580087309E-3</v>
      </c>
      <c r="U320" s="1326">
        <v>40578</v>
      </c>
      <c r="V320" s="1314">
        <v>22.47</v>
      </c>
      <c r="W320" s="1314">
        <f t="shared" si="49"/>
        <v>-2.1767522855898998E-2</v>
      </c>
      <c r="Y320" s="1326">
        <v>40578</v>
      </c>
      <c r="Z320" s="1314">
        <v>16.98</v>
      </c>
      <c r="AA320" s="1314">
        <f t="shared" si="50"/>
        <v>-4.767246214245642E-2</v>
      </c>
      <c r="AC320" s="1326">
        <v>40578</v>
      </c>
      <c r="AD320" s="1314">
        <v>23.33</v>
      </c>
      <c r="AE320" s="1314">
        <f t="shared" si="51"/>
        <v>-9.7623089983022264E-3</v>
      </c>
      <c r="AG320" s="1326">
        <v>40578</v>
      </c>
      <c r="AH320" s="1314">
        <v>7.12</v>
      </c>
      <c r="AI320" s="1314">
        <f t="shared" si="52"/>
        <v>-0.22608695652173905</v>
      </c>
      <c r="AK320" s="1326">
        <v>40578</v>
      </c>
      <c r="AL320" s="1314">
        <v>0.44</v>
      </c>
      <c r="AN320" s="1326">
        <v>40578</v>
      </c>
      <c r="AO320" s="1314">
        <v>-0.8</v>
      </c>
      <c r="AQ320" s="1326">
        <v>40578</v>
      </c>
      <c r="AR320" s="1327">
        <v>3.29</v>
      </c>
      <c r="AT320" s="1326">
        <v>40578</v>
      </c>
      <c r="AU320" s="1314">
        <v>780.25</v>
      </c>
      <c r="AV320" s="1314">
        <f t="shared" si="53"/>
        <v>-1.5643726739418377E-2</v>
      </c>
      <c r="AX320" s="1314">
        <v>4.7275</v>
      </c>
      <c r="AY320" s="1314">
        <f t="shared" si="54"/>
        <v>8.5118184145405468E-3</v>
      </c>
    </row>
    <row r="321" spans="1:51" x14ac:dyDescent="0.75">
      <c r="A321" s="1326">
        <v>40571</v>
      </c>
      <c r="B321" s="1314">
        <v>759.32</v>
      </c>
      <c r="C321" s="1314">
        <f t="shared" si="55"/>
        <v>-2.6824735661646844E-2</v>
      </c>
      <c r="E321" s="1326">
        <v>40571</v>
      </c>
      <c r="F321" s="1314">
        <v>11.07</v>
      </c>
      <c r="G321" s="1314">
        <f t="shared" si="45"/>
        <v>-3.2342657342657274E-2</v>
      </c>
      <c r="I321" s="1326">
        <v>40571</v>
      </c>
      <c r="J321" s="1314">
        <v>20.61</v>
      </c>
      <c r="K321" s="1314">
        <f t="shared" si="46"/>
        <v>-2.5992438563327065E-2</v>
      </c>
      <c r="M321" s="1326">
        <v>40571</v>
      </c>
      <c r="N321" s="1314">
        <v>6.2</v>
      </c>
      <c r="O321" s="1314">
        <f t="shared" si="47"/>
        <v>-4.6153846153846129E-2</v>
      </c>
      <c r="Q321" s="1326">
        <v>40571</v>
      </c>
      <c r="R321" s="1314">
        <v>14.06</v>
      </c>
      <c r="S321" s="1314">
        <f t="shared" si="48"/>
        <v>5.7224606580829809E-3</v>
      </c>
      <c r="U321" s="1326">
        <v>40571</v>
      </c>
      <c r="V321" s="1314">
        <v>21.74</v>
      </c>
      <c r="W321" s="1314">
        <f t="shared" si="49"/>
        <v>-3.2487761459724096E-2</v>
      </c>
      <c r="Y321" s="1326">
        <v>40571</v>
      </c>
      <c r="Z321" s="1314">
        <v>16.09</v>
      </c>
      <c r="AA321" s="1314">
        <f t="shared" si="50"/>
        <v>-5.2414605418139019E-2</v>
      </c>
      <c r="AC321" s="1326">
        <v>40571</v>
      </c>
      <c r="AD321" s="1314">
        <v>21.15</v>
      </c>
      <c r="AE321" s="1314">
        <f t="shared" si="51"/>
        <v>-9.3441920274324894E-2</v>
      </c>
      <c r="AG321" s="1326">
        <v>40571</v>
      </c>
      <c r="AH321" s="1314">
        <v>5.68</v>
      </c>
      <c r="AI321" s="1314">
        <f t="shared" si="52"/>
        <v>-0.202247191011236</v>
      </c>
      <c r="AK321" s="1326">
        <v>40571</v>
      </c>
      <c r="AL321" s="1314">
        <v>0.68</v>
      </c>
      <c r="AN321" s="1326">
        <v>40571</v>
      </c>
      <c r="AO321" s="1314">
        <v>-0.19</v>
      </c>
      <c r="AQ321" s="1326">
        <v>40571</v>
      </c>
      <c r="AR321" s="1327">
        <v>3.15</v>
      </c>
      <c r="AT321" s="1326">
        <v>40571</v>
      </c>
      <c r="AU321" s="1314">
        <v>759.32</v>
      </c>
      <c r="AV321" s="1314">
        <f t="shared" si="53"/>
        <v>-2.6824735661646844E-2</v>
      </c>
      <c r="AX321" s="1314">
        <v>4.5282</v>
      </c>
      <c r="AY321" s="1314">
        <f t="shared" si="54"/>
        <v>-4.2157588577472246E-2</v>
      </c>
    </row>
    <row r="322" spans="1:51" x14ac:dyDescent="0.75">
      <c r="A322" s="1326">
        <v>40564</v>
      </c>
      <c r="B322" s="1314">
        <v>761.81</v>
      </c>
      <c r="C322" s="1314">
        <f t="shared" si="55"/>
        <v>3.2792498551334026E-3</v>
      </c>
      <c r="E322" s="1326">
        <v>40564</v>
      </c>
      <c r="F322" s="1314">
        <v>11.12</v>
      </c>
      <c r="G322" s="1314">
        <f t="shared" si="45"/>
        <v>4.5167118337849079E-3</v>
      </c>
      <c r="I322" s="1326">
        <v>40564</v>
      </c>
      <c r="J322" s="1314">
        <v>20.55</v>
      </c>
      <c r="K322" s="1314">
        <f t="shared" si="46"/>
        <v>-2.911208151382762E-3</v>
      </c>
      <c r="M322" s="1326">
        <v>40564</v>
      </c>
      <c r="N322" s="1314">
        <v>6.55</v>
      </c>
      <c r="O322" s="1314">
        <f t="shared" si="47"/>
        <v>5.6451612903225749E-2</v>
      </c>
      <c r="Q322" s="1326">
        <v>40564</v>
      </c>
      <c r="R322" s="1314">
        <v>13.94</v>
      </c>
      <c r="S322" s="1314">
        <f t="shared" si="48"/>
        <v>-8.5348506401138682E-3</v>
      </c>
      <c r="U322" s="1326">
        <v>40564</v>
      </c>
      <c r="V322" s="1314">
        <v>21.7</v>
      </c>
      <c r="W322" s="1314">
        <f t="shared" si="49"/>
        <v>-1.8399264029438432E-3</v>
      </c>
      <c r="Y322" s="1326">
        <v>40564</v>
      </c>
      <c r="Z322" s="1314">
        <v>15.36</v>
      </c>
      <c r="AA322" s="1314">
        <f t="shared" si="50"/>
        <v>-4.5369794903666903E-2</v>
      </c>
      <c r="AC322" s="1326">
        <v>40564</v>
      </c>
      <c r="AD322" s="1314">
        <v>20.25</v>
      </c>
      <c r="AE322" s="1314">
        <f t="shared" si="51"/>
        <v>-4.2553191489361639E-2</v>
      </c>
      <c r="AG322" s="1326">
        <v>40564</v>
      </c>
      <c r="AH322" s="1314">
        <v>5.76</v>
      </c>
      <c r="AI322" s="1314">
        <f t="shared" si="52"/>
        <v>1.4084507042253534E-2</v>
      </c>
      <c r="AK322" s="1326">
        <v>40564</v>
      </c>
      <c r="AL322" s="1314">
        <v>-3.15</v>
      </c>
      <c r="AN322" s="1326">
        <v>40564</v>
      </c>
      <c r="AO322" s="1314">
        <v>0.31</v>
      </c>
      <c r="AQ322" s="1326">
        <v>40564</v>
      </c>
      <c r="AR322" s="1327">
        <v>3.18</v>
      </c>
      <c r="AT322" s="1326">
        <v>40564</v>
      </c>
      <c r="AU322" s="1314">
        <v>761.81</v>
      </c>
      <c r="AV322" s="1314">
        <f t="shared" si="53"/>
        <v>3.2792498551334026E-3</v>
      </c>
      <c r="AX322" s="1314">
        <v>4.5650000000000004</v>
      </c>
      <c r="AY322" s="1314">
        <f t="shared" si="54"/>
        <v>8.1268495207809707E-3</v>
      </c>
    </row>
    <row r="323" spans="1:51" x14ac:dyDescent="0.75">
      <c r="A323" s="1326">
        <v>40557</v>
      </c>
      <c r="B323" s="1314">
        <v>770.92</v>
      </c>
      <c r="C323" s="1314">
        <f t="shared" si="55"/>
        <v>1.1958362321313733E-2</v>
      </c>
      <c r="E323" s="1326">
        <v>40557</v>
      </c>
      <c r="F323" s="1314">
        <v>12.67</v>
      </c>
      <c r="G323" s="1314">
        <f t="shared" si="45"/>
        <v>0.13938848920863317</v>
      </c>
      <c r="I323" s="1326">
        <v>40557</v>
      </c>
      <c r="J323" s="1314">
        <v>21.42</v>
      </c>
      <c r="K323" s="1314">
        <f t="shared" si="46"/>
        <v>4.2335766423357714E-2</v>
      </c>
      <c r="M323" s="1326">
        <v>40557</v>
      </c>
      <c r="N323" s="1314">
        <v>7.18</v>
      </c>
      <c r="O323" s="1314">
        <f t="shared" si="47"/>
        <v>9.6183206106870214E-2</v>
      </c>
      <c r="Q323" s="1326">
        <v>40557</v>
      </c>
      <c r="R323" s="1314">
        <v>14.24</v>
      </c>
      <c r="S323" s="1314">
        <f t="shared" si="48"/>
        <v>2.1520803443328601E-2</v>
      </c>
      <c r="U323" s="1326">
        <v>40557</v>
      </c>
      <c r="V323" s="1314">
        <v>23.44</v>
      </c>
      <c r="W323" s="1314">
        <f t="shared" si="49"/>
        <v>8.0184331797235123E-2</v>
      </c>
      <c r="Y323" s="1326">
        <v>40557</v>
      </c>
      <c r="Z323" s="1314">
        <v>16.25</v>
      </c>
      <c r="AA323" s="1314">
        <f t="shared" si="50"/>
        <v>5.794270833333337E-2</v>
      </c>
      <c r="AC323" s="1326">
        <v>40557</v>
      </c>
      <c r="AD323" s="1314">
        <v>21.34</v>
      </c>
      <c r="AE323" s="1314">
        <f t="shared" si="51"/>
        <v>5.3827160493827152E-2</v>
      </c>
      <c r="AG323" s="1326">
        <v>40557</v>
      </c>
      <c r="AH323" s="1314">
        <v>5.88</v>
      </c>
      <c r="AI323" s="1314">
        <f t="shared" si="52"/>
        <v>2.0833333333333353E-2</v>
      </c>
      <c r="AK323" s="1326">
        <v>40557</v>
      </c>
      <c r="AL323" s="1314">
        <v>0.83</v>
      </c>
      <c r="AN323" s="1326">
        <v>40557</v>
      </c>
      <c r="AO323" s="1314">
        <v>0.43</v>
      </c>
      <c r="AQ323" s="1326">
        <v>40557</v>
      </c>
      <c r="AR323" s="1327">
        <v>3.17</v>
      </c>
      <c r="AT323" s="1326">
        <v>40557</v>
      </c>
      <c r="AU323" s="1314">
        <v>770.92</v>
      </c>
      <c r="AV323" s="1314">
        <f t="shared" si="53"/>
        <v>1.1958362321313733E-2</v>
      </c>
      <c r="AX323" s="1314">
        <v>4.5301</v>
      </c>
      <c r="AY323" s="1314">
        <f t="shared" si="54"/>
        <v>-7.6451259583790523E-3</v>
      </c>
    </row>
    <row r="324" spans="1:51" x14ac:dyDescent="0.75">
      <c r="A324" s="1326">
        <v>40550</v>
      </c>
      <c r="B324" s="1314">
        <v>757.13</v>
      </c>
      <c r="C324" s="1314">
        <f t="shared" si="55"/>
        <v>-1.7887718570020188E-2</v>
      </c>
      <c r="E324" s="1326">
        <v>40550</v>
      </c>
      <c r="F324" s="1314">
        <v>11.69</v>
      </c>
      <c r="G324" s="1314">
        <f t="shared" si="45"/>
        <v>-7.734806629834258E-2</v>
      </c>
      <c r="I324" s="1326">
        <v>40550</v>
      </c>
      <c r="J324" s="1314">
        <v>20.49</v>
      </c>
      <c r="K324" s="1314">
        <f t="shared" si="46"/>
        <v>-4.3417366946778863E-2</v>
      </c>
      <c r="M324" s="1326">
        <v>40550</v>
      </c>
      <c r="N324" s="1314">
        <v>7.13</v>
      </c>
      <c r="O324" s="1314">
        <f t="shared" si="47"/>
        <v>-6.9637883008356301E-3</v>
      </c>
      <c r="Q324" s="1326">
        <v>40550</v>
      </c>
      <c r="R324" s="1314">
        <v>14.2</v>
      </c>
      <c r="S324" s="1314">
        <f t="shared" si="48"/>
        <v>-2.8089887640450088E-3</v>
      </c>
      <c r="U324" s="1326">
        <v>40550</v>
      </c>
      <c r="V324" s="1314">
        <v>22.51</v>
      </c>
      <c r="W324" s="1314">
        <f t="shared" si="49"/>
        <v>-3.9675767918088724E-2</v>
      </c>
      <c r="Y324" s="1326">
        <v>40550</v>
      </c>
      <c r="Z324" s="1314">
        <v>15.52</v>
      </c>
      <c r="AA324" s="1314">
        <f t="shared" si="50"/>
        <v>-4.4923076923076947E-2</v>
      </c>
      <c r="AC324" s="1326">
        <v>40550</v>
      </c>
      <c r="AD324" s="1314">
        <v>19.29</v>
      </c>
      <c r="AE324" s="1314">
        <f t="shared" si="51"/>
        <v>-9.6063730084348681E-2</v>
      </c>
      <c r="AG324" s="1326">
        <v>40550</v>
      </c>
      <c r="AH324" s="1314">
        <v>4.92</v>
      </c>
      <c r="AI324" s="1314">
        <f t="shared" si="52"/>
        <v>-0.16326530612244897</v>
      </c>
      <c r="AK324" s="1326">
        <v>40550</v>
      </c>
      <c r="AL324" s="1314">
        <v>-0.63</v>
      </c>
      <c r="AN324" s="1326">
        <v>40550</v>
      </c>
      <c r="AO324" s="1314">
        <v>0.42</v>
      </c>
      <c r="AQ324" s="1326">
        <v>40550</v>
      </c>
      <c r="AR324" s="1327">
        <v>3.22</v>
      </c>
      <c r="AT324" s="1326">
        <v>40550</v>
      </c>
      <c r="AU324" s="1314">
        <v>757.13</v>
      </c>
      <c r="AV324" s="1314">
        <f t="shared" si="53"/>
        <v>-1.7887718570020188E-2</v>
      </c>
      <c r="AX324" s="1314">
        <v>4.4846000000000004</v>
      </c>
      <c r="AY324" s="1314">
        <f t="shared" si="54"/>
        <v>-1.0043928390101688E-2</v>
      </c>
    </row>
    <row r="325" spans="1:51" x14ac:dyDescent="0.75">
      <c r="A325" s="1326">
        <v>40543</v>
      </c>
      <c r="B325" s="1314">
        <v>749.48</v>
      </c>
      <c r="C325" s="1314">
        <f t="shared" si="55"/>
        <v>-1.0103945161332898E-2</v>
      </c>
      <c r="E325" s="1326">
        <v>40543</v>
      </c>
      <c r="F325" s="1314">
        <v>11.62</v>
      </c>
      <c r="G325" s="1314">
        <f t="shared" ref="G325:G360" si="56">(F325-F324)/F324</f>
        <v>-5.988023952095833E-3</v>
      </c>
      <c r="I325" s="1326">
        <v>40543</v>
      </c>
      <c r="J325" s="1314">
        <v>20.48</v>
      </c>
      <c r="K325" s="1314">
        <f t="shared" ref="K325:K360" si="57">(J325-J324)/J324</f>
        <v>-4.8804294777930751E-4</v>
      </c>
      <c r="M325" s="1326">
        <v>40543</v>
      </c>
      <c r="N325" s="1314">
        <v>6.98</v>
      </c>
      <c r="O325" s="1314">
        <f t="shared" ref="O325:O360" si="58">(N325-N324)/N324</f>
        <v>-2.1037868162692774E-2</v>
      </c>
      <c r="Q325" s="1326">
        <v>40543</v>
      </c>
      <c r="R325" s="1314">
        <v>12.83</v>
      </c>
      <c r="S325" s="1314">
        <f t="shared" ref="S325:S360" si="59">(R325-R324)/R324</f>
        <v>-9.6478873239436574E-2</v>
      </c>
      <c r="U325" s="1326">
        <v>40543</v>
      </c>
      <c r="V325" s="1314">
        <v>22.64</v>
      </c>
      <c r="W325" s="1314">
        <f t="shared" ref="W325:W360" si="60">(V325-V324)/V324</f>
        <v>5.7752110173255886E-3</v>
      </c>
      <c r="Y325" s="1326">
        <v>40543</v>
      </c>
      <c r="Z325" s="1314">
        <v>14.68</v>
      </c>
      <c r="AA325" s="1314">
        <f t="shared" ref="AA325:AA360" si="61">(Z325-Z324)/Z324</f>
        <v>-5.4123711340206181E-2</v>
      </c>
      <c r="AC325" s="1326">
        <v>40543</v>
      </c>
      <c r="AD325" s="1314">
        <v>18.579999999999998</v>
      </c>
      <c r="AE325" s="1314">
        <f t="shared" ref="AE325:AE360" si="62">(AD325-AD324)/AD324</f>
        <v>-3.6806635562467646E-2</v>
      </c>
      <c r="AG325" s="1326">
        <v>40543</v>
      </c>
      <c r="AH325" s="1314">
        <v>4.34</v>
      </c>
      <c r="AI325" s="1314">
        <f t="shared" ref="AI325:AI360" si="63">(AH325-AH324)/AH324</f>
        <v>-0.11788617886178863</v>
      </c>
      <c r="AK325" s="1326">
        <v>40543</v>
      </c>
      <c r="AL325" s="1314">
        <v>-0.61</v>
      </c>
      <c r="AN325" s="1326">
        <v>40543</v>
      </c>
      <c r="AO325" s="1314">
        <v>0.63</v>
      </c>
      <c r="AQ325" s="1326">
        <v>40543</v>
      </c>
      <c r="AR325" s="1327">
        <v>3.24</v>
      </c>
      <c r="AT325" s="1326">
        <v>40543</v>
      </c>
      <c r="AU325" s="1314">
        <v>749.48</v>
      </c>
      <c r="AV325" s="1314">
        <f t="shared" ref="AV325:AV388" si="64">(AU325-AU324)/AU324</f>
        <v>-1.0103945161332898E-2</v>
      </c>
      <c r="AX325" s="1314">
        <v>4.3341000000000003</v>
      </c>
      <c r="AY325" s="1314">
        <f t="shared" ref="AY325:AY388" si="65">(AX325-AX324)/AX324</f>
        <v>-3.3559291798599664E-2</v>
      </c>
    </row>
    <row r="326" spans="1:51" x14ac:dyDescent="0.75">
      <c r="A326" s="1326">
        <v>40536</v>
      </c>
      <c r="B326" s="1314">
        <v>749.41</v>
      </c>
      <c r="C326" s="1314">
        <f t="shared" si="55"/>
        <v>-9.339808934201049E-5</v>
      </c>
      <c r="E326" s="1326">
        <v>40536</v>
      </c>
      <c r="F326" s="1314">
        <v>11.95</v>
      </c>
      <c r="G326" s="1314">
        <f t="shared" si="56"/>
        <v>2.8399311531841661E-2</v>
      </c>
      <c r="I326" s="1326">
        <v>40536</v>
      </c>
      <c r="J326" s="1314">
        <v>19.57</v>
      </c>
      <c r="K326" s="1314">
        <f t="shared" si="57"/>
        <v>-4.4433593750000007E-2</v>
      </c>
      <c r="M326" s="1326">
        <v>40536</v>
      </c>
      <c r="N326" s="1314">
        <v>6.9550000000000001</v>
      </c>
      <c r="O326" s="1314">
        <f t="shared" si="58"/>
        <v>-3.581661891117529E-3</v>
      </c>
      <c r="Q326" s="1326">
        <v>40536</v>
      </c>
      <c r="R326" s="1314">
        <v>12.96</v>
      </c>
      <c r="S326" s="1314">
        <f t="shared" si="59"/>
        <v>1.0132501948558128E-2</v>
      </c>
      <c r="U326" s="1326">
        <v>40536</v>
      </c>
      <c r="V326" s="1314">
        <v>23.06</v>
      </c>
      <c r="W326" s="1314">
        <f t="shared" si="60"/>
        <v>1.8551236749116524E-2</v>
      </c>
      <c r="Y326" s="1326">
        <v>40536</v>
      </c>
      <c r="Z326" s="1314">
        <v>14.87</v>
      </c>
      <c r="AA326" s="1314">
        <f t="shared" si="61"/>
        <v>1.2942779291553099E-2</v>
      </c>
      <c r="AC326" s="1326">
        <v>40536</v>
      </c>
      <c r="AD326" s="1314">
        <v>18.149999999999999</v>
      </c>
      <c r="AE326" s="1314">
        <f t="shared" si="62"/>
        <v>-2.3143164693218501E-2</v>
      </c>
      <c r="AG326" s="1326">
        <v>40536</v>
      </c>
      <c r="AH326" s="1314">
        <v>4.5999999999999996</v>
      </c>
      <c r="AI326" s="1314">
        <f t="shared" si="63"/>
        <v>5.9907834101382444E-2</v>
      </c>
      <c r="AK326" s="1326">
        <v>40536</v>
      </c>
      <c r="AL326" s="1314">
        <v>7.0000000000000007E-2</v>
      </c>
      <c r="AN326" s="1326">
        <v>40536</v>
      </c>
      <c r="AO326" s="1314">
        <v>1.53</v>
      </c>
      <c r="AQ326" s="1326">
        <v>40536</v>
      </c>
      <c r="AR326" s="1327">
        <v>3.24</v>
      </c>
      <c r="AT326" s="1326">
        <v>40536</v>
      </c>
      <c r="AU326" s="1314">
        <v>749.41</v>
      </c>
      <c r="AV326" s="1314">
        <f t="shared" si="64"/>
        <v>-9.339808934201049E-5</v>
      </c>
      <c r="AX326" s="1314">
        <v>4.4698000000000002</v>
      </c>
      <c r="AY326" s="1314">
        <f t="shared" si="65"/>
        <v>3.1309845181237146E-2</v>
      </c>
    </row>
    <row r="327" spans="1:51" x14ac:dyDescent="0.75">
      <c r="A327" s="1326">
        <v>40529</v>
      </c>
      <c r="B327" s="1314">
        <v>741.59</v>
      </c>
      <c r="C327" s="1314">
        <f t="shared" si="55"/>
        <v>-1.0434875435342385E-2</v>
      </c>
      <c r="E327" s="1326">
        <v>40529</v>
      </c>
      <c r="F327" s="1314">
        <v>12.21</v>
      </c>
      <c r="G327" s="1314">
        <f t="shared" si="56"/>
        <v>2.1757322175732351E-2</v>
      </c>
      <c r="I327" s="1326">
        <v>40529</v>
      </c>
      <c r="J327" s="1314">
        <v>19.88</v>
      </c>
      <c r="K327" s="1314">
        <f t="shared" si="57"/>
        <v>1.5840572304547711E-2</v>
      </c>
      <c r="M327" s="1326">
        <v>40529</v>
      </c>
      <c r="N327" s="1314">
        <v>7.15</v>
      </c>
      <c r="O327" s="1314">
        <f t="shared" si="58"/>
        <v>2.8037383177570135E-2</v>
      </c>
      <c r="Q327" s="1326">
        <v>40529</v>
      </c>
      <c r="R327" s="1314">
        <v>13.46</v>
      </c>
      <c r="S327" s="1314">
        <f t="shared" si="59"/>
        <v>3.8580246913580245E-2</v>
      </c>
      <c r="U327" s="1326">
        <v>40529</v>
      </c>
      <c r="V327" s="1314">
        <v>23.29</v>
      </c>
      <c r="W327" s="1314">
        <f t="shared" si="60"/>
        <v>9.9739809193408694E-3</v>
      </c>
      <c r="Y327" s="1326">
        <v>40529</v>
      </c>
      <c r="Z327" s="1314">
        <v>14.99</v>
      </c>
      <c r="AA327" s="1314">
        <f t="shared" si="61"/>
        <v>8.0699394754540008E-3</v>
      </c>
      <c r="AC327" s="1326">
        <v>40529</v>
      </c>
      <c r="AD327" s="1314">
        <v>17.93</v>
      </c>
      <c r="AE327" s="1314">
        <f t="shared" si="62"/>
        <v>-1.2121212121212059E-2</v>
      </c>
      <c r="AG327" s="1326">
        <v>40529</v>
      </c>
      <c r="AH327" s="1314">
        <v>5.96</v>
      </c>
      <c r="AI327" s="1314">
        <f t="shared" si="63"/>
        <v>0.29565217391304355</v>
      </c>
      <c r="AK327" s="1326">
        <v>40529</v>
      </c>
      <c r="AL327" s="1314">
        <v>0.11</v>
      </c>
      <c r="AN327" s="1326">
        <v>40529</v>
      </c>
      <c r="AO327" s="1314">
        <v>-0.85</v>
      </c>
      <c r="AQ327" s="1326">
        <v>40529</v>
      </c>
      <c r="AR327" s="1327">
        <v>3.28</v>
      </c>
      <c r="AT327" s="1326">
        <v>40529</v>
      </c>
      <c r="AU327" s="1314">
        <v>741.59</v>
      </c>
      <c r="AV327" s="1314">
        <f t="shared" si="64"/>
        <v>-1.0434875435342385E-2</v>
      </c>
      <c r="AX327" s="1314">
        <v>4.4367000000000001</v>
      </c>
      <c r="AY327" s="1314">
        <f t="shared" si="65"/>
        <v>-7.4052530314555748E-3</v>
      </c>
    </row>
    <row r="328" spans="1:51" x14ac:dyDescent="0.75">
      <c r="A328" s="1326">
        <v>40522</v>
      </c>
      <c r="B328" s="1314">
        <v>739.17</v>
      </c>
      <c r="C328" s="1314">
        <f t="shared" si="55"/>
        <v>-3.2632586739304368E-3</v>
      </c>
      <c r="E328" s="1326">
        <v>40522</v>
      </c>
      <c r="F328" s="1314">
        <v>12.01</v>
      </c>
      <c r="G328" s="1314">
        <f t="shared" si="56"/>
        <v>-1.6380016380016467E-2</v>
      </c>
      <c r="I328" s="1326">
        <v>40522</v>
      </c>
      <c r="J328" s="1314">
        <v>20.55</v>
      </c>
      <c r="K328" s="1314">
        <f t="shared" si="57"/>
        <v>3.3702213279678157E-2</v>
      </c>
      <c r="M328" s="1326">
        <v>40522</v>
      </c>
      <c r="N328" s="1314">
        <v>6.92</v>
      </c>
      <c r="O328" s="1314">
        <f t="shared" si="58"/>
        <v>-3.2167832167832228E-2</v>
      </c>
      <c r="Q328" s="1326">
        <v>40522</v>
      </c>
      <c r="R328" s="1314">
        <v>13</v>
      </c>
      <c r="S328" s="1314">
        <f t="shared" si="59"/>
        <v>-3.4175334323922793E-2</v>
      </c>
      <c r="U328" s="1326">
        <v>40522</v>
      </c>
      <c r="V328" s="1314">
        <v>23.93</v>
      </c>
      <c r="W328" s="1314">
        <f t="shared" si="60"/>
        <v>2.7479604980678429E-2</v>
      </c>
      <c r="Y328" s="1326">
        <v>40522</v>
      </c>
      <c r="Z328" s="1314">
        <v>15.03</v>
      </c>
      <c r="AA328" s="1314">
        <f t="shared" si="61"/>
        <v>2.6684456304202232E-3</v>
      </c>
      <c r="AC328" s="1326">
        <v>40522</v>
      </c>
      <c r="AD328" s="1314">
        <v>18.04</v>
      </c>
      <c r="AE328" s="1314">
        <f t="shared" si="62"/>
        <v>6.1349693251533423E-3</v>
      </c>
      <c r="AG328" s="1326">
        <v>40522</v>
      </c>
      <c r="AH328" s="1314">
        <v>6.04</v>
      </c>
      <c r="AI328" s="1314">
        <f t="shared" si="63"/>
        <v>1.3422818791946321E-2</v>
      </c>
      <c r="AK328" s="1326">
        <v>40522</v>
      </c>
      <c r="AL328" s="1314">
        <v>1.03</v>
      </c>
      <c r="AN328" s="1326">
        <v>40522</v>
      </c>
      <c r="AO328" s="1314">
        <v>1.46</v>
      </c>
      <c r="AQ328" s="1326">
        <v>40522</v>
      </c>
      <c r="AR328" s="1327">
        <v>3.16</v>
      </c>
      <c r="AT328" s="1326">
        <v>40522</v>
      </c>
      <c r="AU328" s="1314">
        <v>739.17</v>
      </c>
      <c r="AV328" s="1314">
        <f t="shared" si="64"/>
        <v>-3.2632586739304368E-3</v>
      </c>
      <c r="AX328" s="1314">
        <v>4.4288999999999996</v>
      </c>
      <c r="AY328" s="1314">
        <f t="shared" si="65"/>
        <v>-1.7580634255190733E-3</v>
      </c>
    </row>
    <row r="329" spans="1:51" x14ac:dyDescent="0.75">
      <c r="A329" s="1326">
        <v>40515</v>
      </c>
      <c r="B329" s="1314">
        <v>729.55</v>
      </c>
      <c r="C329" s="1314">
        <f t="shared" si="55"/>
        <v>-1.3014597453901005E-2</v>
      </c>
      <c r="E329" s="1326">
        <v>40515</v>
      </c>
      <c r="F329" s="1314">
        <v>11.79</v>
      </c>
      <c r="G329" s="1314">
        <f t="shared" si="56"/>
        <v>-1.8318068276436356E-2</v>
      </c>
      <c r="I329" s="1326">
        <v>40515</v>
      </c>
      <c r="J329" s="1314">
        <v>20.65</v>
      </c>
      <c r="K329" s="1314">
        <f t="shared" si="57"/>
        <v>4.8661800486616965E-3</v>
      </c>
      <c r="M329" s="1326">
        <v>40515</v>
      </c>
      <c r="N329" s="1314">
        <v>6.75</v>
      </c>
      <c r="O329" s="1314">
        <f t="shared" si="58"/>
        <v>-2.4566473988439298E-2</v>
      </c>
      <c r="Q329" s="1326">
        <v>40515</v>
      </c>
      <c r="R329" s="1314">
        <v>13.06</v>
      </c>
      <c r="S329" s="1314">
        <f t="shared" si="59"/>
        <v>4.615384615384654E-3</v>
      </c>
      <c r="U329" s="1326">
        <v>40515</v>
      </c>
      <c r="V329" s="1314">
        <v>24.13</v>
      </c>
      <c r="W329" s="1314">
        <f t="shared" si="60"/>
        <v>8.3577099874634058E-3</v>
      </c>
      <c r="Y329" s="1326">
        <v>40515</v>
      </c>
      <c r="Z329" s="1314">
        <v>15.39</v>
      </c>
      <c r="AA329" s="1314">
        <f t="shared" si="61"/>
        <v>2.3952095808383315E-2</v>
      </c>
      <c r="AC329" s="1326">
        <v>40515</v>
      </c>
      <c r="AD329" s="1314">
        <v>17.61</v>
      </c>
      <c r="AE329" s="1314">
        <f t="shared" si="62"/>
        <v>-2.3835920177383577E-2</v>
      </c>
      <c r="AG329" s="1326">
        <v>40515</v>
      </c>
      <c r="AH329" s="1314">
        <v>5.36</v>
      </c>
      <c r="AI329" s="1314">
        <f t="shared" si="63"/>
        <v>-0.11258278145695359</v>
      </c>
      <c r="AK329" s="1326">
        <v>40515</v>
      </c>
      <c r="AL329" s="1314">
        <v>-0.26</v>
      </c>
      <c r="AN329" s="1326">
        <v>40515</v>
      </c>
      <c r="AO329" s="1314">
        <v>1.0900000000000001</v>
      </c>
      <c r="AQ329" s="1326">
        <v>40515</v>
      </c>
      <c r="AR329" s="1327">
        <v>3.03</v>
      </c>
      <c r="AT329" s="1326">
        <v>40515</v>
      </c>
      <c r="AU329" s="1314">
        <v>729.55</v>
      </c>
      <c r="AV329" s="1314">
        <f t="shared" si="64"/>
        <v>-1.3014597453901005E-2</v>
      </c>
      <c r="AX329" s="1314">
        <v>4.3143000000000002</v>
      </c>
      <c r="AY329" s="1314">
        <f t="shared" si="65"/>
        <v>-2.5875499559709945E-2</v>
      </c>
    </row>
    <row r="330" spans="1:51" x14ac:dyDescent="0.75">
      <c r="A330" s="1326">
        <v>40508</v>
      </c>
      <c r="B330" s="1314">
        <v>708.37</v>
      </c>
      <c r="C330" s="1314">
        <f t="shared" si="55"/>
        <v>-2.9031594818723805E-2</v>
      </c>
      <c r="E330" s="1326">
        <v>40508</v>
      </c>
      <c r="F330" s="1314">
        <v>11.21</v>
      </c>
      <c r="G330" s="1314">
        <f t="shared" si="56"/>
        <v>-4.9194232400339127E-2</v>
      </c>
      <c r="I330" s="1326">
        <v>40508</v>
      </c>
      <c r="J330" s="1314">
        <v>20.27</v>
      </c>
      <c r="K330" s="1314">
        <f t="shared" si="57"/>
        <v>-1.8401937046004797E-2</v>
      </c>
      <c r="M330" s="1326">
        <v>40508</v>
      </c>
      <c r="N330" s="1314">
        <v>6.68</v>
      </c>
      <c r="O330" s="1314">
        <f t="shared" si="58"/>
        <v>-1.0370370370370412E-2</v>
      </c>
      <c r="Q330" s="1326">
        <v>40508</v>
      </c>
      <c r="R330" s="1314">
        <v>11.59</v>
      </c>
      <c r="S330" s="1314">
        <f t="shared" si="59"/>
        <v>-0.11255742725880556</v>
      </c>
      <c r="U330" s="1326">
        <v>40508</v>
      </c>
      <c r="V330" s="1314">
        <v>23.91</v>
      </c>
      <c r="W330" s="1314">
        <f t="shared" si="60"/>
        <v>-9.1172813924574742E-3</v>
      </c>
      <c r="Y330" s="1326">
        <v>40508</v>
      </c>
      <c r="Z330" s="1314">
        <v>14.47</v>
      </c>
      <c r="AA330" s="1314">
        <f t="shared" si="61"/>
        <v>-5.9779077322936962E-2</v>
      </c>
      <c r="AC330" s="1326">
        <v>40508</v>
      </c>
      <c r="AD330" s="1314">
        <v>15.88</v>
      </c>
      <c r="AE330" s="1314">
        <f t="shared" si="62"/>
        <v>-9.8239636570130531E-2</v>
      </c>
      <c r="AG330" s="1326">
        <v>40508</v>
      </c>
      <c r="AH330" s="1314">
        <v>5.2</v>
      </c>
      <c r="AI330" s="1314">
        <f t="shared" si="63"/>
        <v>-2.985074626865674E-2</v>
      </c>
      <c r="AK330" s="1326">
        <v>40508</v>
      </c>
      <c r="AL330" s="1314">
        <v>2.0099999999999998</v>
      </c>
      <c r="AN330" s="1326">
        <v>40508</v>
      </c>
      <c r="AO330" s="1314">
        <v>-1.54</v>
      </c>
      <c r="AQ330" s="1326">
        <v>40508</v>
      </c>
      <c r="AR330" s="1327">
        <v>2.9</v>
      </c>
      <c r="AT330" s="1326">
        <v>40508</v>
      </c>
      <c r="AU330" s="1314">
        <v>708.37</v>
      </c>
      <c r="AV330" s="1314">
        <f t="shared" si="64"/>
        <v>-2.9031594818723805E-2</v>
      </c>
      <c r="AX330" s="1314">
        <v>4.2092999999999998</v>
      </c>
      <c r="AY330" s="1314">
        <f t="shared" si="65"/>
        <v>-2.4337667756067129E-2</v>
      </c>
    </row>
    <row r="331" spans="1:51" x14ac:dyDescent="0.75">
      <c r="A331" s="1326">
        <v>40501</v>
      </c>
      <c r="B331" s="1314">
        <v>712.11</v>
      </c>
      <c r="C331" s="1314">
        <f t="shared" si="55"/>
        <v>5.2797266965004296E-3</v>
      </c>
      <c r="E331" s="1326">
        <v>40501</v>
      </c>
      <c r="F331" s="1314">
        <v>10.99</v>
      </c>
      <c r="G331" s="1314">
        <f t="shared" si="56"/>
        <v>-1.9625334522747603E-2</v>
      </c>
      <c r="I331" s="1326">
        <v>40501</v>
      </c>
      <c r="J331" s="1314">
        <v>19.96</v>
      </c>
      <c r="K331" s="1314">
        <f t="shared" si="57"/>
        <v>-1.5293537247163232E-2</v>
      </c>
      <c r="M331" s="1326">
        <v>40501</v>
      </c>
      <c r="N331" s="1314">
        <v>6.69</v>
      </c>
      <c r="O331" s="1314">
        <f t="shared" si="58"/>
        <v>1.4970059880240532E-3</v>
      </c>
      <c r="Q331" s="1326">
        <v>40501</v>
      </c>
      <c r="R331" s="1314">
        <v>11.85</v>
      </c>
      <c r="S331" s="1314">
        <f t="shared" si="59"/>
        <v>2.2433132010353737E-2</v>
      </c>
      <c r="U331" s="1326">
        <v>40501</v>
      </c>
      <c r="V331" s="1314">
        <v>23.17</v>
      </c>
      <c r="W331" s="1314">
        <f t="shared" si="60"/>
        <v>-3.0949393559180194E-2</v>
      </c>
      <c r="Y331" s="1326">
        <v>40501</v>
      </c>
      <c r="Z331" s="1314">
        <v>13.96</v>
      </c>
      <c r="AA331" s="1314">
        <f t="shared" si="61"/>
        <v>-3.5245335176226661E-2</v>
      </c>
      <c r="AC331" s="1326">
        <v>40501</v>
      </c>
      <c r="AD331" s="1314">
        <v>15.86</v>
      </c>
      <c r="AE331" s="1314">
        <f t="shared" si="62"/>
        <v>-1.2594458438288003E-3</v>
      </c>
      <c r="AG331" s="1326">
        <v>40501</v>
      </c>
      <c r="AH331" s="1314">
        <v>5.4</v>
      </c>
      <c r="AI331" s="1314">
        <f t="shared" si="63"/>
        <v>3.8461538461538491E-2</v>
      </c>
      <c r="AK331" s="1326">
        <v>40501</v>
      </c>
      <c r="AL331" s="1314">
        <v>0.77</v>
      </c>
      <c r="AN331" s="1326">
        <v>40501</v>
      </c>
      <c r="AO331" s="1314">
        <v>-0.61</v>
      </c>
      <c r="AQ331" s="1326">
        <v>40501</v>
      </c>
      <c r="AR331" s="1327">
        <v>2.9</v>
      </c>
      <c r="AT331" s="1326">
        <v>40501</v>
      </c>
      <c r="AU331" s="1314">
        <v>712.11</v>
      </c>
      <c r="AV331" s="1314">
        <f t="shared" si="64"/>
        <v>5.2797266965004296E-3</v>
      </c>
      <c r="AX331" s="1314">
        <v>4.2443999999999997</v>
      </c>
      <c r="AY331" s="1314">
        <f t="shared" si="65"/>
        <v>8.3386786401539233E-3</v>
      </c>
    </row>
    <row r="332" spans="1:51" x14ac:dyDescent="0.75">
      <c r="A332" s="1326">
        <v>40494</v>
      </c>
      <c r="B332" s="1314">
        <v>710.74</v>
      </c>
      <c r="C332" s="1314">
        <f t="shared" si="55"/>
        <v>-1.923860077796976E-3</v>
      </c>
      <c r="E332" s="1326">
        <v>40494</v>
      </c>
      <c r="F332" s="1314">
        <v>10.64</v>
      </c>
      <c r="G332" s="1314">
        <f t="shared" si="56"/>
        <v>-3.1847133757961749E-2</v>
      </c>
      <c r="I332" s="1326">
        <v>40494</v>
      </c>
      <c r="J332" s="1314">
        <v>20.23</v>
      </c>
      <c r="K332" s="1314">
        <f t="shared" si="57"/>
        <v>1.3527054108216412E-2</v>
      </c>
      <c r="M332" s="1326">
        <v>40494</v>
      </c>
      <c r="N332" s="1314">
        <v>6.69</v>
      </c>
      <c r="O332" s="1314">
        <f t="shared" si="58"/>
        <v>0</v>
      </c>
      <c r="Q332" s="1326">
        <v>40494</v>
      </c>
      <c r="R332" s="1314">
        <v>11.84</v>
      </c>
      <c r="S332" s="1314">
        <f t="shared" si="59"/>
        <v>-8.4388185654006641E-4</v>
      </c>
      <c r="U332" s="1326">
        <v>40494</v>
      </c>
      <c r="V332" s="1314">
        <v>23.05</v>
      </c>
      <c r="W332" s="1314">
        <f t="shared" si="60"/>
        <v>-5.1791109192922307E-3</v>
      </c>
      <c r="Y332" s="1326">
        <v>40494</v>
      </c>
      <c r="Z332" s="1314">
        <v>13.71</v>
      </c>
      <c r="AA332" s="1314">
        <f t="shared" si="61"/>
        <v>-1.7908309455587391E-2</v>
      </c>
      <c r="AC332" s="1326">
        <v>40494</v>
      </c>
      <c r="AD332" s="1314">
        <v>15.28</v>
      </c>
      <c r="AE332" s="1314">
        <f t="shared" si="62"/>
        <v>-3.6569987389659525E-2</v>
      </c>
      <c r="AG332" s="1326">
        <v>40494</v>
      </c>
      <c r="AH332" s="1314">
        <v>5</v>
      </c>
      <c r="AI332" s="1314">
        <f t="shared" si="63"/>
        <v>-7.4074074074074139E-2</v>
      </c>
      <c r="AK332" s="1326">
        <v>40494</v>
      </c>
      <c r="AL332" s="1314">
        <v>0.04</v>
      </c>
      <c r="AN332" s="1326">
        <v>40494</v>
      </c>
      <c r="AO332" s="1314">
        <v>-0.62</v>
      </c>
      <c r="AQ332" s="1326">
        <v>40494</v>
      </c>
      <c r="AR332" s="1327">
        <v>2.71</v>
      </c>
      <c r="AT332" s="1326">
        <v>40494</v>
      </c>
      <c r="AU332" s="1314">
        <v>710.74</v>
      </c>
      <c r="AV332" s="1314">
        <f t="shared" si="64"/>
        <v>-1.923860077796976E-3</v>
      </c>
      <c r="AX332" s="1314">
        <v>4.2843999999999998</v>
      </c>
      <c r="AY332" s="1314">
        <f t="shared" si="65"/>
        <v>9.4241824521722837E-3</v>
      </c>
    </row>
    <row r="333" spans="1:51" x14ac:dyDescent="0.75">
      <c r="A333" s="1326">
        <v>40487</v>
      </c>
      <c r="B333" s="1314">
        <v>726.14</v>
      </c>
      <c r="C333" s="1314">
        <f t="shared" si="55"/>
        <v>2.1667557756704248E-2</v>
      </c>
      <c r="E333" s="1326">
        <v>40487</v>
      </c>
      <c r="F333" s="1314">
        <v>11.38</v>
      </c>
      <c r="G333" s="1314">
        <f t="shared" si="56"/>
        <v>6.9548872180451138E-2</v>
      </c>
      <c r="I333" s="1326">
        <v>40487</v>
      </c>
      <c r="J333" s="1314">
        <v>20.68</v>
      </c>
      <c r="K333" s="1314">
        <f t="shared" si="57"/>
        <v>2.2244191794364768E-2</v>
      </c>
      <c r="M333" s="1326">
        <v>40487</v>
      </c>
      <c r="N333" s="1314">
        <v>6.9</v>
      </c>
      <c r="O333" s="1314">
        <f t="shared" si="58"/>
        <v>3.1390134529147976E-2</v>
      </c>
      <c r="Q333" s="1326">
        <v>40487</v>
      </c>
      <c r="R333" s="1314">
        <v>11.68</v>
      </c>
      <c r="S333" s="1314">
        <f t="shared" si="59"/>
        <v>-1.3513513513513526E-2</v>
      </c>
      <c r="U333" s="1326">
        <v>40487</v>
      </c>
      <c r="V333" s="1314">
        <v>22.62</v>
      </c>
      <c r="W333" s="1314">
        <f t="shared" si="60"/>
        <v>-1.865509761388285E-2</v>
      </c>
      <c r="Y333" s="1326">
        <v>40487</v>
      </c>
      <c r="Z333" s="1314">
        <v>13.84</v>
      </c>
      <c r="AA333" s="1314">
        <f t="shared" si="61"/>
        <v>9.4821298322391688E-3</v>
      </c>
      <c r="AC333" s="1326">
        <v>40487</v>
      </c>
      <c r="AD333" s="1314">
        <v>15.33</v>
      </c>
      <c r="AE333" s="1314">
        <f t="shared" si="62"/>
        <v>3.2722513089005704E-3</v>
      </c>
      <c r="AG333" s="1326">
        <v>40487</v>
      </c>
      <c r="AH333" s="1314">
        <v>5.0804999999999998</v>
      </c>
      <c r="AI333" s="1314">
        <f t="shared" si="63"/>
        <v>1.6099999999999958E-2</v>
      </c>
      <c r="AK333" s="1326">
        <v>40487</v>
      </c>
      <c r="AL333" s="1314">
        <v>0.97</v>
      </c>
      <c r="AN333" s="1326">
        <v>40487</v>
      </c>
      <c r="AO333" s="1314">
        <v>1.51</v>
      </c>
      <c r="AQ333" s="1326">
        <v>40487</v>
      </c>
      <c r="AR333" s="1327">
        <v>2.65</v>
      </c>
      <c r="AT333" s="1326">
        <v>40487</v>
      </c>
      <c r="AU333" s="1314">
        <v>726.14</v>
      </c>
      <c r="AV333" s="1314">
        <f t="shared" si="64"/>
        <v>2.1667557756704248E-2</v>
      </c>
      <c r="AX333" s="1314">
        <v>4.1192000000000002</v>
      </c>
      <c r="AY333" s="1314">
        <f t="shared" si="65"/>
        <v>-3.8558491270656234E-2</v>
      </c>
    </row>
    <row r="334" spans="1:51" x14ac:dyDescent="0.75">
      <c r="A334" s="1326">
        <v>40480</v>
      </c>
      <c r="B334" s="1314">
        <v>700.37</v>
      </c>
      <c r="C334" s="1314">
        <f t="shared" si="55"/>
        <v>-3.5489024155121576E-2</v>
      </c>
      <c r="E334" s="1326">
        <v>40480</v>
      </c>
      <c r="F334" s="1314">
        <v>10.24</v>
      </c>
      <c r="G334" s="1314">
        <f t="shared" si="56"/>
        <v>-0.10017574692442886</v>
      </c>
      <c r="I334" s="1326">
        <v>40480</v>
      </c>
      <c r="J334" s="1314">
        <v>19.739999999999998</v>
      </c>
      <c r="K334" s="1314">
        <f t="shared" si="57"/>
        <v>-4.5454545454545518E-2</v>
      </c>
      <c r="M334" s="1326">
        <v>40480</v>
      </c>
      <c r="N334" s="1314">
        <v>6.65</v>
      </c>
      <c r="O334" s="1314">
        <f t="shared" si="58"/>
        <v>-3.6231884057971016E-2</v>
      </c>
      <c r="Q334" s="1326">
        <v>40480</v>
      </c>
      <c r="R334" s="1314">
        <v>11.21</v>
      </c>
      <c r="S334" s="1314">
        <f t="shared" si="59"/>
        <v>-4.0239726027397164E-2</v>
      </c>
      <c r="U334" s="1326">
        <v>40480</v>
      </c>
      <c r="V334" s="1314">
        <v>21.41</v>
      </c>
      <c r="W334" s="1314">
        <f t="shared" si="60"/>
        <v>-5.3492484526967324E-2</v>
      </c>
      <c r="Y334" s="1326">
        <v>40480</v>
      </c>
      <c r="Z334" s="1314">
        <v>11.3</v>
      </c>
      <c r="AA334" s="1314">
        <f t="shared" si="61"/>
        <v>-0.18352601156069359</v>
      </c>
      <c r="AC334" s="1326">
        <v>40480</v>
      </c>
      <c r="AD334" s="1314">
        <v>14.1</v>
      </c>
      <c r="AE334" s="1314">
        <f t="shared" si="62"/>
        <v>-8.0234833659491217E-2</v>
      </c>
      <c r="AG334" s="1326">
        <v>40480</v>
      </c>
      <c r="AH334" s="1314">
        <v>5.04</v>
      </c>
      <c r="AI334" s="1314">
        <f t="shared" si="63"/>
        <v>-7.9716563330380404E-3</v>
      </c>
      <c r="AK334" s="1326">
        <v>40480</v>
      </c>
      <c r="AL334" s="1314">
        <v>-0.03</v>
      </c>
      <c r="AN334" s="1326">
        <v>40480</v>
      </c>
      <c r="AO334" s="1314">
        <v>-1.06</v>
      </c>
      <c r="AQ334" s="1326">
        <v>40480</v>
      </c>
      <c r="AR334" s="1327">
        <v>2.71</v>
      </c>
      <c r="AT334" s="1326">
        <v>40480</v>
      </c>
      <c r="AU334" s="1314">
        <v>700.37</v>
      </c>
      <c r="AV334" s="1314">
        <f t="shared" si="64"/>
        <v>-3.5489024155121576E-2</v>
      </c>
      <c r="AX334" s="1314">
        <v>3.9828000000000001</v>
      </c>
      <c r="AY334" s="1314">
        <f t="shared" si="65"/>
        <v>-3.3113225869100815E-2</v>
      </c>
    </row>
    <row r="335" spans="1:51" x14ac:dyDescent="0.75">
      <c r="A335" s="1326">
        <v>40473</v>
      </c>
      <c r="B335" s="1314">
        <v>699.42</v>
      </c>
      <c r="C335" s="1314">
        <f t="shared" si="55"/>
        <v>-1.3564258891729307E-3</v>
      </c>
      <c r="E335" s="1326">
        <v>40473</v>
      </c>
      <c r="F335" s="1314">
        <v>10.5</v>
      </c>
      <c r="G335" s="1314">
        <f t="shared" si="56"/>
        <v>2.5390624999999979E-2</v>
      </c>
      <c r="I335" s="1326">
        <v>40473</v>
      </c>
      <c r="J335" s="1314">
        <v>19.45</v>
      </c>
      <c r="K335" s="1314">
        <f t="shared" si="57"/>
        <v>-1.4690982776089117E-2</v>
      </c>
      <c r="M335" s="1326">
        <v>40473</v>
      </c>
      <c r="N335" s="1314">
        <v>6.62</v>
      </c>
      <c r="O335" s="1314">
        <f t="shared" si="58"/>
        <v>-4.5112781954887594E-3</v>
      </c>
      <c r="Q335" s="1326">
        <v>40473</v>
      </c>
      <c r="R335" s="1314">
        <v>11.35</v>
      </c>
      <c r="S335" s="1314">
        <f t="shared" si="59"/>
        <v>1.2488849241748329E-2</v>
      </c>
      <c r="U335" s="1326">
        <v>40473</v>
      </c>
      <c r="V335" s="1314">
        <v>20.72</v>
      </c>
      <c r="W335" s="1314">
        <f t="shared" si="60"/>
        <v>-3.2227930873423696E-2</v>
      </c>
      <c r="Y335" s="1326">
        <v>40473</v>
      </c>
      <c r="Z335" s="1314">
        <v>10.55</v>
      </c>
      <c r="AA335" s="1314">
        <f t="shared" si="61"/>
        <v>-6.6371681415929196E-2</v>
      </c>
      <c r="AC335" s="1326">
        <v>40473</v>
      </c>
      <c r="AD335" s="1314">
        <v>13.34</v>
      </c>
      <c r="AE335" s="1314">
        <f t="shared" si="62"/>
        <v>-5.3900709219858144E-2</v>
      </c>
      <c r="AG335" s="1326">
        <v>40473</v>
      </c>
      <c r="AH335" s="1314">
        <v>4.6399999999999997</v>
      </c>
      <c r="AI335" s="1314">
        <f t="shared" si="63"/>
        <v>-7.936507936507943E-2</v>
      </c>
      <c r="AK335" s="1326">
        <v>40473</v>
      </c>
      <c r="AL335" s="1314">
        <v>-0.61</v>
      </c>
      <c r="AN335" s="1326">
        <v>40473</v>
      </c>
      <c r="AO335" s="1314">
        <v>0.32</v>
      </c>
      <c r="AQ335" s="1326">
        <v>40473</v>
      </c>
      <c r="AR335" s="1327">
        <v>2.68</v>
      </c>
      <c r="AT335" s="1326">
        <v>40473</v>
      </c>
      <c r="AU335" s="1314">
        <v>699.42</v>
      </c>
      <c r="AV335" s="1314">
        <f t="shared" si="64"/>
        <v>-1.3564258891729307E-3</v>
      </c>
      <c r="AX335" s="1314">
        <v>3.9293</v>
      </c>
      <c r="AY335" s="1314">
        <f t="shared" si="65"/>
        <v>-1.3432760871748543E-2</v>
      </c>
    </row>
    <row r="336" spans="1:51" x14ac:dyDescent="0.75">
      <c r="A336" s="1326">
        <v>40466</v>
      </c>
      <c r="B336" s="1314">
        <v>695.85</v>
      </c>
      <c r="C336" s="1314">
        <f t="shared" si="55"/>
        <v>-5.1042292184952341E-3</v>
      </c>
      <c r="E336" s="1326">
        <v>40466</v>
      </c>
      <c r="F336" s="1314">
        <v>10.44</v>
      </c>
      <c r="G336" s="1314">
        <f t="shared" si="56"/>
        <v>-5.714285714285762E-3</v>
      </c>
      <c r="I336" s="1326">
        <v>40466</v>
      </c>
      <c r="J336" s="1314">
        <v>19.91</v>
      </c>
      <c r="K336" s="1314">
        <f t="shared" si="57"/>
        <v>2.3650385604113155E-2</v>
      </c>
      <c r="M336" s="1326">
        <v>40466</v>
      </c>
      <c r="N336" s="1314">
        <v>6.66</v>
      </c>
      <c r="O336" s="1314">
        <f t="shared" si="58"/>
        <v>6.0422960725075581E-3</v>
      </c>
      <c r="Q336" s="1326">
        <v>40466</v>
      </c>
      <c r="R336" s="1314">
        <v>11.67</v>
      </c>
      <c r="S336" s="1314">
        <f t="shared" si="59"/>
        <v>2.8193832599118968E-2</v>
      </c>
      <c r="U336" s="1326">
        <v>40466</v>
      </c>
      <c r="V336" s="1314">
        <v>20.81</v>
      </c>
      <c r="W336" s="1314">
        <f t="shared" si="60"/>
        <v>4.3436293436293367E-3</v>
      </c>
      <c r="Y336" s="1326">
        <v>40466</v>
      </c>
      <c r="Z336" s="1314">
        <v>10.26</v>
      </c>
      <c r="AA336" s="1314">
        <f t="shared" si="61"/>
        <v>-2.7488151658767859E-2</v>
      </c>
      <c r="AC336" s="1326">
        <v>40466</v>
      </c>
      <c r="AD336" s="1314">
        <v>13.11</v>
      </c>
      <c r="AE336" s="1314">
        <f t="shared" si="62"/>
        <v>-1.7241379310344859E-2</v>
      </c>
      <c r="AG336" s="1326">
        <v>40466</v>
      </c>
      <c r="AH336" s="1314">
        <v>4.4800000000000004</v>
      </c>
      <c r="AI336" s="1314">
        <f t="shared" si="63"/>
        <v>-3.4482758620689495E-2</v>
      </c>
      <c r="AK336" s="1326">
        <v>40466</v>
      </c>
      <c r="AL336" s="1314">
        <v>1.23</v>
      </c>
      <c r="AN336" s="1326">
        <v>40466</v>
      </c>
      <c r="AO336" s="1314">
        <v>-2.12</v>
      </c>
      <c r="AQ336" s="1326">
        <v>40466</v>
      </c>
      <c r="AR336" s="1327">
        <v>2.66</v>
      </c>
      <c r="AT336" s="1326">
        <v>40466</v>
      </c>
      <c r="AU336" s="1314">
        <v>695.85</v>
      </c>
      <c r="AV336" s="1314">
        <f t="shared" si="64"/>
        <v>-5.1042292184952341E-3</v>
      </c>
      <c r="AX336" s="1314">
        <v>3.9790999999999999</v>
      </c>
      <c r="AY336" s="1314">
        <f t="shared" si="65"/>
        <v>1.2674013183009657E-2</v>
      </c>
    </row>
    <row r="337" spans="1:51" x14ac:dyDescent="0.75">
      <c r="A337" s="1326">
        <v>40459</v>
      </c>
      <c r="B337" s="1314">
        <v>688.85</v>
      </c>
      <c r="C337" s="1314">
        <f t="shared" si="55"/>
        <v>-1.0059639290076885E-2</v>
      </c>
      <c r="E337" s="1326">
        <v>40459</v>
      </c>
      <c r="F337" s="1314">
        <v>9.6300000000000008</v>
      </c>
      <c r="G337" s="1314">
        <f t="shared" si="56"/>
        <v>-7.7586206896551602E-2</v>
      </c>
      <c r="I337" s="1326">
        <v>40459</v>
      </c>
      <c r="J337" s="1314">
        <v>20.02</v>
      </c>
      <c r="K337" s="1314">
        <f t="shared" si="57"/>
        <v>5.5248618784530098E-3</v>
      </c>
      <c r="M337" s="1326">
        <v>40459</v>
      </c>
      <c r="N337" s="1314">
        <v>6</v>
      </c>
      <c r="O337" s="1314">
        <f t="shared" si="58"/>
        <v>-9.9099099099099114E-2</v>
      </c>
      <c r="Q337" s="1326">
        <v>40459</v>
      </c>
      <c r="R337" s="1314">
        <v>11.38</v>
      </c>
      <c r="S337" s="1314">
        <f t="shared" si="59"/>
        <v>-2.4850042844901384E-2</v>
      </c>
      <c r="U337" s="1326">
        <v>40459</v>
      </c>
      <c r="V337" s="1314">
        <v>20.74</v>
      </c>
      <c r="W337" s="1314">
        <f t="shared" si="60"/>
        <v>-3.3637674195098649E-3</v>
      </c>
      <c r="Y337" s="1326">
        <v>40459</v>
      </c>
      <c r="Z337" s="1314">
        <v>9.82</v>
      </c>
      <c r="AA337" s="1314">
        <f t="shared" si="61"/>
        <v>-4.2884990253411255E-2</v>
      </c>
      <c r="AC337" s="1326">
        <v>40459</v>
      </c>
      <c r="AD337" s="1314">
        <v>12.64</v>
      </c>
      <c r="AE337" s="1314">
        <f t="shared" si="62"/>
        <v>-3.5850495804729127E-2</v>
      </c>
      <c r="AG337" s="1326">
        <v>40459</v>
      </c>
      <c r="AH337" s="1314">
        <v>3.7612999999999999</v>
      </c>
      <c r="AI337" s="1314">
        <f t="shared" si="63"/>
        <v>-0.16042410714285726</v>
      </c>
      <c r="AK337" s="1326">
        <v>40459</v>
      </c>
      <c r="AL337" s="1314">
        <v>0.59</v>
      </c>
      <c r="AN337" s="1326">
        <v>40459</v>
      </c>
      <c r="AO337" s="1314">
        <v>0.19</v>
      </c>
      <c r="AQ337" s="1326">
        <v>40459</v>
      </c>
      <c r="AR337" s="1327">
        <v>2.66</v>
      </c>
      <c r="AT337" s="1326">
        <v>40459</v>
      </c>
      <c r="AU337" s="1314">
        <v>688.85</v>
      </c>
      <c r="AV337" s="1314">
        <f t="shared" si="64"/>
        <v>-1.0059639290076885E-2</v>
      </c>
      <c r="AX337" s="1314">
        <v>3.7488999999999999</v>
      </c>
      <c r="AY337" s="1314">
        <f t="shared" si="65"/>
        <v>-5.7852278153351255E-2</v>
      </c>
    </row>
    <row r="338" spans="1:51" x14ac:dyDescent="0.75">
      <c r="A338" s="1326">
        <v>40452</v>
      </c>
      <c r="B338" s="1314">
        <v>677.68</v>
      </c>
      <c r="C338" s="1314">
        <f t="shared" si="55"/>
        <v>-1.621543151629538E-2</v>
      </c>
      <c r="E338" s="1326">
        <v>40452</v>
      </c>
      <c r="F338" s="1314">
        <v>9.51</v>
      </c>
      <c r="G338" s="1314">
        <f t="shared" si="56"/>
        <v>-1.2461059190031255E-2</v>
      </c>
      <c r="I338" s="1326">
        <v>40452</v>
      </c>
      <c r="J338" s="1314">
        <v>20.86</v>
      </c>
      <c r="K338" s="1314">
        <f t="shared" si="57"/>
        <v>4.1958041958041953E-2</v>
      </c>
      <c r="M338" s="1326">
        <v>40452</v>
      </c>
      <c r="N338" s="1314">
        <v>5.97</v>
      </c>
      <c r="O338" s="1314">
        <f t="shared" si="58"/>
        <v>-5.0000000000000417E-3</v>
      </c>
      <c r="Q338" s="1326">
        <v>40452</v>
      </c>
      <c r="R338" s="1314">
        <v>11.5</v>
      </c>
      <c r="S338" s="1314">
        <f t="shared" si="59"/>
        <v>1.0544815465729281E-2</v>
      </c>
      <c r="U338" s="1326">
        <v>40452</v>
      </c>
      <c r="V338" s="1314">
        <v>20.22</v>
      </c>
      <c r="W338" s="1314">
        <f t="shared" si="60"/>
        <v>-2.5072324011571823E-2</v>
      </c>
      <c r="Y338" s="1326">
        <v>40452</v>
      </c>
      <c r="Z338" s="1314">
        <v>9.56</v>
      </c>
      <c r="AA338" s="1314">
        <f t="shared" si="61"/>
        <v>-2.6476578411405272E-2</v>
      </c>
      <c r="AC338" s="1326">
        <v>40452</v>
      </c>
      <c r="AD338" s="1314">
        <v>12.96</v>
      </c>
      <c r="AE338" s="1314">
        <f t="shared" si="62"/>
        <v>2.5316455696202552E-2</v>
      </c>
      <c r="AG338" s="1326">
        <v>40452</v>
      </c>
      <c r="AH338" s="1314">
        <v>3.2</v>
      </c>
      <c r="AI338" s="1314">
        <f t="shared" si="63"/>
        <v>-0.14923031930449571</v>
      </c>
      <c r="AK338" s="1326">
        <v>40452</v>
      </c>
      <c r="AL338" s="1314">
        <v>1.4</v>
      </c>
      <c r="AN338" s="1326">
        <v>40452</v>
      </c>
      <c r="AO338" s="1314">
        <v>-0.06</v>
      </c>
      <c r="AQ338" s="1326">
        <v>40452</v>
      </c>
      <c r="AR338" s="1327">
        <v>2.75</v>
      </c>
      <c r="AT338" s="1326">
        <v>40452</v>
      </c>
      <c r="AU338" s="1314">
        <v>677.68</v>
      </c>
      <c r="AV338" s="1314">
        <f t="shared" si="64"/>
        <v>-1.621543151629538E-2</v>
      </c>
      <c r="AX338" s="1314">
        <v>3.7147000000000001</v>
      </c>
      <c r="AY338" s="1314">
        <f t="shared" si="65"/>
        <v>-9.1226759849555306E-3</v>
      </c>
    </row>
    <row r="339" spans="1:51" x14ac:dyDescent="0.75">
      <c r="A339" s="1326">
        <v>40445</v>
      </c>
      <c r="B339" s="1314">
        <v>677.44</v>
      </c>
      <c r="C339" s="1314">
        <f t="shared" ref="C339:C360" si="66">(B339-B338)/B338</f>
        <v>-3.5414945106819652E-4</v>
      </c>
      <c r="E339" s="1326">
        <v>40445</v>
      </c>
      <c r="F339" s="1314">
        <v>8.74</v>
      </c>
      <c r="G339" s="1314">
        <f t="shared" si="56"/>
        <v>-8.0967402733964203E-2</v>
      </c>
      <c r="I339" s="1326">
        <v>40445</v>
      </c>
      <c r="J339" s="1314">
        <v>19.86</v>
      </c>
      <c r="K339" s="1314">
        <f t="shared" si="57"/>
        <v>-4.793863854266539E-2</v>
      </c>
      <c r="M339" s="1326">
        <v>40445</v>
      </c>
      <c r="N339" s="1314">
        <v>5.76</v>
      </c>
      <c r="O339" s="1314">
        <f t="shared" si="58"/>
        <v>-3.5175879396984917E-2</v>
      </c>
      <c r="Q339" s="1326">
        <v>40445</v>
      </c>
      <c r="R339" s="1314">
        <v>11.4</v>
      </c>
      <c r="S339" s="1314">
        <f t="shared" si="59"/>
        <v>-8.6956521739130124E-3</v>
      </c>
      <c r="U339" s="1326">
        <v>40445</v>
      </c>
      <c r="V339" s="1314">
        <v>19.670000000000002</v>
      </c>
      <c r="W339" s="1314">
        <f t="shared" si="60"/>
        <v>-2.7200791295746648E-2</v>
      </c>
      <c r="Y339" s="1326">
        <v>40445</v>
      </c>
      <c r="Z339" s="1314">
        <v>9.17</v>
      </c>
      <c r="AA339" s="1314">
        <f t="shared" si="61"/>
        <v>-4.0794979079497966E-2</v>
      </c>
      <c r="AC339" s="1326">
        <v>40445</v>
      </c>
      <c r="AD339" s="1314">
        <v>12.94</v>
      </c>
      <c r="AE339" s="1314">
        <f t="shared" si="62"/>
        <v>-1.5432098765433139E-3</v>
      </c>
      <c r="AG339" s="1326">
        <v>40445</v>
      </c>
      <c r="AH339" s="1314">
        <v>3.52</v>
      </c>
      <c r="AI339" s="1314">
        <f t="shared" si="63"/>
        <v>9.999999999999995E-2</v>
      </c>
      <c r="AK339" s="1326">
        <v>40445</v>
      </c>
      <c r="AL339" s="1314">
        <v>1.17</v>
      </c>
      <c r="AN339" s="1326">
        <v>40445</v>
      </c>
      <c r="AO339" s="1314">
        <v>-0.88</v>
      </c>
      <c r="AQ339" s="1326">
        <v>40445</v>
      </c>
      <c r="AR339" s="1327">
        <v>2.82</v>
      </c>
      <c r="AT339" s="1326">
        <v>40445</v>
      </c>
      <c r="AU339" s="1314">
        <v>677.44</v>
      </c>
      <c r="AV339" s="1314">
        <f t="shared" si="64"/>
        <v>-3.5414945106819652E-4</v>
      </c>
      <c r="AX339" s="1314">
        <v>3.794</v>
      </c>
      <c r="AY339" s="1314">
        <f t="shared" si="65"/>
        <v>2.1347618919428196E-2</v>
      </c>
    </row>
    <row r="340" spans="1:51" x14ac:dyDescent="0.75">
      <c r="A340" s="1326">
        <v>40438</v>
      </c>
      <c r="B340" s="1314">
        <v>663.3</v>
      </c>
      <c r="C340" s="1314">
        <f t="shared" si="66"/>
        <v>-2.0872697213037462E-2</v>
      </c>
      <c r="E340" s="1326">
        <v>40438</v>
      </c>
      <c r="F340" s="1314">
        <v>8.49</v>
      </c>
      <c r="G340" s="1314">
        <f t="shared" si="56"/>
        <v>-2.860411899313501E-2</v>
      </c>
      <c r="I340" s="1326">
        <v>40438</v>
      </c>
      <c r="J340" s="1314">
        <v>19.579999999999998</v>
      </c>
      <c r="K340" s="1314">
        <f t="shared" si="57"/>
        <v>-1.4098690835851014E-2</v>
      </c>
      <c r="M340" s="1326">
        <v>40438</v>
      </c>
      <c r="N340" s="1314">
        <v>5.79</v>
      </c>
      <c r="O340" s="1314">
        <f t="shared" si="58"/>
        <v>5.2083333333333764E-3</v>
      </c>
      <c r="Q340" s="1326">
        <v>40438</v>
      </c>
      <c r="R340" s="1314">
        <v>11.67</v>
      </c>
      <c r="S340" s="1314">
        <f t="shared" si="59"/>
        <v>2.3684210526315752E-2</v>
      </c>
      <c r="U340" s="1326">
        <v>40438</v>
      </c>
      <c r="V340" s="1314">
        <v>18.53</v>
      </c>
      <c r="W340" s="1314">
        <f t="shared" si="60"/>
        <v>-5.7956278596848015E-2</v>
      </c>
      <c r="Y340" s="1326">
        <v>40438</v>
      </c>
      <c r="Z340" s="1314">
        <v>9.14</v>
      </c>
      <c r="AA340" s="1314">
        <f t="shared" si="61"/>
        <v>-3.271537622682591E-3</v>
      </c>
      <c r="AC340" s="1326">
        <v>40438</v>
      </c>
      <c r="AD340" s="1314">
        <v>11.87</v>
      </c>
      <c r="AE340" s="1314">
        <f t="shared" si="62"/>
        <v>-8.2689335394126762E-2</v>
      </c>
      <c r="AG340" s="1326">
        <v>40438</v>
      </c>
      <c r="AH340" s="1314">
        <v>3.44</v>
      </c>
      <c r="AI340" s="1314">
        <f t="shared" si="63"/>
        <v>-2.2727272727272749E-2</v>
      </c>
      <c r="AK340" s="1326">
        <v>40438</v>
      </c>
      <c r="AL340" s="1314">
        <v>1.07</v>
      </c>
      <c r="AN340" s="1326">
        <v>40438</v>
      </c>
      <c r="AO340" s="1314">
        <v>-1.81</v>
      </c>
      <c r="AQ340" s="1326">
        <v>40438</v>
      </c>
      <c r="AR340" s="1327">
        <v>2.91</v>
      </c>
      <c r="AT340" s="1326">
        <v>40438</v>
      </c>
      <c r="AU340" s="1314">
        <v>663.3</v>
      </c>
      <c r="AV340" s="1314">
        <f t="shared" si="64"/>
        <v>-2.0872697213037462E-2</v>
      </c>
      <c r="AX340" s="1314">
        <v>3.9033000000000002</v>
      </c>
      <c r="AY340" s="1314">
        <f t="shared" si="65"/>
        <v>2.8808645229309482E-2</v>
      </c>
    </row>
    <row r="341" spans="1:51" x14ac:dyDescent="0.75">
      <c r="A341" s="1326">
        <v>40431</v>
      </c>
      <c r="B341" s="1314">
        <v>652.84</v>
      </c>
      <c r="C341" s="1314">
        <f t="shared" si="66"/>
        <v>-1.5769636665158938E-2</v>
      </c>
      <c r="E341" s="1326">
        <v>40431</v>
      </c>
      <c r="F341" s="1314">
        <v>8.89</v>
      </c>
      <c r="G341" s="1314">
        <f t="shared" si="56"/>
        <v>4.7114252061248571E-2</v>
      </c>
      <c r="I341" s="1326">
        <v>40431</v>
      </c>
      <c r="J341" s="1314">
        <v>18.61</v>
      </c>
      <c r="K341" s="1314">
        <f t="shared" si="57"/>
        <v>-4.9540347293156227E-2</v>
      </c>
      <c r="M341" s="1326">
        <v>40431</v>
      </c>
      <c r="N341" s="1314">
        <v>5.69</v>
      </c>
      <c r="O341" s="1314">
        <f t="shared" si="58"/>
        <v>-1.7271157167530162E-2</v>
      </c>
      <c r="Q341" s="1326">
        <v>40431</v>
      </c>
      <c r="R341" s="1314">
        <v>11.23</v>
      </c>
      <c r="S341" s="1314">
        <f t="shared" si="59"/>
        <v>-3.7703513281919412E-2</v>
      </c>
      <c r="U341" s="1326">
        <v>40431</v>
      </c>
      <c r="V341" s="1314">
        <v>16.809999999999999</v>
      </c>
      <c r="W341" s="1314">
        <f t="shared" si="60"/>
        <v>-9.2822450080949942E-2</v>
      </c>
      <c r="Y341" s="1326">
        <v>40431</v>
      </c>
      <c r="Z341" s="1314">
        <v>8.44</v>
      </c>
      <c r="AA341" s="1314">
        <f t="shared" si="61"/>
        <v>-7.658643326039398E-2</v>
      </c>
      <c r="AC341" s="1326">
        <v>40431</v>
      </c>
      <c r="AD341" s="1314">
        <v>11.62</v>
      </c>
      <c r="AE341" s="1314">
        <f t="shared" si="62"/>
        <v>-2.1061499578770009E-2</v>
      </c>
      <c r="AG341" s="1326">
        <v>40431</v>
      </c>
      <c r="AH341" s="1314">
        <v>3.48</v>
      </c>
      <c r="AI341" s="1314">
        <f t="shared" si="63"/>
        <v>1.1627906976744196E-2</v>
      </c>
      <c r="AK341" s="1326">
        <v>40431</v>
      </c>
      <c r="AL341" s="1314">
        <v>-1.33</v>
      </c>
      <c r="AN341" s="1326">
        <v>40431</v>
      </c>
      <c r="AO341" s="1314">
        <v>-0.2</v>
      </c>
      <c r="AQ341" s="1326">
        <v>40431</v>
      </c>
      <c r="AR341" s="1327">
        <v>2.96</v>
      </c>
      <c r="AT341" s="1326">
        <v>40431</v>
      </c>
      <c r="AU341" s="1314">
        <v>652.84</v>
      </c>
      <c r="AV341" s="1314">
        <f t="shared" si="64"/>
        <v>-1.5769636665158938E-2</v>
      </c>
      <c r="AX341" s="1314">
        <v>3.8687</v>
      </c>
      <c r="AY341" s="1314">
        <f t="shared" si="65"/>
        <v>-8.8642943150667852E-3</v>
      </c>
    </row>
    <row r="342" spans="1:51" x14ac:dyDescent="0.75">
      <c r="A342" s="1326">
        <v>40424</v>
      </c>
      <c r="B342" s="1314">
        <v>651.17999999999995</v>
      </c>
      <c r="C342" s="1314">
        <f t="shared" si="66"/>
        <v>-2.5427363519393447E-3</v>
      </c>
      <c r="E342" s="1326">
        <v>40424</v>
      </c>
      <c r="F342" s="1314">
        <v>9.6</v>
      </c>
      <c r="G342" s="1314">
        <f t="shared" si="56"/>
        <v>7.9865016872890784E-2</v>
      </c>
      <c r="I342" s="1326">
        <v>40424</v>
      </c>
      <c r="J342" s="1314">
        <v>19.059999999999999</v>
      </c>
      <c r="K342" s="1314">
        <f t="shared" si="57"/>
        <v>2.4180548092423391E-2</v>
      </c>
      <c r="M342" s="1326">
        <v>40424</v>
      </c>
      <c r="N342" s="1314">
        <v>5.89</v>
      </c>
      <c r="O342" s="1314">
        <f t="shared" si="58"/>
        <v>3.514938488576437E-2</v>
      </c>
      <c r="Q342" s="1326">
        <v>40424</v>
      </c>
      <c r="R342" s="1314">
        <v>11.45</v>
      </c>
      <c r="S342" s="1314">
        <f t="shared" si="59"/>
        <v>1.9590382902938457E-2</v>
      </c>
      <c r="U342" s="1326">
        <v>40424</v>
      </c>
      <c r="V342" s="1314">
        <v>17.66</v>
      </c>
      <c r="W342" s="1314">
        <f t="shared" si="60"/>
        <v>5.0565139797739529E-2</v>
      </c>
      <c r="Y342" s="1326">
        <v>40424</v>
      </c>
      <c r="Z342" s="1314">
        <v>8.36</v>
      </c>
      <c r="AA342" s="1314">
        <f t="shared" si="61"/>
        <v>-9.4786729857819999E-3</v>
      </c>
      <c r="AC342" s="1326">
        <v>40424</v>
      </c>
      <c r="AD342" s="1314">
        <v>11.53</v>
      </c>
      <c r="AE342" s="1314">
        <f t="shared" si="62"/>
        <v>-7.7452667814113477E-3</v>
      </c>
      <c r="AG342" s="1326">
        <v>40424</v>
      </c>
      <c r="AH342" s="1314">
        <v>3.4</v>
      </c>
      <c r="AI342" s="1314">
        <f t="shared" si="63"/>
        <v>-2.2988505747126457E-2</v>
      </c>
      <c r="AK342" s="1326">
        <v>40424</v>
      </c>
      <c r="AL342" s="1314">
        <v>0.11</v>
      </c>
      <c r="AN342" s="1326">
        <v>40424</v>
      </c>
      <c r="AO342" s="1314">
        <v>0.78</v>
      </c>
      <c r="AQ342" s="1326">
        <v>40424</v>
      </c>
      <c r="AR342" s="1327">
        <v>2.91</v>
      </c>
      <c r="AT342" s="1326">
        <v>40424</v>
      </c>
      <c r="AU342" s="1314">
        <v>651.17999999999995</v>
      </c>
      <c r="AV342" s="1314">
        <f t="shared" si="64"/>
        <v>-2.5427363519393447E-3</v>
      </c>
      <c r="AX342" s="1314">
        <v>3.7810999999999999</v>
      </c>
      <c r="AY342" s="1314">
        <f t="shared" si="65"/>
        <v>-2.2643265179517699E-2</v>
      </c>
    </row>
    <row r="343" spans="1:51" x14ac:dyDescent="0.75">
      <c r="A343" s="1326">
        <v>40417</v>
      </c>
      <c r="B343" s="1314">
        <v>627</v>
      </c>
      <c r="C343" s="1314">
        <f t="shared" si="66"/>
        <v>-3.7132590067262432E-2</v>
      </c>
      <c r="E343" s="1326">
        <v>40417</v>
      </c>
      <c r="F343" s="1314">
        <v>9.3699999999999992</v>
      </c>
      <c r="G343" s="1314">
        <f t="shared" si="56"/>
        <v>-2.395833333333338E-2</v>
      </c>
      <c r="I343" s="1326">
        <v>40417</v>
      </c>
      <c r="J343" s="1314">
        <v>18.399999999999999</v>
      </c>
      <c r="K343" s="1314">
        <f t="shared" si="57"/>
        <v>-3.4627492130115435E-2</v>
      </c>
      <c r="M343" s="1326">
        <v>40417</v>
      </c>
      <c r="N343" s="1314">
        <v>5.69</v>
      </c>
      <c r="O343" s="1314">
        <f t="shared" si="58"/>
        <v>-3.3955857385398865E-2</v>
      </c>
      <c r="Q343" s="1326">
        <v>40417</v>
      </c>
      <c r="R343" s="1314">
        <v>11.14</v>
      </c>
      <c r="S343" s="1314">
        <f t="shared" si="59"/>
        <v>-2.7074235807860152E-2</v>
      </c>
      <c r="U343" s="1326">
        <v>40417</v>
      </c>
      <c r="V343" s="1314">
        <v>17.329999999999998</v>
      </c>
      <c r="W343" s="1314">
        <f t="shared" si="60"/>
        <v>-1.8686296715741894E-2</v>
      </c>
      <c r="Y343" s="1326">
        <v>40417</v>
      </c>
      <c r="Z343" s="1314">
        <v>7.98</v>
      </c>
      <c r="AA343" s="1314">
        <f t="shared" si="61"/>
        <v>-4.5454545454545338E-2</v>
      </c>
      <c r="AC343" s="1326">
        <v>40417</v>
      </c>
      <c r="AD343" s="1314">
        <v>10.57</v>
      </c>
      <c r="AE343" s="1314">
        <f t="shared" si="62"/>
        <v>-8.326105810928007E-2</v>
      </c>
      <c r="AG343" s="1326">
        <v>40417</v>
      </c>
      <c r="AH343" s="1314">
        <v>3.3239999999999998</v>
      </c>
      <c r="AI343" s="1314">
        <f t="shared" si="63"/>
        <v>-2.235294117647061E-2</v>
      </c>
      <c r="AK343" s="1326">
        <v>40417</v>
      </c>
      <c r="AL343" s="1314">
        <v>1.1000000000000001</v>
      </c>
      <c r="AN343" s="1326">
        <v>40417</v>
      </c>
      <c r="AO343" s="1314">
        <v>-0.23</v>
      </c>
      <c r="AQ343" s="1326">
        <v>40417</v>
      </c>
      <c r="AR343" s="1327">
        <v>2.85</v>
      </c>
      <c r="AT343" s="1326">
        <v>40417</v>
      </c>
      <c r="AU343" s="1314">
        <v>627</v>
      </c>
      <c r="AV343" s="1314">
        <f t="shared" si="64"/>
        <v>-3.7132590067262432E-2</v>
      </c>
      <c r="AX343" s="1314">
        <v>3.6896</v>
      </c>
      <c r="AY343" s="1314">
        <f t="shared" si="65"/>
        <v>-2.4199307079950258E-2</v>
      </c>
    </row>
    <row r="344" spans="1:51" x14ac:dyDescent="0.75">
      <c r="A344" s="1326">
        <v>40410</v>
      </c>
      <c r="B344" s="1314">
        <v>630.25</v>
      </c>
      <c r="C344" s="1314">
        <f t="shared" si="66"/>
        <v>5.1834130781499201E-3</v>
      </c>
      <c r="E344" s="1326">
        <v>40410</v>
      </c>
      <c r="F344" s="1314">
        <v>8.69</v>
      </c>
      <c r="G344" s="1314">
        <f t="shared" si="56"/>
        <v>-7.2572038420490897E-2</v>
      </c>
      <c r="I344" s="1326">
        <v>40410</v>
      </c>
      <c r="J344" s="1314">
        <v>19.38</v>
      </c>
      <c r="K344" s="1314">
        <f t="shared" si="57"/>
        <v>5.3260869565217417E-2</v>
      </c>
      <c r="M344" s="1326">
        <v>40410</v>
      </c>
      <c r="N344" s="1314">
        <v>6.41</v>
      </c>
      <c r="O344" s="1314">
        <f t="shared" si="58"/>
        <v>0.12653778558875214</v>
      </c>
      <c r="Q344" s="1326">
        <v>40410</v>
      </c>
      <c r="R344" s="1314">
        <v>10.82</v>
      </c>
      <c r="S344" s="1314">
        <f t="shared" si="59"/>
        <v>-2.8725314183123903E-2</v>
      </c>
      <c r="U344" s="1326">
        <v>40410</v>
      </c>
      <c r="V344" s="1314">
        <v>16.39</v>
      </c>
      <c r="W344" s="1314">
        <f t="shared" si="60"/>
        <v>-5.424120023081349E-2</v>
      </c>
      <c r="Y344" s="1326">
        <v>40410</v>
      </c>
      <c r="Z344" s="1314">
        <v>8.4700000000000006</v>
      </c>
      <c r="AA344" s="1314">
        <f t="shared" si="61"/>
        <v>6.1403508771929849E-2</v>
      </c>
      <c r="AC344" s="1326">
        <v>40410</v>
      </c>
      <c r="AD344" s="1314">
        <v>10.41</v>
      </c>
      <c r="AE344" s="1314">
        <f>(AD344-AD343)/AD343</f>
        <v>-1.5137180700094621E-2</v>
      </c>
      <c r="AG344" s="1326">
        <v>40410</v>
      </c>
      <c r="AH344" s="1314">
        <v>3.68</v>
      </c>
      <c r="AI344" s="1314">
        <f t="shared" si="63"/>
        <v>0.10709987966305666</v>
      </c>
      <c r="AK344" s="1326">
        <v>40410</v>
      </c>
      <c r="AL344" s="1314">
        <v>1.02</v>
      </c>
      <c r="AN344" s="1326">
        <v>40410</v>
      </c>
      <c r="AO344" s="1314">
        <v>-0.97</v>
      </c>
      <c r="AQ344" s="1326">
        <v>40410</v>
      </c>
      <c r="AR344" s="1327">
        <v>2.88</v>
      </c>
      <c r="AT344" s="1326">
        <v>40410</v>
      </c>
      <c r="AU344" s="1314">
        <v>630.25</v>
      </c>
      <c r="AV344" s="1314">
        <f t="shared" si="64"/>
        <v>5.1834130781499201E-3</v>
      </c>
      <c r="AX344" s="1314">
        <v>3.6600999999999999</v>
      </c>
      <c r="AY344" s="1314">
        <f t="shared" si="65"/>
        <v>-7.9954466608846714E-3</v>
      </c>
    </row>
    <row r="345" spans="1:51" x14ac:dyDescent="0.75">
      <c r="A345" s="1326">
        <v>40403</v>
      </c>
      <c r="B345" s="1314">
        <v>633.4</v>
      </c>
      <c r="C345" s="1314">
        <f t="shared" si="66"/>
        <v>4.9980166600554973E-3</v>
      </c>
      <c r="E345" s="1326">
        <v>40403</v>
      </c>
      <c r="F345" s="1314">
        <v>9.01</v>
      </c>
      <c r="G345" s="1314">
        <f t="shared" si="56"/>
        <v>3.6823935558112808E-2</v>
      </c>
      <c r="I345" s="1326">
        <v>40403</v>
      </c>
      <c r="J345" s="1314">
        <v>18.71</v>
      </c>
      <c r="K345" s="1314">
        <f t="shared" si="57"/>
        <v>-3.4571723426212495E-2</v>
      </c>
      <c r="M345" s="1326">
        <v>40403</v>
      </c>
      <c r="N345" s="1314">
        <v>6.26</v>
      </c>
      <c r="O345" s="1314">
        <f t="shared" si="58"/>
        <v>-2.3400936037441554E-2</v>
      </c>
      <c r="Q345" s="1326">
        <v>40403</v>
      </c>
      <c r="R345" s="1314">
        <v>10.45</v>
      </c>
      <c r="S345" s="1314">
        <f t="shared" si="59"/>
        <v>-3.4195933456562015E-2</v>
      </c>
      <c r="U345" s="1326">
        <v>40403</v>
      </c>
      <c r="V345" s="1314">
        <v>16.239999999999998</v>
      </c>
      <c r="W345" s="1314">
        <f t="shared" si="60"/>
        <v>-9.1519219035998862E-3</v>
      </c>
      <c r="Y345" s="1326">
        <v>40403</v>
      </c>
      <c r="Z345" s="1314">
        <v>8.52</v>
      </c>
      <c r="AA345" s="1314">
        <f t="shared" si="61"/>
        <v>5.9031877213694137E-3</v>
      </c>
      <c r="AC345" s="1326">
        <v>40403</v>
      </c>
      <c r="AD345" s="1314">
        <v>10.4</v>
      </c>
      <c r="AE345" s="1314">
        <f t="shared" si="62"/>
        <v>-9.6061479346779889E-4</v>
      </c>
      <c r="AG345" s="1326">
        <v>40403</v>
      </c>
      <c r="AH345" s="1314">
        <v>3.72</v>
      </c>
      <c r="AI345" s="1314">
        <f t="shared" si="63"/>
        <v>1.0869565217391313E-2</v>
      </c>
      <c r="AK345" s="1326">
        <v>40403</v>
      </c>
      <c r="AL345" s="1314">
        <v>-2.48</v>
      </c>
      <c r="AN345" s="1326">
        <v>40403</v>
      </c>
      <c r="AO345" s="1314">
        <v>-0.62</v>
      </c>
      <c r="AQ345" s="1326">
        <v>40403</v>
      </c>
      <c r="AR345" s="1327">
        <v>2.98</v>
      </c>
      <c r="AT345" s="1326">
        <v>40403</v>
      </c>
      <c r="AU345" s="1314">
        <v>633.4</v>
      </c>
      <c r="AV345" s="1314">
        <f t="shared" si="64"/>
        <v>4.9980166600554973E-3</v>
      </c>
      <c r="AX345" s="1314">
        <v>3.8538000000000001</v>
      </c>
      <c r="AY345" s="1314">
        <f t="shared" si="65"/>
        <v>5.2922051310073555E-2</v>
      </c>
    </row>
    <row r="346" spans="1:51" x14ac:dyDescent="0.75">
      <c r="A346" s="1326">
        <v>40396</v>
      </c>
      <c r="B346" s="1314">
        <v>660.26</v>
      </c>
      <c r="C346" s="1314">
        <f t="shared" si="66"/>
        <v>4.2406062519734791E-2</v>
      </c>
      <c r="E346" s="1326">
        <v>40396</v>
      </c>
      <c r="F346" s="1314">
        <v>9.01</v>
      </c>
      <c r="G346" s="1314">
        <f t="shared" si="56"/>
        <v>0</v>
      </c>
      <c r="I346" s="1326">
        <v>40396</v>
      </c>
      <c r="J346" s="1314">
        <v>19.170000000000002</v>
      </c>
      <c r="K346" s="1314">
        <f t="shared" si="57"/>
        <v>2.4585783003741358E-2</v>
      </c>
      <c r="M346" s="1326">
        <v>40396</v>
      </c>
      <c r="N346" s="1314">
        <v>6.87</v>
      </c>
      <c r="O346" s="1314">
        <f t="shared" si="58"/>
        <v>9.7444089456869068E-2</v>
      </c>
      <c r="Q346" s="1326">
        <v>40396</v>
      </c>
      <c r="R346" s="1314">
        <v>13.03</v>
      </c>
      <c r="S346" s="1314">
        <f t="shared" si="59"/>
        <v>0.24688995215311008</v>
      </c>
      <c r="U346" s="1326">
        <v>40396</v>
      </c>
      <c r="V346" s="1314">
        <v>17.64</v>
      </c>
      <c r="W346" s="1314">
        <f t="shared" si="60"/>
        <v>8.6206896551724282E-2</v>
      </c>
      <c r="Y346" s="1326">
        <v>40396</v>
      </c>
      <c r="Z346" s="1314">
        <v>9.09</v>
      </c>
      <c r="AA346" s="1314">
        <f t="shared" si="61"/>
        <v>6.6901408450704261E-2</v>
      </c>
      <c r="AC346" s="1326">
        <v>40396</v>
      </c>
      <c r="AD346" s="1314">
        <v>11.15</v>
      </c>
      <c r="AE346" s="1314">
        <f t="shared" si="62"/>
        <v>7.2115384615384609E-2</v>
      </c>
      <c r="AG346" s="1326">
        <v>40396</v>
      </c>
      <c r="AH346" s="1314">
        <v>3.96</v>
      </c>
      <c r="AI346" s="1314">
        <f t="shared" si="63"/>
        <v>6.4516129032257993E-2</v>
      </c>
      <c r="AK346" s="1326">
        <v>40396</v>
      </c>
      <c r="AL346" s="1314">
        <v>-1.6</v>
      </c>
      <c r="AN346" s="1326">
        <v>40396</v>
      </c>
      <c r="AO346" s="1314">
        <v>-0.66</v>
      </c>
      <c r="AQ346" s="1326">
        <v>40396</v>
      </c>
      <c r="AR346" s="1327">
        <v>3.05</v>
      </c>
      <c r="AT346" s="1326">
        <v>40396</v>
      </c>
      <c r="AU346" s="1314">
        <v>660.26</v>
      </c>
      <c r="AV346" s="1314">
        <f t="shared" si="64"/>
        <v>4.2406062519734791E-2</v>
      </c>
      <c r="AX346" s="1314">
        <v>3.9940000000000002</v>
      </c>
      <c r="AY346" s="1314">
        <f t="shared" si="65"/>
        <v>3.6379677201722999E-2</v>
      </c>
    </row>
    <row r="347" spans="1:51" x14ac:dyDescent="0.75">
      <c r="A347" s="1326">
        <v>40389</v>
      </c>
      <c r="B347" s="1314">
        <v>649.39</v>
      </c>
      <c r="C347" s="1314">
        <f t="shared" si="66"/>
        <v>-1.6463211462151281E-2</v>
      </c>
      <c r="E347" s="1326">
        <v>40389</v>
      </c>
      <c r="F347" s="1314">
        <v>8.83</v>
      </c>
      <c r="G347" s="1314">
        <f t="shared" si="56"/>
        <v>-1.997780244173138E-2</v>
      </c>
      <c r="I347" s="1326">
        <v>40389</v>
      </c>
      <c r="J347" s="1314">
        <v>19.649999999999999</v>
      </c>
      <c r="K347" s="1314">
        <f t="shared" si="57"/>
        <v>2.503912363067276E-2</v>
      </c>
      <c r="M347" s="1326">
        <v>40389</v>
      </c>
      <c r="N347" s="1314">
        <v>6.99</v>
      </c>
      <c r="O347" s="1314">
        <f t="shared" si="58"/>
        <v>1.746724890829696E-2</v>
      </c>
      <c r="Q347" s="1326">
        <v>40389</v>
      </c>
      <c r="R347" s="1314">
        <v>12.41</v>
      </c>
      <c r="S347" s="1314">
        <f t="shared" si="59"/>
        <v>-4.7582501918649212E-2</v>
      </c>
      <c r="U347" s="1326">
        <v>40389</v>
      </c>
      <c r="V347" s="1314">
        <v>17.38</v>
      </c>
      <c r="W347" s="1314">
        <f t="shared" si="60"/>
        <v>-1.4739229024943399E-2</v>
      </c>
      <c r="Y347" s="1326">
        <v>40389</v>
      </c>
      <c r="Z347" s="1314">
        <v>8.49</v>
      </c>
      <c r="AA347" s="1314">
        <f t="shared" si="61"/>
        <v>-6.6006600660065973E-2</v>
      </c>
      <c r="AC347" s="1326">
        <v>40389</v>
      </c>
      <c r="AD347" s="1314">
        <v>10.6</v>
      </c>
      <c r="AE347" s="1314">
        <f t="shared" si="62"/>
        <v>-4.9327354260089745E-2</v>
      </c>
      <c r="AG347" s="1326">
        <v>40389</v>
      </c>
      <c r="AH347" s="1314">
        <v>3.6067999999999998</v>
      </c>
      <c r="AI347" s="1314">
        <f t="shared" si="63"/>
        <v>-8.9191919191919239E-2</v>
      </c>
      <c r="AK347" s="1326">
        <v>40389</v>
      </c>
      <c r="AL347" s="1314">
        <v>0</v>
      </c>
      <c r="AN347" s="1326">
        <v>40389</v>
      </c>
      <c r="AO347" s="1314">
        <v>0.94</v>
      </c>
      <c r="AQ347" s="1326">
        <v>40389</v>
      </c>
      <c r="AR347" s="1327">
        <v>3.12</v>
      </c>
      <c r="AT347" s="1326">
        <v>40389</v>
      </c>
      <c r="AU347" s="1314">
        <v>649.39</v>
      </c>
      <c r="AV347" s="1314">
        <f t="shared" si="64"/>
        <v>-1.6463211462151281E-2</v>
      </c>
      <c r="AX347" s="1314">
        <v>3.9881000000000002</v>
      </c>
      <c r="AY347" s="1314">
        <f t="shared" si="65"/>
        <v>-1.4772158237356073E-3</v>
      </c>
    </row>
    <row r="348" spans="1:51" x14ac:dyDescent="0.75">
      <c r="A348" s="1326">
        <v>40382</v>
      </c>
      <c r="B348" s="1314">
        <v>650.28</v>
      </c>
      <c r="C348" s="1314">
        <f t="shared" si="66"/>
        <v>1.3705169466730106E-3</v>
      </c>
      <c r="E348" s="1326">
        <v>40382</v>
      </c>
      <c r="F348" s="1314">
        <v>8.73</v>
      </c>
      <c r="G348" s="1314">
        <f t="shared" si="56"/>
        <v>-1.1325028312570741E-2</v>
      </c>
      <c r="I348" s="1326">
        <v>40382</v>
      </c>
      <c r="J348" s="1314">
        <v>18.989999999999998</v>
      </c>
      <c r="K348" s="1314">
        <f t="shared" si="57"/>
        <v>-3.3587786259541993E-2</v>
      </c>
      <c r="M348" s="1326">
        <v>40382</v>
      </c>
      <c r="N348" s="1314">
        <v>7.13</v>
      </c>
      <c r="O348" s="1314">
        <f t="shared" si="58"/>
        <v>2.002861230329037E-2</v>
      </c>
      <c r="Q348" s="1326">
        <v>40382</v>
      </c>
      <c r="R348" s="1314">
        <v>12.81</v>
      </c>
      <c r="S348" s="1314">
        <f t="shared" si="59"/>
        <v>3.2232070910556035E-2</v>
      </c>
      <c r="U348" s="1326">
        <v>40382</v>
      </c>
      <c r="V348" s="1314">
        <v>17.86</v>
      </c>
      <c r="W348" s="1314">
        <f t="shared" si="60"/>
        <v>2.7617951668584606E-2</v>
      </c>
      <c r="Y348" s="1326">
        <v>40382</v>
      </c>
      <c r="Z348" s="1314">
        <v>8.85</v>
      </c>
      <c r="AA348" s="1314">
        <f t="shared" si="61"/>
        <v>4.2402826855123608E-2</v>
      </c>
      <c r="AC348" s="1326">
        <v>40382</v>
      </c>
      <c r="AD348" s="1314">
        <v>11.19</v>
      </c>
      <c r="AE348" s="1314">
        <f t="shared" si="62"/>
        <v>5.5660377358490554E-2</v>
      </c>
      <c r="AG348" s="1326">
        <v>40382</v>
      </c>
      <c r="AH348" s="1314">
        <v>3.42</v>
      </c>
      <c r="AI348" s="1314">
        <f t="shared" si="63"/>
        <v>-5.1791061328601493E-2</v>
      </c>
      <c r="AK348" s="1326">
        <v>40382</v>
      </c>
      <c r="AL348" s="1314">
        <v>2.84</v>
      </c>
      <c r="AN348" s="1326">
        <v>40382</v>
      </c>
      <c r="AO348" s="1314">
        <v>-0.12</v>
      </c>
      <c r="AQ348" s="1326">
        <v>40382</v>
      </c>
      <c r="AR348" s="1327">
        <v>3.16</v>
      </c>
      <c r="AT348" s="1326">
        <v>40382</v>
      </c>
      <c r="AU348" s="1314">
        <v>650.28</v>
      </c>
      <c r="AV348" s="1314">
        <f t="shared" si="64"/>
        <v>1.3705169466730106E-3</v>
      </c>
      <c r="AX348" s="1314">
        <v>4.0141999999999998</v>
      </c>
      <c r="AY348" s="1314">
        <f t="shared" si="65"/>
        <v>6.5444697976478937E-3</v>
      </c>
    </row>
    <row r="349" spans="1:51" x14ac:dyDescent="0.75">
      <c r="A349" s="1326">
        <v>40375</v>
      </c>
      <c r="B349" s="1314">
        <v>625.9</v>
      </c>
      <c r="C349" s="1314">
        <f t="shared" si="66"/>
        <v>-3.7491542104939407E-2</v>
      </c>
      <c r="E349" s="1326">
        <v>40375</v>
      </c>
      <c r="F349" s="1314">
        <v>8.66</v>
      </c>
      <c r="G349" s="1314">
        <f t="shared" si="56"/>
        <v>-8.0183276059565042E-3</v>
      </c>
      <c r="I349" s="1326">
        <v>40375</v>
      </c>
      <c r="J349" s="1314">
        <v>18.079999999999998</v>
      </c>
      <c r="K349" s="1314">
        <f t="shared" si="57"/>
        <v>-4.791995787256452E-2</v>
      </c>
      <c r="M349" s="1326">
        <v>40375</v>
      </c>
      <c r="N349" s="1314">
        <v>6.79</v>
      </c>
      <c r="O349" s="1314">
        <f t="shared" si="58"/>
        <v>-4.7685834502103765E-2</v>
      </c>
      <c r="Q349" s="1326">
        <v>40375</v>
      </c>
      <c r="R349" s="1314">
        <v>13.06</v>
      </c>
      <c r="S349" s="1314">
        <f t="shared" si="59"/>
        <v>1.95160031225605E-2</v>
      </c>
      <c r="U349" s="1326">
        <v>40375</v>
      </c>
      <c r="V349" s="1314">
        <v>16.920000000000002</v>
      </c>
      <c r="W349" s="1314">
        <f t="shared" si="60"/>
        <v>-5.2631578947368293E-2</v>
      </c>
      <c r="Y349" s="1326">
        <v>40375</v>
      </c>
      <c r="Z349" s="1314">
        <v>7.83</v>
      </c>
      <c r="AA349" s="1314">
        <f t="shared" si="61"/>
        <v>-0.11525423728813555</v>
      </c>
      <c r="AC349" s="1326">
        <v>40375</v>
      </c>
      <c r="AD349" s="1314">
        <v>10.6</v>
      </c>
      <c r="AE349" s="1314">
        <f t="shared" si="62"/>
        <v>-5.2725647899910626E-2</v>
      </c>
      <c r="AG349" s="1326">
        <v>40375</v>
      </c>
      <c r="AH349" s="1314">
        <v>3.07</v>
      </c>
      <c r="AI349" s="1314">
        <f t="shared" si="63"/>
        <v>-0.10233918128654973</v>
      </c>
      <c r="AK349" s="1326">
        <v>40375</v>
      </c>
      <c r="AL349" s="1314">
        <v>-1.2</v>
      </c>
      <c r="AN349" s="1326">
        <v>40375</v>
      </c>
      <c r="AO349" s="1314">
        <v>-1.1499999999999999</v>
      </c>
      <c r="AQ349" s="1326">
        <v>40375</v>
      </c>
      <c r="AR349" s="1327">
        <v>3.27</v>
      </c>
      <c r="AT349" s="1326">
        <v>40375</v>
      </c>
      <c r="AU349" s="1314">
        <v>625.9</v>
      </c>
      <c r="AV349" s="1314">
        <f t="shared" si="64"/>
        <v>-3.7491542104939407E-2</v>
      </c>
      <c r="AX349" s="1314">
        <v>3.9379</v>
      </c>
      <c r="AY349" s="1314">
        <f t="shared" si="65"/>
        <v>-1.9007523292312246E-2</v>
      </c>
    </row>
    <row r="350" spans="1:51" x14ac:dyDescent="0.75">
      <c r="A350" s="1326">
        <v>40368</v>
      </c>
      <c r="B350" s="1314">
        <v>634.87</v>
      </c>
      <c r="C350" s="1314">
        <f t="shared" si="66"/>
        <v>1.4331362837514024E-2</v>
      </c>
      <c r="E350" s="1326">
        <v>40368</v>
      </c>
      <c r="F350" s="1314">
        <v>9.0399999999999991</v>
      </c>
      <c r="G350" s="1314">
        <f t="shared" si="56"/>
        <v>4.3879907621247001E-2</v>
      </c>
      <c r="I350" s="1326">
        <v>40368</v>
      </c>
      <c r="J350" s="1314">
        <v>18.399999999999999</v>
      </c>
      <c r="K350" s="1314">
        <f t="shared" si="57"/>
        <v>1.7699115044247805E-2</v>
      </c>
      <c r="M350" s="1326">
        <v>40368</v>
      </c>
      <c r="N350" s="1314">
        <v>7</v>
      </c>
      <c r="O350" s="1314">
        <f t="shared" si="58"/>
        <v>3.0927835051546386E-2</v>
      </c>
      <c r="Q350" s="1326">
        <v>40368</v>
      </c>
      <c r="R350" s="1314">
        <v>12.69</v>
      </c>
      <c r="S350" s="1314">
        <f t="shared" si="59"/>
        <v>-2.8330781010719831E-2</v>
      </c>
      <c r="U350" s="1326">
        <v>40368</v>
      </c>
      <c r="V350" s="1314">
        <v>17.09</v>
      </c>
      <c r="W350" s="1314">
        <f t="shared" si="60"/>
        <v>1.0047281323876958E-2</v>
      </c>
      <c r="Y350" s="1326">
        <v>40368</v>
      </c>
      <c r="Z350" s="1314">
        <v>7.54</v>
      </c>
      <c r="AA350" s="1314">
        <f t="shared" si="61"/>
        <v>-3.7037037037037042E-2</v>
      </c>
      <c r="AC350" s="1326">
        <v>40368</v>
      </c>
      <c r="AD350" s="1314">
        <v>10.83</v>
      </c>
      <c r="AE350" s="1314">
        <f t="shared" si="62"/>
        <v>2.169811320754721E-2</v>
      </c>
      <c r="AG350" s="1326">
        <v>40368</v>
      </c>
      <c r="AH350" s="1314">
        <v>3.32</v>
      </c>
      <c r="AI350" s="1314">
        <f t="shared" si="63"/>
        <v>8.1433224755700334E-2</v>
      </c>
      <c r="AK350" s="1326">
        <v>40368</v>
      </c>
      <c r="AL350" s="1314">
        <v>-0.82</v>
      </c>
      <c r="AN350" s="1326">
        <v>40368</v>
      </c>
      <c r="AO350" s="1314">
        <v>1.1499999999999999</v>
      </c>
      <c r="AQ350" s="1326">
        <v>40368</v>
      </c>
      <c r="AR350" s="1327">
        <v>3.35</v>
      </c>
      <c r="AT350" s="1326">
        <v>40368</v>
      </c>
      <c r="AU350" s="1314">
        <v>634.87</v>
      </c>
      <c r="AV350" s="1314">
        <f t="shared" si="64"/>
        <v>1.4331362837514024E-2</v>
      </c>
      <c r="AX350" s="1314">
        <v>4.0361000000000002</v>
      </c>
      <c r="AY350" s="1314">
        <f t="shared" si="65"/>
        <v>2.493714924198184E-2</v>
      </c>
    </row>
    <row r="351" spans="1:51" x14ac:dyDescent="0.75">
      <c r="A351" s="1326">
        <v>40361</v>
      </c>
      <c r="B351" s="1314">
        <v>602.36</v>
      </c>
      <c r="C351" s="1314">
        <f t="shared" si="66"/>
        <v>-5.120733378486933E-2</v>
      </c>
      <c r="E351" s="1326">
        <v>40361</v>
      </c>
      <c r="F351" s="1314">
        <v>8.48</v>
      </c>
      <c r="G351" s="1314">
        <f t="shared" si="56"/>
        <v>-6.1946902654867124E-2</v>
      </c>
      <c r="I351" s="1326">
        <v>40361</v>
      </c>
      <c r="J351" s="1314">
        <v>17.28</v>
      </c>
      <c r="K351" s="1314">
        <f t="shared" si="57"/>
        <v>-6.0869565217391168E-2</v>
      </c>
      <c r="M351" s="1326">
        <v>40361</v>
      </c>
      <c r="N351" s="1314">
        <v>6.9</v>
      </c>
      <c r="O351" s="1314">
        <f t="shared" si="58"/>
        <v>-1.4285714285714235E-2</v>
      </c>
      <c r="Q351" s="1326">
        <v>40361</v>
      </c>
      <c r="R351" s="1314">
        <v>13.56</v>
      </c>
      <c r="S351" s="1314">
        <f t="shared" si="59"/>
        <v>6.8557919621749494E-2</v>
      </c>
      <c r="U351" s="1326">
        <v>40361</v>
      </c>
      <c r="V351" s="1314">
        <v>16.28</v>
      </c>
      <c r="W351" s="1314">
        <f t="shared" si="60"/>
        <v>-4.7396138092451655E-2</v>
      </c>
      <c r="Y351" s="1326">
        <v>40361</v>
      </c>
      <c r="Z351" s="1314">
        <v>6.6837999999999997</v>
      </c>
      <c r="AA351" s="1314">
        <f t="shared" si="61"/>
        <v>-0.11355437665782497</v>
      </c>
      <c r="AC351" s="1326">
        <v>40361</v>
      </c>
      <c r="AD351" s="1314">
        <v>10.029999999999999</v>
      </c>
      <c r="AE351" s="1314">
        <f t="shared" si="62"/>
        <v>-7.3868882733148733E-2</v>
      </c>
      <c r="AG351" s="1326">
        <v>40361</v>
      </c>
      <c r="AH351" s="1314">
        <v>3.2</v>
      </c>
      <c r="AI351" s="1314">
        <f t="shared" si="63"/>
        <v>-3.6144578313252913E-2</v>
      </c>
      <c r="AK351" s="1326">
        <v>40361</v>
      </c>
      <c r="AL351" s="1314">
        <v>-1.52</v>
      </c>
      <c r="AN351" s="1326">
        <v>40361</v>
      </c>
      <c r="AO351" s="1314">
        <v>-2.0699999999999998</v>
      </c>
      <c r="AQ351" s="1326">
        <v>40361</v>
      </c>
      <c r="AR351" s="1327">
        <v>3.39</v>
      </c>
      <c r="AT351" s="1326">
        <v>40361</v>
      </c>
      <c r="AU351" s="1314">
        <v>602.36</v>
      </c>
      <c r="AV351" s="1314">
        <f t="shared" si="64"/>
        <v>-5.120733378486933E-2</v>
      </c>
      <c r="AX351" s="1314">
        <v>3.9424999999999999</v>
      </c>
      <c r="AY351" s="1314">
        <f t="shared" si="65"/>
        <v>-2.3190703897326713E-2</v>
      </c>
    </row>
    <row r="352" spans="1:51" x14ac:dyDescent="0.75">
      <c r="A352" s="1326">
        <v>40354</v>
      </c>
      <c r="B352" s="1314">
        <v>636.23</v>
      </c>
      <c r="C352" s="1314">
        <f t="shared" si="66"/>
        <v>5.622883325586029E-2</v>
      </c>
      <c r="E352" s="1326">
        <v>40354</v>
      </c>
      <c r="F352" s="1314">
        <v>9.3000000000000007</v>
      </c>
      <c r="G352" s="1314">
        <f t="shared" si="56"/>
        <v>9.6698113207547204E-2</v>
      </c>
      <c r="I352" s="1326">
        <v>40354</v>
      </c>
      <c r="J352" s="1314">
        <v>18.309999999999999</v>
      </c>
      <c r="K352" s="1314">
        <f t="shared" si="57"/>
        <v>5.9606481481481337E-2</v>
      </c>
      <c r="M352" s="1326">
        <v>40354</v>
      </c>
      <c r="N352" s="1314">
        <v>7.23</v>
      </c>
      <c r="O352" s="1314">
        <f t="shared" si="58"/>
        <v>4.7826086956521748E-2</v>
      </c>
      <c r="Q352" s="1326">
        <v>40354</v>
      </c>
      <c r="R352" s="1314">
        <v>13.8</v>
      </c>
      <c r="S352" s="1314">
        <f t="shared" si="59"/>
        <v>1.7699115044247801E-2</v>
      </c>
      <c r="U352" s="1326">
        <v>40354</v>
      </c>
      <c r="V352" s="1314">
        <v>17.3475</v>
      </c>
      <c r="W352" s="1314">
        <f t="shared" si="60"/>
        <v>6.5571253071253E-2</v>
      </c>
      <c r="Y352" s="1326">
        <v>40354</v>
      </c>
      <c r="Z352" s="1314">
        <v>7.2055999999999996</v>
      </c>
      <c r="AA352" s="1314">
        <f t="shared" si="61"/>
        <v>7.8069361740327331E-2</v>
      </c>
      <c r="AC352" s="1326">
        <v>40354</v>
      </c>
      <c r="AD352" s="1314">
        <v>10.7</v>
      </c>
      <c r="AE352" s="1314">
        <f t="shared" si="62"/>
        <v>6.6799601196410763E-2</v>
      </c>
      <c r="AG352" s="1326">
        <v>40354</v>
      </c>
      <c r="AH352" s="1314">
        <v>3.4</v>
      </c>
      <c r="AI352" s="1314">
        <f t="shared" si="63"/>
        <v>6.2499999999999917E-2</v>
      </c>
      <c r="AK352" s="1326">
        <v>40354</v>
      </c>
      <c r="AL352" s="1314">
        <v>0.17</v>
      </c>
      <c r="AN352" s="1326">
        <v>40354</v>
      </c>
      <c r="AO352" s="1314">
        <v>-0.4</v>
      </c>
      <c r="AQ352" s="1326">
        <v>40354</v>
      </c>
      <c r="AR352" s="1327">
        <v>3.54</v>
      </c>
      <c r="AT352" s="1326">
        <v>40354</v>
      </c>
      <c r="AU352" s="1314">
        <v>636.23</v>
      </c>
      <c r="AV352" s="1314">
        <f t="shared" si="64"/>
        <v>5.622883325586029E-2</v>
      </c>
      <c r="AX352" s="1314">
        <v>4.0625</v>
      </c>
      <c r="AY352" s="1314">
        <f t="shared" si="65"/>
        <v>3.043753963221309E-2</v>
      </c>
    </row>
    <row r="353" spans="1:51" x14ac:dyDescent="0.75">
      <c r="A353" s="1326">
        <v>40347</v>
      </c>
      <c r="B353" s="1314">
        <v>660.71</v>
      </c>
      <c r="C353" s="1314">
        <f t="shared" si="66"/>
        <v>3.8476651525391786E-2</v>
      </c>
      <c r="E353" s="1326">
        <v>40347</v>
      </c>
      <c r="F353" s="1314">
        <v>9.5</v>
      </c>
      <c r="G353" s="1314">
        <f t="shared" si="56"/>
        <v>2.1505376344085943E-2</v>
      </c>
      <c r="I353" s="1326">
        <v>40347</v>
      </c>
      <c r="J353" s="1314">
        <v>18.940000000000001</v>
      </c>
      <c r="K353" s="1314">
        <f t="shared" si="57"/>
        <v>3.4407427635172176E-2</v>
      </c>
      <c r="M353" s="1326">
        <v>40347</v>
      </c>
      <c r="N353" s="1314">
        <v>7.33</v>
      </c>
      <c r="O353" s="1314">
        <f t="shared" si="58"/>
        <v>1.3831258644536604E-2</v>
      </c>
      <c r="Q353" s="1326">
        <v>40347</v>
      </c>
      <c r="R353" s="1314">
        <v>14.75</v>
      </c>
      <c r="S353" s="1314">
        <f t="shared" si="59"/>
        <v>6.8840579710144872E-2</v>
      </c>
      <c r="U353" s="1326">
        <v>40347</v>
      </c>
      <c r="V353" s="1314">
        <v>17.989999999999998</v>
      </c>
      <c r="W353" s="1314">
        <f t="shared" si="60"/>
        <v>3.7037037037036938E-2</v>
      </c>
      <c r="Y353" s="1326">
        <v>40347</v>
      </c>
      <c r="Z353" s="1314">
        <v>7.8982999999999999</v>
      </c>
      <c r="AA353" s="1314">
        <f t="shared" si="61"/>
        <v>9.6133562784500998E-2</v>
      </c>
      <c r="AC353" s="1326">
        <v>40347</v>
      </c>
      <c r="AD353" s="1314">
        <v>11.51</v>
      </c>
      <c r="AE353" s="1314">
        <f t="shared" si="62"/>
        <v>7.57009345794393E-2</v>
      </c>
      <c r="AG353" s="1326">
        <v>40347</v>
      </c>
      <c r="AH353" s="1314">
        <v>4.12</v>
      </c>
      <c r="AI353" s="1314">
        <f t="shared" si="63"/>
        <v>0.21176470588235299</v>
      </c>
      <c r="AK353" s="1326">
        <v>40347</v>
      </c>
      <c r="AL353" s="1314">
        <v>0.36</v>
      </c>
      <c r="AN353" s="1326">
        <v>40347</v>
      </c>
      <c r="AO353" s="1314">
        <v>0.38</v>
      </c>
      <c r="AQ353" s="1326">
        <v>40347</v>
      </c>
      <c r="AR353" s="1327">
        <v>3.67</v>
      </c>
      <c r="AT353" s="1326">
        <v>40347</v>
      </c>
      <c r="AU353" s="1314">
        <v>660.71</v>
      </c>
      <c r="AV353" s="1314">
        <f t="shared" si="64"/>
        <v>3.8476651525391786E-2</v>
      </c>
      <c r="AX353" s="1314">
        <v>4.1439000000000004</v>
      </c>
      <c r="AY353" s="1314">
        <f t="shared" si="65"/>
        <v>2.0036923076923167E-2</v>
      </c>
    </row>
    <row r="354" spans="1:51" x14ac:dyDescent="0.75">
      <c r="A354" s="1326">
        <v>40340</v>
      </c>
      <c r="B354" s="1314">
        <v>645.69000000000005</v>
      </c>
      <c r="C354" s="1314">
        <f t="shared" si="66"/>
        <v>-2.2733120431051416E-2</v>
      </c>
      <c r="E354" s="1326">
        <v>40340</v>
      </c>
      <c r="F354" s="1314">
        <v>8.8450000000000006</v>
      </c>
      <c r="G354" s="1314">
        <f t="shared" si="56"/>
        <v>-6.8947368421052563E-2</v>
      </c>
      <c r="I354" s="1326">
        <v>40340</v>
      </c>
      <c r="J354" s="1314">
        <v>18.579999999999998</v>
      </c>
      <c r="K354" s="1314">
        <f t="shared" si="57"/>
        <v>-1.9007391763463725E-2</v>
      </c>
      <c r="M354" s="1326">
        <v>40340</v>
      </c>
      <c r="N354" s="1314">
        <v>7.07</v>
      </c>
      <c r="O354" s="1314">
        <f t="shared" si="58"/>
        <v>-3.5470668485675275E-2</v>
      </c>
      <c r="Q354" s="1326">
        <v>40340</v>
      </c>
      <c r="R354" s="1314">
        <v>14.38</v>
      </c>
      <c r="S354" s="1314">
        <f t="shared" si="59"/>
        <v>-2.5084745762711812E-2</v>
      </c>
      <c r="U354" s="1326">
        <v>40340</v>
      </c>
      <c r="V354" s="1314">
        <v>17.48</v>
      </c>
      <c r="W354" s="1314">
        <f t="shared" si="60"/>
        <v>-2.8349082823790887E-2</v>
      </c>
      <c r="Y354" s="1326">
        <v>40340</v>
      </c>
      <c r="Z354" s="1314">
        <v>7.9972000000000003</v>
      </c>
      <c r="AA354" s="1314">
        <f t="shared" si="61"/>
        <v>1.2521681880911137E-2</v>
      </c>
      <c r="AC354" s="1326">
        <v>40340</v>
      </c>
      <c r="AD354" s="1314">
        <v>10.77</v>
      </c>
      <c r="AE354" s="1314">
        <f t="shared" si="62"/>
        <v>-6.4291920069504793E-2</v>
      </c>
      <c r="AG354" s="1326">
        <v>40340</v>
      </c>
      <c r="AH354" s="1314">
        <v>3.8</v>
      </c>
      <c r="AI354" s="1314">
        <f t="shared" si="63"/>
        <v>-7.7669902912621422E-2</v>
      </c>
      <c r="AK354" s="1326">
        <v>40340</v>
      </c>
      <c r="AL354" s="1314">
        <v>-0.48</v>
      </c>
      <c r="AN354" s="1326">
        <v>40340</v>
      </c>
      <c r="AO354" s="1314">
        <v>-0.14000000000000001</v>
      </c>
      <c r="AQ354" s="1326">
        <v>40340</v>
      </c>
      <c r="AR354" s="1327">
        <v>3.66</v>
      </c>
      <c r="AT354" s="1326">
        <v>40340</v>
      </c>
      <c r="AU354" s="1314">
        <v>645.69000000000005</v>
      </c>
      <c r="AV354" s="1314">
        <f t="shared" si="64"/>
        <v>-2.2733120431051416E-2</v>
      </c>
      <c r="AX354" s="1314">
        <v>4.1493000000000002</v>
      </c>
      <c r="AY354" s="1314">
        <f t="shared" si="65"/>
        <v>1.3031202490407223E-3</v>
      </c>
    </row>
    <row r="355" spans="1:51" x14ac:dyDescent="0.75">
      <c r="A355" s="1326">
        <v>40333</v>
      </c>
      <c r="B355" s="1314">
        <v>629.97</v>
      </c>
      <c r="C355" s="1314">
        <f t="shared" si="66"/>
        <v>-2.434604841332532E-2</v>
      </c>
      <c r="E355" s="1326">
        <v>40333</v>
      </c>
      <c r="F355" s="1314">
        <v>9.0500000000000007</v>
      </c>
      <c r="G355" s="1314">
        <f t="shared" si="56"/>
        <v>2.3176936122102889E-2</v>
      </c>
      <c r="I355" s="1326">
        <v>40333</v>
      </c>
      <c r="J355" s="1314">
        <v>22.545000000000002</v>
      </c>
      <c r="K355" s="1314">
        <f t="shared" si="57"/>
        <v>0.21340150699677093</v>
      </c>
      <c r="M355" s="1326">
        <v>40333</v>
      </c>
      <c r="N355" s="1314">
        <v>6.76</v>
      </c>
      <c r="O355" s="1314">
        <f t="shared" si="58"/>
        <v>-4.3847241867043918E-2</v>
      </c>
      <c r="Q355" s="1326">
        <v>40333</v>
      </c>
      <c r="R355" s="1314">
        <v>15.01</v>
      </c>
      <c r="S355" s="1314">
        <f t="shared" si="59"/>
        <v>4.3810848400556254E-2</v>
      </c>
      <c r="U355" s="1326">
        <v>40333</v>
      </c>
      <c r="V355" s="1314">
        <v>17.502500000000001</v>
      </c>
      <c r="W355" s="1314">
        <f t="shared" si="60"/>
        <v>1.2871853546911243E-3</v>
      </c>
      <c r="Y355" s="1326">
        <v>40333</v>
      </c>
      <c r="Z355" s="1314">
        <v>7.6643999999999997</v>
      </c>
      <c r="AA355" s="1314">
        <f t="shared" si="61"/>
        <v>-4.1614565097784308E-2</v>
      </c>
      <c r="AC355" s="1326">
        <v>40333</v>
      </c>
      <c r="AD355" s="1314">
        <v>11.08</v>
      </c>
      <c r="AE355" s="1314">
        <f t="shared" si="62"/>
        <v>2.8783658310120752E-2</v>
      </c>
      <c r="AG355" s="1326">
        <v>40333</v>
      </c>
      <c r="AH355" s="1314">
        <v>3.8</v>
      </c>
      <c r="AI355" s="1314">
        <f t="shared" si="63"/>
        <v>0</v>
      </c>
      <c r="AK355" s="1326">
        <v>40333</v>
      </c>
      <c r="AL355" s="1314">
        <v>-1.42</v>
      </c>
      <c r="AN355" s="1326">
        <v>40333</v>
      </c>
      <c r="AO355" s="1314">
        <v>-2.19</v>
      </c>
      <c r="AQ355" s="1326">
        <v>40333</v>
      </c>
      <c r="AR355" s="1327">
        <v>3.66</v>
      </c>
      <c r="AT355" s="1326">
        <v>40333</v>
      </c>
      <c r="AU355" s="1314">
        <v>629.97</v>
      </c>
      <c r="AV355" s="1314">
        <f t="shared" si="64"/>
        <v>-2.434604841332532E-2</v>
      </c>
      <c r="AX355" s="1314">
        <v>4.1299000000000001</v>
      </c>
      <c r="AY355" s="1314">
        <f t="shared" si="65"/>
        <v>-4.675487431614991E-3</v>
      </c>
    </row>
    <row r="356" spans="1:51" x14ac:dyDescent="0.75">
      <c r="A356" s="1326">
        <v>40326</v>
      </c>
      <c r="B356" s="1314">
        <v>646.04</v>
      </c>
      <c r="C356" s="1314">
        <f t="shared" si="66"/>
        <v>2.5509151229423523E-2</v>
      </c>
      <c r="E356" s="1326">
        <v>40326</v>
      </c>
      <c r="F356" s="1314">
        <v>9.32</v>
      </c>
      <c r="G356" s="1314">
        <f t="shared" si="56"/>
        <v>2.983425414364636E-2</v>
      </c>
      <c r="I356" s="1326">
        <v>40326</v>
      </c>
      <c r="J356" s="1314">
        <v>23.44</v>
      </c>
      <c r="K356" s="1314">
        <f t="shared" si="57"/>
        <v>3.9698381015746263E-2</v>
      </c>
      <c r="M356" s="1326">
        <v>40326</v>
      </c>
      <c r="N356" s="1314">
        <v>7</v>
      </c>
      <c r="O356" s="1314">
        <f t="shared" si="58"/>
        <v>3.5502958579881692E-2</v>
      </c>
      <c r="Q356" s="1326">
        <v>40326</v>
      </c>
      <c r="R356" s="1314">
        <v>14.89</v>
      </c>
      <c r="S356" s="1314">
        <f t="shared" si="59"/>
        <v>-7.9946702198533792E-3</v>
      </c>
      <c r="U356" s="1326">
        <v>40326</v>
      </c>
      <c r="V356" s="1314">
        <v>17.61</v>
      </c>
      <c r="W356" s="1314">
        <f t="shared" si="60"/>
        <v>6.1419797171831537E-3</v>
      </c>
      <c r="Y356" s="1326">
        <v>40326</v>
      </c>
      <c r="Z356" s="1314">
        <v>8.1411999999999995</v>
      </c>
      <c r="AA356" s="1314">
        <f t="shared" si="61"/>
        <v>6.2209696779917528E-2</v>
      </c>
      <c r="AC356" s="1326">
        <v>40326</v>
      </c>
      <c r="AD356" s="1314">
        <v>11.39</v>
      </c>
      <c r="AE356" s="1314">
        <f t="shared" si="62"/>
        <v>2.7978339350180549E-2</v>
      </c>
      <c r="AG356" s="1326">
        <v>40326</v>
      </c>
      <c r="AH356" s="1314">
        <v>4.24</v>
      </c>
      <c r="AI356" s="1314">
        <f t="shared" si="63"/>
        <v>0.11578947368421064</v>
      </c>
      <c r="AK356" s="1326">
        <v>40326</v>
      </c>
      <c r="AL356" s="1314">
        <v>1.36</v>
      </c>
      <c r="AN356" s="1326">
        <v>40326</v>
      </c>
      <c r="AO356" s="1314">
        <v>0.97</v>
      </c>
      <c r="AQ356" s="1326">
        <v>40326</v>
      </c>
      <c r="AR356" s="1327">
        <v>3.57</v>
      </c>
      <c r="AT356" s="1326">
        <v>40326</v>
      </c>
      <c r="AU356" s="1314">
        <v>646.04</v>
      </c>
      <c r="AV356" s="1314">
        <f t="shared" si="64"/>
        <v>2.5509151229423523E-2</v>
      </c>
      <c r="AX356" s="1314">
        <v>4.2088000000000001</v>
      </c>
      <c r="AY356" s="1314">
        <f t="shared" si="65"/>
        <v>1.9104578803360847E-2</v>
      </c>
    </row>
    <row r="357" spans="1:51" x14ac:dyDescent="0.75">
      <c r="A357" s="1326">
        <v>40319</v>
      </c>
      <c r="B357" s="1314">
        <v>642.64</v>
      </c>
      <c r="C357" s="1314">
        <f t="shared" si="66"/>
        <v>-5.2628320227849322E-3</v>
      </c>
      <c r="E357" s="1326">
        <v>40319</v>
      </c>
      <c r="F357" s="1314">
        <v>8.64</v>
      </c>
      <c r="G357" s="1314">
        <f t="shared" si="56"/>
        <v>-7.2961373390557901E-2</v>
      </c>
      <c r="I357" s="1326">
        <v>40319</v>
      </c>
      <c r="J357" s="1314">
        <v>24.2</v>
      </c>
      <c r="K357" s="1314">
        <f t="shared" si="57"/>
        <v>3.2423208191126193E-2</v>
      </c>
      <c r="M357" s="1326">
        <v>40319</v>
      </c>
      <c r="N357" s="1314">
        <v>6.84</v>
      </c>
      <c r="O357" s="1314">
        <f t="shared" si="58"/>
        <v>-2.2857142857142878E-2</v>
      </c>
      <c r="Q357" s="1326">
        <v>40319</v>
      </c>
      <c r="R357" s="1314">
        <v>14.78</v>
      </c>
      <c r="S357" s="1314">
        <f t="shared" si="59"/>
        <v>-7.3875083948959841E-3</v>
      </c>
      <c r="U357" s="1326">
        <v>40319</v>
      </c>
      <c r="V357" s="1314">
        <v>17.579999999999998</v>
      </c>
      <c r="W357" s="1314">
        <f t="shared" si="60"/>
        <v>-1.703577512776896E-3</v>
      </c>
      <c r="Y357" s="1326">
        <v>40319</v>
      </c>
      <c r="Z357" s="1314">
        <v>8.0242000000000004</v>
      </c>
      <c r="AA357" s="1314">
        <f t="shared" si="61"/>
        <v>-1.4371345747555534E-2</v>
      </c>
      <c r="AC357" s="1326">
        <v>40319</v>
      </c>
      <c r="AD357" s="1314">
        <v>11.28</v>
      </c>
      <c r="AE357" s="1314">
        <f t="shared" si="62"/>
        <v>-9.6575943810361022E-3</v>
      </c>
      <c r="AG357" s="1326">
        <v>40319</v>
      </c>
      <c r="AH357" s="1314">
        <v>4.24</v>
      </c>
      <c r="AI357" s="1314">
        <f t="shared" si="63"/>
        <v>0</v>
      </c>
      <c r="AK357" s="1326">
        <v>40319</v>
      </c>
      <c r="AL357" s="1314">
        <v>-2.38</v>
      </c>
      <c r="AN357" s="1326">
        <v>40319</v>
      </c>
      <c r="AO357" s="1314">
        <v>-1.1000000000000001</v>
      </c>
      <c r="AQ357" s="1326">
        <v>40319</v>
      </c>
      <c r="AR357" s="1327">
        <v>3.48</v>
      </c>
      <c r="AT357" s="1326">
        <v>40319</v>
      </c>
      <c r="AU357" s="1314">
        <v>642.64</v>
      </c>
      <c r="AV357" s="1314">
        <f t="shared" si="64"/>
        <v>-5.2628320227849322E-3</v>
      </c>
      <c r="AX357" s="1314">
        <v>4.0991</v>
      </c>
      <c r="AY357" s="1314">
        <f t="shared" si="65"/>
        <v>-2.6064436418931792E-2</v>
      </c>
    </row>
    <row r="358" spans="1:51" x14ac:dyDescent="0.75">
      <c r="A358" s="1326">
        <v>40312</v>
      </c>
      <c r="B358" s="1314">
        <v>672.89</v>
      </c>
      <c r="C358" s="1314">
        <f t="shared" si="66"/>
        <v>4.7071455247105688E-2</v>
      </c>
      <c r="E358" s="1326">
        <v>40312</v>
      </c>
      <c r="F358" s="1314">
        <v>9.2200000000000006</v>
      </c>
      <c r="G358" s="1314">
        <f t="shared" si="56"/>
        <v>6.7129629629629636E-2</v>
      </c>
      <c r="I358" s="1326">
        <v>40312</v>
      </c>
      <c r="J358" s="1314">
        <v>24.13</v>
      </c>
      <c r="K358" s="1314">
        <f t="shared" si="57"/>
        <v>-2.8925619834710863E-3</v>
      </c>
      <c r="M358" s="1326">
        <v>40312</v>
      </c>
      <c r="N358" s="1314">
        <v>7.19</v>
      </c>
      <c r="O358" s="1314">
        <f t="shared" si="58"/>
        <v>5.1169590643274934E-2</v>
      </c>
      <c r="Q358" s="1326">
        <v>40312</v>
      </c>
      <c r="R358" s="1314">
        <v>14.7</v>
      </c>
      <c r="S358" s="1314">
        <f>(R358-R357)/R357</f>
        <v>-5.4127198917456069E-3</v>
      </c>
      <c r="U358" s="1326">
        <v>40312</v>
      </c>
      <c r="V358" s="1314">
        <v>17.25</v>
      </c>
      <c r="W358" s="1314">
        <f t="shared" si="60"/>
        <v>-1.8771331058020382E-2</v>
      </c>
      <c r="Y358" s="1326">
        <v>40312</v>
      </c>
      <c r="Z358" s="1314">
        <v>8.3031000000000006</v>
      </c>
      <c r="AA358" s="1314">
        <f t="shared" si="61"/>
        <v>3.4757358989058115E-2</v>
      </c>
      <c r="AC358" s="1326">
        <v>40312</v>
      </c>
      <c r="AD358" s="1314">
        <v>11.72</v>
      </c>
      <c r="AE358" s="1314">
        <f t="shared" si="62"/>
        <v>3.9007092198581679E-2</v>
      </c>
      <c r="AG358" s="1326">
        <v>40312</v>
      </c>
      <c r="AH358" s="1314">
        <v>4.5999999999999996</v>
      </c>
      <c r="AI358" s="1314">
        <f t="shared" si="63"/>
        <v>8.4905660377358347E-2</v>
      </c>
      <c r="AK358" s="1326">
        <v>40312</v>
      </c>
      <c r="AL358" s="1314">
        <v>3.75</v>
      </c>
      <c r="AN358" s="1326">
        <v>40312</v>
      </c>
      <c r="AO358" s="1314">
        <v>0.1</v>
      </c>
      <c r="AQ358" s="1326">
        <v>40312</v>
      </c>
      <c r="AR358" s="1327">
        <v>3.54</v>
      </c>
      <c r="AT358" s="1326">
        <v>40312</v>
      </c>
      <c r="AU358" s="1314">
        <v>672.89</v>
      </c>
      <c r="AV358" s="1314">
        <f t="shared" si="64"/>
        <v>4.7071455247105688E-2</v>
      </c>
      <c r="AX358" s="1314">
        <v>4.3357000000000001</v>
      </c>
      <c r="AY358" s="1314">
        <f t="shared" si="65"/>
        <v>5.771998731428854E-2</v>
      </c>
    </row>
    <row r="359" spans="1:51" x14ac:dyDescent="0.75">
      <c r="A359" s="1326">
        <v>40305</v>
      </c>
      <c r="B359" s="1314">
        <v>655.02</v>
      </c>
      <c r="C359" s="1314">
        <f t="shared" si="66"/>
        <v>-2.6557089568874565E-2</v>
      </c>
      <c r="E359" s="1326">
        <v>40305</v>
      </c>
      <c r="F359" s="1314">
        <v>7.99</v>
      </c>
      <c r="G359" s="1314">
        <f t="shared" si="56"/>
        <v>-0.13340563991323215</v>
      </c>
      <c r="I359" s="1326">
        <v>40305</v>
      </c>
      <c r="J359" s="1314">
        <v>22.31</v>
      </c>
      <c r="K359" s="1314">
        <f t="shared" si="57"/>
        <v>-7.5424782428512235E-2</v>
      </c>
      <c r="M359" s="1326">
        <v>40305</v>
      </c>
      <c r="N359" s="1314">
        <v>6.93</v>
      </c>
      <c r="O359" s="1314">
        <f t="shared" si="58"/>
        <v>-3.6161335187760872E-2</v>
      </c>
      <c r="Q359" s="1326">
        <v>40305</v>
      </c>
      <c r="R359" s="1314">
        <v>14.5</v>
      </c>
      <c r="S359" s="1314">
        <f t="shared" si="59"/>
        <v>-1.3605442176870701E-2</v>
      </c>
      <c r="U359" s="1326">
        <v>40305</v>
      </c>
      <c r="V359" s="1314">
        <v>17.079999999999998</v>
      </c>
      <c r="W359" s="1314">
        <f t="shared" si="60"/>
        <v>-9.8550724637682142E-3</v>
      </c>
      <c r="Y359" s="1326">
        <v>40305</v>
      </c>
      <c r="Z359" s="1314">
        <v>7.9432</v>
      </c>
      <c r="AA359" s="1314">
        <f t="shared" si="61"/>
        <v>-4.3345256590911894E-2</v>
      </c>
      <c r="AC359" s="1326">
        <v>40305</v>
      </c>
      <c r="AD359" s="1314">
        <v>11.37</v>
      </c>
      <c r="AE359" s="1314">
        <f t="shared" si="62"/>
        <v>-2.986348122866906E-2</v>
      </c>
      <c r="AG359" s="1326">
        <v>40305</v>
      </c>
      <c r="AH359" s="1314">
        <v>4.24</v>
      </c>
      <c r="AI359" s="1314">
        <f t="shared" si="63"/>
        <v>-7.8260869565217273E-2</v>
      </c>
      <c r="AK359" s="1326">
        <v>40305</v>
      </c>
      <c r="AL359" s="1314">
        <v>-2.1800000000000002</v>
      </c>
      <c r="AN359" s="1326">
        <v>40305</v>
      </c>
      <c r="AO359" s="1314">
        <v>-2.2200000000000002</v>
      </c>
      <c r="AQ359" s="1326">
        <v>40305</v>
      </c>
      <c r="AR359" s="1327">
        <v>3.49</v>
      </c>
      <c r="AT359" s="1326">
        <v>40305</v>
      </c>
      <c r="AU359" s="1314">
        <v>655.02</v>
      </c>
      <c r="AV359" s="1314">
        <f t="shared" si="64"/>
        <v>-2.6557089568874565E-2</v>
      </c>
      <c r="AX359" s="1314">
        <v>4.2748999999999997</v>
      </c>
      <c r="AY359" s="1314">
        <f t="shared" si="65"/>
        <v>-1.4023110455059254E-2</v>
      </c>
    </row>
    <row r="360" spans="1:51" x14ac:dyDescent="0.75">
      <c r="A360" s="1326">
        <v>40298</v>
      </c>
      <c r="B360" s="1314">
        <v>702.94</v>
      </c>
      <c r="C360" s="1314">
        <f t="shared" si="66"/>
        <v>7.3158071509267009E-2</v>
      </c>
      <c r="E360" s="1326">
        <v>40298</v>
      </c>
      <c r="F360" s="1314">
        <v>9.0299999999999994</v>
      </c>
      <c r="G360" s="1314">
        <f t="shared" si="56"/>
        <v>0.13016270337922392</v>
      </c>
      <c r="I360" s="1326">
        <v>40298</v>
      </c>
      <c r="J360" s="1314">
        <v>24.13</v>
      </c>
      <c r="K360" s="1314">
        <f t="shared" si="57"/>
        <v>8.1577767817122379E-2</v>
      </c>
      <c r="M360" s="1326">
        <v>40298</v>
      </c>
      <c r="N360" s="1314">
        <v>7.36</v>
      </c>
      <c r="O360" s="1314">
        <f t="shared" si="58"/>
        <v>6.2049062049062138E-2</v>
      </c>
      <c r="Q360" s="1326">
        <v>40298</v>
      </c>
      <c r="R360" s="1314">
        <v>17.91</v>
      </c>
      <c r="S360" s="1314">
        <f t="shared" si="59"/>
        <v>0.23517241379310347</v>
      </c>
      <c r="U360" s="1326">
        <v>40298</v>
      </c>
      <c r="V360" s="1314">
        <v>18.170000000000002</v>
      </c>
      <c r="W360" s="1314">
        <f t="shared" si="60"/>
        <v>6.3817330210773043E-2</v>
      </c>
      <c r="Y360" s="1326">
        <v>40298</v>
      </c>
      <c r="Z360" s="1314">
        <v>9.3645999999999994</v>
      </c>
      <c r="AA360" s="1314">
        <f t="shared" si="61"/>
        <v>0.17894551314331747</v>
      </c>
      <c r="AC360" s="1326">
        <v>40298</v>
      </c>
      <c r="AD360" s="1314">
        <v>12.88</v>
      </c>
      <c r="AE360" s="1314">
        <f t="shared" si="62"/>
        <v>0.13280562884784536</v>
      </c>
      <c r="AG360" s="1326">
        <v>40298</v>
      </c>
      <c r="AH360" s="1314">
        <v>5.4</v>
      </c>
      <c r="AI360" s="1314">
        <f t="shared" si="63"/>
        <v>0.27358490566037735</v>
      </c>
      <c r="AK360" s="1326">
        <v>40298</v>
      </c>
      <c r="AL360" s="1314">
        <v>-0.68</v>
      </c>
      <c r="AN360" s="1326">
        <v>40298</v>
      </c>
      <c r="AO360" s="1314">
        <v>-1.45</v>
      </c>
      <c r="AQ360" s="1326">
        <v>40298</v>
      </c>
      <c r="AR360" s="1327">
        <v>3.51</v>
      </c>
      <c r="AT360" s="1326">
        <v>40298</v>
      </c>
      <c r="AU360" s="1314">
        <v>702.94</v>
      </c>
      <c r="AV360" s="1314">
        <f t="shared" si="64"/>
        <v>7.3158071509267009E-2</v>
      </c>
      <c r="AX360" s="1314">
        <v>4.5171999999999999</v>
      </c>
      <c r="AY360" s="1314">
        <f t="shared" si="65"/>
        <v>5.6679688413764112E-2</v>
      </c>
    </row>
    <row r="361" spans="1:51" x14ac:dyDescent="0.75">
      <c r="B361" s="1326"/>
      <c r="F361" s="1326"/>
      <c r="J361" s="1326"/>
      <c r="R361" s="1326"/>
      <c r="V361" s="1326"/>
      <c r="Z361" s="1326"/>
      <c r="AD361" s="1326"/>
      <c r="AT361" s="1326">
        <v>40291</v>
      </c>
      <c r="AU361" s="1314">
        <v>721.81</v>
      </c>
      <c r="AV361" s="1314">
        <f t="shared" si="64"/>
        <v>2.6844396392295061E-2</v>
      </c>
      <c r="AX361" s="1314">
        <v>4.6597</v>
      </c>
      <c r="AY361" s="1314">
        <f t="shared" si="65"/>
        <v>3.1546090498538931E-2</v>
      </c>
    </row>
    <row r="362" spans="1:51" x14ac:dyDescent="0.75">
      <c r="B362" s="1326"/>
      <c r="F362" s="1326"/>
      <c r="J362" s="1326"/>
      <c r="R362" s="1326"/>
      <c r="V362" s="1326"/>
      <c r="Z362" s="1326"/>
      <c r="AD362" s="1326"/>
      <c r="AT362" s="1326">
        <v>40284</v>
      </c>
      <c r="AU362" s="1314">
        <v>705.24</v>
      </c>
      <c r="AV362" s="1314">
        <f t="shared" si="64"/>
        <v>-2.2956179604050841E-2</v>
      </c>
      <c r="AX362" s="1314">
        <v>4.6704999999999997</v>
      </c>
      <c r="AY362" s="1314">
        <f t="shared" si="65"/>
        <v>2.3177457776251045E-3</v>
      </c>
    </row>
    <row r="363" spans="1:51" x14ac:dyDescent="0.75">
      <c r="B363" s="1326"/>
      <c r="F363" s="1326"/>
      <c r="J363" s="1326"/>
      <c r="R363" s="1326"/>
      <c r="V363" s="1326"/>
      <c r="Z363" s="1326"/>
      <c r="AD363" s="1326"/>
      <c r="AT363" s="1326">
        <v>40277</v>
      </c>
      <c r="AU363" s="1314">
        <v>705.09</v>
      </c>
      <c r="AV363" s="1314">
        <f t="shared" si="64"/>
        <v>-2.1269355113149745E-4</v>
      </c>
      <c r="AX363" s="1314">
        <v>4.7397</v>
      </c>
      <c r="AY363" s="1314">
        <f t="shared" si="65"/>
        <v>1.4816400813617467E-2</v>
      </c>
    </row>
    <row r="364" spans="1:51" x14ac:dyDescent="0.75">
      <c r="B364" s="1326"/>
      <c r="F364" s="1326"/>
      <c r="J364" s="1326"/>
      <c r="R364" s="1326"/>
      <c r="V364" s="1326"/>
      <c r="Z364" s="1326"/>
      <c r="AD364" s="1326"/>
      <c r="AT364" s="1326">
        <v>40270</v>
      </c>
      <c r="AU364" s="1314">
        <v>694.03</v>
      </c>
      <c r="AV364" s="1314">
        <f t="shared" si="64"/>
        <v>-1.5685940801883531E-2</v>
      </c>
      <c r="AX364" s="1314">
        <v>4.806</v>
      </c>
      <c r="AY364" s="1314">
        <f t="shared" si="65"/>
        <v>1.3988227102981206E-2</v>
      </c>
    </row>
    <row r="365" spans="1:51" x14ac:dyDescent="0.75">
      <c r="B365" s="1326"/>
      <c r="F365" s="1326"/>
      <c r="J365" s="1326"/>
      <c r="R365" s="1326"/>
      <c r="V365" s="1326"/>
      <c r="Z365" s="1326"/>
      <c r="AD365" s="1326"/>
      <c r="AT365" s="1326">
        <v>40263</v>
      </c>
      <c r="AU365" s="1314">
        <v>687.07</v>
      </c>
      <c r="AV365" s="1314">
        <f t="shared" si="64"/>
        <v>-1.0028384940132159E-2</v>
      </c>
      <c r="AX365" s="1314">
        <v>4.7457000000000003</v>
      </c>
      <c r="AY365" s="1314">
        <f t="shared" si="65"/>
        <v>-1.2546816479400707E-2</v>
      </c>
    </row>
    <row r="366" spans="1:51" x14ac:dyDescent="0.75">
      <c r="B366" s="1326"/>
      <c r="F366" s="1326"/>
      <c r="J366" s="1326"/>
      <c r="R366" s="1326"/>
      <c r="V366" s="1326"/>
      <c r="Z366" s="1326"/>
      <c r="AD366" s="1326"/>
      <c r="AT366" s="1326">
        <v>40256</v>
      </c>
      <c r="AU366" s="1314">
        <v>683.05</v>
      </c>
      <c r="AV366" s="1314">
        <f t="shared" si="64"/>
        <v>-5.8509322194246517E-3</v>
      </c>
      <c r="AX366" s="1314">
        <v>4.5793999999999997</v>
      </c>
      <c r="AY366" s="1314">
        <f t="shared" si="65"/>
        <v>-3.5042248772573184E-2</v>
      </c>
    </row>
    <row r="367" spans="1:51" x14ac:dyDescent="0.75">
      <c r="B367" s="1326"/>
      <c r="F367" s="1326"/>
      <c r="J367" s="1326"/>
      <c r="R367" s="1326"/>
      <c r="V367" s="1326"/>
      <c r="Z367" s="1326"/>
      <c r="AD367" s="1326"/>
      <c r="AT367" s="1326">
        <v>40249</v>
      </c>
      <c r="AU367" s="1314">
        <v>678.5</v>
      </c>
      <c r="AV367" s="1314">
        <f t="shared" si="64"/>
        <v>-6.6612985872190247E-3</v>
      </c>
      <c r="AX367" s="1314">
        <v>4.6247999999999996</v>
      </c>
      <c r="AY367" s="1314">
        <f t="shared" si="65"/>
        <v>9.9139625278420514E-3</v>
      </c>
    </row>
    <row r="368" spans="1:51" x14ac:dyDescent="0.75">
      <c r="B368" s="1326"/>
      <c r="F368" s="1326"/>
      <c r="J368" s="1326"/>
      <c r="R368" s="1326"/>
      <c r="V368" s="1326"/>
      <c r="Z368" s="1326"/>
      <c r="AD368" s="1326"/>
      <c r="AT368" s="1326">
        <v>40242</v>
      </c>
      <c r="AU368" s="1314">
        <v>670.98</v>
      </c>
      <c r="AV368" s="1314">
        <f t="shared" si="64"/>
        <v>-1.1083271923360326E-2</v>
      </c>
      <c r="AX368" s="1314">
        <v>4.6422999999999996</v>
      </c>
      <c r="AY368" s="1314">
        <f t="shared" si="65"/>
        <v>3.78394741394224E-3</v>
      </c>
    </row>
    <row r="369" spans="2:51" x14ac:dyDescent="0.75">
      <c r="B369" s="1326"/>
      <c r="F369" s="1326"/>
      <c r="J369" s="1326"/>
      <c r="R369" s="1326"/>
      <c r="V369" s="1326"/>
      <c r="Z369" s="1326"/>
      <c r="AD369" s="1326"/>
      <c r="AT369" s="1326">
        <v>40235</v>
      </c>
      <c r="AU369" s="1314">
        <v>648.9</v>
      </c>
      <c r="AV369" s="1314">
        <f t="shared" si="64"/>
        <v>-3.2907091120450746E-2</v>
      </c>
      <c r="AX369" s="1314">
        <v>4.5566000000000004</v>
      </c>
      <c r="AY369" s="1314">
        <f t="shared" si="65"/>
        <v>-1.8460676819679733E-2</v>
      </c>
    </row>
    <row r="370" spans="2:51" x14ac:dyDescent="0.75">
      <c r="B370" s="1326"/>
      <c r="F370" s="1326"/>
      <c r="J370" s="1326"/>
      <c r="R370" s="1326"/>
      <c r="V370" s="1326"/>
      <c r="Z370" s="1326"/>
      <c r="AD370" s="1326"/>
      <c r="AT370" s="1326">
        <v>40228</v>
      </c>
      <c r="AU370" s="1314">
        <v>651.9</v>
      </c>
      <c r="AV370" s="1314">
        <f t="shared" si="64"/>
        <v>4.6232085067036523E-3</v>
      </c>
      <c r="AX370" s="1314">
        <v>4.7031000000000001</v>
      </c>
      <c r="AY370" s="1314">
        <f t="shared" si="65"/>
        <v>3.2151165342579911E-2</v>
      </c>
    </row>
    <row r="371" spans="2:51" x14ac:dyDescent="0.75">
      <c r="B371" s="1326"/>
      <c r="F371" s="1326"/>
      <c r="J371" s="1326"/>
      <c r="R371" s="1326"/>
      <c r="V371" s="1326"/>
      <c r="Z371" s="1326"/>
      <c r="AD371" s="1326"/>
      <c r="AT371" s="1326">
        <v>40221</v>
      </c>
      <c r="AU371" s="1314">
        <v>631.87</v>
      </c>
      <c r="AV371" s="1314">
        <f t="shared" si="64"/>
        <v>-3.0725571406657423E-2</v>
      </c>
      <c r="AX371" s="1314">
        <v>4.6463000000000001</v>
      </c>
      <c r="AY371" s="1314">
        <f t="shared" si="65"/>
        <v>-1.2077140609385291E-2</v>
      </c>
    </row>
    <row r="372" spans="2:51" x14ac:dyDescent="0.75">
      <c r="B372" s="1326"/>
      <c r="F372" s="1326"/>
      <c r="J372" s="1326"/>
      <c r="R372" s="1326"/>
      <c r="V372" s="1326"/>
      <c r="Z372" s="1326"/>
      <c r="AD372" s="1326"/>
      <c r="AT372" s="1326">
        <v>40214</v>
      </c>
      <c r="AU372" s="1314">
        <v>624.04</v>
      </c>
      <c r="AV372" s="1314">
        <f t="shared" si="64"/>
        <v>-1.2391789450361689E-2</v>
      </c>
      <c r="AX372" s="1314">
        <v>4.5186000000000002</v>
      </c>
      <c r="AY372" s="1314">
        <f t="shared" si="65"/>
        <v>-2.748423476744935E-2</v>
      </c>
    </row>
    <row r="373" spans="2:51" x14ac:dyDescent="0.75">
      <c r="B373" s="1326"/>
      <c r="F373" s="1326"/>
      <c r="J373" s="1326"/>
      <c r="R373" s="1326"/>
      <c r="V373" s="1326"/>
      <c r="Z373" s="1326"/>
      <c r="AD373" s="1326"/>
      <c r="AT373" s="1326">
        <v>40207</v>
      </c>
      <c r="AU373" s="1314">
        <v>628.99</v>
      </c>
      <c r="AV373" s="1314">
        <f t="shared" si="64"/>
        <v>7.9321838343696643E-3</v>
      </c>
      <c r="AX373" s="1314">
        <v>4.4884000000000004</v>
      </c>
      <c r="AY373" s="1314">
        <f t="shared" si="65"/>
        <v>-6.6834860354976723E-3</v>
      </c>
    </row>
    <row r="374" spans="2:51" x14ac:dyDescent="0.75">
      <c r="B374" s="1326"/>
      <c r="F374" s="1326"/>
      <c r="J374" s="1326"/>
      <c r="R374" s="1326"/>
      <c r="V374" s="1326"/>
      <c r="Z374" s="1326"/>
      <c r="AD374" s="1326"/>
      <c r="AT374" s="1326">
        <v>40200</v>
      </c>
      <c r="AU374" s="1314">
        <v>640.75</v>
      </c>
      <c r="AV374" s="1314">
        <f t="shared" si="64"/>
        <v>1.8696640646115186E-2</v>
      </c>
      <c r="AX374" s="1314">
        <v>4.5312000000000001</v>
      </c>
      <c r="AY374" s="1314">
        <f t="shared" si="65"/>
        <v>9.5356920060600051E-3</v>
      </c>
    </row>
    <row r="375" spans="2:51" x14ac:dyDescent="0.75">
      <c r="B375" s="1326"/>
      <c r="F375" s="1326"/>
      <c r="J375" s="1326"/>
      <c r="R375" s="1326"/>
      <c r="V375" s="1326"/>
      <c r="Z375" s="1326"/>
      <c r="AD375" s="1326"/>
      <c r="AT375" s="1326">
        <v>40193</v>
      </c>
      <c r="AU375" s="1314">
        <v>665.67</v>
      </c>
      <c r="AV375" s="1314">
        <f t="shared" si="64"/>
        <v>3.8891923527116595E-2</v>
      </c>
      <c r="AX375" s="1314">
        <v>4.5814000000000004</v>
      </c>
      <c r="AY375" s="1314">
        <f t="shared" si="65"/>
        <v>1.1078742937853161E-2</v>
      </c>
    </row>
    <row r="376" spans="2:51" x14ac:dyDescent="0.75">
      <c r="B376" s="1326"/>
      <c r="F376" s="1326"/>
      <c r="J376" s="1326"/>
      <c r="R376" s="1326"/>
      <c r="V376" s="1326"/>
      <c r="Z376" s="1326"/>
      <c r="AD376" s="1326"/>
      <c r="AT376" s="1326">
        <v>40186</v>
      </c>
      <c r="AU376" s="1314">
        <v>671.49</v>
      </c>
      <c r="AV376" s="1314">
        <f t="shared" si="64"/>
        <v>8.743070890982094E-3</v>
      </c>
      <c r="AX376" s="1314">
        <v>4.7149999999999999</v>
      </c>
      <c r="AY376" s="1314">
        <f t="shared" si="65"/>
        <v>2.9161391714323019E-2</v>
      </c>
    </row>
    <row r="377" spans="2:51" x14ac:dyDescent="0.75">
      <c r="B377" s="1326"/>
      <c r="F377" s="1326"/>
      <c r="J377" s="1326"/>
      <c r="R377" s="1326"/>
      <c r="V377" s="1326"/>
      <c r="Z377" s="1326"/>
      <c r="AD377" s="1326"/>
      <c r="AT377" s="1326">
        <v>40179</v>
      </c>
      <c r="AU377" s="1314">
        <v>653.13</v>
      </c>
      <c r="AV377" s="1314">
        <f t="shared" si="64"/>
        <v>-2.7342179332529172E-2</v>
      </c>
      <c r="AX377" s="1314">
        <v>4.6280999999999999</v>
      </c>
      <c r="AY377" s="1314">
        <f t="shared" si="65"/>
        <v>-1.8430540827147398E-2</v>
      </c>
    </row>
    <row r="378" spans="2:51" x14ac:dyDescent="0.75">
      <c r="J378" s="1326"/>
      <c r="R378" s="1326"/>
      <c r="V378" s="1326"/>
      <c r="Z378" s="1326"/>
      <c r="AD378" s="1326"/>
      <c r="AT378" s="1326">
        <v>40172</v>
      </c>
      <c r="AU378" s="1314">
        <v>660.44</v>
      </c>
      <c r="AV378" s="1314">
        <f t="shared" si="64"/>
        <v>1.1192258815243611E-2</v>
      </c>
      <c r="AX378" s="1314">
        <v>4.6833999999999998</v>
      </c>
      <c r="AY378" s="1314">
        <f t="shared" si="65"/>
        <v>1.1948747866295004E-2</v>
      </c>
    </row>
    <row r="379" spans="2:51" x14ac:dyDescent="0.75">
      <c r="J379" s="1326"/>
      <c r="R379" s="1326"/>
      <c r="V379" s="1326"/>
      <c r="Z379" s="1326"/>
      <c r="AD379" s="1326"/>
      <c r="AT379" s="1326">
        <v>40165</v>
      </c>
      <c r="AU379" s="1314">
        <v>644.91</v>
      </c>
      <c r="AV379" s="1314">
        <f t="shared" si="64"/>
        <v>-2.3514626612561453E-2</v>
      </c>
      <c r="AX379" s="1314">
        <v>4.4574999999999996</v>
      </c>
      <c r="AY379" s="1314">
        <f t="shared" si="65"/>
        <v>-4.8234188837169623E-2</v>
      </c>
    </row>
    <row r="380" spans="2:51" x14ac:dyDescent="0.75">
      <c r="J380" s="1326"/>
      <c r="R380" s="1326"/>
      <c r="V380" s="1326"/>
      <c r="Z380" s="1326"/>
      <c r="AD380" s="1326"/>
      <c r="AT380" s="1326">
        <v>40158</v>
      </c>
      <c r="AU380" s="1314">
        <v>644.84</v>
      </c>
      <c r="AV380" s="1314">
        <f t="shared" si="64"/>
        <v>-1.0854227721687729E-4</v>
      </c>
      <c r="AX380" s="1314">
        <v>4.5008999999999997</v>
      </c>
      <c r="AY380" s="1314">
        <f t="shared" si="65"/>
        <v>9.7363993269770303E-3</v>
      </c>
    </row>
    <row r="381" spans="2:51" x14ac:dyDescent="0.75">
      <c r="J381" s="1326"/>
      <c r="R381" s="1326"/>
      <c r="V381" s="1326"/>
      <c r="Z381" s="1326"/>
      <c r="AD381" s="1326"/>
      <c r="AT381" s="1326">
        <v>40151</v>
      </c>
      <c r="AU381" s="1314">
        <v>644.45000000000005</v>
      </c>
      <c r="AV381" s="1314">
        <f t="shared" si="64"/>
        <v>-6.0480119099309338E-4</v>
      </c>
      <c r="AX381" s="1314">
        <v>4.3947000000000003</v>
      </c>
      <c r="AY381" s="1314">
        <f t="shared" si="65"/>
        <v>-2.3595280943811109E-2</v>
      </c>
    </row>
    <row r="382" spans="2:51" x14ac:dyDescent="0.75">
      <c r="M382" s="1326"/>
      <c r="U382" s="1326"/>
      <c r="Y382" s="1326"/>
      <c r="AC382" s="1326"/>
      <c r="AG382" s="1326"/>
      <c r="AT382" s="1326">
        <v>40144</v>
      </c>
      <c r="AU382" s="1314">
        <v>633.72</v>
      </c>
      <c r="AV382" s="1314">
        <f t="shared" si="64"/>
        <v>-1.6649856466754626E-2</v>
      </c>
      <c r="AX382" s="1314">
        <v>4.1997999999999998</v>
      </c>
      <c r="AY382" s="1314">
        <f t="shared" si="65"/>
        <v>-4.43488747809863E-2</v>
      </c>
    </row>
    <row r="383" spans="2:51" x14ac:dyDescent="0.75">
      <c r="M383" s="1326"/>
      <c r="U383" s="1326"/>
      <c r="Y383" s="1326"/>
      <c r="AC383" s="1326"/>
      <c r="AG383" s="1326"/>
      <c r="AT383" s="1326">
        <v>40137</v>
      </c>
      <c r="AU383" s="1314">
        <v>634.57000000000005</v>
      </c>
      <c r="AV383" s="1314">
        <f t="shared" si="64"/>
        <v>1.341286372530491E-3</v>
      </c>
      <c r="AX383" s="1314">
        <v>4.2948000000000004</v>
      </c>
      <c r="AY383" s="1314">
        <f t="shared" si="65"/>
        <v>2.262012476784624E-2</v>
      </c>
    </row>
    <row r="384" spans="2:51" x14ac:dyDescent="0.75">
      <c r="M384" s="1326"/>
      <c r="U384" s="1326"/>
      <c r="Y384" s="1326"/>
      <c r="AC384" s="1326"/>
      <c r="AG384" s="1326"/>
      <c r="AT384" s="1326">
        <v>40130</v>
      </c>
      <c r="AU384" s="1314">
        <v>636.47</v>
      </c>
      <c r="AV384" s="1314">
        <f t="shared" si="64"/>
        <v>2.994153521282092E-3</v>
      </c>
      <c r="AX384" s="1314">
        <v>4.3516000000000004</v>
      </c>
      <c r="AY384" s="1314">
        <f t="shared" si="65"/>
        <v>1.3225295706435679E-2</v>
      </c>
    </row>
    <row r="385" spans="13:51" x14ac:dyDescent="0.75">
      <c r="M385" s="1326"/>
      <c r="U385" s="1326"/>
      <c r="Y385" s="1326"/>
      <c r="AC385" s="1326"/>
      <c r="AG385" s="1326"/>
      <c r="AT385" s="1326">
        <v>40123</v>
      </c>
      <c r="AU385" s="1314">
        <v>622.91999999999996</v>
      </c>
      <c r="AV385" s="1314">
        <f t="shared" si="64"/>
        <v>-2.1289298788631148E-2</v>
      </c>
      <c r="AX385" s="1314">
        <v>4.3974000000000002</v>
      </c>
      <c r="AY385" s="1314">
        <f t="shared" si="65"/>
        <v>1.0524864417685412E-2</v>
      </c>
    </row>
    <row r="386" spans="13:51" x14ac:dyDescent="0.75">
      <c r="M386" s="1326"/>
      <c r="U386" s="1326"/>
      <c r="Y386" s="1326"/>
      <c r="AC386" s="1326"/>
      <c r="AG386" s="1326"/>
      <c r="AT386" s="1326">
        <v>40116</v>
      </c>
      <c r="AU386" s="1314">
        <v>603.26</v>
      </c>
      <c r="AV386" s="1314">
        <f t="shared" si="64"/>
        <v>-3.1561035124895602E-2</v>
      </c>
      <c r="AX386" s="1314">
        <v>4.2252999999999998</v>
      </c>
      <c r="AY386" s="1314">
        <f t="shared" si="65"/>
        <v>-3.9136762632464718E-2</v>
      </c>
    </row>
    <row r="387" spans="13:51" x14ac:dyDescent="0.75">
      <c r="M387" s="1326"/>
      <c r="U387" s="1326"/>
      <c r="Y387" s="1326"/>
      <c r="AC387" s="1326"/>
      <c r="AG387" s="1326"/>
      <c r="AT387" s="1326">
        <v>40109</v>
      </c>
      <c r="AU387" s="1314">
        <v>631.22</v>
      </c>
      <c r="AV387" s="1314">
        <f t="shared" si="64"/>
        <v>4.6348174916288232E-2</v>
      </c>
      <c r="AX387" s="1314">
        <v>4.2923</v>
      </c>
      <c r="AY387" s="1314">
        <f t="shared" si="65"/>
        <v>1.585686223463427E-2</v>
      </c>
    </row>
    <row r="388" spans="13:51" x14ac:dyDescent="0.75">
      <c r="M388" s="1326"/>
      <c r="U388" s="1326"/>
      <c r="Y388" s="1326"/>
      <c r="AC388" s="1326"/>
      <c r="AG388" s="1326"/>
      <c r="AT388" s="1326">
        <v>40102</v>
      </c>
      <c r="AU388" s="1314">
        <v>637.17999999999995</v>
      </c>
      <c r="AV388" s="1314">
        <f t="shared" si="64"/>
        <v>9.4420328886916163E-3</v>
      </c>
      <c r="AX388" s="1314">
        <v>4.2443</v>
      </c>
      <c r="AY388" s="1314">
        <f t="shared" si="65"/>
        <v>-1.1182815739813164E-2</v>
      </c>
    </row>
    <row r="389" spans="13:51" x14ac:dyDescent="0.75">
      <c r="M389" s="1326"/>
      <c r="U389" s="1326"/>
      <c r="Y389" s="1326"/>
      <c r="AC389" s="1326"/>
      <c r="AG389" s="1326"/>
      <c r="AT389" s="1326">
        <v>40095</v>
      </c>
      <c r="AU389" s="1314">
        <v>628.66</v>
      </c>
      <c r="AV389" s="1314">
        <f t="shared" ref="AV389:AV452" si="67">(AU389-AU388)/AU388</f>
        <v>-1.3371417809724069E-2</v>
      </c>
      <c r="AX389" s="1314">
        <v>4.2229000000000001</v>
      </c>
      <c r="AY389" s="1314">
        <f t="shared" ref="AY389:AY452" si="68">(AX389-AX388)/AX388</f>
        <v>-5.0420564050608734E-3</v>
      </c>
    </row>
    <row r="390" spans="13:51" x14ac:dyDescent="0.75">
      <c r="M390" s="1326"/>
      <c r="U390" s="1326"/>
      <c r="Y390" s="1326"/>
      <c r="AC390" s="1326"/>
      <c r="AG390" s="1326"/>
      <c r="AT390" s="1326">
        <v>40088</v>
      </c>
      <c r="AU390" s="1314">
        <v>600.05999999999995</v>
      </c>
      <c r="AV390" s="1314">
        <f t="shared" si="67"/>
        <v>-4.5493589539655814E-2</v>
      </c>
      <c r="AX390" s="1314">
        <v>3.9962</v>
      </c>
      <c r="AY390" s="1314">
        <f t="shared" si="68"/>
        <v>-5.3683487650666634E-2</v>
      </c>
    </row>
    <row r="391" spans="13:51" x14ac:dyDescent="0.75">
      <c r="M391" s="1326"/>
      <c r="U391" s="1326"/>
      <c r="Y391" s="1326"/>
      <c r="AC391" s="1326"/>
      <c r="AG391" s="1326"/>
      <c r="AT391" s="1326">
        <v>40081</v>
      </c>
      <c r="AU391" s="1314">
        <v>612.20000000000005</v>
      </c>
      <c r="AV391" s="1314">
        <f t="shared" si="67"/>
        <v>2.0231310202313269E-2</v>
      </c>
      <c r="AX391" s="1314">
        <v>4.09</v>
      </c>
      <c r="AY391" s="1314">
        <f t="shared" si="68"/>
        <v>2.3472298683749532E-2</v>
      </c>
    </row>
    <row r="392" spans="13:51" x14ac:dyDescent="0.75">
      <c r="M392" s="1326"/>
      <c r="U392" s="1326"/>
      <c r="Y392" s="1326"/>
      <c r="AC392" s="1326"/>
      <c r="AG392" s="1326"/>
      <c r="AT392" s="1326">
        <v>40074</v>
      </c>
      <c r="AU392" s="1314">
        <v>627.16999999999996</v>
      </c>
      <c r="AV392" s="1314">
        <f t="shared" si="67"/>
        <v>2.4452793204834879E-2</v>
      </c>
      <c r="AX392" s="1314">
        <v>4.2168999999999999</v>
      </c>
      <c r="AY392" s="1314">
        <f t="shared" si="68"/>
        <v>3.1026894865525678E-2</v>
      </c>
    </row>
    <row r="393" spans="13:51" x14ac:dyDescent="0.75">
      <c r="M393" s="1326"/>
      <c r="U393" s="1326"/>
      <c r="Y393" s="1326"/>
      <c r="AC393" s="1326"/>
      <c r="AG393" s="1326"/>
      <c r="AT393" s="1326">
        <v>40067</v>
      </c>
      <c r="AU393" s="1314">
        <v>610.91999999999996</v>
      </c>
      <c r="AV393" s="1314">
        <f t="shared" si="67"/>
        <v>-2.5910040339939731E-2</v>
      </c>
      <c r="AX393" s="1314">
        <v>4.1797000000000004</v>
      </c>
      <c r="AY393" s="1314">
        <f t="shared" si="68"/>
        <v>-8.8216462330146447E-3</v>
      </c>
    </row>
    <row r="394" spans="13:51" x14ac:dyDescent="0.75">
      <c r="M394" s="1326"/>
      <c r="U394" s="1326"/>
      <c r="Y394" s="1326"/>
      <c r="AC394" s="1326"/>
      <c r="AG394" s="1326"/>
      <c r="AT394" s="1326">
        <v>40060</v>
      </c>
      <c r="AU394" s="1314">
        <v>593.87</v>
      </c>
      <c r="AV394" s="1314">
        <f t="shared" si="67"/>
        <v>-2.790872782033647E-2</v>
      </c>
      <c r="AX394" s="1314">
        <v>4.2666000000000004</v>
      </c>
      <c r="AY394" s="1314">
        <f t="shared" si="68"/>
        <v>2.0790965858793687E-2</v>
      </c>
    </row>
    <row r="395" spans="13:51" x14ac:dyDescent="0.75">
      <c r="M395" s="1326"/>
      <c r="U395" s="1326"/>
      <c r="Y395" s="1326"/>
      <c r="AC395" s="1326"/>
      <c r="AG395" s="1326"/>
      <c r="AT395" s="1326">
        <v>40053</v>
      </c>
      <c r="AU395" s="1314">
        <v>601.29999999999995</v>
      </c>
      <c r="AV395" s="1314">
        <f t="shared" si="67"/>
        <v>1.2511155640123174E-2</v>
      </c>
      <c r="AX395" s="1314">
        <v>4.2004000000000001</v>
      </c>
      <c r="AY395" s="1314">
        <f t="shared" si="68"/>
        <v>-1.5515867435428737E-2</v>
      </c>
    </row>
    <row r="396" spans="13:51" x14ac:dyDescent="0.75">
      <c r="M396" s="1326"/>
      <c r="U396" s="1326"/>
      <c r="Y396" s="1326"/>
      <c r="AC396" s="1326"/>
      <c r="AG396" s="1326"/>
      <c r="AT396" s="1326">
        <v>40046</v>
      </c>
      <c r="AU396" s="1314">
        <v>599.79</v>
      </c>
      <c r="AV396" s="1314">
        <f t="shared" si="67"/>
        <v>-2.5112256776983052E-3</v>
      </c>
      <c r="AX396" s="1314">
        <v>4.3747999999999996</v>
      </c>
      <c r="AY396" s="1314">
        <f t="shared" si="68"/>
        <v>4.1519855251880643E-2</v>
      </c>
    </row>
    <row r="397" spans="13:51" x14ac:dyDescent="0.75">
      <c r="M397" s="1326"/>
      <c r="U397" s="1326"/>
      <c r="Y397" s="1326"/>
      <c r="AC397" s="1326"/>
      <c r="AG397" s="1326"/>
      <c r="AT397" s="1326">
        <v>40039</v>
      </c>
      <c r="AU397" s="1314">
        <v>586.87</v>
      </c>
      <c r="AV397" s="1314">
        <f t="shared" si="67"/>
        <v>-2.1540872638756831E-2</v>
      </c>
      <c r="AX397" s="1314">
        <v>4.4206000000000003</v>
      </c>
      <c r="AY397" s="1314">
        <f t="shared" si="68"/>
        <v>1.046905001371508E-2</v>
      </c>
    </row>
    <row r="398" spans="13:51" x14ac:dyDescent="0.75">
      <c r="M398" s="1326"/>
      <c r="U398" s="1326"/>
      <c r="Y398" s="1326"/>
      <c r="AC398" s="1326"/>
      <c r="AG398" s="1326"/>
      <c r="AT398" s="1326">
        <v>40032</v>
      </c>
      <c r="AU398" s="1314">
        <v>591.21</v>
      </c>
      <c r="AV398" s="1314">
        <f t="shared" si="67"/>
        <v>7.3951641760526725E-3</v>
      </c>
      <c r="AX398" s="1314">
        <v>4.6044999999999998</v>
      </c>
      <c r="AY398" s="1314">
        <f t="shared" si="68"/>
        <v>4.1600687689453804E-2</v>
      </c>
    </row>
    <row r="399" spans="13:51" x14ac:dyDescent="0.75">
      <c r="M399" s="1326"/>
      <c r="U399" s="1326"/>
      <c r="Y399" s="1326"/>
      <c r="AC399" s="1326"/>
      <c r="AG399" s="1326"/>
      <c r="AT399" s="1326">
        <v>40025</v>
      </c>
      <c r="AU399" s="1314">
        <v>576.55999999999995</v>
      </c>
      <c r="AV399" s="1314">
        <f t="shared" si="67"/>
        <v>-2.4779689112159959E-2</v>
      </c>
      <c r="AX399" s="1314">
        <v>4.2983000000000002</v>
      </c>
      <c r="AY399" s="1314">
        <f t="shared" si="68"/>
        <v>-6.6500162884135003E-2</v>
      </c>
    </row>
    <row r="400" spans="13:51" x14ac:dyDescent="0.75">
      <c r="M400" s="1326"/>
      <c r="U400" s="1326"/>
      <c r="Y400" s="1326"/>
      <c r="AC400" s="1326"/>
      <c r="AG400" s="1326"/>
      <c r="AT400" s="1326">
        <v>40018</v>
      </c>
      <c r="AU400" s="1314">
        <v>571.82000000000005</v>
      </c>
      <c r="AV400" s="1314">
        <f t="shared" si="67"/>
        <v>-8.2211738587482583E-3</v>
      </c>
      <c r="AX400" s="1314">
        <v>4.5391000000000004</v>
      </c>
      <c r="AY400" s="1314">
        <f t="shared" si="68"/>
        <v>5.602214829118491E-2</v>
      </c>
    </row>
    <row r="401" spans="13:51" x14ac:dyDescent="0.75">
      <c r="M401" s="1326"/>
      <c r="U401" s="1326"/>
      <c r="Y401" s="1326"/>
      <c r="AC401" s="1326"/>
      <c r="AG401" s="1326"/>
      <c r="AT401" s="1326">
        <v>40011</v>
      </c>
      <c r="AU401" s="1314">
        <v>547.61</v>
      </c>
      <c r="AV401" s="1314">
        <f t="shared" si="67"/>
        <v>-4.2338498128781842E-2</v>
      </c>
      <c r="AX401" s="1314">
        <v>4.5350000000000001</v>
      </c>
      <c r="AY401" s="1314">
        <f t="shared" si="68"/>
        <v>-9.0326276134040104E-4</v>
      </c>
    </row>
    <row r="402" spans="13:51" x14ac:dyDescent="0.75">
      <c r="M402" s="1326"/>
      <c r="U402" s="1326"/>
      <c r="Y402" s="1326"/>
      <c r="AC402" s="1326"/>
      <c r="AG402" s="1326"/>
      <c r="AT402" s="1326">
        <v>40004</v>
      </c>
      <c r="AU402" s="1314">
        <v>511.36</v>
      </c>
      <c r="AV402" s="1314">
        <f t="shared" si="67"/>
        <v>-6.6196745859279413E-2</v>
      </c>
      <c r="AX402" s="1314">
        <v>4.1989000000000001</v>
      </c>
      <c r="AY402" s="1314">
        <f t="shared" si="68"/>
        <v>-7.4112458654906302E-2</v>
      </c>
    </row>
    <row r="403" spans="13:51" x14ac:dyDescent="0.75">
      <c r="M403" s="1326"/>
      <c r="U403" s="1326"/>
      <c r="Y403" s="1326"/>
      <c r="AC403" s="1326"/>
      <c r="AG403" s="1326"/>
      <c r="AT403" s="1326">
        <v>39997</v>
      </c>
      <c r="AU403" s="1314">
        <v>522.57000000000005</v>
      </c>
      <c r="AV403" s="1314">
        <f t="shared" si="67"/>
        <v>2.1921933667083924E-2</v>
      </c>
      <c r="AX403" s="1314">
        <v>4.3209</v>
      </c>
      <c r="AY403" s="1314">
        <f t="shared" si="68"/>
        <v>2.9055228750386977E-2</v>
      </c>
    </row>
    <row r="404" spans="13:51" x14ac:dyDescent="0.75">
      <c r="M404" s="1326"/>
      <c r="U404" s="1326"/>
      <c r="Y404" s="1326"/>
      <c r="AC404" s="1326"/>
      <c r="AG404" s="1326"/>
      <c r="AT404" s="1326">
        <v>39990</v>
      </c>
      <c r="AU404" s="1314">
        <v>535.55999999999995</v>
      </c>
      <c r="AV404" s="1314">
        <f t="shared" si="67"/>
        <v>2.4857913772317383E-2</v>
      </c>
      <c r="AX404" s="1314">
        <v>4.3360000000000003</v>
      </c>
      <c r="AY404" s="1314">
        <f t="shared" si="68"/>
        <v>3.4946423198871381E-3</v>
      </c>
    </row>
    <row r="405" spans="13:51" x14ac:dyDescent="0.75">
      <c r="M405" s="1326"/>
      <c r="U405" s="1326"/>
      <c r="Y405" s="1326"/>
      <c r="AC405" s="1326"/>
      <c r="AG405" s="1326"/>
      <c r="AT405" s="1326">
        <v>39983</v>
      </c>
      <c r="AU405" s="1314">
        <v>536.38</v>
      </c>
      <c r="AV405" s="1314">
        <f t="shared" si="67"/>
        <v>1.5311076256629512E-3</v>
      </c>
      <c r="AX405" s="1314">
        <v>4.5041000000000002</v>
      </c>
      <c r="AY405" s="1314">
        <f t="shared" si="68"/>
        <v>3.8768450184501826E-2</v>
      </c>
    </row>
    <row r="406" spans="13:51" x14ac:dyDescent="0.75">
      <c r="M406" s="1326"/>
      <c r="U406" s="1326"/>
      <c r="Y406" s="1326"/>
      <c r="AC406" s="1326"/>
      <c r="AG406" s="1326"/>
      <c r="AT406" s="1326">
        <v>39976</v>
      </c>
      <c r="AU406" s="1314">
        <v>551.57000000000005</v>
      </c>
      <c r="AV406" s="1314">
        <f t="shared" si="67"/>
        <v>2.8319474999067926E-2</v>
      </c>
      <c r="AX406" s="1314">
        <v>4.6443000000000003</v>
      </c>
      <c r="AY406" s="1314">
        <f t="shared" si="68"/>
        <v>3.112719522213097E-2</v>
      </c>
    </row>
    <row r="407" spans="13:51" x14ac:dyDescent="0.75">
      <c r="M407" s="1326"/>
      <c r="U407" s="1326"/>
      <c r="Y407" s="1326"/>
      <c r="AC407" s="1326"/>
      <c r="AG407" s="1326"/>
      <c r="AT407" s="1326">
        <v>39969</v>
      </c>
      <c r="AU407" s="1314">
        <v>548.73</v>
      </c>
      <c r="AV407" s="1314">
        <f t="shared" si="67"/>
        <v>-5.1489384846892172E-3</v>
      </c>
      <c r="AX407" s="1314">
        <v>4.633</v>
      </c>
      <c r="AY407" s="1314">
        <f t="shared" si="68"/>
        <v>-2.4330900243309667E-3</v>
      </c>
    </row>
    <row r="408" spans="13:51" x14ac:dyDescent="0.75">
      <c r="M408" s="1326"/>
      <c r="U408" s="1326"/>
      <c r="Y408" s="1326"/>
      <c r="AC408" s="1326"/>
      <c r="AG408" s="1326"/>
      <c r="AT408" s="1326">
        <v>39962</v>
      </c>
      <c r="AU408" s="1314">
        <v>534.75</v>
      </c>
      <c r="AV408" s="1314">
        <f t="shared" si="67"/>
        <v>-2.5477010551637449E-2</v>
      </c>
      <c r="AX408" s="1314">
        <v>4.3361000000000001</v>
      </c>
      <c r="AY408" s="1314">
        <f t="shared" si="68"/>
        <v>-6.4083747032160576E-2</v>
      </c>
    </row>
    <row r="409" spans="13:51" x14ac:dyDescent="0.75">
      <c r="M409" s="1326"/>
      <c r="U409" s="1326"/>
      <c r="Y409" s="1326"/>
      <c r="AC409" s="1326"/>
      <c r="AG409" s="1326"/>
      <c r="AT409" s="1326">
        <v>39955</v>
      </c>
      <c r="AU409" s="1314">
        <v>515.37</v>
      </c>
      <c r="AV409" s="1314">
        <f t="shared" si="67"/>
        <v>-3.6241234221598868E-2</v>
      </c>
      <c r="AX409" s="1314">
        <v>4.3836000000000004</v>
      </c>
      <c r="AY409" s="1314">
        <f t="shared" si="68"/>
        <v>1.0954544406263768E-2</v>
      </c>
    </row>
    <row r="410" spans="13:51" x14ac:dyDescent="0.75">
      <c r="M410" s="1326"/>
      <c r="U410" s="1326"/>
      <c r="Y410" s="1326"/>
      <c r="AC410" s="1326"/>
      <c r="AG410" s="1326"/>
      <c r="AT410" s="1326">
        <v>39948</v>
      </c>
      <c r="AU410" s="1314">
        <v>512.16</v>
      </c>
      <c r="AV410" s="1314">
        <f t="shared" si="67"/>
        <v>-6.2285348390477453E-3</v>
      </c>
      <c r="AX410" s="1314">
        <v>4.0838000000000001</v>
      </c>
      <c r="AY410" s="1314">
        <f t="shared" si="68"/>
        <v>-6.8391276576330012E-2</v>
      </c>
    </row>
    <row r="411" spans="13:51" x14ac:dyDescent="0.75">
      <c r="M411" s="1326"/>
      <c r="U411" s="1326"/>
      <c r="Y411" s="1326"/>
      <c r="AC411" s="1326"/>
      <c r="AG411" s="1326"/>
      <c r="AT411" s="1326">
        <v>39941</v>
      </c>
      <c r="AU411" s="1314">
        <v>540.64</v>
      </c>
      <c r="AV411" s="1314">
        <f t="shared" si="67"/>
        <v>5.5607622617931937E-2</v>
      </c>
      <c r="AX411" s="1314">
        <v>4.2675999999999998</v>
      </c>
      <c r="AY411" s="1314">
        <f t="shared" si="68"/>
        <v>4.5007101229247205E-2</v>
      </c>
    </row>
    <row r="412" spans="13:51" x14ac:dyDescent="0.75">
      <c r="M412" s="1326"/>
      <c r="U412" s="1326"/>
      <c r="Y412" s="1326"/>
      <c r="AC412" s="1326"/>
      <c r="AG412" s="1326"/>
      <c r="AT412" s="1326">
        <v>39934</v>
      </c>
      <c r="AU412" s="1314">
        <v>511.27</v>
      </c>
      <c r="AV412" s="1314">
        <f t="shared" si="67"/>
        <v>-5.4324504291210426E-2</v>
      </c>
      <c r="AX412" s="1314">
        <v>4.0702999999999996</v>
      </c>
      <c r="AY412" s="1314">
        <f t="shared" si="68"/>
        <v>-4.6232074233761425E-2</v>
      </c>
    </row>
    <row r="413" spans="13:51" x14ac:dyDescent="0.75">
      <c r="M413" s="1326"/>
      <c r="U413" s="1326"/>
      <c r="Y413" s="1326"/>
      <c r="AC413" s="1326"/>
      <c r="AG413" s="1326"/>
      <c r="AT413" s="1326">
        <v>39927</v>
      </c>
      <c r="AU413" s="1314">
        <v>504.04</v>
      </c>
      <c r="AV413" s="1314">
        <f t="shared" si="67"/>
        <v>-1.4141256087781332E-2</v>
      </c>
      <c r="AX413" s="1314">
        <v>3.8812000000000002</v>
      </c>
      <c r="AY413" s="1314">
        <f t="shared" si="68"/>
        <v>-4.645849200304631E-2</v>
      </c>
    </row>
    <row r="414" spans="13:51" x14ac:dyDescent="0.75">
      <c r="M414" s="1326"/>
      <c r="U414" s="1326"/>
      <c r="Y414" s="1326"/>
      <c r="AC414" s="1326"/>
      <c r="AG414" s="1326"/>
      <c r="AT414" s="1326">
        <v>39920</v>
      </c>
      <c r="AU414" s="1314">
        <v>505.7</v>
      </c>
      <c r="AV414" s="1314">
        <f t="shared" si="67"/>
        <v>3.2933894135385449E-3</v>
      </c>
      <c r="AX414" s="1314">
        <v>3.7980999999999998</v>
      </c>
      <c r="AY414" s="1314">
        <f t="shared" si="68"/>
        <v>-2.1410903844172005E-2</v>
      </c>
    </row>
    <row r="415" spans="13:51" x14ac:dyDescent="0.75">
      <c r="M415" s="1326"/>
      <c r="U415" s="1326"/>
      <c r="Y415" s="1326"/>
      <c r="AC415" s="1326"/>
      <c r="AG415" s="1326"/>
      <c r="AT415" s="1326">
        <v>39913</v>
      </c>
      <c r="AU415" s="1314">
        <v>497.33</v>
      </c>
      <c r="AV415" s="1314">
        <f t="shared" si="67"/>
        <v>-1.6551315008898566E-2</v>
      </c>
      <c r="AX415" s="1314">
        <v>3.7498999999999998</v>
      </c>
      <c r="AY415" s="1314">
        <f t="shared" si="68"/>
        <v>-1.2690555804217905E-2</v>
      </c>
    </row>
    <row r="416" spans="13:51" x14ac:dyDescent="0.75">
      <c r="M416" s="1326"/>
      <c r="U416" s="1326"/>
      <c r="Y416" s="1326"/>
      <c r="AC416" s="1326"/>
      <c r="AG416" s="1326"/>
      <c r="AT416" s="1326">
        <v>39906</v>
      </c>
      <c r="AU416" s="1314">
        <v>488.65</v>
      </c>
      <c r="AV416" s="1314">
        <f t="shared" si="67"/>
        <v>-1.7453200088472457E-2</v>
      </c>
      <c r="AX416" s="1314">
        <v>3.6899000000000002</v>
      </c>
      <c r="AY416" s="1314">
        <f t="shared" si="68"/>
        <v>-1.6000426678044643E-2</v>
      </c>
    </row>
    <row r="417" spans="13:51" x14ac:dyDescent="0.75">
      <c r="M417" s="1326"/>
      <c r="U417" s="1326"/>
      <c r="Y417" s="1326"/>
      <c r="AC417" s="1326"/>
      <c r="AG417" s="1326"/>
      <c r="AT417" s="1326">
        <v>39899</v>
      </c>
      <c r="AU417" s="1314">
        <v>471.31</v>
      </c>
      <c r="AV417" s="1314">
        <f t="shared" si="67"/>
        <v>-3.5485521334288297E-2</v>
      </c>
      <c r="AX417" s="1314">
        <v>3.6124000000000001</v>
      </c>
      <c r="AY417" s="1314">
        <f t="shared" si="68"/>
        <v>-2.1003279221659156E-2</v>
      </c>
    </row>
    <row r="418" spans="13:51" x14ac:dyDescent="0.75">
      <c r="M418" s="1326"/>
      <c r="U418" s="1326"/>
      <c r="Y418" s="1326"/>
      <c r="AC418" s="1326"/>
      <c r="AG418" s="1326"/>
      <c r="AT418" s="1326">
        <v>39892</v>
      </c>
      <c r="AU418" s="1314">
        <v>443.43</v>
      </c>
      <c r="AV418" s="1314">
        <f t="shared" si="67"/>
        <v>-5.9154272135112762E-2</v>
      </c>
      <c r="AX418" s="1314">
        <v>3.6606000000000001</v>
      </c>
      <c r="AY418" s="1314">
        <f t="shared" si="68"/>
        <v>1.3342929908094348E-2</v>
      </c>
    </row>
    <row r="419" spans="13:51" x14ac:dyDescent="0.75">
      <c r="M419" s="1326"/>
      <c r="U419" s="1326"/>
      <c r="Y419" s="1326"/>
      <c r="AC419" s="1326"/>
      <c r="AG419" s="1326"/>
      <c r="AT419" s="1326">
        <v>39885</v>
      </c>
      <c r="AU419" s="1314">
        <v>436.52</v>
      </c>
      <c r="AV419" s="1314">
        <f t="shared" si="67"/>
        <v>-1.5583068353516959E-2</v>
      </c>
      <c r="AX419" s="1314">
        <v>3.6728999999999998</v>
      </c>
      <c r="AY419" s="1314">
        <f t="shared" si="68"/>
        <v>3.3601049008358617E-3</v>
      </c>
    </row>
    <row r="420" spans="13:51" x14ac:dyDescent="0.75">
      <c r="M420" s="1326"/>
      <c r="U420" s="1326"/>
      <c r="Y420" s="1326"/>
      <c r="AC420" s="1326"/>
      <c r="AG420" s="1326"/>
      <c r="AT420" s="1326">
        <v>39878</v>
      </c>
      <c r="AU420" s="1314">
        <v>393.85</v>
      </c>
      <c r="AV420" s="1314">
        <f t="shared" si="67"/>
        <v>-9.7750389443782559E-2</v>
      </c>
      <c r="AX420" s="1314">
        <v>3.5535999999999999</v>
      </c>
      <c r="AY420" s="1314">
        <f t="shared" si="68"/>
        <v>-3.2481145688692849E-2</v>
      </c>
    </row>
    <row r="421" spans="13:51" x14ac:dyDescent="0.75">
      <c r="M421" s="1326"/>
      <c r="U421" s="1326"/>
      <c r="Y421" s="1326"/>
      <c r="AC421" s="1326"/>
      <c r="AG421" s="1326"/>
      <c r="AT421" s="1326">
        <v>39871</v>
      </c>
      <c r="AU421" s="1314">
        <v>424.88</v>
      </c>
      <c r="AV421" s="1314">
        <f t="shared" si="67"/>
        <v>7.8786339977148581E-2</v>
      </c>
      <c r="AX421" s="1314">
        <v>3.7082999999999999</v>
      </c>
      <c r="AY421" s="1314">
        <f t="shared" si="68"/>
        <v>4.3533318325078812E-2</v>
      </c>
    </row>
    <row r="422" spans="13:51" x14ac:dyDescent="0.75">
      <c r="M422" s="1326"/>
      <c r="U422" s="1326"/>
      <c r="Y422" s="1326"/>
      <c r="AC422" s="1326"/>
      <c r="AG422" s="1326"/>
      <c r="AT422" s="1326">
        <v>39864</v>
      </c>
      <c r="AU422" s="1314">
        <v>444.73</v>
      </c>
      <c r="AV422" s="1314">
        <f t="shared" si="67"/>
        <v>4.6719073620787102E-2</v>
      </c>
      <c r="AX422" s="1314">
        <v>3.5672999999999999</v>
      </c>
      <c r="AY422" s="1314">
        <f t="shared" si="68"/>
        <v>-3.8022813688212934E-2</v>
      </c>
    </row>
    <row r="423" spans="13:51" x14ac:dyDescent="0.75">
      <c r="M423" s="1326"/>
      <c r="U423" s="1326"/>
      <c r="Y423" s="1326"/>
      <c r="AC423" s="1326"/>
      <c r="AG423" s="1326"/>
      <c r="AT423" s="1326">
        <v>39857</v>
      </c>
      <c r="AU423" s="1314">
        <v>478.33</v>
      </c>
      <c r="AV423" s="1314">
        <f t="shared" si="67"/>
        <v>7.5551458188114054E-2</v>
      </c>
      <c r="AX423" s="1314">
        <v>3.6728000000000001</v>
      </c>
      <c r="AY423" s="1314">
        <f t="shared" si="68"/>
        <v>2.9574187761051817E-2</v>
      </c>
    </row>
    <row r="424" spans="13:51" x14ac:dyDescent="0.75">
      <c r="M424" s="1326"/>
      <c r="U424" s="1326"/>
      <c r="Y424" s="1326"/>
      <c r="AC424" s="1326"/>
      <c r="AG424" s="1326"/>
      <c r="AT424" s="1326">
        <v>39850</v>
      </c>
      <c r="AU424" s="1314">
        <v>501.98</v>
      </c>
      <c r="AV424" s="1314">
        <f t="shared" si="67"/>
        <v>4.9442853260301539E-2</v>
      </c>
      <c r="AX424" s="1314">
        <v>3.6960999999999999</v>
      </c>
      <c r="AY424" s="1314">
        <f t="shared" si="68"/>
        <v>6.3439337834894022E-3</v>
      </c>
    </row>
    <row r="425" spans="13:51" x14ac:dyDescent="0.75">
      <c r="M425" s="1326"/>
      <c r="U425" s="1326"/>
      <c r="Y425" s="1326"/>
      <c r="AC425" s="1326"/>
      <c r="AG425" s="1326"/>
      <c r="AT425" s="1326">
        <v>39843</v>
      </c>
      <c r="AU425" s="1314">
        <v>476.26</v>
      </c>
      <c r="AV425" s="1314">
        <f t="shared" si="67"/>
        <v>-5.1237101079724345E-2</v>
      </c>
      <c r="AX425" s="1314">
        <v>3.6030000000000002</v>
      </c>
      <c r="AY425" s="1314">
        <f t="shared" si="68"/>
        <v>-2.5188712426611765E-2</v>
      </c>
    </row>
    <row r="426" spans="13:51" x14ac:dyDescent="0.75">
      <c r="M426" s="1326"/>
      <c r="U426" s="1326"/>
      <c r="Y426" s="1326"/>
      <c r="AC426" s="1326"/>
      <c r="AG426" s="1326"/>
      <c r="AT426" s="1326">
        <v>39836</v>
      </c>
      <c r="AU426" s="1314">
        <v>479.61</v>
      </c>
      <c r="AV426" s="1314">
        <f t="shared" si="67"/>
        <v>7.0339730399362173E-3</v>
      </c>
      <c r="AX426" s="1314">
        <v>3.3212000000000002</v>
      </c>
      <c r="AY426" s="1314">
        <f t="shared" si="68"/>
        <v>-7.8212600610602284E-2</v>
      </c>
    </row>
    <row r="427" spans="13:51" x14ac:dyDescent="0.75">
      <c r="M427" s="1326"/>
      <c r="U427" s="1326"/>
      <c r="Y427" s="1326"/>
      <c r="AC427" s="1326"/>
      <c r="AG427" s="1326"/>
      <c r="AT427" s="1326">
        <v>39829</v>
      </c>
      <c r="AU427" s="1314">
        <v>491.8</v>
      </c>
      <c r="AV427" s="1314">
        <f t="shared" si="67"/>
        <v>2.5416484226767577E-2</v>
      </c>
      <c r="AX427" s="1314">
        <v>2.8746999999999998</v>
      </c>
      <c r="AY427" s="1314">
        <f t="shared" si="68"/>
        <v>-0.13443935926773465</v>
      </c>
    </row>
    <row r="428" spans="13:51" x14ac:dyDescent="0.75">
      <c r="M428" s="1326"/>
      <c r="U428" s="1326"/>
      <c r="Y428" s="1326"/>
      <c r="AC428" s="1326"/>
      <c r="AG428" s="1326"/>
      <c r="AT428" s="1326">
        <v>39822</v>
      </c>
      <c r="AU428" s="1314">
        <v>513.9</v>
      </c>
      <c r="AV428" s="1314">
        <f t="shared" si="67"/>
        <v>4.493696624644157E-2</v>
      </c>
      <c r="AX428" s="1314">
        <v>3.06</v>
      </c>
      <c r="AY428" s="1314">
        <f t="shared" si="68"/>
        <v>6.4458900059136695E-2</v>
      </c>
    </row>
    <row r="429" spans="13:51" x14ac:dyDescent="0.75">
      <c r="M429" s="1326"/>
      <c r="U429" s="1326"/>
      <c r="Y429" s="1326"/>
      <c r="AC429" s="1326"/>
      <c r="AG429" s="1326"/>
      <c r="AT429" s="1326">
        <v>39815</v>
      </c>
      <c r="AU429" s="1314">
        <v>536.26</v>
      </c>
      <c r="AV429" s="1314">
        <f t="shared" si="67"/>
        <v>4.3510410585717092E-2</v>
      </c>
      <c r="AX429" s="1314">
        <v>2.7948</v>
      </c>
      <c r="AY429" s="1314">
        <f t="shared" si="68"/>
        <v>-8.6666666666666697E-2</v>
      </c>
    </row>
    <row r="430" spans="13:51" x14ac:dyDescent="0.75">
      <c r="M430" s="1326"/>
      <c r="U430" s="1326"/>
      <c r="Y430" s="1326"/>
      <c r="AC430" s="1326"/>
      <c r="AG430" s="1326"/>
      <c r="AT430" s="1326">
        <v>39808</v>
      </c>
      <c r="AU430" s="1314">
        <v>502.22</v>
      </c>
      <c r="AV430" s="1314">
        <f t="shared" si="67"/>
        <v>-6.3476671763696646E-2</v>
      </c>
      <c r="AX430" s="1314">
        <v>2.6055999999999999</v>
      </c>
      <c r="AY430" s="1314">
        <f t="shared" si="68"/>
        <v>-6.769715185344212E-2</v>
      </c>
    </row>
    <row r="431" spans="13:51" x14ac:dyDescent="0.75">
      <c r="M431" s="1326"/>
      <c r="U431" s="1326"/>
      <c r="Y431" s="1326"/>
      <c r="AC431" s="1326"/>
      <c r="AG431" s="1326"/>
      <c r="AT431" s="1326">
        <v>39801</v>
      </c>
      <c r="AU431" s="1314">
        <v>510.8</v>
      </c>
      <c r="AV431" s="1314">
        <f t="shared" si="67"/>
        <v>1.708414639002824E-2</v>
      </c>
      <c r="AX431" s="1314">
        <v>2.5501999999999998</v>
      </c>
      <c r="AY431" s="1314">
        <f t="shared" si="68"/>
        <v>-2.1261897451642663E-2</v>
      </c>
    </row>
    <row r="432" spans="13:51" x14ac:dyDescent="0.75">
      <c r="M432" s="1326"/>
      <c r="U432" s="1326"/>
      <c r="Y432" s="1326"/>
      <c r="AC432" s="1326"/>
      <c r="AG432" s="1326"/>
      <c r="AT432" s="1326">
        <v>39794</v>
      </c>
      <c r="AU432" s="1314">
        <v>503.92</v>
      </c>
      <c r="AV432" s="1314">
        <f t="shared" si="67"/>
        <v>-1.3469068128425989E-2</v>
      </c>
      <c r="AX432" s="1314">
        <v>3.0436000000000001</v>
      </c>
      <c r="AY432" s="1314">
        <f t="shared" si="68"/>
        <v>0.19347502156693605</v>
      </c>
    </row>
    <row r="433" spans="13:51" x14ac:dyDescent="0.75">
      <c r="M433" s="1326"/>
      <c r="U433" s="1326"/>
      <c r="Y433" s="1326"/>
      <c r="AC433" s="1326"/>
      <c r="AG433" s="1326"/>
      <c r="AT433" s="1326">
        <v>39787</v>
      </c>
      <c r="AU433" s="1314">
        <v>499.94</v>
      </c>
      <c r="AV433" s="1314">
        <f t="shared" si="67"/>
        <v>-7.8980790601683171E-3</v>
      </c>
      <c r="AX433" s="1314">
        <v>3.1254</v>
      </c>
      <c r="AY433" s="1314">
        <f t="shared" si="68"/>
        <v>2.6876067814430239E-2</v>
      </c>
    </row>
    <row r="434" spans="13:51" x14ac:dyDescent="0.75">
      <c r="M434" s="1326"/>
      <c r="U434" s="1326"/>
      <c r="Y434" s="1326"/>
      <c r="AC434" s="1326"/>
      <c r="AG434" s="1326"/>
      <c r="AT434" s="1326">
        <v>39780</v>
      </c>
      <c r="AU434" s="1314">
        <v>512.23</v>
      </c>
      <c r="AV434" s="1314">
        <f t="shared" si="67"/>
        <v>2.4582949953994522E-2</v>
      </c>
      <c r="AX434" s="1314">
        <v>3.4369000000000001</v>
      </c>
      <c r="AY434" s="1314">
        <f t="shared" si="68"/>
        <v>9.9667242592948138E-2</v>
      </c>
    </row>
    <row r="435" spans="13:51" x14ac:dyDescent="0.75">
      <c r="M435" s="1326"/>
      <c r="U435" s="1326"/>
      <c r="Y435" s="1326"/>
      <c r="AC435" s="1326"/>
      <c r="AG435" s="1326"/>
      <c r="AT435" s="1326">
        <v>39773</v>
      </c>
      <c r="AU435" s="1314">
        <v>454.66</v>
      </c>
      <c r="AV435" s="1314">
        <f t="shared" si="67"/>
        <v>-0.11239091814224077</v>
      </c>
      <c r="AX435" s="1314">
        <v>3.6937000000000002</v>
      </c>
      <c r="AY435" s="1314">
        <f t="shared" si="68"/>
        <v>7.4718496319357605E-2</v>
      </c>
    </row>
    <row r="436" spans="13:51" x14ac:dyDescent="0.75">
      <c r="M436" s="1326"/>
      <c r="U436" s="1326"/>
      <c r="Y436" s="1326"/>
      <c r="AC436" s="1326"/>
      <c r="AG436" s="1326"/>
      <c r="AT436" s="1326">
        <v>39766</v>
      </c>
      <c r="AU436" s="1314">
        <v>498.68</v>
      </c>
      <c r="AV436" s="1314">
        <f t="shared" si="67"/>
        <v>9.681960146043192E-2</v>
      </c>
      <c r="AX436" s="1314">
        <v>4.2279</v>
      </c>
      <c r="AY436" s="1314">
        <f t="shared" si="68"/>
        <v>0.14462463112867849</v>
      </c>
    </row>
    <row r="437" spans="13:51" x14ac:dyDescent="0.75">
      <c r="M437" s="1326"/>
      <c r="U437" s="1326"/>
      <c r="Y437" s="1326"/>
      <c r="AC437" s="1326"/>
      <c r="AG437" s="1326"/>
      <c r="AT437" s="1326">
        <v>39759</v>
      </c>
      <c r="AU437" s="1314">
        <v>534.46</v>
      </c>
      <c r="AV437" s="1314">
        <f t="shared" si="67"/>
        <v>7.1749418464746986E-2</v>
      </c>
      <c r="AX437" s="1314">
        <v>4.2732999999999999</v>
      </c>
      <c r="AY437" s="1314">
        <f t="shared" si="68"/>
        <v>1.0738191537169726E-2</v>
      </c>
    </row>
    <row r="438" spans="13:51" x14ac:dyDescent="0.75">
      <c r="M438" s="1326"/>
      <c r="U438" s="1326"/>
      <c r="Y438" s="1326"/>
      <c r="AC438" s="1326"/>
      <c r="AG438" s="1326"/>
      <c r="AT438" s="1326">
        <v>39752</v>
      </c>
      <c r="AU438" s="1314">
        <v>557.84</v>
      </c>
      <c r="AV438" s="1314">
        <f t="shared" si="67"/>
        <v>4.3745088500542595E-2</v>
      </c>
      <c r="AX438" s="1314">
        <v>4.3663999999999996</v>
      </c>
      <c r="AY438" s="1314">
        <f t="shared" si="68"/>
        <v>2.1786441391898472E-2</v>
      </c>
    </row>
    <row r="439" spans="13:51" x14ac:dyDescent="0.75">
      <c r="M439" s="1326"/>
      <c r="U439" s="1326"/>
      <c r="Y439" s="1326"/>
      <c r="AC439" s="1326"/>
      <c r="AG439" s="1326"/>
      <c r="AT439" s="1326">
        <v>39745</v>
      </c>
      <c r="AU439" s="1314">
        <v>502.32</v>
      </c>
      <c r="AV439" s="1314">
        <f t="shared" si="67"/>
        <v>-9.9526746020364321E-2</v>
      </c>
      <c r="AX439" s="1314">
        <v>4.0686999999999998</v>
      </c>
      <c r="AY439" s="1314">
        <f t="shared" si="68"/>
        <v>-6.8179736167094149E-2</v>
      </c>
    </row>
    <row r="440" spans="13:51" x14ac:dyDescent="0.75">
      <c r="M440" s="1326"/>
      <c r="U440" s="1326"/>
      <c r="Y440" s="1326"/>
      <c r="AC440" s="1326"/>
      <c r="AG440" s="1326"/>
      <c r="AT440" s="1326">
        <v>39738</v>
      </c>
      <c r="AU440" s="1314">
        <v>542.54</v>
      </c>
      <c r="AV440" s="1314">
        <f t="shared" si="67"/>
        <v>8.0068482242395225E-2</v>
      </c>
      <c r="AX440" s="1314">
        <v>4.3228999999999997</v>
      </c>
      <c r="AY440" s="1314">
        <f t="shared" si="68"/>
        <v>6.2476958242190378E-2</v>
      </c>
    </row>
    <row r="441" spans="13:51" x14ac:dyDescent="0.75">
      <c r="M441" s="1326"/>
      <c r="U441" s="1326"/>
      <c r="Y441" s="1326"/>
      <c r="AC441" s="1326"/>
      <c r="AG441" s="1326"/>
      <c r="AT441" s="1326">
        <v>39731</v>
      </c>
      <c r="AU441" s="1314">
        <v>520.97</v>
      </c>
      <c r="AV441" s="1314">
        <f t="shared" si="67"/>
        <v>-3.9757437239650417E-2</v>
      </c>
      <c r="AX441" s="1314">
        <v>4.1363000000000003</v>
      </c>
      <c r="AY441" s="1314">
        <f t="shared" si="68"/>
        <v>-4.3165467625899151E-2</v>
      </c>
    </row>
    <row r="442" spans="13:51" x14ac:dyDescent="0.75">
      <c r="M442" s="1326"/>
      <c r="U442" s="1326"/>
      <c r="Y442" s="1326"/>
      <c r="AC442" s="1326"/>
      <c r="AG442" s="1326"/>
      <c r="AT442" s="1326">
        <v>39724</v>
      </c>
      <c r="AU442" s="1314">
        <v>635.45000000000005</v>
      </c>
      <c r="AV442" s="1314">
        <f t="shared" si="67"/>
        <v>0.21974393919035648</v>
      </c>
      <c r="AX442" s="1314">
        <v>4.0872000000000002</v>
      </c>
      <c r="AY442" s="1314">
        <f t="shared" si="68"/>
        <v>-1.187051229359576E-2</v>
      </c>
    </row>
    <row r="443" spans="13:51" x14ac:dyDescent="0.75">
      <c r="M443" s="1326"/>
      <c r="U443" s="1326"/>
      <c r="Y443" s="1326"/>
      <c r="AC443" s="1326"/>
      <c r="AG443" s="1326"/>
      <c r="AT443" s="1326">
        <v>39717</v>
      </c>
      <c r="AU443" s="1314">
        <v>706.43</v>
      </c>
      <c r="AV443" s="1314">
        <f t="shared" si="67"/>
        <v>0.1117003698166652</v>
      </c>
      <c r="AX443" s="1314">
        <v>4.3701999999999996</v>
      </c>
      <c r="AY443" s="1314">
        <f t="shared" si="68"/>
        <v>6.9240555881777119E-2</v>
      </c>
    </row>
    <row r="444" spans="13:51" x14ac:dyDescent="0.75">
      <c r="M444" s="1326"/>
      <c r="U444" s="1326"/>
      <c r="Y444" s="1326"/>
      <c r="AC444" s="1326"/>
      <c r="AG444" s="1326"/>
      <c r="AT444" s="1326">
        <v>39710</v>
      </c>
      <c r="AU444" s="1314">
        <v>734.49</v>
      </c>
      <c r="AV444" s="1314">
        <f t="shared" si="67"/>
        <v>3.9720849907280358E-2</v>
      </c>
      <c r="AX444" s="1314">
        <v>4.3822999999999999</v>
      </c>
      <c r="AY444" s="1314">
        <f t="shared" si="68"/>
        <v>2.7687520021967469E-3</v>
      </c>
    </row>
    <row r="445" spans="13:51" x14ac:dyDescent="0.75">
      <c r="M445" s="1326"/>
      <c r="U445" s="1326"/>
      <c r="Y445" s="1326"/>
      <c r="AC445" s="1326"/>
      <c r="AG445" s="1326"/>
      <c r="AT445" s="1326">
        <v>39703</v>
      </c>
      <c r="AU445" s="1314">
        <v>730.43</v>
      </c>
      <c r="AV445" s="1314">
        <f t="shared" si="67"/>
        <v>-5.5276450326077397E-3</v>
      </c>
      <c r="AX445" s="1314">
        <v>4.3147000000000002</v>
      </c>
      <c r="AY445" s="1314">
        <f t="shared" si="68"/>
        <v>-1.5425689706318522E-2</v>
      </c>
    </row>
    <row r="446" spans="13:51" x14ac:dyDescent="0.75">
      <c r="M446" s="1326"/>
      <c r="U446" s="1326"/>
      <c r="Y446" s="1326"/>
      <c r="AC446" s="1326"/>
      <c r="AG446" s="1326"/>
      <c r="AT446" s="1326">
        <v>39696</v>
      </c>
      <c r="AU446" s="1314">
        <v>726.3</v>
      </c>
      <c r="AV446" s="1314">
        <f t="shared" si="67"/>
        <v>-5.6542036882384289E-3</v>
      </c>
      <c r="AX446" s="1314">
        <v>4.3018999999999998</v>
      </c>
      <c r="AY446" s="1314">
        <f t="shared" si="68"/>
        <v>-2.9666025447888304E-3</v>
      </c>
    </row>
    <row r="447" spans="13:51" x14ac:dyDescent="0.75">
      <c r="M447" s="1326"/>
      <c r="U447" s="1326"/>
      <c r="Y447" s="1326"/>
      <c r="AC447" s="1326"/>
      <c r="AG447" s="1326"/>
      <c r="AT447" s="1326">
        <v>39689</v>
      </c>
      <c r="AU447" s="1314">
        <v>751.1</v>
      </c>
      <c r="AV447" s="1314">
        <f t="shared" si="67"/>
        <v>3.4145669833402274E-2</v>
      </c>
      <c r="AX447" s="1314">
        <v>4.4226999999999999</v>
      </c>
      <c r="AY447" s="1314">
        <f t="shared" si="68"/>
        <v>2.8080615541969833E-2</v>
      </c>
    </row>
    <row r="448" spans="13:51" x14ac:dyDescent="0.75">
      <c r="M448" s="1326"/>
      <c r="U448" s="1326"/>
      <c r="Y448" s="1326"/>
      <c r="AC448" s="1326"/>
      <c r="AG448" s="1326"/>
      <c r="AT448" s="1326">
        <v>39682</v>
      </c>
      <c r="AU448" s="1314">
        <v>755.29</v>
      </c>
      <c r="AV448" s="1314">
        <f t="shared" si="67"/>
        <v>5.5784848888296374E-3</v>
      </c>
      <c r="AX448" s="1314">
        <v>4.4661999999999997</v>
      </c>
      <c r="AY448" s="1314">
        <f t="shared" si="68"/>
        <v>9.8356207746398971E-3</v>
      </c>
    </row>
    <row r="449" spans="13:51" x14ac:dyDescent="0.75">
      <c r="M449" s="1326"/>
      <c r="U449" s="1326"/>
      <c r="Y449" s="1326"/>
      <c r="AC449" s="1326"/>
      <c r="AG449" s="1326"/>
      <c r="AT449" s="1326">
        <v>39675</v>
      </c>
      <c r="AU449" s="1314">
        <v>759.82</v>
      </c>
      <c r="AV449" s="1314">
        <f t="shared" si="67"/>
        <v>5.9976962491229682E-3</v>
      </c>
      <c r="AX449" s="1314">
        <v>4.4634</v>
      </c>
      <c r="AY449" s="1314">
        <f t="shared" si="68"/>
        <v>-6.2693117191341444E-4</v>
      </c>
    </row>
    <row r="450" spans="13:51" x14ac:dyDescent="0.75">
      <c r="M450" s="1326"/>
      <c r="U450" s="1326"/>
      <c r="Y450" s="1326"/>
      <c r="AC450" s="1326"/>
      <c r="AG450" s="1326"/>
      <c r="AT450" s="1326">
        <v>39668</v>
      </c>
      <c r="AU450" s="1314">
        <v>756.34</v>
      </c>
      <c r="AV450" s="1314">
        <f t="shared" si="67"/>
        <v>-4.5800321128688613E-3</v>
      </c>
      <c r="AX450" s="1314">
        <v>4.5332999999999997</v>
      </c>
      <c r="AY450" s="1314">
        <f t="shared" si="68"/>
        <v>1.5660707084285439E-2</v>
      </c>
    </row>
    <row r="451" spans="13:51" x14ac:dyDescent="0.75">
      <c r="M451" s="1326"/>
      <c r="U451" s="1326"/>
      <c r="Y451" s="1326"/>
      <c r="AC451" s="1326"/>
      <c r="AG451" s="1326"/>
      <c r="AT451" s="1326">
        <v>39661</v>
      </c>
      <c r="AU451" s="1314">
        <v>737.56</v>
      </c>
      <c r="AV451" s="1314">
        <f t="shared" si="67"/>
        <v>-2.4830102863791531E-2</v>
      </c>
      <c r="AX451" s="1314">
        <v>4.5608000000000004</v>
      </c>
      <c r="AY451" s="1314">
        <f t="shared" si="68"/>
        <v>6.0662210751551296E-3</v>
      </c>
    </row>
    <row r="452" spans="13:51" x14ac:dyDescent="0.75">
      <c r="M452" s="1326"/>
      <c r="U452" s="1326"/>
      <c r="Y452" s="1326"/>
      <c r="AC452" s="1326"/>
      <c r="AG452" s="1326"/>
      <c r="AT452" s="1326">
        <v>39654</v>
      </c>
      <c r="AU452" s="1314">
        <v>735.13</v>
      </c>
      <c r="AV452" s="1314">
        <f t="shared" si="67"/>
        <v>-3.2946472151417516E-3</v>
      </c>
      <c r="AX452" s="1314">
        <v>4.6852</v>
      </c>
      <c r="AY452" s="1314">
        <f t="shared" si="68"/>
        <v>2.7275916505876078E-2</v>
      </c>
    </row>
    <row r="453" spans="13:51" x14ac:dyDescent="0.75">
      <c r="M453" s="1326"/>
      <c r="U453" s="1326"/>
      <c r="Y453" s="1326"/>
      <c r="AC453" s="1326"/>
      <c r="AG453" s="1326"/>
      <c r="AT453" s="1326">
        <v>39647</v>
      </c>
      <c r="AU453" s="1314">
        <v>735.58</v>
      </c>
      <c r="AV453" s="1314">
        <f t="shared" ref="AV453:AV516" si="69">(AU453-AU452)/AU452</f>
        <v>6.1213662889563131E-4</v>
      </c>
      <c r="AX453" s="1314">
        <v>4.6475</v>
      </c>
      <c r="AY453" s="1314">
        <f t="shared" ref="AY453:AY516" si="70">(AX453-AX452)/AX452</f>
        <v>-8.0466148723640548E-3</v>
      </c>
    </row>
    <row r="454" spans="13:51" x14ac:dyDescent="0.75">
      <c r="M454" s="1326"/>
      <c r="U454" s="1326"/>
      <c r="Y454" s="1326"/>
      <c r="AC454" s="1326"/>
      <c r="AG454" s="1326"/>
      <c r="AT454" s="1326">
        <v>39640</v>
      </c>
      <c r="AU454" s="1314">
        <v>723.35</v>
      </c>
      <c r="AV454" s="1314">
        <f t="shared" si="69"/>
        <v>-1.6626335680687374E-2</v>
      </c>
      <c r="AX454" s="1314">
        <v>4.5397999999999996</v>
      </c>
      <c r="AY454" s="1314">
        <f t="shared" si="70"/>
        <v>-2.3173749327595559E-2</v>
      </c>
    </row>
    <row r="455" spans="13:51" x14ac:dyDescent="0.75">
      <c r="M455" s="1326"/>
      <c r="U455" s="1326"/>
      <c r="Y455" s="1326"/>
      <c r="AC455" s="1326"/>
      <c r="AG455" s="1326"/>
      <c r="AT455" s="1326">
        <v>39633</v>
      </c>
      <c r="AU455" s="1314">
        <v>734.05</v>
      </c>
      <c r="AV455" s="1314">
        <f t="shared" si="69"/>
        <v>1.4792285892030042E-2</v>
      </c>
      <c r="AX455" s="1314">
        <v>4.5327999999999999</v>
      </c>
      <c r="AY455" s="1314">
        <f t="shared" si="70"/>
        <v>-1.5419181461737684E-3</v>
      </c>
    </row>
    <row r="456" spans="13:51" x14ac:dyDescent="0.75">
      <c r="M456" s="1326"/>
      <c r="U456" s="1326"/>
      <c r="Y456" s="1326"/>
      <c r="AC456" s="1326"/>
      <c r="AG456" s="1326"/>
      <c r="AT456" s="1326">
        <v>39626</v>
      </c>
      <c r="AU456" s="1314">
        <v>748.29</v>
      </c>
      <c r="AV456" s="1314">
        <f t="shared" si="69"/>
        <v>1.939922348613856E-2</v>
      </c>
      <c r="AX456" s="1314">
        <v>4.5209999999999999</v>
      </c>
      <c r="AY456" s="1314">
        <f t="shared" si="70"/>
        <v>-2.6032474408754043E-3</v>
      </c>
    </row>
    <row r="457" spans="13:51" x14ac:dyDescent="0.75">
      <c r="M457" s="1326"/>
      <c r="U457" s="1326"/>
      <c r="Y457" s="1326"/>
      <c r="AC457" s="1326"/>
      <c r="AG457" s="1326"/>
      <c r="AT457" s="1326">
        <v>39619</v>
      </c>
      <c r="AU457" s="1314">
        <v>772.73</v>
      </c>
      <c r="AV457" s="1314">
        <f t="shared" si="69"/>
        <v>3.2661134052306001E-2</v>
      </c>
      <c r="AX457" s="1314">
        <v>4.7243000000000004</v>
      </c>
      <c r="AY457" s="1314">
        <f t="shared" si="70"/>
        <v>4.4967927449679382E-2</v>
      </c>
    </row>
    <row r="458" spans="13:51" x14ac:dyDescent="0.75">
      <c r="M458" s="1326"/>
      <c r="U458" s="1326"/>
      <c r="Y458" s="1326"/>
      <c r="AC458" s="1326"/>
      <c r="AG458" s="1326"/>
      <c r="AT458" s="1326">
        <v>39612</v>
      </c>
      <c r="AU458" s="1314">
        <v>794.68</v>
      </c>
      <c r="AV458" s="1314">
        <f t="shared" si="69"/>
        <v>2.8405782097239568E-2</v>
      </c>
      <c r="AX458" s="1314">
        <v>4.7892999999999999</v>
      </c>
      <c r="AY458" s="1314">
        <f t="shared" si="70"/>
        <v>1.3758652075439642E-2</v>
      </c>
    </row>
    <row r="459" spans="13:51" x14ac:dyDescent="0.75">
      <c r="M459" s="1326"/>
      <c r="U459" s="1326"/>
      <c r="Y459" s="1326"/>
      <c r="AC459" s="1326"/>
      <c r="AG459" s="1326"/>
      <c r="AT459" s="1326">
        <v>39605</v>
      </c>
      <c r="AU459" s="1314">
        <v>796.6</v>
      </c>
      <c r="AV459" s="1314">
        <f t="shared" si="69"/>
        <v>2.4160668445161234E-3</v>
      </c>
      <c r="AX459" s="1314">
        <v>4.6237000000000004</v>
      </c>
      <c r="AY459" s="1314">
        <f t="shared" si="70"/>
        <v>-3.4577078069863973E-2</v>
      </c>
    </row>
    <row r="460" spans="13:51" x14ac:dyDescent="0.75">
      <c r="M460" s="1326"/>
      <c r="U460" s="1326"/>
      <c r="Y460" s="1326"/>
      <c r="AC460" s="1326"/>
      <c r="AG460" s="1326"/>
      <c r="AT460" s="1326">
        <v>39598</v>
      </c>
      <c r="AU460" s="1314">
        <v>816.81</v>
      </c>
      <c r="AV460" s="1314">
        <f t="shared" si="69"/>
        <v>2.5370323876474921E-2</v>
      </c>
      <c r="AX460" s="1314">
        <v>4.7146999999999997</v>
      </c>
      <c r="AY460" s="1314">
        <f t="shared" si="70"/>
        <v>1.9681207690810238E-2</v>
      </c>
    </row>
    <row r="461" spans="13:51" x14ac:dyDescent="0.75">
      <c r="M461" s="1326"/>
      <c r="U461" s="1326"/>
      <c r="Y461" s="1326"/>
      <c r="AC461" s="1326"/>
      <c r="AG461" s="1326"/>
      <c r="AT461" s="1326">
        <v>39591</v>
      </c>
      <c r="AU461" s="1314">
        <v>800.6</v>
      </c>
      <c r="AV461" s="1314">
        <f t="shared" si="69"/>
        <v>-1.9845496504695002E-2</v>
      </c>
      <c r="AX461" s="1314">
        <v>4.5678000000000001</v>
      </c>
      <c r="AY461" s="1314">
        <f t="shared" si="70"/>
        <v>-3.1157867944938085E-2</v>
      </c>
    </row>
    <row r="462" spans="13:51" x14ac:dyDescent="0.75">
      <c r="M462" s="1326"/>
      <c r="U462" s="1326"/>
      <c r="Y462" s="1326"/>
      <c r="AC462" s="1326"/>
      <c r="AG462" s="1326"/>
      <c r="AT462" s="1326">
        <v>39584</v>
      </c>
      <c r="AU462" s="1314">
        <v>828.15</v>
      </c>
      <c r="AV462" s="1314">
        <f t="shared" si="69"/>
        <v>3.4411691231576259E-2</v>
      </c>
      <c r="AX462" s="1314">
        <v>4.5736999999999997</v>
      </c>
      <c r="AY462" s="1314">
        <f t="shared" si="70"/>
        <v>1.2916502473837672E-3</v>
      </c>
    </row>
    <row r="463" spans="13:51" x14ac:dyDescent="0.75">
      <c r="M463" s="1326"/>
      <c r="U463" s="1326"/>
      <c r="Y463" s="1326"/>
      <c r="AC463" s="1326"/>
      <c r="AG463" s="1326"/>
      <c r="AT463" s="1326">
        <v>39577</v>
      </c>
      <c r="AU463" s="1314">
        <v>805.46</v>
      </c>
      <c r="AV463" s="1314">
        <f t="shared" si="69"/>
        <v>-2.7398418160961106E-2</v>
      </c>
      <c r="AX463" s="1314">
        <v>4.5216000000000003</v>
      </c>
      <c r="AY463" s="1314">
        <f t="shared" si="70"/>
        <v>-1.1391214990051681E-2</v>
      </c>
    </row>
    <row r="464" spans="13:51" x14ac:dyDescent="0.75">
      <c r="M464" s="1326"/>
      <c r="U464" s="1326"/>
      <c r="Y464" s="1326"/>
      <c r="AC464" s="1326"/>
      <c r="AG464" s="1326"/>
      <c r="AT464" s="1326">
        <v>39570</v>
      </c>
      <c r="AU464" s="1314">
        <v>817.52</v>
      </c>
      <c r="AV464" s="1314">
        <f t="shared" si="69"/>
        <v>1.497281056787419E-2</v>
      </c>
      <c r="AX464" s="1314">
        <v>4.5774999999999997</v>
      </c>
      <c r="AY464" s="1314">
        <f t="shared" si="70"/>
        <v>1.2362880396319753E-2</v>
      </c>
    </row>
    <row r="465" spans="13:51" x14ac:dyDescent="0.75">
      <c r="M465" s="1326"/>
      <c r="U465" s="1326"/>
      <c r="Y465" s="1326"/>
      <c r="AC465" s="1326"/>
      <c r="AG465" s="1326"/>
      <c r="AT465" s="1326">
        <v>39563</v>
      </c>
      <c r="AU465" s="1314">
        <v>808.87</v>
      </c>
      <c r="AV465" s="1314">
        <f t="shared" si="69"/>
        <v>-1.0580780898326619E-2</v>
      </c>
      <c r="AX465" s="1314">
        <v>4.5914000000000001</v>
      </c>
      <c r="AY465" s="1314">
        <f t="shared" si="70"/>
        <v>3.0365920262152854E-3</v>
      </c>
    </row>
    <row r="466" spans="13:51" x14ac:dyDescent="0.75">
      <c r="M466" s="1326"/>
      <c r="U466" s="1326"/>
      <c r="Y466" s="1326"/>
      <c r="AC466" s="1326"/>
      <c r="AG466" s="1326"/>
      <c r="AT466" s="1326">
        <v>39556</v>
      </c>
      <c r="AU466" s="1314">
        <v>804.56</v>
      </c>
      <c r="AV466" s="1314">
        <f t="shared" si="69"/>
        <v>-5.3284211307132899E-3</v>
      </c>
      <c r="AX466" s="1314">
        <v>4.4961000000000002</v>
      </c>
      <c r="AY466" s="1314">
        <f t="shared" si="70"/>
        <v>-2.0756196367121126E-2</v>
      </c>
    </row>
    <row r="467" spans="13:51" x14ac:dyDescent="0.75">
      <c r="M467" s="1326"/>
      <c r="U467" s="1326"/>
      <c r="Y467" s="1326"/>
      <c r="AC467" s="1326"/>
      <c r="AG467" s="1326"/>
      <c r="AT467" s="1326">
        <v>39549</v>
      </c>
      <c r="AU467" s="1314">
        <v>771.36</v>
      </c>
      <c r="AV467" s="1314">
        <f t="shared" si="69"/>
        <v>-4.1264790693049537E-2</v>
      </c>
      <c r="AX467" s="1314">
        <v>4.2990000000000004</v>
      </c>
      <c r="AY467" s="1314">
        <f t="shared" si="70"/>
        <v>-4.3837992927203535E-2</v>
      </c>
    </row>
    <row r="468" spans="13:51" x14ac:dyDescent="0.75">
      <c r="M468" s="1326"/>
      <c r="U468" s="1326"/>
      <c r="Y468" s="1326"/>
      <c r="AC468" s="1326"/>
      <c r="AG468" s="1326"/>
      <c r="AT468" s="1326">
        <v>39542</v>
      </c>
      <c r="AU468" s="1314">
        <v>793.06</v>
      </c>
      <c r="AV468" s="1314">
        <f t="shared" si="69"/>
        <v>2.8132130263430734E-2</v>
      </c>
      <c r="AX468" s="1314">
        <v>4.3055000000000003</v>
      </c>
      <c r="AY468" s="1314">
        <f t="shared" si="70"/>
        <v>1.5119795301232729E-3</v>
      </c>
    </row>
    <row r="469" spans="13:51" x14ac:dyDescent="0.75">
      <c r="M469" s="1326"/>
      <c r="U469" s="1326"/>
      <c r="Y469" s="1326"/>
      <c r="AC469" s="1326"/>
      <c r="AG469" s="1326"/>
      <c r="AT469" s="1326">
        <v>39535</v>
      </c>
      <c r="AU469" s="1314">
        <v>760.14</v>
      </c>
      <c r="AV469" s="1314">
        <f t="shared" si="69"/>
        <v>-4.1510100118528181E-2</v>
      </c>
      <c r="AX469" s="1314">
        <v>4.3177000000000003</v>
      </c>
      <c r="AY469" s="1314">
        <f t="shared" si="70"/>
        <v>2.8335849494832161E-3</v>
      </c>
    </row>
    <row r="470" spans="13:51" x14ac:dyDescent="0.75">
      <c r="M470" s="1326"/>
      <c r="U470" s="1326"/>
      <c r="Y470" s="1326"/>
      <c r="AC470" s="1326"/>
      <c r="AG470" s="1326"/>
      <c r="AT470" s="1326">
        <v>39528</v>
      </c>
      <c r="AU470" s="1314">
        <v>766.04</v>
      </c>
      <c r="AV470" s="1314">
        <f t="shared" si="69"/>
        <v>7.7617281027178905E-3</v>
      </c>
      <c r="AX470" s="1314">
        <v>4.1599000000000004</v>
      </c>
      <c r="AY470" s="1314">
        <f t="shared" si="70"/>
        <v>-3.6547235796836261E-2</v>
      </c>
    </row>
    <row r="471" spans="13:51" x14ac:dyDescent="0.75">
      <c r="M471" s="1326"/>
      <c r="U471" s="1326"/>
      <c r="Y471" s="1326"/>
      <c r="AC471" s="1326"/>
      <c r="AG471" s="1326"/>
      <c r="AT471" s="1326">
        <v>39521</v>
      </c>
      <c r="AU471" s="1314">
        <v>744.83</v>
      </c>
      <c r="AV471" s="1314">
        <f t="shared" si="69"/>
        <v>-2.7687849198475174E-2</v>
      </c>
      <c r="AX471" s="1314">
        <v>4.3635000000000002</v>
      </c>
      <c r="AY471" s="1314">
        <f t="shared" si="70"/>
        <v>4.8943484218370574E-2</v>
      </c>
    </row>
    <row r="472" spans="13:51" x14ac:dyDescent="0.75">
      <c r="M472" s="1326"/>
      <c r="U472" s="1326"/>
      <c r="Y472" s="1326"/>
      <c r="AC472" s="1326"/>
      <c r="AG472" s="1326"/>
      <c r="AT472" s="1326">
        <v>39514</v>
      </c>
      <c r="AU472" s="1314">
        <v>747.58</v>
      </c>
      <c r="AV472" s="1314">
        <f t="shared" si="69"/>
        <v>3.6921176644334947E-3</v>
      </c>
      <c r="AX472" s="1314">
        <v>4.5399000000000003</v>
      </c>
      <c r="AY472" s="1314">
        <f t="shared" si="70"/>
        <v>4.0426263320728795E-2</v>
      </c>
    </row>
    <row r="473" spans="13:51" x14ac:dyDescent="0.75">
      <c r="M473" s="1326"/>
      <c r="U473" s="1326"/>
      <c r="Y473" s="1326"/>
      <c r="AC473" s="1326"/>
      <c r="AG473" s="1326"/>
      <c r="AT473" s="1326">
        <v>39507</v>
      </c>
      <c r="AU473" s="1314">
        <v>770.45</v>
      </c>
      <c r="AV473" s="1314">
        <f t="shared" si="69"/>
        <v>3.0592043660879108E-2</v>
      </c>
      <c r="AX473" s="1314">
        <v>4.4023000000000003</v>
      </c>
      <c r="AY473" s="1314">
        <f t="shared" si="70"/>
        <v>-3.0309037644000954E-2</v>
      </c>
    </row>
    <row r="474" spans="13:51" x14ac:dyDescent="0.75">
      <c r="M474" s="1326"/>
      <c r="U474" s="1326"/>
      <c r="Y474" s="1326"/>
      <c r="AC474" s="1326"/>
      <c r="AG474" s="1326"/>
      <c r="AT474" s="1326">
        <v>39500</v>
      </c>
      <c r="AU474" s="1314">
        <v>783</v>
      </c>
      <c r="AV474" s="1314">
        <f t="shared" si="69"/>
        <v>1.6289181647089302E-2</v>
      </c>
      <c r="AX474" s="1314">
        <v>4.5732999999999997</v>
      </c>
      <c r="AY474" s="1314">
        <f t="shared" si="70"/>
        <v>3.8843331894691267E-2</v>
      </c>
    </row>
    <row r="475" spans="13:51" x14ac:dyDescent="0.75">
      <c r="M475" s="1326"/>
      <c r="U475" s="1326"/>
      <c r="Y475" s="1326"/>
      <c r="AC475" s="1326"/>
      <c r="AG475" s="1326"/>
      <c r="AT475" s="1326">
        <v>39493</v>
      </c>
      <c r="AU475" s="1314">
        <v>781.67</v>
      </c>
      <c r="AV475" s="1314">
        <f t="shared" si="69"/>
        <v>-1.6985951468710611E-3</v>
      </c>
      <c r="AX475" s="1314">
        <v>4.5762</v>
      </c>
      <c r="AY475" s="1314">
        <f t="shared" si="70"/>
        <v>6.341154090045147E-4</v>
      </c>
    </row>
    <row r="476" spans="13:51" x14ac:dyDescent="0.75">
      <c r="M476" s="1326"/>
      <c r="U476" s="1326"/>
      <c r="Y476" s="1326"/>
      <c r="AC476" s="1326"/>
      <c r="AG476" s="1326"/>
      <c r="AT476" s="1326">
        <v>39486</v>
      </c>
      <c r="AU476" s="1314">
        <v>772</v>
      </c>
      <c r="AV476" s="1314">
        <f t="shared" si="69"/>
        <v>-1.2370949377614543E-2</v>
      </c>
      <c r="AX476" s="1314">
        <v>4.4165999999999999</v>
      </c>
      <c r="AY476" s="1314">
        <f t="shared" si="70"/>
        <v>-3.4876098072636724E-2</v>
      </c>
    </row>
    <row r="477" spans="13:51" x14ac:dyDescent="0.75">
      <c r="M477" s="1326"/>
      <c r="U477" s="1326"/>
      <c r="Y477" s="1326"/>
      <c r="AC477" s="1326"/>
      <c r="AG477" s="1326"/>
      <c r="AT477" s="1326">
        <v>39479</v>
      </c>
      <c r="AU477" s="1314">
        <v>808.28</v>
      </c>
      <c r="AV477" s="1314">
        <f t="shared" si="69"/>
        <v>4.6994818652849706E-2</v>
      </c>
      <c r="AX477" s="1314">
        <v>4.3083999999999998</v>
      </c>
      <c r="AY477" s="1314">
        <f t="shared" si="70"/>
        <v>-2.4498482995969767E-2</v>
      </c>
    </row>
    <row r="478" spans="13:51" x14ac:dyDescent="0.75">
      <c r="M478" s="1326"/>
      <c r="U478" s="1326"/>
      <c r="Y478" s="1326"/>
      <c r="AC478" s="1326"/>
      <c r="AG478" s="1326"/>
      <c r="AT478" s="1326">
        <v>39472</v>
      </c>
      <c r="AU478" s="1314">
        <v>768.47</v>
      </c>
      <c r="AV478" s="1314">
        <f t="shared" si="69"/>
        <v>-4.9252734201019381E-2</v>
      </c>
      <c r="AX478" s="1314">
        <v>4.2633999999999999</v>
      </c>
      <c r="AY478" s="1314">
        <f t="shared" si="70"/>
        <v>-1.0444712654349627E-2</v>
      </c>
    </row>
    <row r="479" spans="13:51" x14ac:dyDescent="0.75">
      <c r="M479" s="1326"/>
      <c r="U479" s="1326"/>
      <c r="Y479" s="1326"/>
      <c r="AC479" s="1326"/>
      <c r="AG479" s="1326"/>
      <c r="AT479" s="1326">
        <v>39465</v>
      </c>
      <c r="AU479" s="1314">
        <v>762.61</v>
      </c>
      <c r="AV479" s="1314">
        <f t="shared" si="69"/>
        <v>-7.6255416607024524E-3</v>
      </c>
      <c r="AX479" s="1314">
        <v>4.2809999999999997</v>
      </c>
      <c r="AY479" s="1314">
        <f t="shared" si="70"/>
        <v>4.1281606229769292E-3</v>
      </c>
    </row>
    <row r="480" spans="13:51" x14ac:dyDescent="0.75">
      <c r="M480" s="1326"/>
      <c r="U480" s="1326"/>
      <c r="Y480" s="1326"/>
      <c r="AC480" s="1326"/>
      <c r="AG480" s="1326"/>
      <c r="AT480" s="1326">
        <v>39458</v>
      </c>
      <c r="AU480" s="1314">
        <v>805.57</v>
      </c>
      <c r="AV480" s="1314">
        <f t="shared" si="69"/>
        <v>5.6332856899332602E-2</v>
      </c>
      <c r="AX480" s="1314">
        <v>4.375</v>
      </c>
      <c r="AY480" s="1314">
        <f t="shared" si="70"/>
        <v>2.195748656855882E-2</v>
      </c>
    </row>
    <row r="481" spans="13:51" x14ac:dyDescent="0.75">
      <c r="M481" s="1326"/>
      <c r="U481" s="1326"/>
      <c r="Y481" s="1326"/>
      <c r="AC481" s="1326"/>
      <c r="AG481" s="1326"/>
      <c r="AT481" s="1326">
        <v>39451</v>
      </c>
      <c r="AU481" s="1314">
        <v>814.44</v>
      </c>
      <c r="AV481" s="1314">
        <f t="shared" si="69"/>
        <v>1.1010837047059852E-2</v>
      </c>
      <c r="AX481" s="1314">
        <v>4.3761000000000001</v>
      </c>
      <c r="AY481" s="1314">
        <f t="shared" si="70"/>
        <v>2.5142857142859448E-4</v>
      </c>
    </row>
    <row r="482" spans="13:51" x14ac:dyDescent="0.75">
      <c r="M482" s="1326"/>
      <c r="U482" s="1326"/>
      <c r="Y482" s="1326"/>
      <c r="AC482" s="1326"/>
      <c r="AG482" s="1326"/>
      <c r="AT482" s="1326">
        <v>39444</v>
      </c>
      <c r="AU482" s="1314">
        <v>854.78</v>
      </c>
      <c r="AV482" s="1314">
        <f t="shared" si="69"/>
        <v>4.95309660625705E-2</v>
      </c>
      <c r="AX482" s="1314">
        <v>4.4949000000000003</v>
      </c>
      <c r="AY482" s="1314">
        <f t="shared" si="70"/>
        <v>2.7147460067183164E-2</v>
      </c>
    </row>
    <row r="483" spans="13:51" x14ac:dyDescent="0.75">
      <c r="M483" s="1326"/>
      <c r="U483" s="1326"/>
      <c r="Y483" s="1326"/>
      <c r="AC483" s="1326"/>
      <c r="AG483" s="1326"/>
      <c r="AT483" s="1326">
        <v>39437</v>
      </c>
      <c r="AU483" s="1314">
        <v>859.44</v>
      </c>
      <c r="AV483" s="1314">
        <f t="shared" si="69"/>
        <v>5.4516951730270739E-3</v>
      </c>
      <c r="AX483" s="1314">
        <v>4.5823</v>
      </c>
      <c r="AY483" s="1314">
        <f t="shared" si="70"/>
        <v>1.9444259049144517E-2</v>
      </c>
    </row>
    <row r="484" spans="13:51" x14ac:dyDescent="0.75">
      <c r="M484" s="1326"/>
      <c r="U484" s="1326"/>
      <c r="Y484" s="1326"/>
      <c r="AC484" s="1326"/>
      <c r="AG484" s="1326"/>
      <c r="AT484" s="1326">
        <v>39430</v>
      </c>
      <c r="AU484" s="1314">
        <v>847.75</v>
      </c>
      <c r="AV484" s="1314">
        <f t="shared" si="69"/>
        <v>-1.3601880294145087E-2</v>
      </c>
      <c r="AX484" s="1314">
        <v>4.6582999999999997</v>
      </c>
      <c r="AY484" s="1314">
        <f t="shared" si="70"/>
        <v>1.6585557471138865E-2</v>
      </c>
    </row>
    <row r="485" spans="13:51" x14ac:dyDescent="0.75">
      <c r="M485" s="1326"/>
      <c r="U485" s="1326"/>
      <c r="Y485" s="1326"/>
      <c r="AC485" s="1326"/>
      <c r="AG485" s="1326"/>
      <c r="AT485" s="1326">
        <v>39423</v>
      </c>
      <c r="AU485" s="1314">
        <v>870.81</v>
      </c>
      <c r="AV485" s="1314">
        <f t="shared" si="69"/>
        <v>2.7201415511648418E-2</v>
      </c>
      <c r="AX485" s="1314">
        <v>4.5697000000000001</v>
      </c>
      <c r="AY485" s="1314">
        <f t="shared" si="70"/>
        <v>-1.9019814095270714E-2</v>
      </c>
    </row>
    <row r="486" spans="13:51" x14ac:dyDescent="0.75">
      <c r="M486" s="1326"/>
      <c r="U486" s="1326"/>
      <c r="Y486" s="1326"/>
      <c r="AC486" s="1326"/>
      <c r="AG486" s="1326"/>
      <c r="AT486" s="1326">
        <v>39416</v>
      </c>
      <c r="AU486" s="1314">
        <v>855.85</v>
      </c>
      <c r="AV486" s="1314">
        <f t="shared" si="69"/>
        <v>-1.7179407677908987E-2</v>
      </c>
      <c r="AX486" s="1314">
        <v>4.3789999999999996</v>
      </c>
      <c r="AY486" s="1314">
        <f t="shared" si="70"/>
        <v>-4.1731404687397541E-2</v>
      </c>
    </row>
    <row r="487" spans="13:51" x14ac:dyDescent="0.75">
      <c r="M487" s="1326"/>
      <c r="U487" s="1326"/>
      <c r="Y487" s="1326"/>
      <c r="AC487" s="1326"/>
      <c r="AG487" s="1326"/>
      <c r="AT487" s="1326">
        <v>39409</v>
      </c>
      <c r="AU487" s="1314">
        <v>832.59</v>
      </c>
      <c r="AV487" s="1314">
        <f t="shared" si="69"/>
        <v>-2.7177659636618556E-2</v>
      </c>
      <c r="AX487" s="1314">
        <v>4.4245999999999999</v>
      </c>
      <c r="AY487" s="1314">
        <f t="shared" si="70"/>
        <v>1.0413336378168603E-2</v>
      </c>
    </row>
    <row r="488" spans="13:51" x14ac:dyDescent="0.75">
      <c r="M488" s="1326"/>
      <c r="U488" s="1326"/>
      <c r="Y488" s="1326"/>
      <c r="AC488" s="1326"/>
      <c r="AG488" s="1326"/>
      <c r="AT488" s="1326">
        <v>39402</v>
      </c>
      <c r="AU488" s="1314">
        <v>844.15</v>
      </c>
      <c r="AV488" s="1314">
        <f t="shared" si="69"/>
        <v>1.3884384871305139E-2</v>
      </c>
      <c r="AX488" s="1314">
        <v>4.5343999999999998</v>
      </c>
      <c r="AY488" s="1314">
        <f t="shared" si="70"/>
        <v>2.4815802558423337E-2</v>
      </c>
    </row>
    <row r="489" spans="13:51" x14ac:dyDescent="0.75">
      <c r="M489" s="1326"/>
      <c r="U489" s="1326"/>
      <c r="Y489" s="1326"/>
      <c r="AC489" s="1326"/>
      <c r="AG489" s="1326"/>
      <c r="AT489" s="1326">
        <v>39395</v>
      </c>
      <c r="AU489" s="1314">
        <v>842.99</v>
      </c>
      <c r="AV489" s="1314">
        <f t="shared" si="69"/>
        <v>-1.3741633595924518E-3</v>
      </c>
      <c r="AX489" s="1314">
        <v>4.6028000000000002</v>
      </c>
      <c r="AY489" s="1314">
        <f t="shared" si="70"/>
        <v>1.5084685956245692E-2</v>
      </c>
    </row>
    <row r="490" spans="13:51" x14ac:dyDescent="0.75">
      <c r="M490" s="1326"/>
      <c r="U490" s="1326"/>
      <c r="Y490" s="1326"/>
      <c r="AC490" s="1326"/>
      <c r="AG490" s="1326"/>
      <c r="AT490" s="1326">
        <v>39388</v>
      </c>
      <c r="AU490" s="1314">
        <v>874.74</v>
      </c>
      <c r="AV490" s="1314">
        <f t="shared" si="69"/>
        <v>3.7663554727814089E-2</v>
      </c>
      <c r="AX490" s="1314">
        <v>4.6158999999999999</v>
      </c>
      <c r="AY490" s="1314">
        <f t="shared" si="70"/>
        <v>2.8460936821064716E-3</v>
      </c>
    </row>
    <row r="491" spans="13:51" x14ac:dyDescent="0.75">
      <c r="M491" s="1326"/>
      <c r="U491" s="1326"/>
      <c r="Y491" s="1326"/>
      <c r="AC491" s="1326"/>
      <c r="AG491" s="1326"/>
      <c r="AT491" s="1326">
        <v>39381</v>
      </c>
      <c r="AU491" s="1314">
        <v>889.61</v>
      </c>
      <c r="AV491" s="1314">
        <f t="shared" si="69"/>
        <v>1.6999336945835337E-2</v>
      </c>
      <c r="AX491" s="1314">
        <v>4.6978999999999997</v>
      </c>
      <c r="AY491" s="1314">
        <f t="shared" si="70"/>
        <v>1.7764682943737918E-2</v>
      </c>
    </row>
    <row r="492" spans="13:51" x14ac:dyDescent="0.75">
      <c r="M492" s="1326"/>
      <c r="U492" s="1326"/>
      <c r="Y492" s="1326"/>
      <c r="AC492" s="1326"/>
      <c r="AG492" s="1326"/>
      <c r="AT492" s="1326">
        <v>39374</v>
      </c>
      <c r="AU492" s="1314">
        <v>869.69</v>
      </c>
      <c r="AV492" s="1314">
        <f t="shared" si="69"/>
        <v>-2.2391834624161104E-2</v>
      </c>
      <c r="AX492" s="1314">
        <v>4.6856</v>
      </c>
      <c r="AY492" s="1314">
        <f t="shared" si="70"/>
        <v>-2.6181911066646283E-3</v>
      </c>
    </row>
    <row r="493" spans="13:51" x14ac:dyDescent="0.75">
      <c r="M493" s="1326"/>
      <c r="U493" s="1326"/>
      <c r="Y493" s="1326"/>
      <c r="AC493" s="1326"/>
      <c r="AG493" s="1326"/>
      <c r="AT493" s="1326">
        <v>39367</v>
      </c>
      <c r="AU493" s="1314">
        <v>905.67</v>
      </c>
      <c r="AV493" s="1314">
        <f t="shared" si="69"/>
        <v>4.1371063252423165E-2</v>
      </c>
      <c r="AX493" s="1314">
        <v>4.9010999999999996</v>
      </c>
      <c r="AY493" s="1314">
        <f t="shared" si="70"/>
        <v>4.5991975414034401E-2</v>
      </c>
    </row>
    <row r="494" spans="13:51" x14ac:dyDescent="0.75">
      <c r="M494" s="1326"/>
      <c r="U494" s="1326"/>
      <c r="Y494" s="1326"/>
      <c r="AC494" s="1326"/>
      <c r="AG494" s="1326"/>
      <c r="AT494" s="1326">
        <v>39360</v>
      </c>
      <c r="AU494" s="1314">
        <v>903.36</v>
      </c>
      <c r="AV494" s="1314">
        <f t="shared" si="69"/>
        <v>-2.5505978998972534E-3</v>
      </c>
      <c r="AX494" s="1314">
        <v>4.8654999999999999</v>
      </c>
      <c r="AY494" s="1314">
        <f t="shared" si="70"/>
        <v>-7.2636755014179747E-3</v>
      </c>
    </row>
    <row r="495" spans="13:51" x14ac:dyDescent="0.75">
      <c r="M495" s="1326"/>
      <c r="U495" s="1326"/>
      <c r="Y495" s="1326"/>
      <c r="AC495" s="1326"/>
      <c r="AG495" s="1326"/>
      <c r="AT495" s="1326">
        <v>39353</v>
      </c>
      <c r="AU495" s="1314">
        <v>882.79</v>
      </c>
      <c r="AV495" s="1314">
        <f t="shared" si="69"/>
        <v>-2.2770545518951524E-2</v>
      </c>
      <c r="AX495" s="1314">
        <v>4.8360000000000003</v>
      </c>
      <c r="AY495" s="1314">
        <f t="shared" si="70"/>
        <v>-6.0630973178500951E-3</v>
      </c>
    </row>
    <row r="496" spans="13:51" x14ac:dyDescent="0.75">
      <c r="M496" s="1326"/>
      <c r="U496" s="1326"/>
      <c r="Y496" s="1326"/>
      <c r="AC496" s="1326"/>
      <c r="AG496" s="1326"/>
      <c r="AT496" s="1326">
        <v>39346</v>
      </c>
      <c r="AU496" s="1314">
        <v>881.87</v>
      </c>
      <c r="AV496" s="1314">
        <f t="shared" si="69"/>
        <v>-1.0421504548080054E-3</v>
      </c>
      <c r="AX496" s="1314">
        <v>4.8852000000000002</v>
      </c>
      <c r="AY496" s="1314">
        <f t="shared" si="70"/>
        <v>1.0173697270471444E-2</v>
      </c>
    </row>
    <row r="497" spans="13:51" x14ac:dyDescent="0.75">
      <c r="M497" s="1326"/>
      <c r="U497" s="1326"/>
      <c r="Y497" s="1326"/>
      <c r="AC497" s="1326"/>
      <c r="AG497" s="1326"/>
      <c r="AT497" s="1326">
        <v>39339</v>
      </c>
      <c r="AU497" s="1314">
        <v>857.7</v>
      </c>
      <c r="AV497" s="1314">
        <f t="shared" si="69"/>
        <v>-2.7407667796840757E-2</v>
      </c>
      <c r="AX497" s="1314">
        <v>4.7191000000000001</v>
      </c>
      <c r="AY497" s="1314">
        <f t="shared" si="70"/>
        <v>-3.4000655039711808E-2</v>
      </c>
    </row>
    <row r="498" spans="13:51" x14ac:dyDescent="0.75">
      <c r="M498" s="1326"/>
      <c r="U498" s="1326"/>
      <c r="Y498" s="1326"/>
      <c r="AC498" s="1326"/>
      <c r="AG498" s="1326"/>
      <c r="AT498" s="1326">
        <v>39332</v>
      </c>
      <c r="AU498" s="1314">
        <v>841.42</v>
      </c>
      <c r="AV498" s="1314">
        <f t="shared" si="69"/>
        <v>-1.8980995686137443E-2</v>
      </c>
      <c r="AX498" s="1314">
        <v>4.6973000000000003</v>
      </c>
      <c r="AY498" s="1314">
        <f t="shared" si="70"/>
        <v>-4.6195249094106543E-3</v>
      </c>
    </row>
    <row r="499" spans="13:51" x14ac:dyDescent="0.75">
      <c r="M499" s="1326"/>
      <c r="U499" s="1326"/>
      <c r="Y499" s="1326"/>
      <c r="AC499" s="1326"/>
      <c r="AG499" s="1326"/>
      <c r="AT499" s="1326">
        <v>39325</v>
      </c>
      <c r="AU499" s="1314">
        <v>852.98</v>
      </c>
      <c r="AV499" s="1314">
        <f t="shared" si="69"/>
        <v>1.3738679850728601E-2</v>
      </c>
      <c r="AX499" s="1314">
        <v>4.8224</v>
      </c>
      <c r="AY499" s="1314">
        <f t="shared" si="70"/>
        <v>2.6632320694867213E-2</v>
      </c>
    </row>
    <row r="500" spans="13:51" x14ac:dyDescent="0.75">
      <c r="M500" s="1326"/>
      <c r="U500" s="1326"/>
      <c r="Y500" s="1326"/>
      <c r="AC500" s="1326"/>
      <c r="AG500" s="1326"/>
      <c r="AT500" s="1326">
        <v>39318</v>
      </c>
      <c r="AU500" s="1314">
        <v>855.73</v>
      </c>
      <c r="AV500" s="1314">
        <f t="shared" si="69"/>
        <v>3.2239911838495626E-3</v>
      </c>
      <c r="AX500" s="1314">
        <v>4.8842999999999996</v>
      </c>
      <c r="AY500" s="1314">
        <f t="shared" si="70"/>
        <v>1.2835932315859245E-2</v>
      </c>
    </row>
    <row r="501" spans="13:51" x14ac:dyDescent="0.75">
      <c r="M501" s="1326"/>
      <c r="U501" s="1326"/>
      <c r="Y501" s="1326"/>
      <c r="AC501" s="1326"/>
      <c r="AG501" s="1326"/>
      <c r="AT501" s="1326">
        <v>39311</v>
      </c>
      <c r="AU501" s="1314">
        <v>835.18</v>
      </c>
      <c r="AV501" s="1314">
        <f t="shared" si="69"/>
        <v>-2.4014584039358289E-2</v>
      </c>
      <c r="AX501" s="1314">
        <v>4.9863</v>
      </c>
      <c r="AY501" s="1314">
        <f t="shared" si="70"/>
        <v>2.0883238130336039E-2</v>
      </c>
    </row>
    <row r="502" spans="13:51" x14ac:dyDescent="0.75">
      <c r="M502" s="1326"/>
      <c r="U502" s="1326"/>
      <c r="Y502" s="1326"/>
      <c r="AC502" s="1326"/>
      <c r="AG502" s="1326"/>
      <c r="AT502" s="1326">
        <v>39304</v>
      </c>
      <c r="AU502" s="1314">
        <v>841.37</v>
      </c>
      <c r="AV502" s="1314">
        <f t="shared" si="69"/>
        <v>7.4115759476999629E-3</v>
      </c>
      <c r="AX502" s="1314">
        <v>5.0331000000000001</v>
      </c>
      <c r="AY502" s="1314">
        <f t="shared" si="70"/>
        <v>9.3857168642079644E-3</v>
      </c>
    </row>
    <row r="503" spans="13:51" x14ac:dyDescent="0.75">
      <c r="M503" s="1326"/>
      <c r="U503" s="1326"/>
      <c r="Y503" s="1326"/>
      <c r="AC503" s="1326"/>
      <c r="AG503" s="1326"/>
      <c r="AT503" s="1326">
        <v>39297</v>
      </c>
      <c r="AU503" s="1314">
        <v>828.69</v>
      </c>
      <c r="AV503" s="1314">
        <f t="shared" si="69"/>
        <v>-1.5070658568762791E-2</v>
      </c>
      <c r="AX503" s="1314">
        <v>4.8651999999999997</v>
      </c>
      <c r="AY503" s="1314">
        <f t="shared" si="70"/>
        <v>-3.3359162345274362E-2</v>
      </c>
    </row>
    <row r="504" spans="13:51" x14ac:dyDescent="0.75">
      <c r="M504" s="1326"/>
      <c r="U504" s="1326"/>
      <c r="Y504" s="1326"/>
      <c r="AC504" s="1326"/>
      <c r="AG504" s="1326"/>
      <c r="AT504" s="1326">
        <v>39290</v>
      </c>
      <c r="AU504" s="1314">
        <v>844.31</v>
      </c>
      <c r="AV504" s="1314">
        <f t="shared" si="69"/>
        <v>1.8849026777202439E-2</v>
      </c>
      <c r="AX504" s="1314">
        <v>4.9317000000000002</v>
      </c>
      <c r="AY504" s="1314">
        <f t="shared" si="70"/>
        <v>1.3668502836471358E-2</v>
      </c>
    </row>
    <row r="505" spans="13:51" x14ac:dyDescent="0.75">
      <c r="M505" s="1326"/>
      <c r="U505" s="1326"/>
      <c r="Y505" s="1326"/>
      <c r="AC505" s="1326"/>
      <c r="AG505" s="1326"/>
      <c r="AT505" s="1326">
        <v>39283</v>
      </c>
      <c r="AU505" s="1314">
        <v>890.52</v>
      </c>
      <c r="AV505" s="1314">
        <f t="shared" si="69"/>
        <v>5.4731082185453257E-2</v>
      </c>
      <c r="AX505" s="1314">
        <v>5.0580999999999996</v>
      </c>
      <c r="AY505" s="1314">
        <f t="shared" si="70"/>
        <v>2.5630107265243101E-2</v>
      </c>
    </row>
    <row r="506" spans="13:51" x14ac:dyDescent="0.75">
      <c r="M506" s="1326"/>
      <c r="U506" s="1326"/>
      <c r="Y506" s="1326"/>
      <c r="AC506" s="1326"/>
      <c r="AG506" s="1326"/>
      <c r="AT506" s="1326">
        <v>39276</v>
      </c>
      <c r="AU506" s="1314">
        <v>901.98</v>
      </c>
      <c r="AV506" s="1314">
        <f t="shared" si="69"/>
        <v>1.2868885594933339E-2</v>
      </c>
      <c r="AX506" s="1314">
        <v>5.1848999999999998</v>
      </c>
      <c r="AY506" s="1314">
        <f t="shared" si="70"/>
        <v>2.5068701686404037E-2</v>
      </c>
    </row>
    <row r="507" spans="13:51" x14ac:dyDescent="0.75">
      <c r="M507" s="1326"/>
      <c r="U507" s="1326"/>
      <c r="Y507" s="1326"/>
      <c r="AC507" s="1326"/>
      <c r="AG507" s="1326"/>
      <c r="AT507" s="1326">
        <v>39269</v>
      </c>
      <c r="AU507" s="1314">
        <v>890.29</v>
      </c>
      <c r="AV507" s="1314">
        <f t="shared" si="69"/>
        <v>-1.2960376061553532E-2</v>
      </c>
      <c r="AX507" s="1314">
        <v>5.2683999999999997</v>
      </c>
      <c r="AY507" s="1314">
        <f t="shared" si="70"/>
        <v>1.6104457173715964E-2</v>
      </c>
    </row>
    <row r="508" spans="13:51" x14ac:dyDescent="0.75">
      <c r="M508" s="1326"/>
      <c r="U508" s="1326"/>
      <c r="Y508" s="1326"/>
      <c r="AC508" s="1326"/>
      <c r="AG508" s="1326"/>
      <c r="AT508" s="1326">
        <v>39262</v>
      </c>
      <c r="AU508" s="1314">
        <v>873.19</v>
      </c>
      <c r="AV508" s="1314">
        <f t="shared" si="69"/>
        <v>-1.920722461220491E-2</v>
      </c>
      <c r="AX508" s="1314">
        <v>5.1238999999999999</v>
      </c>
      <c r="AY508" s="1314">
        <f t="shared" si="70"/>
        <v>-2.7427682028699388E-2</v>
      </c>
    </row>
    <row r="509" spans="13:51" x14ac:dyDescent="0.75">
      <c r="M509" s="1326"/>
      <c r="U509" s="1326"/>
      <c r="Y509" s="1326"/>
      <c r="AC509" s="1326"/>
      <c r="AG509" s="1326"/>
      <c r="AT509" s="1326">
        <v>39255</v>
      </c>
      <c r="AU509" s="1314">
        <v>873.12</v>
      </c>
      <c r="AV509" s="1314">
        <f t="shared" si="69"/>
        <v>-8.016582874294256E-5</v>
      </c>
      <c r="AX509" s="1314">
        <v>5.2481</v>
      </c>
      <c r="AY509" s="1314">
        <f t="shared" si="70"/>
        <v>2.4239348933429633E-2</v>
      </c>
    </row>
    <row r="510" spans="13:51" x14ac:dyDescent="0.75">
      <c r="M510" s="1326"/>
      <c r="U510" s="1326"/>
      <c r="Y510" s="1326"/>
      <c r="AC510" s="1326"/>
      <c r="AG510" s="1326"/>
      <c r="AT510" s="1326">
        <v>39248</v>
      </c>
      <c r="AU510" s="1314">
        <v>890.93</v>
      </c>
      <c r="AV510" s="1314">
        <f t="shared" si="69"/>
        <v>2.0398112516034388E-2</v>
      </c>
      <c r="AX510" s="1314">
        <v>5.2590000000000003</v>
      </c>
      <c r="AY510" s="1314">
        <f t="shared" si="70"/>
        <v>2.0769421314381117E-3</v>
      </c>
    </row>
    <row r="511" spans="13:51" x14ac:dyDescent="0.75">
      <c r="M511" s="1326"/>
      <c r="U511" s="1326"/>
      <c r="Y511" s="1326"/>
      <c r="AC511" s="1326"/>
      <c r="AG511" s="1326"/>
      <c r="AT511" s="1326">
        <v>39241</v>
      </c>
      <c r="AU511" s="1314">
        <v>876.92</v>
      </c>
      <c r="AV511" s="1314">
        <f t="shared" si="69"/>
        <v>-1.5725141144646595E-2</v>
      </c>
      <c r="AX511" s="1314">
        <v>5.2069999999999999</v>
      </c>
      <c r="AY511" s="1314">
        <f t="shared" si="70"/>
        <v>-9.8878113709831694E-3</v>
      </c>
    </row>
    <row r="512" spans="13:51" x14ac:dyDescent="0.75">
      <c r="M512" s="1326"/>
      <c r="U512" s="1326"/>
      <c r="Y512" s="1326"/>
      <c r="AC512" s="1326"/>
      <c r="AG512" s="1326"/>
      <c r="AT512" s="1326">
        <v>39234</v>
      </c>
      <c r="AU512" s="1314">
        <v>894.69</v>
      </c>
      <c r="AV512" s="1314">
        <f t="shared" si="69"/>
        <v>2.0264106189846389E-2</v>
      </c>
      <c r="AX512" s="1314">
        <v>5.0571999999999999</v>
      </c>
      <c r="AY512" s="1314">
        <f t="shared" si="70"/>
        <v>-2.8768964855002868E-2</v>
      </c>
    </row>
    <row r="513" spans="13:51" x14ac:dyDescent="0.75">
      <c r="M513" s="1326"/>
      <c r="U513" s="1326"/>
      <c r="Y513" s="1326"/>
      <c r="AC513" s="1326"/>
      <c r="AG513" s="1326"/>
      <c r="AT513" s="1326">
        <v>39227</v>
      </c>
      <c r="AU513" s="1314">
        <v>880.19</v>
      </c>
      <c r="AV513" s="1314">
        <f t="shared" si="69"/>
        <v>-1.6206730822966614E-2</v>
      </c>
      <c r="AX513" s="1314">
        <v>5.0023999999999997</v>
      </c>
      <c r="AY513" s="1314">
        <f t="shared" si="70"/>
        <v>-1.0836035751008499E-2</v>
      </c>
    </row>
    <row r="514" spans="13:51" x14ac:dyDescent="0.75">
      <c r="M514" s="1326"/>
      <c r="U514" s="1326"/>
      <c r="Y514" s="1326"/>
      <c r="AC514" s="1326"/>
      <c r="AG514" s="1326"/>
      <c r="AT514" s="1326">
        <v>39220</v>
      </c>
      <c r="AU514" s="1314">
        <v>882.91</v>
      </c>
      <c r="AV514" s="1314">
        <f t="shared" si="69"/>
        <v>3.0902418795940804E-3</v>
      </c>
      <c r="AX514" s="1314">
        <v>4.9576000000000002</v>
      </c>
      <c r="AY514" s="1314">
        <f t="shared" si="70"/>
        <v>-8.9557012633934736E-3</v>
      </c>
    </row>
    <row r="515" spans="13:51" x14ac:dyDescent="0.75">
      <c r="M515" s="1326"/>
      <c r="U515" s="1326"/>
      <c r="Y515" s="1326"/>
      <c r="AC515" s="1326"/>
      <c r="AG515" s="1326"/>
      <c r="AT515" s="1326">
        <v>39213</v>
      </c>
      <c r="AU515" s="1314">
        <v>875.69</v>
      </c>
      <c r="AV515" s="1314">
        <f t="shared" si="69"/>
        <v>-8.1775039358484031E-3</v>
      </c>
      <c r="AX515" s="1314">
        <v>4.8493000000000004</v>
      </c>
      <c r="AY515" s="1314">
        <f t="shared" si="70"/>
        <v>-2.1845247700500208E-2</v>
      </c>
    </row>
    <row r="516" spans="13:51" x14ac:dyDescent="0.75">
      <c r="M516" s="1326"/>
      <c r="U516" s="1326"/>
      <c r="Y516" s="1326"/>
      <c r="AC516" s="1326"/>
      <c r="AG516" s="1326"/>
      <c r="AT516" s="1326">
        <v>39206</v>
      </c>
      <c r="AU516" s="1314">
        <v>875.77</v>
      </c>
      <c r="AV516" s="1314">
        <f t="shared" si="69"/>
        <v>9.1356530278896908E-5</v>
      </c>
      <c r="AX516" s="1314">
        <v>4.8051000000000004</v>
      </c>
      <c r="AY516" s="1314">
        <f t="shared" si="70"/>
        <v>-9.1147175881055031E-3</v>
      </c>
    </row>
    <row r="517" spans="13:51" x14ac:dyDescent="0.75">
      <c r="M517" s="1326"/>
      <c r="U517" s="1326"/>
      <c r="Y517" s="1326"/>
      <c r="AC517" s="1326"/>
      <c r="AG517" s="1326"/>
      <c r="AT517" s="1326">
        <v>39199</v>
      </c>
      <c r="AU517" s="1314">
        <v>869.33</v>
      </c>
      <c r="AV517" s="1314">
        <f t="shared" ref="AV517:AV580" si="71">(AU517-AU516)/AU516</f>
        <v>-7.3535288945727082E-3</v>
      </c>
      <c r="AX517" s="1314">
        <v>4.8806000000000003</v>
      </c>
      <c r="AY517" s="1314">
        <f t="shared" ref="AY517:AY580" si="72">(AX517-AX516)/AX516</f>
        <v>1.5712472164991342E-2</v>
      </c>
    </row>
    <row r="518" spans="13:51" x14ac:dyDescent="0.75">
      <c r="M518" s="1326"/>
      <c r="U518" s="1326"/>
      <c r="Y518" s="1326"/>
      <c r="AC518" s="1326"/>
      <c r="AG518" s="1326"/>
      <c r="AT518" s="1326">
        <v>39192</v>
      </c>
      <c r="AU518" s="1314">
        <v>864.55</v>
      </c>
      <c r="AV518" s="1314">
        <f t="shared" si="71"/>
        <v>-5.4984873408257928E-3</v>
      </c>
      <c r="AX518" s="1314">
        <v>4.8452000000000002</v>
      </c>
      <c r="AY518" s="1314">
        <f t="shared" si="72"/>
        <v>-7.2532065729623606E-3</v>
      </c>
    </row>
    <row r="519" spans="13:51" x14ac:dyDescent="0.75">
      <c r="M519" s="1326"/>
      <c r="U519" s="1326"/>
      <c r="Y519" s="1326"/>
      <c r="AC519" s="1326"/>
      <c r="AG519" s="1326"/>
      <c r="AT519" s="1326">
        <v>39185</v>
      </c>
      <c r="AU519" s="1314">
        <v>847.78</v>
      </c>
      <c r="AV519" s="1314">
        <f t="shared" si="71"/>
        <v>-1.9397374356601681E-2</v>
      </c>
      <c r="AX519" s="1314">
        <v>4.9295999999999998</v>
      </c>
      <c r="AY519" s="1314">
        <f t="shared" si="72"/>
        <v>1.7419301576818209E-2</v>
      </c>
    </row>
    <row r="520" spans="13:51" x14ac:dyDescent="0.75">
      <c r="M520" s="1326"/>
      <c r="U520" s="1326"/>
      <c r="Y520" s="1326"/>
      <c r="AC520" s="1326"/>
      <c r="AG520" s="1326"/>
      <c r="AT520" s="1326">
        <v>39178</v>
      </c>
      <c r="AU520" s="1314">
        <v>842.53</v>
      </c>
      <c r="AV520" s="1314">
        <f t="shared" si="71"/>
        <v>-6.1926443181013948E-3</v>
      </c>
      <c r="AX520" s="1314">
        <v>4.9203000000000001</v>
      </c>
      <c r="AY520" s="1314">
        <f t="shared" si="72"/>
        <v>-1.8865628042842508E-3</v>
      </c>
    </row>
    <row r="521" spans="13:51" x14ac:dyDescent="0.75">
      <c r="M521" s="1326"/>
      <c r="U521" s="1326"/>
      <c r="Y521" s="1326"/>
      <c r="AC521" s="1326"/>
      <c r="AG521" s="1326"/>
      <c r="AT521" s="1326">
        <v>39171</v>
      </c>
      <c r="AU521" s="1314">
        <v>829.05</v>
      </c>
      <c r="AV521" s="1314">
        <f t="shared" si="71"/>
        <v>-1.5999430287348841E-2</v>
      </c>
      <c r="AX521" s="1314">
        <v>4.8432000000000004</v>
      </c>
      <c r="AY521" s="1314">
        <f t="shared" si="72"/>
        <v>-1.5669776233156459E-2</v>
      </c>
    </row>
    <row r="522" spans="13:51" x14ac:dyDescent="0.75">
      <c r="M522" s="1326"/>
      <c r="U522" s="1326"/>
      <c r="Y522" s="1326"/>
      <c r="AC522" s="1326"/>
      <c r="AG522" s="1326"/>
      <c r="AT522" s="1326">
        <v>39164</v>
      </c>
      <c r="AU522" s="1314">
        <v>837.8</v>
      </c>
      <c r="AV522" s="1314">
        <f t="shared" si="71"/>
        <v>1.0554248839032629E-2</v>
      </c>
      <c r="AX522" s="1314">
        <v>4.8022</v>
      </c>
      <c r="AY522" s="1314">
        <f t="shared" si="72"/>
        <v>-8.4654773703337401E-3</v>
      </c>
    </row>
    <row r="523" spans="13:51" x14ac:dyDescent="0.75">
      <c r="M523" s="1326"/>
      <c r="U523" s="1326"/>
      <c r="Y523" s="1326"/>
      <c r="AC523" s="1326"/>
      <c r="AG523" s="1326"/>
      <c r="AT523" s="1326">
        <v>39157</v>
      </c>
      <c r="AU523" s="1314">
        <v>808.88</v>
      </c>
      <c r="AV523" s="1314">
        <f t="shared" si="71"/>
        <v>-3.4518978276438246E-2</v>
      </c>
      <c r="AX523" s="1314">
        <v>4.6931000000000003</v>
      </c>
      <c r="AY523" s="1314">
        <f t="shared" si="72"/>
        <v>-2.2718753904460404E-2</v>
      </c>
    </row>
    <row r="524" spans="13:51" x14ac:dyDescent="0.75">
      <c r="M524" s="1326"/>
      <c r="U524" s="1326"/>
      <c r="Y524" s="1326"/>
      <c r="AC524" s="1326"/>
      <c r="AG524" s="1326"/>
      <c r="AT524" s="1326">
        <v>39150</v>
      </c>
      <c r="AU524" s="1314">
        <v>817.84</v>
      </c>
      <c r="AV524" s="1314">
        <f t="shared" si="71"/>
        <v>1.1077044802690185E-2</v>
      </c>
      <c r="AX524" s="1314">
        <v>4.7214</v>
      </c>
      <c r="AY524" s="1314">
        <f t="shared" si="72"/>
        <v>6.0301293388165108E-3</v>
      </c>
    </row>
    <row r="525" spans="13:51" x14ac:dyDescent="0.75">
      <c r="M525" s="1326"/>
      <c r="U525" s="1326"/>
      <c r="Y525" s="1326"/>
      <c r="AC525" s="1326"/>
      <c r="AG525" s="1326"/>
      <c r="AT525" s="1326">
        <v>39143</v>
      </c>
      <c r="AU525" s="1314">
        <v>809.08</v>
      </c>
      <c r="AV525" s="1314">
        <f t="shared" si="71"/>
        <v>-1.0711141543578195E-2</v>
      </c>
      <c r="AX525" s="1314">
        <v>4.6382000000000003</v>
      </c>
      <c r="AY525" s="1314">
        <f t="shared" si="72"/>
        <v>-1.7621891811750692E-2</v>
      </c>
    </row>
    <row r="526" spans="13:51" x14ac:dyDescent="0.75">
      <c r="M526" s="1326"/>
      <c r="U526" s="1326"/>
      <c r="Y526" s="1326"/>
      <c r="AC526" s="1326"/>
      <c r="AG526" s="1326"/>
      <c r="AT526" s="1326">
        <v>39136</v>
      </c>
      <c r="AU526" s="1314">
        <v>848.15</v>
      </c>
      <c r="AV526" s="1314">
        <f t="shared" si="71"/>
        <v>4.8289415138181559E-2</v>
      </c>
      <c r="AX526" s="1314">
        <v>4.7765000000000004</v>
      </c>
      <c r="AY526" s="1314">
        <f t="shared" si="72"/>
        <v>2.9817601655814773E-2</v>
      </c>
    </row>
    <row r="527" spans="13:51" x14ac:dyDescent="0.75">
      <c r="M527" s="1326"/>
      <c r="U527" s="1326"/>
      <c r="Y527" s="1326"/>
      <c r="AC527" s="1326"/>
      <c r="AG527" s="1326"/>
      <c r="AT527" s="1326">
        <v>39129</v>
      </c>
      <c r="AU527" s="1314">
        <v>848.98</v>
      </c>
      <c r="AV527" s="1314">
        <f t="shared" si="71"/>
        <v>9.7860048340510635E-4</v>
      </c>
      <c r="AX527" s="1314">
        <v>4.7874999999999996</v>
      </c>
      <c r="AY527" s="1314">
        <f t="shared" si="72"/>
        <v>2.3029414843503048E-3</v>
      </c>
    </row>
    <row r="528" spans="13:51" x14ac:dyDescent="0.75">
      <c r="M528" s="1326"/>
      <c r="U528" s="1326"/>
      <c r="Y528" s="1326"/>
      <c r="AC528" s="1326"/>
      <c r="AG528" s="1326"/>
      <c r="AT528" s="1326">
        <v>39122</v>
      </c>
      <c r="AU528" s="1314">
        <v>838.43</v>
      </c>
      <c r="AV528" s="1314">
        <f t="shared" si="71"/>
        <v>-1.2426676717943966E-2</v>
      </c>
      <c r="AX528" s="1314">
        <v>4.8635000000000002</v>
      </c>
      <c r="AY528" s="1314">
        <f t="shared" si="72"/>
        <v>1.5874673629242927E-2</v>
      </c>
    </row>
    <row r="529" spans="13:51" x14ac:dyDescent="0.75">
      <c r="M529" s="1326"/>
      <c r="U529" s="1326"/>
      <c r="Y529" s="1326"/>
      <c r="AC529" s="1326"/>
      <c r="AG529" s="1326"/>
      <c r="AT529" s="1326">
        <v>39115</v>
      </c>
      <c r="AU529" s="1314">
        <v>843.41</v>
      </c>
      <c r="AV529" s="1314">
        <f t="shared" si="71"/>
        <v>5.9396729601755884E-3</v>
      </c>
      <c r="AX529" s="1314">
        <v>4.9219999999999997</v>
      </c>
      <c r="AY529" s="1314">
        <f t="shared" si="72"/>
        <v>1.2028374627325908E-2</v>
      </c>
    </row>
    <row r="530" spans="13:51" x14ac:dyDescent="0.75">
      <c r="M530" s="1326"/>
      <c r="U530" s="1326"/>
      <c r="Y530" s="1326"/>
      <c r="AC530" s="1326"/>
      <c r="AG530" s="1326"/>
      <c r="AT530" s="1326">
        <v>39108</v>
      </c>
      <c r="AU530" s="1314">
        <v>826.95</v>
      </c>
      <c r="AV530" s="1314">
        <f t="shared" si="71"/>
        <v>-1.9516012378321249E-2</v>
      </c>
      <c r="AX530" s="1314">
        <v>4.9722</v>
      </c>
      <c r="AY530" s="1314">
        <f t="shared" si="72"/>
        <v>1.0199106054449462E-2</v>
      </c>
    </row>
    <row r="531" spans="13:51" x14ac:dyDescent="0.75">
      <c r="M531" s="1326"/>
      <c r="U531" s="1326"/>
      <c r="Y531" s="1326"/>
      <c r="AC531" s="1326"/>
      <c r="AG531" s="1326"/>
      <c r="AT531" s="1326">
        <v>39101</v>
      </c>
      <c r="AU531" s="1314">
        <v>830.41</v>
      </c>
      <c r="AV531" s="1314">
        <f t="shared" si="71"/>
        <v>4.184049821633621E-3</v>
      </c>
      <c r="AX531" s="1314">
        <v>4.8623000000000003</v>
      </c>
      <c r="AY531" s="1314">
        <f t="shared" si="72"/>
        <v>-2.2102892079964537E-2</v>
      </c>
    </row>
    <row r="532" spans="13:51" x14ac:dyDescent="0.75">
      <c r="M532" s="1326"/>
      <c r="U532" s="1326"/>
      <c r="Y532" s="1326"/>
      <c r="AC532" s="1326"/>
      <c r="AG532" s="1326"/>
      <c r="AT532" s="1326">
        <v>39094</v>
      </c>
      <c r="AU532" s="1314">
        <v>831.64</v>
      </c>
      <c r="AV532" s="1314">
        <f t="shared" si="71"/>
        <v>1.4811960356932337E-3</v>
      </c>
      <c r="AX532" s="1314">
        <v>4.8600000000000003</v>
      </c>
      <c r="AY532" s="1314">
        <f t="shared" si="72"/>
        <v>-4.7302716821256784E-4</v>
      </c>
    </row>
    <row r="533" spans="13:51" x14ac:dyDescent="0.75">
      <c r="M533" s="1326"/>
      <c r="U533" s="1326"/>
      <c r="Y533" s="1326"/>
      <c r="AC533" s="1326"/>
      <c r="AG533" s="1326"/>
      <c r="AT533" s="1326">
        <v>39087</v>
      </c>
      <c r="AU533" s="1314">
        <v>817.2</v>
      </c>
      <c r="AV533" s="1314">
        <f t="shared" si="71"/>
        <v>-1.7363282189408809E-2</v>
      </c>
      <c r="AX533" s="1314">
        <v>4.7385000000000002</v>
      </c>
      <c r="AY533" s="1314">
        <f t="shared" si="72"/>
        <v>-2.5000000000000033E-2</v>
      </c>
    </row>
    <row r="534" spans="13:51" x14ac:dyDescent="0.75">
      <c r="M534" s="1326"/>
      <c r="U534" s="1326"/>
      <c r="Y534" s="1326"/>
      <c r="AC534" s="1326"/>
      <c r="AG534" s="1326"/>
      <c r="AT534" s="1326">
        <v>39080</v>
      </c>
      <c r="AU534" s="1314">
        <v>822.13</v>
      </c>
      <c r="AV534" s="1314">
        <f t="shared" si="71"/>
        <v>6.0327949094468305E-3</v>
      </c>
      <c r="AX534" s="1314">
        <v>4.8094999999999999</v>
      </c>
      <c r="AY534" s="1314">
        <f t="shared" si="72"/>
        <v>1.4983644613274186E-2</v>
      </c>
    </row>
    <row r="535" spans="13:51" x14ac:dyDescent="0.75">
      <c r="AT535" s="1326">
        <v>39073</v>
      </c>
      <c r="AU535" s="1314">
        <v>817.5</v>
      </c>
      <c r="AV535" s="1314">
        <f t="shared" si="71"/>
        <v>-5.6317127461593614E-3</v>
      </c>
      <c r="AX535" s="1314">
        <v>4.7577999999999996</v>
      </c>
      <c r="AY535" s="1314">
        <f t="shared" si="72"/>
        <v>-1.0749558166129599E-2</v>
      </c>
    </row>
    <row r="536" spans="13:51" x14ac:dyDescent="0.75">
      <c r="AT536" s="1326">
        <v>39066</v>
      </c>
      <c r="AU536" s="1314">
        <v>827.47</v>
      </c>
      <c r="AV536" s="1314">
        <f t="shared" si="71"/>
        <v>1.2195718654434284E-2</v>
      </c>
      <c r="AX536" s="1314">
        <v>4.7138</v>
      </c>
      <c r="AY536" s="1314">
        <f t="shared" si="72"/>
        <v>-9.2479717516498385E-3</v>
      </c>
    </row>
    <row r="537" spans="13:51" x14ac:dyDescent="0.75">
      <c r="AT537" s="1326">
        <v>39059</v>
      </c>
      <c r="AU537" s="1314">
        <v>819.53</v>
      </c>
      <c r="AV537" s="1314">
        <f t="shared" si="71"/>
        <v>-9.5955140367627277E-3</v>
      </c>
      <c r="AX537" s="1314">
        <v>4.6532</v>
      </c>
      <c r="AY537" s="1314">
        <f t="shared" si="72"/>
        <v>-1.2855869998727138E-2</v>
      </c>
    </row>
    <row r="538" spans="13:51" x14ac:dyDescent="0.75">
      <c r="AT538" s="1326">
        <v>39052</v>
      </c>
      <c r="AU538" s="1314">
        <v>811.35</v>
      </c>
      <c r="AV538" s="1314">
        <f t="shared" si="71"/>
        <v>-9.9813307627542001E-3</v>
      </c>
      <c r="AX538" s="1314">
        <v>4.5462999999999996</v>
      </c>
      <c r="AY538" s="1314">
        <f t="shared" si="72"/>
        <v>-2.2973437634316266E-2</v>
      </c>
    </row>
    <row r="539" spans="13:51" x14ac:dyDescent="0.75">
      <c r="AT539" s="1326">
        <v>39045</v>
      </c>
      <c r="AU539" s="1314">
        <v>814.52</v>
      </c>
      <c r="AV539" s="1314">
        <f t="shared" si="71"/>
        <v>3.907068466136635E-3</v>
      </c>
      <c r="AX539" s="1314">
        <v>4.6311</v>
      </c>
      <c r="AY539" s="1314">
        <f t="shared" si="72"/>
        <v>1.8652530629303048E-2</v>
      </c>
    </row>
    <row r="540" spans="13:51" x14ac:dyDescent="0.75">
      <c r="AT540" s="1326">
        <v>39038</v>
      </c>
      <c r="AU540" s="1314">
        <v>813.13</v>
      </c>
      <c r="AV540" s="1314">
        <f t="shared" si="71"/>
        <v>-1.7065265432401739E-3</v>
      </c>
      <c r="AX540" s="1314">
        <v>4.6881000000000004</v>
      </c>
      <c r="AY540" s="1314">
        <f t="shared" si="72"/>
        <v>1.2308090950314264E-2</v>
      </c>
    </row>
    <row r="541" spans="13:51" x14ac:dyDescent="0.75">
      <c r="AT541" s="1326">
        <v>39031</v>
      </c>
      <c r="AU541" s="1314">
        <v>800.45</v>
      </c>
      <c r="AV541" s="1314">
        <f t="shared" si="71"/>
        <v>-1.5594062450038677E-2</v>
      </c>
      <c r="AX541" s="1314">
        <v>4.6971999999999996</v>
      </c>
      <c r="AY541" s="1314">
        <f t="shared" si="72"/>
        <v>1.9410848744692347E-3</v>
      </c>
    </row>
    <row r="542" spans="13:51" x14ac:dyDescent="0.75">
      <c r="AT542" s="1326">
        <v>39024</v>
      </c>
      <c r="AU542" s="1314">
        <v>789.51</v>
      </c>
      <c r="AV542" s="1314">
        <f t="shared" si="71"/>
        <v>-1.3667312136923048E-2</v>
      </c>
      <c r="AX542" s="1314">
        <v>4.8086000000000002</v>
      </c>
      <c r="AY542" s="1314">
        <f t="shared" si="72"/>
        <v>2.3716256493230142E-2</v>
      </c>
    </row>
    <row r="543" spans="13:51" x14ac:dyDescent="0.75">
      <c r="AT543" s="1326">
        <v>39017</v>
      </c>
      <c r="AU543" s="1314">
        <v>797.73</v>
      </c>
      <c r="AV543" s="1314">
        <f t="shared" si="71"/>
        <v>1.0411521070030813E-2</v>
      </c>
      <c r="AX543" s="1314">
        <v>4.7930000000000001</v>
      </c>
      <c r="AY543" s="1314">
        <f t="shared" si="72"/>
        <v>-3.2441874974005027E-3</v>
      </c>
    </row>
    <row r="544" spans="13:51" x14ac:dyDescent="0.75">
      <c r="AT544" s="1326">
        <v>39010</v>
      </c>
      <c r="AU544" s="1314">
        <v>792.45</v>
      </c>
      <c r="AV544" s="1314">
        <f t="shared" si="71"/>
        <v>-6.61878079049299E-3</v>
      </c>
      <c r="AX544" s="1314">
        <v>4.9080000000000004</v>
      </c>
      <c r="AY544" s="1314">
        <f t="shared" si="72"/>
        <v>2.3993323596912208E-2</v>
      </c>
    </row>
    <row r="545" spans="46:51" x14ac:dyDescent="0.75">
      <c r="AT545" s="1326">
        <v>39003</v>
      </c>
      <c r="AU545" s="1314">
        <v>791.66</v>
      </c>
      <c r="AV545" s="1314">
        <f t="shared" si="71"/>
        <v>-9.9690832229172468E-4</v>
      </c>
      <c r="AX545" s="1314">
        <v>4.9333999999999998</v>
      </c>
      <c r="AY545" s="1314">
        <f t="shared" si="72"/>
        <v>5.1752241238792627E-3</v>
      </c>
    </row>
    <row r="546" spans="46:51" x14ac:dyDescent="0.75">
      <c r="AT546" s="1326">
        <v>38996</v>
      </c>
      <c r="AU546" s="1314">
        <v>780.14</v>
      </c>
      <c r="AV546" s="1314">
        <f t="shared" si="71"/>
        <v>-1.4551701488012509E-2</v>
      </c>
      <c r="AX546" s="1314">
        <v>4.8342999999999998</v>
      </c>
      <c r="AY546" s="1314">
        <f t="shared" si="72"/>
        <v>-2.0087566384238045E-2</v>
      </c>
    </row>
    <row r="547" spans="46:51" x14ac:dyDescent="0.75">
      <c r="AT547" s="1326">
        <v>38989</v>
      </c>
      <c r="AU547" s="1314">
        <v>771.07</v>
      </c>
      <c r="AV547" s="1314">
        <f t="shared" si="71"/>
        <v>-1.1626118389007021E-2</v>
      </c>
      <c r="AX547" s="1314">
        <v>4.7618999999999998</v>
      </c>
      <c r="AY547" s="1314">
        <f t="shared" si="72"/>
        <v>-1.4976315081811228E-2</v>
      </c>
    </row>
    <row r="548" spans="46:51" x14ac:dyDescent="0.75">
      <c r="AT548" s="1326">
        <v>38982</v>
      </c>
      <c r="AU548" s="1314">
        <v>759.77</v>
      </c>
      <c r="AV548" s="1314">
        <f t="shared" si="71"/>
        <v>-1.4654959990662414E-2</v>
      </c>
      <c r="AX548" s="1314">
        <v>4.7343000000000002</v>
      </c>
      <c r="AY548" s="1314">
        <f t="shared" si="72"/>
        <v>-5.7960057960057178E-3</v>
      </c>
    </row>
    <row r="549" spans="46:51" x14ac:dyDescent="0.75">
      <c r="AT549" s="1326">
        <v>38975</v>
      </c>
      <c r="AU549" s="1314">
        <v>764.08</v>
      </c>
      <c r="AV549" s="1314">
        <f t="shared" si="71"/>
        <v>5.6727693907367479E-3</v>
      </c>
      <c r="AX549" s="1314">
        <v>4.9096000000000002</v>
      </c>
      <c r="AY549" s="1314">
        <f t="shared" si="72"/>
        <v>3.7027649282892934E-2</v>
      </c>
    </row>
    <row r="550" spans="46:51" x14ac:dyDescent="0.75">
      <c r="AT550" s="1326">
        <v>38968</v>
      </c>
      <c r="AU550" s="1314">
        <v>750.93</v>
      </c>
      <c r="AV550" s="1314">
        <f t="shared" si="71"/>
        <v>-1.7210239765469704E-2</v>
      </c>
      <c r="AX550" s="1314">
        <v>4.9180000000000001</v>
      </c>
      <c r="AY550" s="1314">
        <f t="shared" si="72"/>
        <v>1.7109336809515974E-3</v>
      </c>
    </row>
    <row r="551" spans="46:51" x14ac:dyDescent="0.75">
      <c r="AT551" s="1326">
        <v>38961</v>
      </c>
      <c r="AU551" s="1314">
        <v>758.79</v>
      </c>
      <c r="AV551" s="1314">
        <f t="shared" si="71"/>
        <v>1.0467020894091345E-2</v>
      </c>
      <c r="AX551" s="1314">
        <v>4.8715999999999999</v>
      </c>
      <c r="AY551" s="1314">
        <f t="shared" si="72"/>
        <v>-9.4347295648638096E-3</v>
      </c>
    </row>
    <row r="552" spans="46:51" x14ac:dyDescent="0.75">
      <c r="AT552" s="1326">
        <v>38954</v>
      </c>
      <c r="AU552" s="1314">
        <v>747.31</v>
      </c>
      <c r="AV552" s="1314">
        <f t="shared" si="71"/>
        <v>-1.5129350676735353E-2</v>
      </c>
      <c r="AX552" s="1314">
        <v>4.9242999999999997</v>
      </c>
      <c r="AY552" s="1314">
        <f t="shared" si="72"/>
        <v>1.0817801133097904E-2</v>
      </c>
    </row>
    <row r="553" spans="46:51" x14ac:dyDescent="0.75">
      <c r="AT553" s="1326">
        <v>38947</v>
      </c>
      <c r="AU553" s="1314">
        <v>753.02</v>
      </c>
      <c r="AV553" s="1314">
        <f t="shared" si="71"/>
        <v>7.6407381140357238E-3</v>
      </c>
      <c r="AX553" s="1314">
        <v>4.9786000000000001</v>
      </c>
      <c r="AY553" s="1314">
        <f t="shared" si="72"/>
        <v>1.102694799260818E-2</v>
      </c>
    </row>
    <row r="554" spans="46:51" x14ac:dyDescent="0.75">
      <c r="AT554" s="1326">
        <v>38940</v>
      </c>
      <c r="AU554" s="1314">
        <v>730.79</v>
      </c>
      <c r="AV554" s="1314">
        <f t="shared" si="71"/>
        <v>-2.9521128256885631E-2</v>
      </c>
      <c r="AX554" s="1314">
        <v>5.0938999999999997</v>
      </c>
      <c r="AY554" s="1314">
        <f t="shared" si="72"/>
        <v>2.3159121038042726E-2</v>
      </c>
    </row>
    <row r="555" spans="46:51" x14ac:dyDescent="0.75">
      <c r="AT555" s="1326">
        <v>38933</v>
      </c>
      <c r="AU555" s="1314">
        <v>740.61</v>
      </c>
      <c r="AV555" s="1314">
        <f t="shared" si="71"/>
        <v>1.3437512828582836E-2</v>
      </c>
      <c r="AX555" s="1314">
        <v>4.9880000000000004</v>
      </c>
      <c r="AY555" s="1314">
        <f t="shared" si="72"/>
        <v>-2.0789571840829076E-2</v>
      </c>
    </row>
    <row r="556" spans="46:51" x14ac:dyDescent="0.75">
      <c r="AT556" s="1326">
        <v>38926</v>
      </c>
      <c r="AU556" s="1314">
        <v>739.41</v>
      </c>
      <c r="AV556" s="1314">
        <f t="shared" si="71"/>
        <v>-1.6202859804756154E-3</v>
      </c>
      <c r="AX556" s="1314">
        <v>5.0702999999999996</v>
      </c>
      <c r="AY556" s="1314">
        <f t="shared" si="72"/>
        <v>1.6499599037690285E-2</v>
      </c>
    </row>
    <row r="557" spans="46:51" x14ac:dyDescent="0.75">
      <c r="AT557" s="1326">
        <v>38919</v>
      </c>
      <c r="AU557" s="1314">
        <v>716.4</v>
      </c>
      <c r="AV557" s="1314">
        <f t="shared" si="71"/>
        <v>-3.1119406012902168E-2</v>
      </c>
      <c r="AX557" s="1314">
        <v>5.0930999999999997</v>
      </c>
      <c r="AY557" s="1314">
        <f t="shared" si="72"/>
        <v>4.4967753387373834E-3</v>
      </c>
    </row>
    <row r="558" spans="46:51" x14ac:dyDescent="0.75">
      <c r="AT558" s="1326">
        <v>38912</v>
      </c>
      <c r="AU558" s="1314">
        <v>716.19</v>
      </c>
      <c r="AV558" s="1314">
        <f t="shared" si="71"/>
        <v>-2.9313232830809982E-4</v>
      </c>
      <c r="AX558" s="1314">
        <v>5.1150000000000002</v>
      </c>
      <c r="AY558" s="1314">
        <f t="shared" si="72"/>
        <v>4.2999352064558866E-3</v>
      </c>
    </row>
    <row r="559" spans="46:51" x14ac:dyDescent="0.75">
      <c r="AT559" s="1326">
        <v>38905</v>
      </c>
      <c r="AU559" s="1314">
        <v>735.72</v>
      </c>
      <c r="AV559" s="1314">
        <f t="shared" si="71"/>
        <v>2.7269300046077118E-2</v>
      </c>
      <c r="AX559" s="1314">
        <v>5.1738</v>
      </c>
      <c r="AY559" s="1314">
        <f t="shared" si="72"/>
        <v>1.1495601173020478E-2</v>
      </c>
    </row>
    <row r="560" spans="46:51" x14ac:dyDescent="0.75">
      <c r="AT560" s="1326">
        <v>38898</v>
      </c>
      <c r="AU560" s="1314">
        <v>740.14</v>
      </c>
      <c r="AV560" s="1314">
        <f t="shared" si="71"/>
        <v>6.0077203283857433E-3</v>
      </c>
      <c r="AX560" s="1314">
        <v>5.1859000000000002</v>
      </c>
      <c r="AY560" s="1314">
        <f t="shared" si="72"/>
        <v>2.338706559975303E-3</v>
      </c>
    </row>
    <row r="561" spans="46:51" x14ac:dyDescent="0.75">
      <c r="AT561" s="1326">
        <v>38891</v>
      </c>
      <c r="AU561" s="1314">
        <v>723.34</v>
      </c>
      <c r="AV561" s="1314">
        <f t="shared" si="71"/>
        <v>-2.2698408409219818E-2</v>
      </c>
      <c r="AX561" s="1314">
        <v>5.2535999999999996</v>
      </c>
      <c r="AY561" s="1314">
        <f t="shared" si="72"/>
        <v>1.3054628897587579E-2</v>
      </c>
    </row>
    <row r="562" spans="46:51" x14ac:dyDescent="0.75">
      <c r="AT562" s="1326">
        <v>38884</v>
      </c>
      <c r="AU562" s="1314">
        <v>726.85</v>
      </c>
      <c r="AV562" s="1314">
        <f t="shared" si="71"/>
        <v>4.8524898388033165E-3</v>
      </c>
      <c r="AX562" s="1314">
        <v>5.1685999999999996</v>
      </c>
      <c r="AY562" s="1314">
        <f t="shared" si="72"/>
        <v>-1.61793817572712E-2</v>
      </c>
    </row>
    <row r="563" spans="46:51" x14ac:dyDescent="0.75">
      <c r="AT563" s="1326">
        <v>38877</v>
      </c>
      <c r="AU563" s="1314">
        <v>728.59</v>
      </c>
      <c r="AV563" s="1314">
        <f t="shared" si="71"/>
        <v>2.3938914494049789E-3</v>
      </c>
      <c r="AX563" s="1314">
        <v>5.0198</v>
      </c>
      <c r="AY563" s="1314">
        <f t="shared" si="72"/>
        <v>-2.8789227256897344E-2</v>
      </c>
    </row>
    <row r="564" spans="46:51" x14ac:dyDescent="0.75">
      <c r="AT564" s="1326">
        <v>38870</v>
      </c>
      <c r="AU564" s="1314">
        <v>751.16</v>
      </c>
      <c r="AV564" s="1314">
        <f t="shared" si="71"/>
        <v>3.0977641746386769E-2</v>
      </c>
      <c r="AX564" s="1314">
        <v>5.0949</v>
      </c>
      <c r="AY564" s="1314">
        <f t="shared" si="72"/>
        <v>1.4960755408582004E-2</v>
      </c>
    </row>
    <row r="565" spans="46:51" x14ac:dyDescent="0.75">
      <c r="AT565" s="1326">
        <v>38863</v>
      </c>
      <c r="AU565" s="1314">
        <v>745.37</v>
      </c>
      <c r="AV565" s="1314">
        <f t="shared" si="71"/>
        <v>-7.7080781724265983E-3</v>
      </c>
      <c r="AX565" s="1314">
        <v>5.1544999999999996</v>
      </c>
      <c r="AY565" s="1314">
        <f t="shared" si="72"/>
        <v>1.1697972482286139E-2</v>
      </c>
    </row>
    <row r="566" spans="46:51" x14ac:dyDescent="0.75">
      <c r="AT566" s="1326">
        <v>38856</v>
      </c>
      <c r="AU566" s="1314">
        <v>738.33</v>
      </c>
      <c r="AV566" s="1314">
        <f t="shared" si="71"/>
        <v>-9.4449736372539325E-3</v>
      </c>
      <c r="AX566" s="1314">
        <v>5.1375999999999999</v>
      </c>
      <c r="AY566" s="1314">
        <f t="shared" si="72"/>
        <v>-3.2786885245901045E-3</v>
      </c>
    </row>
    <row r="567" spans="46:51" x14ac:dyDescent="0.75">
      <c r="AT567" s="1326">
        <v>38849</v>
      </c>
      <c r="AU567" s="1314">
        <v>753.45</v>
      </c>
      <c r="AV567" s="1314">
        <f t="shared" si="71"/>
        <v>2.04786477591321E-2</v>
      </c>
      <c r="AX567" s="1314">
        <v>5.3106</v>
      </c>
      <c r="AY567" s="1314">
        <f t="shared" si="72"/>
        <v>3.3673310495172852E-2</v>
      </c>
    </row>
    <row r="568" spans="46:51" x14ac:dyDescent="0.75">
      <c r="AT568" s="1326">
        <v>38842</v>
      </c>
      <c r="AU568" s="1314">
        <v>775.4</v>
      </c>
      <c r="AV568" s="1314">
        <f t="shared" si="71"/>
        <v>2.9132656447010328E-2</v>
      </c>
      <c r="AX568" s="1314">
        <v>5.1875</v>
      </c>
      <c r="AY568" s="1314">
        <f t="shared" si="72"/>
        <v>-2.3180054984370878E-2</v>
      </c>
    </row>
    <row r="569" spans="46:51" x14ac:dyDescent="0.75">
      <c r="AT569" s="1326">
        <v>38835</v>
      </c>
      <c r="AU569" s="1314">
        <v>765.81</v>
      </c>
      <c r="AV569" s="1314">
        <f t="shared" si="71"/>
        <v>-1.2367810162496818E-2</v>
      </c>
      <c r="AX569" s="1314">
        <v>5.1615000000000002</v>
      </c>
      <c r="AY569" s="1314">
        <f t="shared" si="72"/>
        <v>-5.0120481927710464E-3</v>
      </c>
    </row>
    <row r="570" spans="46:51" x14ac:dyDescent="0.75">
      <c r="AT570" s="1326">
        <v>38828</v>
      </c>
      <c r="AU570" s="1314">
        <v>767.24</v>
      </c>
      <c r="AV570" s="1314">
        <f t="shared" si="71"/>
        <v>1.8673039004453635E-3</v>
      </c>
      <c r="AX570" s="1314">
        <v>5.0928000000000004</v>
      </c>
      <c r="AY570" s="1314">
        <f t="shared" si="72"/>
        <v>-1.3310084277826166E-2</v>
      </c>
    </row>
    <row r="571" spans="46:51" x14ac:dyDescent="0.75">
      <c r="AT571" s="1326">
        <v>38821</v>
      </c>
      <c r="AU571" s="1314">
        <v>753.6</v>
      </c>
      <c r="AV571" s="1314">
        <f t="shared" si="71"/>
        <v>-1.7778009488556366E-2</v>
      </c>
      <c r="AX571" s="1314">
        <v>5.1124000000000001</v>
      </c>
      <c r="AY571" s="1314">
        <f t="shared" si="72"/>
        <v>3.8485705309455735E-3</v>
      </c>
    </row>
    <row r="572" spans="46:51" x14ac:dyDescent="0.75">
      <c r="AT572" s="1326">
        <v>38814</v>
      </c>
      <c r="AU572" s="1314">
        <v>757.51</v>
      </c>
      <c r="AV572" s="1314">
        <f t="shared" si="71"/>
        <v>5.1884288747345644E-3</v>
      </c>
      <c r="AX572" s="1314">
        <v>5.0552999999999999</v>
      </c>
      <c r="AY572" s="1314">
        <f t="shared" si="72"/>
        <v>-1.1168922619513369E-2</v>
      </c>
    </row>
    <row r="573" spans="46:51" x14ac:dyDescent="0.75">
      <c r="AT573" s="1326">
        <v>38807</v>
      </c>
      <c r="AU573" s="1314">
        <v>758.45</v>
      </c>
      <c r="AV573" s="1314">
        <f t="shared" si="71"/>
        <v>1.2409077107893686E-3</v>
      </c>
      <c r="AX573" s="1314">
        <v>4.8898000000000001</v>
      </c>
      <c r="AY573" s="1314">
        <f t="shared" si="72"/>
        <v>-3.2737918620062069E-2</v>
      </c>
    </row>
    <row r="574" spans="46:51" x14ac:dyDescent="0.75">
      <c r="AT574" s="1326">
        <v>38800</v>
      </c>
      <c r="AU574" s="1314">
        <v>760.34</v>
      </c>
      <c r="AV574" s="1314">
        <f t="shared" si="71"/>
        <v>2.4919243193354686E-3</v>
      </c>
      <c r="AX574" s="1314">
        <v>4.6893000000000002</v>
      </c>
      <c r="AY574" s="1314">
        <f t="shared" si="72"/>
        <v>-4.1003722033620987E-2</v>
      </c>
    </row>
    <row r="575" spans="46:51" x14ac:dyDescent="0.75">
      <c r="AT575" s="1326">
        <v>38793</v>
      </c>
      <c r="AU575" s="1314">
        <v>761.31</v>
      </c>
      <c r="AV575" s="1314">
        <f t="shared" si="71"/>
        <v>1.2757450614197775E-3</v>
      </c>
      <c r="AX575" s="1314">
        <v>4.7172999999999998</v>
      </c>
      <c r="AY575" s="1314">
        <f t="shared" si="72"/>
        <v>5.9710404537989849E-3</v>
      </c>
    </row>
    <row r="576" spans="46:51" x14ac:dyDescent="0.75">
      <c r="AT576" s="1326">
        <v>38786</v>
      </c>
      <c r="AU576" s="1314">
        <v>745.65</v>
      </c>
      <c r="AV576" s="1314">
        <f t="shared" si="71"/>
        <v>-2.056980730582807E-2</v>
      </c>
      <c r="AX576" s="1314">
        <v>4.7476000000000003</v>
      </c>
      <c r="AY576" s="1314">
        <f t="shared" si="72"/>
        <v>6.4231657939924193E-3</v>
      </c>
    </row>
    <row r="577" spans="46:51" x14ac:dyDescent="0.75">
      <c r="AT577" s="1326">
        <v>38779</v>
      </c>
      <c r="AU577" s="1314">
        <v>750.79</v>
      </c>
      <c r="AV577" s="1314">
        <f t="shared" si="71"/>
        <v>6.8933145577683716E-3</v>
      </c>
      <c r="AX577" s="1314">
        <v>4.6593999999999998</v>
      </c>
      <c r="AY577" s="1314">
        <f t="shared" si="72"/>
        <v>-1.8577807734434345E-2</v>
      </c>
    </row>
    <row r="578" spans="46:51" x14ac:dyDescent="0.75">
      <c r="AT578" s="1326">
        <v>38772</v>
      </c>
      <c r="AU578" s="1314">
        <v>751.7</v>
      </c>
      <c r="AV578" s="1314">
        <f t="shared" si="71"/>
        <v>1.2120566336793004E-3</v>
      </c>
      <c r="AX578" s="1314">
        <v>4.5258000000000003</v>
      </c>
      <c r="AY578" s="1314">
        <f t="shared" si="72"/>
        <v>-2.867321972786185E-2</v>
      </c>
    </row>
    <row r="579" spans="46:51" x14ac:dyDescent="0.75">
      <c r="AT579" s="1326">
        <v>38765</v>
      </c>
      <c r="AU579" s="1314">
        <v>749.58</v>
      </c>
      <c r="AV579" s="1314">
        <f t="shared" si="71"/>
        <v>-2.8202740454968795E-3</v>
      </c>
      <c r="AX579" s="1314">
        <v>4.5057</v>
      </c>
      <c r="AY579" s="1314">
        <f t="shared" si="72"/>
        <v>-4.4412037650802573E-3</v>
      </c>
    </row>
    <row r="580" spans="46:51" x14ac:dyDescent="0.75">
      <c r="AT580" s="1326">
        <v>38758</v>
      </c>
      <c r="AU580" s="1314">
        <v>737.47</v>
      </c>
      <c r="AV580" s="1314">
        <f t="shared" si="71"/>
        <v>-1.6155713866431887E-2</v>
      </c>
      <c r="AX580" s="1314">
        <v>4.5518000000000001</v>
      </c>
      <c r="AY580" s="1314">
        <f t="shared" si="72"/>
        <v>1.0231484563996722E-2</v>
      </c>
    </row>
    <row r="581" spans="46:51" x14ac:dyDescent="0.75">
      <c r="AT581" s="1326">
        <v>38751</v>
      </c>
      <c r="AU581" s="1314">
        <v>737.39</v>
      </c>
      <c r="AV581" s="1314">
        <f t="shared" ref="AV581:AV644" si="73">(AU581-AU580)/AU580</f>
        <v>-1.0847898897587824E-4</v>
      </c>
      <c r="AX581" s="1314">
        <v>4.6242000000000001</v>
      </c>
      <c r="AY581" s="1314">
        <f t="shared" ref="AY581:AY644" si="74">(AX581-AX580)/AX580</f>
        <v>1.5905795509468787E-2</v>
      </c>
    </row>
    <row r="582" spans="46:51" x14ac:dyDescent="0.75">
      <c r="AT582" s="1326">
        <v>38744</v>
      </c>
      <c r="AU582" s="1314">
        <v>747.68</v>
      </c>
      <c r="AV582" s="1314">
        <f t="shared" si="73"/>
        <v>1.3954623740490057E-2</v>
      </c>
      <c r="AX582" s="1314">
        <v>4.6917999999999997</v>
      </c>
      <c r="AY582" s="1314">
        <f t="shared" si="74"/>
        <v>1.4618744863976399E-2</v>
      </c>
    </row>
    <row r="583" spans="46:51" x14ac:dyDescent="0.75">
      <c r="AT583" s="1326">
        <v>38737</v>
      </c>
      <c r="AU583" s="1314">
        <v>733.34</v>
      </c>
      <c r="AV583" s="1314">
        <f t="shared" si="73"/>
        <v>-1.9179328054782688E-2</v>
      </c>
      <c r="AX583" s="1314">
        <v>4.5213999999999999</v>
      </c>
      <c r="AY583" s="1314">
        <f t="shared" si="74"/>
        <v>-3.6318683660855083E-2</v>
      </c>
    </row>
    <row r="584" spans="46:51" x14ac:dyDescent="0.75">
      <c r="AT584" s="1326">
        <v>38730</v>
      </c>
      <c r="AU584" s="1314">
        <v>747.75</v>
      </c>
      <c r="AV584" s="1314">
        <f t="shared" si="73"/>
        <v>1.9649821365260271E-2</v>
      </c>
      <c r="AX584" s="1314">
        <v>4.5284000000000004</v>
      </c>
      <c r="AY584" s="1314">
        <f t="shared" si="74"/>
        <v>1.548193037554864E-3</v>
      </c>
    </row>
    <row r="585" spans="46:51" x14ac:dyDescent="0.75">
      <c r="AT585" s="1326">
        <v>38723</v>
      </c>
      <c r="AU585" s="1314">
        <v>745.4</v>
      </c>
      <c r="AV585" s="1314">
        <f t="shared" si="73"/>
        <v>-3.1427616181879275E-3</v>
      </c>
      <c r="AX585" s="1314">
        <v>4.5606999999999998</v>
      </c>
      <c r="AY585" s="1314">
        <f t="shared" si="74"/>
        <v>7.1327621234871753E-3</v>
      </c>
    </row>
    <row r="586" spans="46:51" x14ac:dyDescent="0.75">
      <c r="AT586" s="1326">
        <v>38716</v>
      </c>
      <c r="AU586" s="1314">
        <v>723.31</v>
      </c>
      <c r="AV586" s="1314">
        <f t="shared" si="73"/>
        <v>-2.9635095250872059E-2</v>
      </c>
      <c r="AX586" s="1314">
        <v>4.5347999999999997</v>
      </c>
      <c r="AY586" s="1314">
        <f t="shared" si="74"/>
        <v>-5.6789527923345176E-3</v>
      </c>
    </row>
    <row r="587" spans="46:51" x14ac:dyDescent="0.75">
      <c r="AT587" s="1326">
        <v>38709</v>
      </c>
      <c r="AU587" s="1314">
        <v>734.87</v>
      </c>
      <c r="AV587" s="1314">
        <f t="shared" si="73"/>
        <v>1.5982082371320816E-2</v>
      </c>
      <c r="AX587" s="1314">
        <v>4.5446999999999997</v>
      </c>
      <c r="AY587" s="1314">
        <f t="shared" si="74"/>
        <v>2.1831172267795756E-3</v>
      </c>
    </row>
    <row r="588" spans="46:51" x14ac:dyDescent="0.75">
      <c r="AT588" s="1326">
        <v>38702</v>
      </c>
      <c r="AU588" s="1314">
        <v>733.63</v>
      </c>
      <c r="AV588" s="1314">
        <f t="shared" si="73"/>
        <v>-1.6873732769061317E-3</v>
      </c>
      <c r="AX588" s="1314">
        <v>4.6425999999999998</v>
      </c>
      <c r="AY588" s="1314">
        <f t="shared" si="74"/>
        <v>2.1541575901599688E-2</v>
      </c>
    </row>
    <row r="589" spans="46:51" x14ac:dyDescent="0.75">
      <c r="AT589" s="1326">
        <v>38695</v>
      </c>
      <c r="AU589" s="1314">
        <v>730.34</v>
      </c>
      <c r="AV589" s="1314">
        <f t="shared" si="73"/>
        <v>-4.4845494322750751E-3</v>
      </c>
      <c r="AX589" s="1314">
        <v>4.7272999999999996</v>
      </c>
      <c r="AY589" s="1314">
        <f t="shared" si="74"/>
        <v>1.824408736483862E-2</v>
      </c>
    </row>
    <row r="590" spans="46:51" x14ac:dyDescent="0.75">
      <c r="AT590" s="1326">
        <v>38688</v>
      </c>
      <c r="AU590" s="1314">
        <v>733.27</v>
      </c>
      <c r="AV590" s="1314">
        <f t="shared" si="73"/>
        <v>4.011830106525659E-3</v>
      </c>
      <c r="AX590" s="1314">
        <v>4.7134999999999998</v>
      </c>
      <c r="AY590" s="1314">
        <f t="shared" si="74"/>
        <v>-2.9192139276119165E-3</v>
      </c>
    </row>
    <row r="591" spans="46:51" x14ac:dyDescent="0.75">
      <c r="AT591" s="1326">
        <v>38681</v>
      </c>
      <c r="AU591" s="1314">
        <v>734.26</v>
      </c>
      <c r="AV591" s="1314">
        <f t="shared" si="73"/>
        <v>1.350116600979188E-3</v>
      </c>
      <c r="AX591" s="1314">
        <v>4.6581000000000001</v>
      </c>
      <c r="AY591" s="1314">
        <f t="shared" si="74"/>
        <v>-1.1753474063859059E-2</v>
      </c>
    </row>
    <row r="592" spans="46:51" x14ac:dyDescent="0.75">
      <c r="AT592" s="1326">
        <v>38674</v>
      </c>
      <c r="AU592" s="1314">
        <v>722.2</v>
      </c>
      <c r="AV592" s="1314">
        <f t="shared" si="73"/>
        <v>-1.6424699697654709E-2</v>
      </c>
      <c r="AX592" s="1314">
        <v>4.6830999999999996</v>
      </c>
      <c r="AY592" s="1314">
        <f t="shared" si="74"/>
        <v>5.3669951267683105E-3</v>
      </c>
    </row>
    <row r="593" spans="46:51" x14ac:dyDescent="0.75">
      <c r="AT593" s="1326">
        <v>38667</v>
      </c>
      <c r="AU593" s="1314">
        <v>714.65</v>
      </c>
      <c r="AV593" s="1314">
        <f t="shared" si="73"/>
        <v>-1.0454167820548418E-2</v>
      </c>
      <c r="AX593" s="1314">
        <v>4.7412000000000001</v>
      </c>
      <c r="AY593" s="1314">
        <f t="shared" si="74"/>
        <v>1.2406312058252118E-2</v>
      </c>
    </row>
    <row r="594" spans="46:51" x14ac:dyDescent="0.75">
      <c r="AT594" s="1326">
        <v>38660</v>
      </c>
      <c r="AU594" s="1314">
        <v>706.44</v>
      </c>
      <c r="AV594" s="1314">
        <f t="shared" si="73"/>
        <v>-1.1488141048065378E-2</v>
      </c>
      <c r="AX594" s="1314">
        <v>4.8571</v>
      </c>
      <c r="AY594" s="1314">
        <f t="shared" si="74"/>
        <v>2.4445288112714059E-2</v>
      </c>
    </row>
    <row r="595" spans="46:51" x14ac:dyDescent="0.75">
      <c r="AT595" s="1326">
        <v>38653</v>
      </c>
      <c r="AU595" s="1314">
        <v>691.74</v>
      </c>
      <c r="AV595" s="1314">
        <f t="shared" si="73"/>
        <v>-2.0808561236623131E-2</v>
      </c>
      <c r="AX595" s="1314">
        <v>4.7718999999999996</v>
      </c>
      <c r="AY595" s="1314">
        <f t="shared" si="74"/>
        <v>-1.7541331247040496E-2</v>
      </c>
    </row>
    <row r="596" spans="46:51" x14ac:dyDescent="0.75">
      <c r="AT596" s="1326">
        <v>38646</v>
      </c>
      <c r="AU596" s="1314">
        <v>682.62</v>
      </c>
      <c r="AV596" s="1314">
        <f t="shared" si="73"/>
        <v>-1.3184144331685322E-2</v>
      </c>
      <c r="AX596" s="1314">
        <v>4.6017000000000001</v>
      </c>
      <c r="AY596" s="1314">
        <f t="shared" si="74"/>
        <v>-3.5667134684297552E-2</v>
      </c>
    </row>
    <row r="597" spans="46:51" x14ac:dyDescent="0.75">
      <c r="AT597" s="1326">
        <v>38639</v>
      </c>
      <c r="AU597" s="1314">
        <v>685.49</v>
      </c>
      <c r="AV597" s="1314">
        <f t="shared" si="73"/>
        <v>4.2043889719023831E-3</v>
      </c>
      <c r="AX597" s="1314">
        <v>4.7023000000000001</v>
      </c>
      <c r="AY597" s="1314">
        <f t="shared" si="74"/>
        <v>2.1861485972575357E-2</v>
      </c>
    </row>
    <row r="598" spans="46:51" x14ac:dyDescent="0.75">
      <c r="AT598" s="1326">
        <v>38632</v>
      </c>
      <c r="AU598" s="1314">
        <v>692.34</v>
      </c>
      <c r="AV598" s="1314">
        <f t="shared" si="73"/>
        <v>9.9928518286189778E-3</v>
      </c>
      <c r="AX598" s="1314">
        <v>4.5644999999999998</v>
      </c>
      <c r="AY598" s="1314">
        <f t="shared" si="74"/>
        <v>-2.9304808285307266E-2</v>
      </c>
    </row>
    <row r="599" spans="46:51" x14ac:dyDescent="0.75">
      <c r="AT599" s="1326">
        <v>38625</v>
      </c>
      <c r="AU599" s="1314">
        <v>712.21</v>
      </c>
      <c r="AV599" s="1314">
        <f t="shared" si="73"/>
        <v>2.8699771788427655E-2</v>
      </c>
      <c r="AX599" s="1314">
        <v>4.5667999999999997</v>
      </c>
      <c r="AY599" s="1314">
        <f t="shared" si="74"/>
        <v>5.0388870632051019E-4</v>
      </c>
    </row>
    <row r="600" spans="46:51" x14ac:dyDescent="0.75">
      <c r="AT600" s="1326">
        <v>38618</v>
      </c>
      <c r="AU600" s="1314">
        <v>702.76</v>
      </c>
      <c r="AV600" s="1314">
        <f t="shared" si="73"/>
        <v>-1.3268558430799968E-2</v>
      </c>
      <c r="AX600" s="1314">
        <v>4.5190999999999999</v>
      </c>
      <c r="AY600" s="1314">
        <f t="shared" si="74"/>
        <v>-1.0444950512393768E-2</v>
      </c>
    </row>
    <row r="601" spans="46:51" x14ac:dyDescent="0.75">
      <c r="AT601" s="1326">
        <v>38611</v>
      </c>
      <c r="AU601" s="1314">
        <v>716.32</v>
      </c>
      <c r="AV601" s="1314">
        <f t="shared" si="73"/>
        <v>1.9295349763788574E-2</v>
      </c>
      <c r="AX601" s="1314">
        <v>4.5646000000000004</v>
      </c>
      <c r="AY601" s="1314">
        <f t="shared" si="74"/>
        <v>1.0068376446637724E-2</v>
      </c>
    </row>
    <row r="602" spans="46:51" x14ac:dyDescent="0.75">
      <c r="AT602" s="1326">
        <v>38604</v>
      </c>
      <c r="AU602" s="1314">
        <v>719.03</v>
      </c>
      <c r="AV602" s="1314">
        <f t="shared" si="73"/>
        <v>3.783225374134357E-3</v>
      </c>
      <c r="AX602" s="1314">
        <v>4.399</v>
      </c>
      <c r="AY602" s="1314">
        <f t="shared" si="74"/>
        <v>-3.6279192043114486E-2</v>
      </c>
    </row>
    <row r="603" spans="46:51" x14ac:dyDescent="0.75">
      <c r="AT603" s="1326">
        <v>38597</v>
      </c>
      <c r="AU603" s="1314">
        <v>705.44</v>
      </c>
      <c r="AV603" s="1314">
        <f t="shared" si="73"/>
        <v>-1.8900463123930736E-2</v>
      </c>
      <c r="AX603" s="1314">
        <v>4.2961</v>
      </c>
      <c r="AY603" s="1314">
        <f t="shared" si="74"/>
        <v>-2.3391679927256194E-2</v>
      </c>
    </row>
    <row r="604" spans="46:51" x14ac:dyDescent="0.75">
      <c r="AT604" s="1326">
        <v>38590</v>
      </c>
      <c r="AU604" s="1314">
        <v>696.53</v>
      </c>
      <c r="AV604" s="1314">
        <f t="shared" si="73"/>
        <v>-1.2630415060104446E-2</v>
      </c>
      <c r="AX604" s="1314">
        <v>4.3719999999999999</v>
      </c>
      <c r="AY604" s="1314">
        <f t="shared" si="74"/>
        <v>1.7667186518004668E-2</v>
      </c>
    </row>
    <row r="605" spans="46:51" x14ac:dyDescent="0.75">
      <c r="AT605" s="1326">
        <v>38583</v>
      </c>
      <c r="AU605" s="1314">
        <v>704.02</v>
      </c>
      <c r="AV605" s="1314">
        <f t="shared" si="73"/>
        <v>1.0753305672404647E-2</v>
      </c>
      <c r="AX605" s="1314">
        <v>4.4188999999999998</v>
      </c>
      <c r="AY605" s="1314">
        <f t="shared" si="74"/>
        <v>1.0727355901189374E-2</v>
      </c>
    </row>
    <row r="606" spans="46:51" x14ac:dyDescent="0.75">
      <c r="AT606" s="1326">
        <v>38576</v>
      </c>
      <c r="AU606" s="1314">
        <v>710.43</v>
      </c>
      <c r="AV606" s="1314">
        <f t="shared" si="73"/>
        <v>9.1048549757108722E-3</v>
      </c>
      <c r="AX606" s="1314">
        <v>4.4484000000000004</v>
      </c>
      <c r="AY606" s="1314">
        <f t="shared" si="74"/>
        <v>6.6758695602979305E-3</v>
      </c>
    </row>
    <row r="607" spans="46:51" x14ac:dyDescent="0.75">
      <c r="AT607" s="1326">
        <v>38569</v>
      </c>
      <c r="AU607" s="1314">
        <v>708.77</v>
      </c>
      <c r="AV607" s="1314">
        <f t="shared" si="73"/>
        <v>-2.336613037174624E-3</v>
      </c>
      <c r="AX607" s="1314">
        <v>4.5819999999999999</v>
      </c>
      <c r="AY607" s="1314">
        <f t="shared" si="74"/>
        <v>3.0033270389353359E-2</v>
      </c>
    </row>
    <row r="608" spans="46:51" x14ac:dyDescent="0.75">
      <c r="AT608" s="1326">
        <v>38562</v>
      </c>
      <c r="AU608" s="1314">
        <v>715.02</v>
      </c>
      <c r="AV608" s="1314">
        <f t="shared" si="73"/>
        <v>8.8180933165907145E-3</v>
      </c>
      <c r="AX608" s="1314">
        <v>4.4706000000000001</v>
      </c>
      <c r="AY608" s="1314">
        <f t="shared" si="74"/>
        <v>-2.4312527280663406E-2</v>
      </c>
    </row>
    <row r="609" spans="46:51" x14ac:dyDescent="0.75">
      <c r="AT609" s="1326">
        <v>38555</v>
      </c>
      <c r="AU609" s="1314">
        <v>713.75</v>
      </c>
      <c r="AV609" s="1314">
        <f t="shared" si="73"/>
        <v>-1.7761740930323374E-3</v>
      </c>
      <c r="AX609" s="1314">
        <v>4.4398999999999997</v>
      </c>
      <c r="AY609" s="1314">
        <f t="shared" si="74"/>
        <v>-6.8670871918758989E-3</v>
      </c>
    </row>
    <row r="610" spans="46:51" x14ac:dyDescent="0.75">
      <c r="AT610" s="1326">
        <v>38548</v>
      </c>
      <c r="AU610" s="1314">
        <v>709.5</v>
      </c>
      <c r="AV610" s="1314">
        <f t="shared" si="73"/>
        <v>-5.9544658493870407E-3</v>
      </c>
      <c r="AX610" s="1314">
        <v>4.3963000000000001</v>
      </c>
      <c r="AY610" s="1314">
        <f t="shared" si="74"/>
        <v>-9.8200409919141519E-3</v>
      </c>
    </row>
    <row r="611" spans="46:51" x14ac:dyDescent="0.75">
      <c r="AT611" s="1326">
        <v>38541</v>
      </c>
      <c r="AU611" s="1314">
        <v>701.25</v>
      </c>
      <c r="AV611" s="1314">
        <f t="shared" si="73"/>
        <v>-1.1627906976744186E-2</v>
      </c>
      <c r="AX611" s="1314">
        <v>4.3413000000000004</v>
      </c>
      <c r="AY611" s="1314">
        <f t="shared" si="74"/>
        <v>-1.2510520210176675E-2</v>
      </c>
    </row>
    <row r="612" spans="46:51" x14ac:dyDescent="0.75">
      <c r="AT612" s="1326">
        <v>38534</v>
      </c>
      <c r="AU612" s="1314">
        <v>689.86</v>
      </c>
      <c r="AV612" s="1314">
        <f t="shared" si="73"/>
        <v>-1.6242424242424221E-2</v>
      </c>
      <c r="AX612" s="1314">
        <v>4.2942</v>
      </c>
      <c r="AY612" s="1314">
        <f t="shared" si="74"/>
        <v>-1.0849284776449534E-2</v>
      </c>
    </row>
    <row r="613" spans="46:51" x14ac:dyDescent="0.75">
      <c r="AT613" s="1326">
        <v>38527</v>
      </c>
      <c r="AU613" s="1314">
        <v>685.87</v>
      </c>
      <c r="AV613" s="1314">
        <f t="shared" si="73"/>
        <v>-5.7837822166816582E-3</v>
      </c>
      <c r="AX613" s="1314">
        <v>4.2206999999999999</v>
      </c>
      <c r="AY613" s="1314">
        <f t="shared" si="74"/>
        <v>-1.7116110101998074E-2</v>
      </c>
    </row>
    <row r="614" spans="46:51" x14ac:dyDescent="0.75">
      <c r="AT614" s="1326">
        <v>38520</v>
      </c>
      <c r="AU614" s="1314">
        <v>700.31</v>
      </c>
      <c r="AV614" s="1314">
        <f t="shared" si="73"/>
        <v>2.1053552422470645E-2</v>
      </c>
      <c r="AX614" s="1314">
        <v>4.3606999999999996</v>
      </c>
      <c r="AY614" s="1314">
        <f t="shared" si="74"/>
        <v>3.3169853341862648E-2</v>
      </c>
    </row>
    <row r="615" spans="46:51" x14ac:dyDescent="0.75">
      <c r="AT615" s="1326">
        <v>38513</v>
      </c>
      <c r="AU615" s="1314">
        <v>688.7</v>
      </c>
      <c r="AV615" s="1314">
        <f t="shared" si="73"/>
        <v>-1.6578372435064329E-2</v>
      </c>
      <c r="AX615" s="1314">
        <v>4.3243999999999998</v>
      </c>
      <c r="AY615" s="1314">
        <f t="shared" si="74"/>
        <v>-8.3243515949273702E-3</v>
      </c>
    </row>
    <row r="616" spans="46:51" x14ac:dyDescent="0.75">
      <c r="AT616" s="1326">
        <v>38506</v>
      </c>
      <c r="AU616" s="1314">
        <v>687.01</v>
      </c>
      <c r="AV616" s="1314">
        <f t="shared" si="73"/>
        <v>-2.4538986496298165E-3</v>
      </c>
      <c r="AX616" s="1314">
        <v>4.2812000000000001</v>
      </c>
      <c r="AY616" s="1314">
        <f t="shared" si="74"/>
        <v>-9.9898251780593111E-3</v>
      </c>
    </row>
    <row r="617" spans="46:51" x14ac:dyDescent="0.75">
      <c r="AT617" s="1326">
        <v>38499</v>
      </c>
      <c r="AU617" s="1314">
        <v>687.21</v>
      </c>
      <c r="AV617" s="1314">
        <f t="shared" si="73"/>
        <v>2.9111657763357954E-4</v>
      </c>
      <c r="AX617" s="1314">
        <v>4.4292999999999996</v>
      </c>
      <c r="AY617" s="1314">
        <f t="shared" si="74"/>
        <v>3.4593104736989504E-2</v>
      </c>
    </row>
    <row r="618" spans="46:51" x14ac:dyDescent="0.75">
      <c r="AT618" s="1326">
        <v>38492</v>
      </c>
      <c r="AU618" s="1314">
        <v>681.58</v>
      </c>
      <c r="AV618" s="1314">
        <f t="shared" si="73"/>
        <v>-8.192546674233487E-3</v>
      </c>
      <c r="AX618" s="1314">
        <v>4.4381000000000004</v>
      </c>
      <c r="AY618" s="1314">
        <f t="shared" si="74"/>
        <v>1.9867699184974619E-3</v>
      </c>
    </row>
    <row r="619" spans="46:51" x14ac:dyDescent="0.75">
      <c r="AT619" s="1326">
        <v>38485</v>
      </c>
      <c r="AU619" s="1314">
        <v>659.78</v>
      </c>
      <c r="AV619" s="1314">
        <f t="shared" si="73"/>
        <v>-3.1984506587634715E-2</v>
      </c>
      <c r="AX619" s="1314">
        <v>4.4805000000000001</v>
      </c>
      <c r="AY619" s="1314">
        <f t="shared" si="74"/>
        <v>9.5536378179851209E-3</v>
      </c>
    </row>
    <row r="620" spans="46:51" x14ac:dyDescent="0.75">
      <c r="AT620" s="1326">
        <v>38478</v>
      </c>
      <c r="AU620" s="1314">
        <v>669.87</v>
      </c>
      <c r="AV620" s="1314">
        <f t="shared" si="73"/>
        <v>1.5292976446694402E-2</v>
      </c>
      <c r="AX620" s="1314">
        <v>4.6277999999999997</v>
      </c>
      <c r="AY620" s="1314">
        <f t="shared" si="74"/>
        <v>3.2875795112152557E-2</v>
      </c>
    </row>
    <row r="621" spans="46:51" x14ac:dyDescent="0.75">
      <c r="AT621" s="1326">
        <v>38471</v>
      </c>
      <c r="AU621" s="1314">
        <v>660.02</v>
      </c>
      <c r="AV621" s="1314">
        <f t="shared" si="73"/>
        <v>-1.4704345619299302E-2</v>
      </c>
      <c r="AX621" s="1314">
        <v>4.5133000000000001</v>
      </c>
      <c r="AY621" s="1314">
        <f t="shared" si="74"/>
        <v>-2.4741777950646009E-2</v>
      </c>
    </row>
    <row r="622" spans="46:51" x14ac:dyDescent="0.75">
      <c r="AT622" s="1326">
        <v>38464</v>
      </c>
      <c r="AU622" s="1314">
        <v>658.49</v>
      </c>
      <c r="AV622" s="1314">
        <f t="shared" si="73"/>
        <v>-2.3181115723765536E-3</v>
      </c>
      <c r="AX622" s="1314">
        <v>4.5792999999999999</v>
      </c>
      <c r="AY622" s="1314">
        <f t="shared" si="74"/>
        <v>1.4623446258834962E-2</v>
      </c>
    </row>
    <row r="623" spans="46:51" x14ac:dyDescent="0.75">
      <c r="AT623" s="1326">
        <v>38457</v>
      </c>
      <c r="AU623" s="1314">
        <v>652.73</v>
      </c>
      <c r="AV623" s="1314">
        <f t="shared" si="73"/>
        <v>-8.7472854561192886E-3</v>
      </c>
      <c r="AX623" s="1314">
        <v>4.6083999999999996</v>
      </c>
      <c r="AY623" s="1314">
        <f t="shared" si="74"/>
        <v>6.3546830301573782E-3</v>
      </c>
    </row>
    <row r="624" spans="46:51" x14ac:dyDescent="0.75">
      <c r="AT624" s="1326">
        <v>38450</v>
      </c>
      <c r="AU624" s="1314">
        <v>675.41</v>
      </c>
      <c r="AV624" s="1314">
        <f t="shared" si="73"/>
        <v>3.4746372926018336E-2</v>
      </c>
      <c r="AX624" s="1314">
        <v>4.7683</v>
      </c>
      <c r="AY624" s="1314">
        <f t="shared" si="74"/>
        <v>3.4697508896797236E-2</v>
      </c>
    </row>
    <row r="625" spans="46:51" x14ac:dyDescent="0.75">
      <c r="AT625" s="1326">
        <v>38443</v>
      </c>
      <c r="AU625" s="1314">
        <v>671.39</v>
      </c>
      <c r="AV625" s="1314">
        <f t="shared" si="73"/>
        <v>-5.9519403029270846E-3</v>
      </c>
      <c r="AX625" s="1314">
        <v>4.7210000000000001</v>
      </c>
      <c r="AY625" s="1314">
        <f t="shared" si="74"/>
        <v>-9.9196778726170533E-3</v>
      </c>
    </row>
    <row r="626" spans="46:51" x14ac:dyDescent="0.75">
      <c r="AT626" s="1326">
        <v>38436</v>
      </c>
      <c r="AU626" s="1314">
        <v>670.77</v>
      </c>
      <c r="AV626" s="1314">
        <f t="shared" si="73"/>
        <v>-9.2345730499412352E-4</v>
      </c>
      <c r="AX626" s="1314">
        <v>4.8440000000000003</v>
      </c>
      <c r="AY626" s="1314">
        <f t="shared" si="74"/>
        <v>2.6053802160559251E-2</v>
      </c>
    </row>
    <row r="627" spans="46:51" x14ac:dyDescent="0.75">
      <c r="AT627" s="1326">
        <v>38429</v>
      </c>
      <c r="AU627" s="1314">
        <v>680.44</v>
      </c>
      <c r="AV627" s="1314">
        <f t="shared" si="73"/>
        <v>1.4416267871252549E-2</v>
      </c>
      <c r="AX627" s="1314">
        <v>4.8099999999999996</v>
      </c>
      <c r="AY627" s="1314">
        <f t="shared" si="74"/>
        <v>-7.0189925681256593E-3</v>
      </c>
    </row>
    <row r="628" spans="46:51" x14ac:dyDescent="0.75">
      <c r="AT628" s="1326">
        <v>38422</v>
      </c>
      <c r="AU628" s="1314">
        <v>685.89</v>
      </c>
      <c r="AV628" s="1314">
        <f t="shared" si="73"/>
        <v>8.0095232496618825E-3</v>
      </c>
      <c r="AX628" s="1314">
        <v>4.8093000000000004</v>
      </c>
      <c r="AY628" s="1314">
        <f t="shared" si="74"/>
        <v>-1.4553014552999102E-4</v>
      </c>
    </row>
    <row r="629" spans="46:51" x14ac:dyDescent="0.75">
      <c r="AT629" s="1326">
        <v>38415</v>
      </c>
      <c r="AU629" s="1314">
        <v>698.55</v>
      </c>
      <c r="AV629" s="1314">
        <f t="shared" si="73"/>
        <v>1.8457770196387131E-2</v>
      </c>
      <c r="AX629" s="1314">
        <v>4.6489000000000003</v>
      </c>
      <c r="AY629" s="1314">
        <f t="shared" si="74"/>
        <v>-3.3352047075457983E-2</v>
      </c>
    </row>
    <row r="630" spans="46:51" x14ac:dyDescent="0.75">
      <c r="AT630" s="1326">
        <v>38408</v>
      </c>
      <c r="AU630" s="1314">
        <v>692.42</v>
      </c>
      <c r="AV630" s="1314">
        <f t="shared" si="73"/>
        <v>-8.7753203063488591E-3</v>
      </c>
      <c r="AX630" s="1314">
        <v>4.6386000000000003</v>
      </c>
      <c r="AY630" s="1314">
        <f t="shared" si="74"/>
        <v>-2.2155778786379521E-3</v>
      </c>
    </row>
    <row r="631" spans="46:51" x14ac:dyDescent="0.75">
      <c r="AT631" s="1326">
        <v>38401</v>
      </c>
      <c r="AU631" s="1314">
        <v>686.41</v>
      </c>
      <c r="AV631" s="1314">
        <f t="shared" si="73"/>
        <v>-8.6797030703907908E-3</v>
      </c>
      <c r="AX631" s="1314">
        <v>4.6494999999999997</v>
      </c>
      <c r="AY631" s="1314">
        <f t="shared" si="74"/>
        <v>2.3498469365755754E-3</v>
      </c>
    </row>
    <row r="632" spans="46:51" x14ac:dyDescent="0.75">
      <c r="AT632" s="1326">
        <v>38394</v>
      </c>
      <c r="AU632" s="1314">
        <v>688.51</v>
      </c>
      <c r="AV632" s="1314">
        <f t="shared" si="73"/>
        <v>3.0593959878207236E-3</v>
      </c>
      <c r="AX632" s="1314">
        <v>4.4805000000000001</v>
      </c>
      <c r="AY632" s="1314">
        <f t="shared" si="74"/>
        <v>-3.6347994408000774E-2</v>
      </c>
    </row>
    <row r="633" spans="46:51" x14ac:dyDescent="0.75">
      <c r="AT633" s="1326">
        <v>38387</v>
      </c>
      <c r="AU633" s="1314">
        <v>687.71</v>
      </c>
      <c r="AV633" s="1314">
        <f t="shared" si="73"/>
        <v>-1.1619293837416371E-3</v>
      </c>
      <c r="AX633" s="1314">
        <v>4.4817</v>
      </c>
      <c r="AY633" s="1314">
        <f t="shared" si="74"/>
        <v>2.6782725142280277E-4</v>
      </c>
    </row>
    <row r="634" spans="46:51" x14ac:dyDescent="0.75">
      <c r="AT634" s="1326">
        <v>38380</v>
      </c>
      <c r="AU634" s="1314">
        <v>668.15</v>
      </c>
      <c r="AV634" s="1314">
        <f t="shared" si="73"/>
        <v>-2.8442221285134808E-2</v>
      </c>
      <c r="AX634" s="1314">
        <v>4.6078999999999999</v>
      </c>
      <c r="AY634" s="1314">
        <f t="shared" si="74"/>
        <v>2.8158957538434046E-2</v>
      </c>
    </row>
    <row r="635" spans="46:51" x14ac:dyDescent="0.75">
      <c r="AT635" s="1326">
        <v>38373</v>
      </c>
      <c r="AU635" s="1314">
        <v>666.45</v>
      </c>
      <c r="AV635" s="1314">
        <f t="shared" si="73"/>
        <v>-2.5443388460673977E-3</v>
      </c>
      <c r="AX635" s="1314">
        <v>4.6426999999999996</v>
      </c>
      <c r="AY635" s="1314">
        <f t="shared" si="74"/>
        <v>7.5522472275873437E-3</v>
      </c>
    </row>
    <row r="636" spans="46:51" x14ac:dyDescent="0.75">
      <c r="AT636" s="1326">
        <v>38366</v>
      </c>
      <c r="AU636" s="1314">
        <v>675.43</v>
      </c>
      <c r="AV636" s="1314">
        <f t="shared" si="73"/>
        <v>1.3474379173231157E-2</v>
      </c>
      <c r="AX636" s="1314">
        <v>4.7275999999999998</v>
      </c>
      <c r="AY636" s="1314">
        <f t="shared" si="74"/>
        <v>1.8286772783078855E-2</v>
      </c>
    </row>
    <row r="637" spans="46:51" x14ac:dyDescent="0.75">
      <c r="AT637" s="1326">
        <v>38359</v>
      </c>
      <c r="AU637" s="1314">
        <v>675.09</v>
      </c>
      <c r="AV637" s="1314">
        <f t="shared" si="73"/>
        <v>-5.0338303006961221E-4</v>
      </c>
      <c r="AX637" s="1314">
        <v>4.835</v>
      </c>
      <c r="AY637" s="1314">
        <f t="shared" si="74"/>
        <v>2.2717658008291768E-2</v>
      </c>
    </row>
    <row r="638" spans="46:51" x14ac:dyDescent="0.75">
      <c r="AT638" s="1326">
        <v>38352</v>
      </c>
      <c r="AU638" s="1314">
        <v>693.63</v>
      </c>
      <c r="AV638" s="1314">
        <f t="shared" si="73"/>
        <v>2.7463004932675589E-2</v>
      </c>
      <c r="AX638" s="1314">
        <v>4.8261000000000003</v>
      </c>
      <c r="AY638" s="1314">
        <f t="shared" si="74"/>
        <v>-1.8407445708375774E-3</v>
      </c>
    </row>
    <row r="639" spans="46:51" x14ac:dyDescent="0.75">
      <c r="AT639" s="1326">
        <v>38345</v>
      </c>
      <c r="AU639" s="1314">
        <v>691.75</v>
      </c>
      <c r="AV639" s="1314">
        <f t="shared" si="73"/>
        <v>-2.7103787321770909E-3</v>
      </c>
      <c r="AX639" s="1314">
        <v>4.8442999999999996</v>
      </c>
      <c r="AY639" s="1314">
        <f t="shared" si="74"/>
        <v>3.7711609788440618E-3</v>
      </c>
    </row>
    <row r="640" spans="46:51" x14ac:dyDescent="0.75">
      <c r="AT640" s="1326">
        <v>38338</v>
      </c>
      <c r="AU640" s="1314">
        <v>683.08</v>
      </c>
      <c r="AV640" s="1314">
        <f t="shared" si="73"/>
        <v>-1.2533429707264126E-2</v>
      </c>
      <c r="AX640" s="1314">
        <v>4.8265000000000002</v>
      </c>
      <c r="AY640" s="1314">
        <f t="shared" si="74"/>
        <v>-3.6744214850441496E-3</v>
      </c>
    </row>
    <row r="641" spans="46:51" x14ac:dyDescent="0.75">
      <c r="AT641" s="1326">
        <v>38331</v>
      </c>
      <c r="AU641" s="1314">
        <v>678.32</v>
      </c>
      <c r="AV641" s="1314">
        <f t="shared" si="73"/>
        <v>-6.9684370791122429E-3</v>
      </c>
      <c r="AX641" s="1314">
        <v>4.8175999999999997</v>
      </c>
      <c r="AY641" s="1314">
        <f t="shared" si="74"/>
        <v>-1.8439863254947838E-3</v>
      </c>
    </row>
    <row r="642" spans="46:51" x14ac:dyDescent="0.75">
      <c r="AT642" s="1326">
        <v>38324</v>
      </c>
      <c r="AU642" s="1314">
        <v>680.77</v>
      </c>
      <c r="AV642" s="1314">
        <f t="shared" si="73"/>
        <v>3.6118646066752146E-3</v>
      </c>
      <c r="AX642" s="1314">
        <v>4.9268000000000001</v>
      </c>
      <c r="AY642" s="1314">
        <f t="shared" si="74"/>
        <v>2.26668880770509E-2</v>
      </c>
    </row>
    <row r="643" spans="46:51" x14ac:dyDescent="0.75">
      <c r="AT643" s="1326">
        <v>38317</v>
      </c>
      <c r="AU643" s="1314">
        <v>674.76</v>
      </c>
      <c r="AV643" s="1314">
        <f t="shared" si="73"/>
        <v>-8.8282386121597469E-3</v>
      </c>
      <c r="AX643" s="1314">
        <v>4.8853</v>
      </c>
      <c r="AY643" s="1314">
        <f t="shared" si="74"/>
        <v>-8.4233173662417987E-3</v>
      </c>
    </row>
    <row r="644" spans="46:51" x14ac:dyDescent="0.75">
      <c r="AT644" s="1326">
        <v>38310</v>
      </c>
      <c r="AU644" s="1314">
        <v>666.03</v>
      </c>
      <c r="AV644" s="1314">
        <f t="shared" si="73"/>
        <v>-1.2937933487462236E-2</v>
      </c>
      <c r="AX644" s="1314">
        <v>4.8844000000000003</v>
      </c>
      <c r="AY644" s="1314">
        <f t="shared" si="74"/>
        <v>-1.8422614783118312E-4</v>
      </c>
    </row>
    <row r="645" spans="46:51" x14ac:dyDescent="0.75">
      <c r="AT645" s="1326">
        <v>38303</v>
      </c>
      <c r="AU645" s="1314">
        <v>673.82</v>
      </c>
      <c r="AV645" s="1314">
        <f t="shared" ref="AV645:AV708" si="75">(AU645-AU644)/AU644</f>
        <v>1.1696169842199417E-2</v>
      </c>
      <c r="AX645" s="1314">
        <v>4.8967000000000001</v>
      </c>
      <c r="AY645" s="1314">
        <f t="shared" ref="AY645:AY708" si="76">(AX645-AX644)/AX644</f>
        <v>2.5182212758987294E-3</v>
      </c>
    </row>
    <row r="646" spans="46:51" x14ac:dyDescent="0.75">
      <c r="AT646" s="1326">
        <v>38296</v>
      </c>
      <c r="AU646" s="1314">
        <v>662.38</v>
      </c>
      <c r="AV646" s="1314">
        <f t="shared" si="75"/>
        <v>-1.6977827906562663E-2</v>
      </c>
      <c r="AX646" s="1314">
        <v>4.8968999999999996</v>
      </c>
      <c r="AY646" s="1314">
        <f t="shared" si="76"/>
        <v>4.0843833602126713E-5</v>
      </c>
    </row>
    <row r="647" spans="46:51" x14ac:dyDescent="0.75">
      <c r="AT647" s="1326">
        <v>38289</v>
      </c>
      <c r="AU647" s="1314">
        <v>642.15</v>
      </c>
      <c r="AV647" s="1314">
        <f t="shared" si="75"/>
        <v>-3.0541381080346656E-2</v>
      </c>
      <c r="AX647" s="1314">
        <v>4.7888999999999999</v>
      </c>
      <c r="AY647" s="1314">
        <f t="shared" si="76"/>
        <v>-2.2054769343870542E-2</v>
      </c>
    </row>
    <row r="648" spans="46:51" x14ac:dyDescent="0.75">
      <c r="AT648" s="1326">
        <v>38282</v>
      </c>
      <c r="AU648" s="1314">
        <v>623.27</v>
      </c>
      <c r="AV648" s="1314">
        <f t="shared" si="75"/>
        <v>-2.9401230242155255E-2</v>
      </c>
      <c r="AX648" s="1314">
        <v>4.7605000000000004</v>
      </c>
      <c r="AY648" s="1314">
        <f t="shared" si="76"/>
        <v>-5.9303806719705017E-3</v>
      </c>
    </row>
    <row r="649" spans="46:51" x14ac:dyDescent="0.75">
      <c r="AT649" s="1326">
        <v>38275</v>
      </c>
      <c r="AU649" s="1314">
        <v>629.01</v>
      </c>
      <c r="AV649" s="1314">
        <f t="shared" si="75"/>
        <v>9.2094918735058789E-3</v>
      </c>
      <c r="AX649" s="1314">
        <v>4.8451000000000004</v>
      </c>
      <c r="AY649" s="1314">
        <f t="shared" si="76"/>
        <v>1.7771242516542381E-2</v>
      </c>
    </row>
    <row r="650" spans="46:51" x14ac:dyDescent="0.75">
      <c r="AT650" s="1326">
        <v>38268</v>
      </c>
      <c r="AU650" s="1314">
        <v>636.47</v>
      </c>
      <c r="AV650" s="1314">
        <f t="shared" si="75"/>
        <v>1.1859906837729188E-2</v>
      </c>
      <c r="AX650" s="1314">
        <v>4.9066999999999998</v>
      </c>
      <c r="AY650" s="1314">
        <f t="shared" si="76"/>
        <v>1.2713875874594834E-2</v>
      </c>
    </row>
    <row r="651" spans="46:51" x14ac:dyDescent="0.75">
      <c r="AT651" s="1326">
        <v>38261</v>
      </c>
      <c r="AU651" s="1314">
        <v>642.27</v>
      </c>
      <c r="AV651" s="1314">
        <f t="shared" si="75"/>
        <v>9.1127625811113708E-3</v>
      </c>
      <c r="AX651" s="1314">
        <v>4.9436</v>
      </c>
      <c r="AY651" s="1314">
        <f t="shared" si="76"/>
        <v>7.5203293455887166E-3</v>
      </c>
    </row>
    <row r="652" spans="46:51" x14ac:dyDescent="0.75">
      <c r="AT652" s="1326">
        <v>38254</v>
      </c>
      <c r="AU652" s="1314">
        <v>629.54</v>
      </c>
      <c r="AV652" s="1314">
        <f t="shared" si="75"/>
        <v>-1.9820324785526366E-2</v>
      </c>
      <c r="AX652" s="1314">
        <v>4.798</v>
      </c>
      <c r="AY652" s="1314">
        <f t="shared" si="76"/>
        <v>-2.9452221053483281E-2</v>
      </c>
    </row>
    <row r="653" spans="46:51" x14ac:dyDescent="0.75">
      <c r="AT653" s="1326">
        <v>38247</v>
      </c>
      <c r="AU653" s="1314">
        <v>639.38</v>
      </c>
      <c r="AV653" s="1314">
        <f t="shared" si="75"/>
        <v>1.5630460336118486E-2</v>
      </c>
      <c r="AX653" s="1314">
        <v>4.9095000000000004</v>
      </c>
      <c r="AY653" s="1314">
        <f t="shared" si="76"/>
        <v>2.3238849520633674E-2</v>
      </c>
    </row>
    <row r="654" spans="46:51" x14ac:dyDescent="0.75">
      <c r="AT654" s="1326">
        <v>38240</v>
      </c>
      <c r="AU654" s="1314">
        <v>636.37</v>
      </c>
      <c r="AV654" s="1314">
        <f t="shared" si="75"/>
        <v>-4.7076855703963071E-3</v>
      </c>
      <c r="AX654" s="1314">
        <v>4.9840999999999998</v>
      </c>
      <c r="AY654" s="1314">
        <f t="shared" si="76"/>
        <v>1.519503004379251E-2</v>
      </c>
    </row>
    <row r="655" spans="46:51" x14ac:dyDescent="0.75">
      <c r="AT655" s="1326">
        <v>38233</v>
      </c>
      <c r="AU655" s="1314">
        <v>629.55999999999995</v>
      </c>
      <c r="AV655" s="1314">
        <f t="shared" si="75"/>
        <v>-1.0701321558213081E-2</v>
      </c>
      <c r="AX655" s="1314">
        <v>5.0578000000000003</v>
      </c>
      <c r="AY655" s="1314">
        <f t="shared" si="76"/>
        <v>1.4787022732288787E-2</v>
      </c>
    </row>
    <row r="656" spans="46:51" x14ac:dyDescent="0.75">
      <c r="AT656" s="1326">
        <v>38226</v>
      </c>
      <c r="AU656" s="1314">
        <v>625.92999999999995</v>
      </c>
      <c r="AV656" s="1314">
        <f t="shared" si="75"/>
        <v>-5.7659317618654234E-3</v>
      </c>
      <c r="AX656" s="1314">
        <v>5.0194999999999999</v>
      </c>
      <c r="AY656" s="1314">
        <f t="shared" si="76"/>
        <v>-7.5724623354028317E-3</v>
      </c>
    </row>
    <row r="657" spans="46:51" x14ac:dyDescent="0.75">
      <c r="AT657" s="1326">
        <v>38219</v>
      </c>
      <c r="AU657" s="1314">
        <v>620.53</v>
      </c>
      <c r="AV657" s="1314">
        <f t="shared" si="75"/>
        <v>-8.6271627817806739E-3</v>
      </c>
      <c r="AX657" s="1314">
        <v>5.0239000000000003</v>
      </c>
      <c r="AY657" s="1314">
        <f t="shared" si="76"/>
        <v>8.7658133280215235E-4</v>
      </c>
    </row>
    <row r="658" spans="46:51" x14ac:dyDescent="0.75">
      <c r="AT658" s="1326">
        <v>38212</v>
      </c>
      <c r="AU658" s="1314">
        <v>599.41</v>
      </c>
      <c r="AV658" s="1314">
        <f t="shared" si="75"/>
        <v>-3.4035421333376316E-2</v>
      </c>
      <c r="AX658" s="1314">
        <v>5.0167999999999999</v>
      </c>
      <c r="AY658" s="1314">
        <f t="shared" si="76"/>
        <v>-1.4132446903800491E-3</v>
      </c>
    </row>
    <row r="659" spans="46:51" x14ac:dyDescent="0.75">
      <c r="AT659" s="1326">
        <v>38205</v>
      </c>
      <c r="AU659" s="1314">
        <v>599.45000000000005</v>
      </c>
      <c r="AV659" s="1314">
        <f t="shared" si="75"/>
        <v>6.6732286748765138E-5</v>
      </c>
      <c r="AX659" s="1314">
        <v>5.0354999999999999</v>
      </c>
      <c r="AY659" s="1314">
        <f t="shared" si="76"/>
        <v>3.7274756817094442E-3</v>
      </c>
    </row>
    <row r="660" spans="46:51" x14ac:dyDescent="0.75">
      <c r="AT660" s="1326">
        <v>38198</v>
      </c>
      <c r="AU660" s="1314">
        <v>622.33000000000004</v>
      </c>
      <c r="AV660" s="1314">
        <f t="shared" si="75"/>
        <v>3.8168320960880797E-2</v>
      </c>
      <c r="AX660" s="1314">
        <v>5.1969000000000003</v>
      </c>
      <c r="AY660" s="1314">
        <f t="shared" si="76"/>
        <v>3.2052427762883612E-2</v>
      </c>
    </row>
    <row r="661" spans="46:51" x14ac:dyDescent="0.75">
      <c r="AT661" s="1326">
        <v>38191</v>
      </c>
      <c r="AU661" s="1314">
        <v>613.47</v>
      </c>
      <c r="AV661" s="1314">
        <f t="shared" si="75"/>
        <v>-1.4236819693731643E-2</v>
      </c>
      <c r="AX661" s="1314">
        <v>5.1658999999999997</v>
      </c>
      <c r="AY661" s="1314">
        <f t="shared" si="76"/>
        <v>-5.9650945756124958E-3</v>
      </c>
    </row>
    <row r="662" spans="46:51" x14ac:dyDescent="0.75">
      <c r="AT662" s="1326">
        <v>38184</v>
      </c>
      <c r="AU662" s="1314">
        <v>623.48</v>
      </c>
      <c r="AV662" s="1314">
        <f t="shared" si="75"/>
        <v>1.6317016317016302E-2</v>
      </c>
      <c r="AX662" s="1314">
        <v>5.1150000000000002</v>
      </c>
      <c r="AY662" s="1314">
        <f t="shared" si="76"/>
        <v>-9.8530749724151656E-3</v>
      </c>
    </row>
    <row r="663" spans="46:51" x14ac:dyDescent="0.75">
      <c r="AT663" s="1326">
        <v>38177</v>
      </c>
      <c r="AU663" s="1314">
        <v>630.04</v>
      </c>
      <c r="AV663" s="1314">
        <f t="shared" si="75"/>
        <v>1.0521588503239792E-2</v>
      </c>
      <c r="AX663" s="1314">
        <v>5.2065000000000001</v>
      </c>
      <c r="AY663" s="1314">
        <f t="shared" si="76"/>
        <v>1.7888563049853354E-2</v>
      </c>
    </row>
    <row r="664" spans="46:51" x14ac:dyDescent="0.75">
      <c r="AT664" s="1326">
        <v>38170</v>
      </c>
      <c r="AU664" s="1314">
        <v>638.83000000000004</v>
      </c>
      <c r="AV664" s="1314">
        <f t="shared" si="75"/>
        <v>1.3951495143165637E-2</v>
      </c>
      <c r="AX664" s="1314">
        <v>5.2054</v>
      </c>
      <c r="AY664" s="1314">
        <f t="shared" si="76"/>
        <v>-2.1127436857775874E-4</v>
      </c>
    </row>
    <row r="665" spans="46:51" x14ac:dyDescent="0.75">
      <c r="AT665" s="1326">
        <v>38163</v>
      </c>
      <c r="AU665" s="1314">
        <v>643.83000000000004</v>
      </c>
      <c r="AV665" s="1314">
        <f t="shared" si="75"/>
        <v>7.826808384077141E-3</v>
      </c>
      <c r="AX665" s="1314">
        <v>5.3346999999999998</v>
      </c>
      <c r="AY665" s="1314">
        <f t="shared" si="76"/>
        <v>2.4839589656894714E-2</v>
      </c>
    </row>
    <row r="666" spans="46:51" x14ac:dyDescent="0.75">
      <c r="AT666" s="1326">
        <v>38156</v>
      </c>
      <c r="AU666" s="1314">
        <v>642.27</v>
      </c>
      <c r="AV666" s="1314">
        <f t="shared" si="75"/>
        <v>-2.4229998602116384E-3</v>
      </c>
      <c r="AX666" s="1314">
        <v>5.3766999999999996</v>
      </c>
      <c r="AY666" s="1314">
        <f t="shared" si="76"/>
        <v>7.872982548221984E-3</v>
      </c>
    </row>
    <row r="667" spans="46:51" x14ac:dyDescent="0.75">
      <c r="AT667" s="1326">
        <v>38149</v>
      </c>
      <c r="AU667" s="1314">
        <v>642.99</v>
      </c>
      <c r="AV667" s="1314">
        <f t="shared" si="75"/>
        <v>1.1210238684665752E-3</v>
      </c>
      <c r="AX667" s="1314">
        <v>5.4741999999999997</v>
      </c>
      <c r="AY667" s="1314">
        <f t="shared" si="76"/>
        <v>1.8133799542470318E-2</v>
      </c>
    </row>
    <row r="668" spans="46:51" x14ac:dyDescent="0.75">
      <c r="AT668" s="1326">
        <v>38142</v>
      </c>
      <c r="AU668" s="1314">
        <v>636.42999999999995</v>
      </c>
      <c r="AV668" s="1314">
        <f t="shared" si="75"/>
        <v>-1.0202335961679123E-2</v>
      </c>
      <c r="AX668" s="1314">
        <v>5.4572000000000003</v>
      </c>
      <c r="AY668" s="1314">
        <f t="shared" si="76"/>
        <v>-3.1054765993203501E-3</v>
      </c>
    </row>
    <row r="669" spans="46:51" x14ac:dyDescent="0.75">
      <c r="AT669" s="1326">
        <v>38135</v>
      </c>
      <c r="AU669" s="1314">
        <v>635.84</v>
      </c>
      <c r="AV669" s="1314">
        <f t="shared" si="75"/>
        <v>-9.2704617946972679E-4</v>
      </c>
      <c r="AX669" s="1314">
        <v>5.3445</v>
      </c>
      <c r="AY669" s="1314">
        <f t="shared" si="76"/>
        <v>-2.0651616213442834E-2</v>
      </c>
    </row>
    <row r="670" spans="46:51" x14ac:dyDescent="0.75">
      <c r="AT670" s="1326">
        <v>38128</v>
      </c>
      <c r="AU670" s="1314">
        <v>618.76</v>
      </c>
      <c r="AV670" s="1314">
        <f t="shared" si="75"/>
        <v>-2.6862103673880283E-2</v>
      </c>
      <c r="AX670" s="1314">
        <v>5.4581999999999997</v>
      </c>
      <c r="AY670" s="1314">
        <f t="shared" si="76"/>
        <v>2.1274207128823965E-2</v>
      </c>
    </row>
    <row r="671" spans="46:51" x14ac:dyDescent="0.75">
      <c r="AT671" s="1326">
        <v>38121</v>
      </c>
      <c r="AU671" s="1314">
        <v>619.54999999999995</v>
      </c>
      <c r="AV671" s="1314">
        <f t="shared" si="75"/>
        <v>1.276747042471982E-3</v>
      </c>
      <c r="AX671" s="1314">
        <v>5.4852999999999996</v>
      </c>
      <c r="AY671" s="1314">
        <f t="shared" si="76"/>
        <v>4.9650067787915253E-3</v>
      </c>
    </row>
    <row r="672" spans="46:51" x14ac:dyDescent="0.75">
      <c r="AT672" s="1326">
        <v>38114</v>
      </c>
      <c r="AU672" s="1314">
        <v>622.20000000000005</v>
      </c>
      <c r="AV672" s="1314">
        <f t="shared" si="75"/>
        <v>4.2772980388993478E-3</v>
      </c>
      <c r="AX672" s="1314">
        <v>5.4660000000000002</v>
      </c>
      <c r="AY672" s="1314">
        <f t="shared" si="76"/>
        <v>-3.5184948863324576E-3</v>
      </c>
    </row>
    <row r="673" spans="46:51" x14ac:dyDescent="0.75">
      <c r="AT673" s="1326">
        <v>38107</v>
      </c>
      <c r="AU673" s="1314">
        <v>627.71</v>
      </c>
      <c r="AV673" s="1314">
        <f t="shared" si="75"/>
        <v>8.855673416907732E-3</v>
      </c>
      <c r="AX673" s="1314">
        <v>5.2843999999999998</v>
      </c>
      <c r="AY673" s="1314">
        <f t="shared" si="76"/>
        <v>-3.3223563849249987E-2</v>
      </c>
    </row>
    <row r="674" spans="46:51" x14ac:dyDescent="0.75">
      <c r="AT674" s="1326">
        <v>38100</v>
      </c>
      <c r="AU674" s="1314">
        <v>647.98</v>
      </c>
      <c r="AV674" s="1314">
        <f t="shared" si="75"/>
        <v>3.2291981966194552E-2</v>
      </c>
      <c r="AX674" s="1314">
        <v>5.2390999999999996</v>
      </c>
      <c r="AY674" s="1314">
        <f t="shared" si="76"/>
        <v>-8.572401786390153E-3</v>
      </c>
    </row>
    <row r="675" spans="46:51" x14ac:dyDescent="0.75">
      <c r="AT675" s="1326">
        <v>38093</v>
      </c>
      <c r="AU675" s="1314">
        <v>643.97</v>
      </c>
      <c r="AV675" s="1314">
        <f t="shared" si="75"/>
        <v>-6.1884626068705682E-3</v>
      </c>
      <c r="AX675" s="1314">
        <v>5.1687000000000003</v>
      </c>
      <c r="AY675" s="1314">
        <f t="shared" si="76"/>
        <v>-1.343742245805565E-2</v>
      </c>
    </row>
    <row r="676" spans="46:51" x14ac:dyDescent="0.75">
      <c r="AT676" s="1326">
        <v>38086</v>
      </c>
      <c r="AU676" s="1314">
        <v>648.88</v>
      </c>
      <c r="AV676" s="1314">
        <f t="shared" si="75"/>
        <v>7.6245787847259465E-3</v>
      </c>
      <c r="AX676" s="1314">
        <v>5.0277000000000003</v>
      </c>
      <c r="AY676" s="1314">
        <f t="shared" si="76"/>
        <v>-2.7279586743281677E-2</v>
      </c>
    </row>
    <row r="677" spans="46:51" x14ac:dyDescent="0.75">
      <c r="AT677" s="1326">
        <v>38079</v>
      </c>
      <c r="AU677" s="1314">
        <v>651.08000000000004</v>
      </c>
      <c r="AV677" s="1314">
        <f t="shared" si="75"/>
        <v>3.3904574035261456E-3</v>
      </c>
      <c r="AX677" s="1314">
        <v>4.9776999999999996</v>
      </c>
      <c r="AY677" s="1314">
        <f t="shared" si="76"/>
        <v>-9.9449052250533462E-3</v>
      </c>
    </row>
    <row r="678" spans="46:51" x14ac:dyDescent="0.75">
      <c r="AT678" s="1326">
        <v>38072</v>
      </c>
      <c r="AU678" s="1314">
        <v>630.36</v>
      </c>
      <c r="AV678" s="1314">
        <f t="shared" si="75"/>
        <v>-3.1824046200159772E-2</v>
      </c>
      <c r="AX678" s="1314">
        <v>4.7610000000000001</v>
      </c>
      <c r="AY678" s="1314">
        <f t="shared" si="76"/>
        <v>-4.3534162364143973E-2</v>
      </c>
    </row>
    <row r="679" spans="46:51" x14ac:dyDescent="0.75">
      <c r="AT679" s="1326">
        <v>38065</v>
      </c>
      <c r="AU679" s="1314">
        <v>631.12</v>
      </c>
      <c r="AV679" s="1314">
        <f t="shared" si="75"/>
        <v>1.2056602576305459E-3</v>
      </c>
      <c r="AX679" s="1314">
        <v>4.7042000000000002</v>
      </c>
      <c r="AY679" s="1314">
        <f t="shared" si="76"/>
        <v>-1.1930266750682622E-2</v>
      </c>
    </row>
    <row r="680" spans="46:51" x14ac:dyDescent="0.75">
      <c r="AT680" s="1326">
        <v>38058</v>
      </c>
      <c r="AU680" s="1314">
        <v>638.15</v>
      </c>
      <c r="AV680" s="1314">
        <f t="shared" si="75"/>
        <v>1.1138927620737692E-2</v>
      </c>
      <c r="AX680" s="1314">
        <v>4.7169999999999996</v>
      </c>
      <c r="AY680" s="1314">
        <f t="shared" si="76"/>
        <v>2.7209727477572124E-3</v>
      </c>
    </row>
    <row r="681" spans="46:51" x14ac:dyDescent="0.75">
      <c r="AT681" s="1326">
        <v>38051</v>
      </c>
      <c r="AU681" s="1314">
        <v>658.38</v>
      </c>
      <c r="AV681" s="1314">
        <f t="shared" si="75"/>
        <v>3.1701010734153441E-2</v>
      </c>
      <c r="AX681" s="1314">
        <v>4.7628000000000004</v>
      </c>
      <c r="AY681" s="1314">
        <f t="shared" si="76"/>
        <v>9.7095611617555085E-3</v>
      </c>
    </row>
    <row r="682" spans="46:51" x14ac:dyDescent="0.75">
      <c r="AT682" s="1326">
        <v>38044</v>
      </c>
      <c r="AU682" s="1314">
        <v>650.24</v>
      </c>
      <c r="AV682" s="1314">
        <f t="shared" si="75"/>
        <v>-1.2363680549226869E-2</v>
      </c>
      <c r="AX682" s="1314">
        <v>4.8373999999999997</v>
      </c>
      <c r="AY682" s="1314">
        <f t="shared" si="76"/>
        <v>1.5663055345594888E-2</v>
      </c>
    </row>
    <row r="683" spans="46:51" x14ac:dyDescent="0.75">
      <c r="AT683" s="1326">
        <v>38037</v>
      </c>
      <c r="AU683" s="1314">
        <v>648.65</v>
      </c>
      <c r="AV683" s="1314">
        <f t="shared" si="75"/>
        <v>-2.4452509842520175E-3</v>
      </c>
      <c r="AX683" s="1314">
        <v>4.9524999999999997</v>
      </c>
      <c r="AY683" s="1314">
        <f t="shared" si="76"/>
        <v>2.3793773514697976E-2</v>
      </c>
    </row>
    <row r="684" spans="46:51" x14ac:dyDescent="0.75">
      <c r="AT684" s="1326">
        <v>38030</v>
      </c>
      <c r="AU684" s="1314">
        <v>650.57000000000005</v>
      </c>
      <c r="AV684" s="1314">
        <f t="shared" si="75"/>
        <v>2.9599938333462928E-3</v>
      </c>
      <c r="AX684" s="1314">
        <v>4.9165000000000001</v>
      </c>
      <c r="AY684" s="1314">
        <f t="shared" si="76"/>
        <v>-7.2690560323068329E-3</v>
      </c>
    </row>
    <row r="685" spans="46:51" x14ac:dyDescent="0.75">
      <c r="AT685" s="1326">
        <v>38023</v>
      </c>
      <c r="AU685" s="1314">
        <v>648.46</v>
      </c>
      <c r="AV685" s="1314">
        <f t="shared" si="75"/>
        <v>-3.2433097130209099E-3</v>
      </c>
      <c r="AX685" s="1314">
        <v>4.9165999999999999</v>
      </c>
      <c r="AY685" s="1314">
        <f t="shared" si="76"/>
        <v>2.0339672531224842E-5</v>
      </c>
    </row>
    <row r="686" spans="46:51" x14ac:dyDescent="0.75">
      <c r="AT686" s="1326">
        <v>38016</v>
      </c>
      <c r="AU686" s="1314">
        <v>642.61</v>
      </c>
      <c r="AV686" s="1314">
        <f t="shared" si="75"/>
        <v>-9.0213737161891593E-3</v>
      </c>
      <c r="AX686" s="1314">
        <v>4.9610000000000003</v>
      </c>
      <c r="AY686" s="1314">
        <f t="shared" si="76"/>
        <v>9.0306309238092266E-3</v>
      </c>
    </row>
    <row r="687" spans="46:51" x14ac:dyDescent="0.75">
      <c r="AT687" s="1326">
        <v>38009</v>
      </c>
      <c r="AU687" s="1314">
        <v>649.72</v>
      </c>
      <c r="AV687" s="1314">
        <f t="shared" si="75"/>
        <v>1.1064253590824939E-2</v>
      </c>
      <c r="AX687" s="1314">
        <v>4.9428999999999998</v>
      </c>
      <c r="AY687" s="1314">
        <f t="shared" si="76"/>
        <v>-3.6484579721831178E-3</v>
      </c>
    </row>
    <row r="688" spans="46:51" x14ac:dyDescent="0.75">
      <c r="AT688" s="1326">
        <v>38002</v>
      </c>
      <c r="AU688" s="1314">
        <v>648.08000000000004</v>
      </c>
      <c r="AV688" s="1314">
        <f t="shared" si="75"/>
        <v>-2.5241642553715236E-3</v>
      </c>
      <c r="AX688" s="1314">
        <v>4.8918999999999997</v>
      </c>
      <c r="AY688" s="1314">
        <f t="shared" si="76"/>
        <v>-1.0317829614194128E-2</v>
      </c>
    </row>
    <row r="689" spans="46:51" x14ac:dyDescent="0.75">
      <c r="AT689" s="1326">
        <v>37995</v>
      </c>
      <c r="AU689" s="1314">
        <v>637.41</v>
      </c>
      <c r="AV689" s="1314">
        <f t="shared" si="75"/>
        <v>-1.646401678805097E-2</v>
      </c>
      <c r="AX689" s="1314">
        <v>4.9592000000000001</v>
      </c>
      <c r="AY689" s="1314">
        <f t="shared" si="76"/>
        <v>1.3757435761156272E-2</v>
      </c>
    </row>
    <row r="690" spans="46:51" x14ac:dyDescent="0.75">
      <c r="AT690" s="1326">
        <v>37988</v>
      </c>
      <c r="AU690" s="1314">
        <v>628.88</v>
      </c>
      <c r="AV690" s="1314">
        <f t="shared" si="75"/>
        <v>-1.3382281420122015E-2</v>
      </c>
      <c r="AX690" s="1314">
        <v>5.1698000000000004</v>
      </c>
      <c r="AY690" s="1314">
        <f t="shared" si="76"/>
        <v>4.2466526859170906E-2</v>
      </c>
    </row>
    <row r="691" spans="46:51" x14ac:dyDescent="0.75">
      <c r="AT691" s="1326">
        <v>37981</v>
      </c>
      <c r="AU691" s="1314">
        <v>621.79</v>
      </c>
      <c r="AV691" s="1314">
        <f t="shared" si="75"/>
        <v>-1.127401094008401E-2</v>
      </c>
      <c r="AX691" s="1314">
        <v>4.9694000000000003</v>
      </c>
      <c r="AY691" s="1314">
        <f t="shared" si="76"/>
        <v>-3.8763588533405571E-2</v>
      </c>
    </row>
    <row r="692" spans="46:51" x14ac:dyDescent="0.75">
      <c r="AT692" s="1326">
        <v>37974</v>
      </c>
      <c r="AU692" s="1314">
        <v>617.27</v>
      </c>
      <c r="AV692" s="1314">
        <f t="shared" si="75"/>
        <v>-7.2693353061322663E-3</v>
      </c>
      <c r="AX692" s="1314">
        <v>4.9645000000000001</v>
      </c>
      <c r="AY692" s="1314">
        <f t="shared" si="76"/>
        <v>-9.8603453133177567E-4</v>
      </c>
    </row>
    <row r="693" spans="46:51" x14ac:dyDescent="0.75">
      <c r="AT693" s="1326">
        <v>37967</v>
      </c>
      <c r="AU693" s="1314">
        <v>610.33000000000004</v>
      </c>
      <c r="AV693" s="1314">
        <f t="shared" si="75"/>
        <v>-1.1243054093022406E-2</v>
      </c>
      <c r="AX693" s="1314">
        <v>5.0903999999999998</v>
      </c>
      <c r="AY693" s="1314">
        <f t="shared" si="76"/>
        <v>2.536005640044308E-2</v>
      </c>
    </row>
    <row r="694" spans="46:51" x14ac:dyDescent="0.75">
      <c r="AT694" s="1326">
        <v>37960</v>
      </c>
      <c r="AU694" s="1314">
        <v>603.71</v>
      </c>
      <c r="AV694" s="1314">
        <f t="shared" si="75"/>
        <v>-1.084659118837351E-2</v>
      </c>
      <c r="AX694" s="1314">
        <v>5.0616000000000003</v>
      </c>
      <c r="AY694" s="1314">
        <f t="shared" si="76"/>
        <v>-5.6577086280055582E-3</v>
      </c>
    </row>
    <row r="695" spans="46:51" x14ac:dyDescent="0.75">
      <c r="AT695" s="1326">
        <v>37953</v>
      </c>
      <c r="AU695" s="1314">
        <v>603.54</v>
      </c>
      <c r="AV695" s="1314">
        <f t="shared" si="75"/>
        <v>-2.8159215517396227E-4</v>
      </c>
      <c r="AX695" s="1314">
        <v>5.1311</v>
      </c>
      <c r="AY695" s="1314">
        <f t="shared" si="76"/>
        <v>1.3730836099257087E-2</v>
      </c>
    </row>
    <row r="696" spans="46:51" x14ac:dyDescent="0.75">
      <c r="AT696" s="1326">
        <v>37946</v>
      </c>
      <c r="AU696" s="1314">
        <v>589.15</v>
      </c>
      <c r="AV696" s="1314">
        <f t="shared" si="75"/>
        <v>-2.3842661629717977E-2</v>
      </c>
      <c r="AX696" s="1314">
        <v>5.0145999999999997</v>
      </c>
      <c r="AY696" s="1314">
        <f t="shared" si="76"/>
        <v>-2.2704683206330078E-2</v>
      </c>
    </row>
    <row r="697" spans="46:51" x14ac:dyDescent="0.75">
      <c r="AT697" s="1326">
        <v>37939</v>
      </c>
      <c r="AU697" s="1314">
        <v>597.64</v>
      </c>
      <c r="AV697" s="1314">
        <f t="shared" si="75"/>
        <v>1.4410591530170601E-2</v>
      </c>
      <c r="AX697" s="1314">
        <v>5.0505000000000004</v>
      </c>
      <c r="AY697" s="1314">
        <f t="shared" si="76"/>
        <v>7.1590954413115124E-3</v>
      </c>
    </row>
    <row r="698" spans="46:51" x14ac:dyDescent="0.75">
      <c r="AT698" s="1326">
        <v>37932</v>
      </c>
      <c r="AU698" s="1314">
        <v>599.78</v>
      </c>
      <c r="AV698" s="1314">
        <f t="shared" si="75"/>
        <v>3.5807509537513996E-3</v>
      </c>
      <c r="AX698" s="1314">
        <v>5.2529000000000003</v>
      </c>
      <c r="AY698" s="1314">
        <f t="shared" si="76"/>
        <v>4.0075240075240055E-2</v>
      </c>
    </row>
    <row r="699" spans="46:51" x14ac:dyDescent="0.75">
      <c r="AT699" s="1326">
        <v>37925</v>
      </c>
      <c r="AU699" s="1314">
        <v>596.28</v>
      </c>
      <c r="AV699" s="1314">
        <f t="shared" si="75"/>
        <v>-5.8354730067691494E-3</v>
      </c>
      <c r="AX699" s="1314">
        <v>5.1314000000000002</v>
      </c>
      <c r="AY699" s="1314">
        <f t="shared" si="76"/>
        <v>-2.3130080526947049E-2</v>
      </c>
    </row>
    <row r="700" spans="46:51" x14ac:dyDescent="0.75">
      <c r="AT700" s="1326">
        <v>37918</v>
      </c>
      <c r="AU700" s="1314">
        <v>582.4</v>
      </c>
      <c r="AV700" s="1314">
        <f t="shared" si="75"/>
        <v>-2.3277654793050238E-2</v>
      </c>
      <c r="AX700" s="1314">
        <v>5.1189999999999998</v>
      </c>
      <c r="AY700" s="1314">
        <f t="shared" si="76"/>
        <v>-2.4164945239116831E-3</v>
      </c>
    </row>
    <row r="701" spans="46:51" x14ac:dyDescent="0.75">
      <c r="AT701" s="1326">
        <v>37911</v>
      </c>
      <c r="AU701" s="1314">
        <v>588.71</v>
      </c>
      <c r="AV701" s="1314">
        <f t="shared" si="75"/>
        <v>1.0834478021978124E-2</v>
      </c>
      <c r="AX701" s="1314">
        <v>5.2488000000000001</v>
      </c>
      <c r="AY701" s="1314">
        <f t="shared" si="76"/>
        <v>2.5356514944325136E-2</v>
      </c>
    </row>
    <row r="702" spans="46:51" x14ac:dyDescent="0.75">
      <c r="AT702" s="1326">
        <v>37904</v>
      </c>
      <c r="AU702" s="1314">
        <v>588.16999999999996</v>
      </c>
      <c r="AV702" s="1314">
        <f t="shared" si="75"/>
        <v>-9.1725977136464015E-4</v>
      </c>
      <c r="AX702" s="1314">
        <v>5.1798999999999999</v>
      </c>
      <c r="AY702" s="1314">
        <f t="shared" si="76"/>
        <v>-1.3126809937509561E-2</v>
      </c>
    </row>
    <row r="703" spans="46:51" x14ac:dyDescent="0.75">
      <c r="AT703" s="1326">
        <v>37897</v>
      </c>
      <c r="AU703" s="1314">
        <v>582.91999999999996</v>
      </c>
      <c r="AV703" s="1314">
        <f t="shared" si="75"/>
        <v>-8.9259907849771336E-3</v>
      </c>
      <c r="AX703" s="1314">
        <v>5.0955000000000004</v>
      </c>
      <c r="AY703" s="1314">
        <f t="shared" si="76"/>
        <v>-1.6293750844610821E-2</v>
      </c>
    </row>
    <row r="704" spans="46:51" x14ac:dyDescent="0.75">
      <c r="AT704" s="1326">
        <v>37890</v>
      </c>
      <c r="AU704" s="1314">
        <v>562.82000000000005</v>
      </c>
      <c r="AV704" s="1314">
        <f t="shared" si="75"/>
        <v>-3.4481575516365728E-2</v>
      </c>
      <c r="AX704" s="1314">
        <v>4.9340000000000002</v>
      </c>
      <c r="AY704" s="1314">
        <f t="shared" si="76"/>
        <v>-3.1694632518889251E-2</v>
      </c>
    </row>
    <row r="705" spans="46:51" x14ac:dyDescent="0.75">
      <c r="AT705" s="1326">
        <v>37883</v>
      </c>
      <c r="AU705" s="1314">
        <v>586.65</v>
      </c>
      <c r="AV705" s="1314">
        <f t="shared" si="75"/>
        <v>4.2340357485519217E-2</v>
      </c>
      <c r="AX705" s="1314">
        <v>5.0678999999999998</v>
      </c>
      <c r="AY705" s="1314">
        <f t="shared" si="76"/>
        <v>2.7138224564248008E-2</v>
      </c>
    </row>
    <row r="706" spans="46:51" x14ac:dyDescent="0.75">
      <c r="AT706" s="1326">
        <v>37876</v>
      </c>
      <c r="AU706" s="1314">
        <v>576.58000000000004</v>
      </c>
      <c r="AV706" s="1314">
        <f t="shared" si="75"/>
        <v>-1.716526037671514E-2</v>
      </c>
      <c r="AX706" s="1314">
        <v>5.1593999999999998</v>
      </c>
      <c r="AY706" s="1314">
        <f t="shared" si="76"/>
        <v>1.8054815604096355E-2</v>
      </c>
    </row>
    <row r="707" spans="46:51" x14ac:dyDescent="0.75">
      <c r="AT707" s="1326">
        <v>37869</v>
      </c>
      <c r="AU707" s="1314">
        <v>578.15</v>
      </c>
      <c r="AV707" s="1314">
        <f t="shared" si="75"/>
        <v>2.722952582468931E-3</v>
      </c>
      <c r="AX707" s="1314">
        <v>5.1878000000000002</v>
      </c>
      <c r="AY707" s="1314">
        <f t="shared" si="76"/>
        <v>5.5045160289957026E-3</v>
      </c>
    </row>
    <row r="708" spans="46:51" x14ac:dyDescent="0.75">
      <c r="AT708" s="1326">
        <v>37862</v>
      </c>
      <c r="AU708" s="1314">
        <v>570.02</v>
      </c>
      <c r="AV708" s="1314">
        <f t="shared" si="75"/>
        <v>-1.4062094612124874E-2</v>
      </c>
      <c r="AX708" s="1314">
        <v>5.2228000000000003</v>
      </c>
      <c r="AY708" s="1314">
        <f t="shared" si="76"/>
        <v>6.7465977871159532E-3</v>
      </c>
    </row>
    <row r="709" spans="46:51" x14ac:dyDescent="0.75">
      <c r="AT709" s="1326">
        <v>37855</v>
      </c>
      <c r="AU709" s="1314">
        <v>560.79</v>
      </c>
      <c r="AV709" s="1314">
        <f t="shared" ref="AV709:AV719" si="77">(AU709-AU708)/AU708</f>
        <v>-1.6192414301252619E-2</v>
      </c>
      <c r="AX709" s="1314">
        <v>5.2580999999999998</v>
      </c>
      <c r="AY709" s="1314">
        <f t="shared" ref="AY709:AY719" si="78">(AX709-AX708)/AX708</f>
        <v>6.7588266830051775E-3</v>
      </c>
    </row>
    <row r="710" spans="46:51" x14ac:dyDescent="0.75">
      <c r="AT710" s="1326">
        <v>37848</v>
      </c>
      <c r="AU710" s="1314">
        <v>557.57000000000005</v>
      </c>
      <c r="AV710" s="1314">
        <f t="shared" si="77"/>
        <v>-5.7418998198967772E-3</v>
      </c>
      <c r="AX710" s="1314">
        <v>5.3968999999999996</v>
      </c>
      <c r="AY710" s="1314">
        <f t="shared" si="78"/>
        <v>2.639736787052354E-2</v>
      </c>
    </row>
    <row r="711" spans="46:51" x14ac:dyDescent="0.75">
      <c r="AT711" s="1326">
        <v>37841</v>
      </c>
      <c r="AU711" s="1314">
        <v>548.86</v>
      </c>
      <c r="AV711" s="1314">
        <f t="shared" si="77"/>
        <v>-1.5621356959664321E-2</v>
      </c>
      <c r="AX711" s="1314">
        <v>5.2305000000000001</v>
      </c>
      <c r="AY711" s="1314">
        <f t="shared" si="78"/>
        <v>-3.0832514962293067E-2</v>
      </c>
    </row>
    <row r="712" spans="46:51" x14ac:dyDescent="0.75">
      <c r="AT712" s="1326">
        <v>37834</v>
      </c>
      <c r="AU712" s="1314">
        <v>552.48</v>
      </c>
      <c r="AV712" s="1314">
        <f t="shared" si="77"/>
        <v>6.5954888313959929E-3</v>
      </c>
      <c r="AX712" s="1314">
        <v>5.3140000000000001</v>
      </c>
      <c r="AY712" s="1314">
        <f t="shared" si="78"/>
        <v>1.5964056973520678E-2</v>
      </c>
    </row>
    <row r="713" spans="46:51" x14ac:dyDescent="0.75">
      <c r="AT713" s="1326">
        <v>37827</v>
      </c>
      <c r="AU713" s="1314">
        <v>561.36</v>
      </c>
      <c r="AV713" s="1314">
        <f t="shared" si="77"/>
        <v>1.6072980017376184E-2</v>
      </c>
      <c r="AX713" s="1314">
        <v>5.1162999999999998</v>
      </c>
      <c r="AY713" s="1314">
        <f t="shared" si="78"/>
        <v>-3.7203613097478397E-2</v>
      </c>
    </row>
    <row r="714" spans="46:51" x14ac:dyDescent="0.75">
      <c r="AT714" s="1326">
        <v>37820</v>
      </c>
      <c r="AU714" s="1314">
        <v>558.28</v>
      </c>
      <c r="AV714" s="1314">
        <f t="shared" si="77"/>
        <v>-5.4866752173294156E-3</v>
      </c>
      <c r="AX714" s="1314">
        <v>4.9325999999999999</v>
      </c>
      <c r="AY714" s="1314">
        <f t="shared" si="78"/>
        <v>-3.5904853116509976E-2</v>
      </c>
    </row>
    <row r="715" spans="46:51" x14ac:dyDescent="0.75">
      <c r="AT715" s="1326">
        <v>37813</v>
      </c>
      <c r="AU715" s="1314">
        <v>562</v>
      </c>
      <c r="AV715" s="1314">
        <f t="shared" si="77"/>
        <v>6.6633230636956855E-3</v>
      </c>
      <c r="AX715" s="1314">
        <v>4.6818</v>
      </c>
      <c r="AY715" s="1314">
        <f t="shared" si="78"/>
        <v>-5.0845395937233896E-2</v>
      </c>
    </row>
    <row r="716" spans="46:51" x14ac:dyDescent="0.75">
      <c r="AT716" s="1326">
        <v>37806</v>
      </c>
      <c r="AU716" s="1314">
        <v>553.6</v>
      </c>
      <c r="AV716" s="1314">
        <f t="shared" si="77"/>
        <v>-1.494661921708181E-2</v>
      </c>
      <c r="AX716" s="1314">
        <v>4.6837999999999997</v>
      </c>
      <c r="AY716" s="1314">
        <f t="shared" si="78"/>
        <v>4.2718612499461316E-4</v>
      </c>
    </row>
    <row r="717" spans="46:51" x14ac:dyDescent="0.75">
      <c r="AT717" s="1326">
        <v>37799</v>
      </c>
      <c r="AU717" s="1314">
        <v>547.75</v>
      </c>
      <c r="AV717" s="1314">
        <f t="shared" si="77"/>
        <v>-1.0567196531791948E-2</v>
      </c>
      <c r="AX717" s="1314">
        <v>4.5823999999999998</v>
      </c>
      <c r="AY717" s="1314">
        <f t="shared" si="78"/>
        <v>-2.1649088347068607E-2</v>
      </c>
    </row>
    <row r="718" spans="46:51" x14ac:dyDescent="0.75">
      <c r="AT718" s="1326">
        <v>37792</v>
      </c>
      <c r="AU718" s="1314">
        <v>557.22</v>
      </c>
      <c r="AV718" s="1314">
        <f t="shared" si="77"/>
        <v>1.7288909173893249E-2</v>
      </c>
      <c r="AX718" s="1314">
        <v>4.4320000000000004</v>
      </c>
      <c r="AY718" s="1314">
        <f t="shared" si="78"/>
        <v>-3.2821229050279205E-2</v>
      </c>
    </row>
    <row r="719" spans="46:51" x14ac:dyDescent="0.75">
      <c r="AT719" s="1326">
        <v>37785</v>
      </c>
      <c r="AU719" s="1314">
        <v>553.78</v>
      </c>
      <c r="AV719" s="1314">
        <f t="shared" si="77"/>
        <v>-6.1735041814724063E-3</v>
      </c>
      <c r="AX719" s="1314">
        <v>4.173</v>
      </c>
      <c r="AY719" s="1314">
        <f t="shared" si="78"/>
        <v>-5.8438628158844839E-2</v>
      </c>
    </row>
  </sheetData>
  <hyperlinks>
    <hyperlink ref="A1" location="'Cover Page '!A1" display="Back to cover page " xr:uid="{00000000-0004-0000-24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AO36"/>
  <sheetViews>
    <sheetView showGridLines="0" zoomScale="85" zoomScaleNormal="85" zoomScalePageLayoutView="85" workbookViewId="0">
      <pane xSplit="1" ySplit="3" topLeftCell="K4" activePane="bottomRight" state="frozen"/>
      <selection activeCell="B1" sqref="B1:AO3"/>
      <selection pane="topRight" activeCell="B1" sqref="B1:AO3"/>
      <selection pane="bottomLeft" activeCell="B1" sqref="B1:AO3"/>
      <selection pane="bottomRight" activeCell="N5" sqref="N5"/>
    </sheetView>
  </sheetViews>
  <sheetFormatPr defaultColWidth="11" defaultRowHeight="16" x14ac:dyDescent="0.8"/>
  <cols>
    <col min="1" max="1" width="47.6640625" bestFit="1" customWidth="1"/>
    <col min="2"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20" t="s">
        <v>39</v>
      </c>
      <c r="B4" s="926">
        <v>363273</v>
      </c>
      <c r="C4" s="926">
        <v>368004</v>
      </c>
      <c r="D4" s="926">
        <v>280014</v>
      </c>
      <c r="E4" s="926">
        <v>336330</v>
      </c>
      <c r="F4" s="926">
        <v>338767</v>
      </c>
      <c r="G4" s="984">
        <v>317209</v>
      </c>
      <c r="H4" s="926">
        <f>G4*(1+'Forecast Drivers '!H63)</f>
        <v>291763.03818999999</v>
      </c>
      <c r="I4" s="926">
        <f>H4*(1+'Forecast Drivers '!I63)</f>
        <v>319369.93508804729</v>
      </c>
      <c r="J4" s="926">
        <f>I4*(1+'Forecast Drivers '!J63)</f>
        <v>314708.11557549465</v>
      </c>
      <c r="K4" s="926">
        <f>J4*(1+'Forecast Drivers '!K63)</f>
        <v>324651.60766909434</v>
      </c>
      <c r="L4" s="926">
        <f>K4*(1+'Forecast Drivers '!L63)</f>
        <v>312451.74932822911</v>
      </c>
      <c r="M4" s="984">
        <f>L4*(1+'Forecast Drivers '!M63)</f>
        <v>322466.60144494905</v>
      </c>
      <c r="N4" s="926">
        <f>M4*(1+'Forecast Drivers '!N63)</f>
        <v>286915.31118180917</v>
      </c>
      <c r="O4" s="926">
        <f>N4*(1+'Forecast Drivers '!O63)</f>
        <v>294488.44780073955</v>
      </c>
      <c r="P4" s="926">
        <f>O4*(1+'Forecast Drivers '!P63)</f>
        <v>273444.68735097966</v>
      </c>
      <c r="Q4" s="926">
        <f>P4*(1+'Forecast Drivers '!Q63)</f>
        <v>278720.87784781202</v>
      </c>
      <c r="R4" s="926">
        <f>Q4*(1+'Forecast Drivers '!R63)</f>
        <v>257500.73366735392</v>
      </c>
      <c r="S4" s="926">
        <f>R4*(1+'Forecast Drivers '!S63)</f>
        <v>261004.29044669532</v>
      </c>
      <c r="T4" s="926">
        <f>S4*(1+'Forecast Drivers '!T63)</f>
        <v>246163.29288861965</v>
      </c>
      <c r="U4" s="926">
        <f>T4*(1+'Forecast Drivers '!U63)</f>
        <v>248475.8250123013</v>
      </c>
      <c r="V4" s="926">
        <f>U4*(1+'Forecast Drivers '!V63)</f>
        <v>237494.91545295209</v>
      </c>
      <c r="W4" s="926">
        <f>V4*(1+'Forecast Drivers '!W63)</f>
        <v>237851.95979960077</v>
      </c>
      <c r="X4" s="926">
        <f>W4*(1+'Forecast Drivers '!X63)</f>
        <v>229391.84087552084</v>
      </c>
      <c r="Y4" s="926">
        <f>X4*(1+'Forecast Drivers '!Y63)</f>
        <v>222694.88456047879</v>
      </c>
      <c r="Z4" s="926">
        <f>Y4*(1+'Forecast Drivers '!Z63)</f>
        <v>214711.16629245068</v>
      </c>
      <c r="AA4" s="926">
        <f>Z4*(1+'Forecast Drivers '!AA63)</f>
        <v>208346.53842971148</v>
      </c>
      <c r="AB4" s="926">
        <f>AA4*(1+'Forecast Drivers '!AB63)</f>
        <v>201232.34259039053</v>
      </c>
      <c r="AC4" s="926">
        <f>AB4*(1+'Forecast Drivers '!AC63)</f>
        <v>195257.58669014435</v>
      </c>
      <c r="AD4" s="926">
        <f>AC4*(1+'Forecast Drivers '!AD63)</f>
        <v>188875.77665320638</v>
      </c>
      <c r="AE4" s="926">
        <f>AD4*(1+'Forecast Drivers '!AE63)</f>
        <v>183313.02962467581</v>
      </c>
      <c r="AF4" s="926">
        <f>AE4*(1+'Forecast Drivers '!AF63)</f>
        <v>177559.09572133946</v>
      </c>
      <c r="AG4" s="926">
        <f>AF4*(1+'Forecast Drivers '!AG63)</f>
        <v>172408.5268987974</v>
      </c>
      <c r="AH4" s="926">
        <f>AG4*(1+'Forecast Drivers '!AH63)</f>
        <v>167475.46132339531</v>
      </c>
      <c r="AI4" s="926">
        <f>AH4*(1+'Forecast Drivers '!AI63)</f>
        <v>162777.8523998661</v>
      </c>
      <c r="AJ4" s="926">
        <f>AI4*(1+'Forecast Drivers '!AJ63)</f>
        <v>158279.63126125847</v>
      </c>
      <c r="AK4" s="926">
        <f>AJ4*(1+'Forecast Drivers '!AK63)</f>
        <v>153991.885608543</v>
      </c>
      <c r="AL4" s="926">
        <f>AK4*(1+'Forecast Drivers '!AL63)</f>
        <v>149887.72430216079</v>
      </c>
      <c r="AM4" s="926">
        <f>AL4*(1+'Forecast Drivers '!AM63)</f>
        <v>145972.44433238992</v>
      </c>
      <c r="AN4" s="926">
        <f>AM4*(1+'Forecast Drivers '!AN63)</f>
        <v>142225.62260075682</v>
      </c>
      <c r="AO4" s="927">
        <f>AN4*(1+'Forecast Drivers '!AO63)</f>
        <v>138648.83194314165</v>
      </c>
    </row>
    <row r="5" spans="1:41" x14ac:dyDescent="0.8">
      <c r="A5" s="22" t="s">
        <v>40</v>
      </c>
      <c r="B5" s="11">
        <v>241526</v>
      </c>
      <c r="C5" s="11">
        <v>248760</v>
      </c>
      <c r="D5" s="11">
        <v>195134</v>
      </c>
      <c r="E5" s="11">
        <v>236120</v>
      </c>
      <c r="F5" s="11">
        <v>236802</v>
      </c>
      <c r="G5" s="985">
        <v>217451</v>
      </c>
      <c r="H5" s="11">
        <f>H4*'Forecast Drivers '!H71</f>
        <v>196241.5030345702</v>
      </c>
      <c r="I5" s="11">
        <f>I4*'Forecast Drivers '!I71</f>
        <v>210866.17965362692</v>
      </c>
      <c r="J5" s="11">
        <f>J4*'Forecast Drivers '!J71</f>
        <v>204068.2848986352</v>
      </c>
      <c r="K5" s="11">
        <f>K4*'Forecast Drivers '!K71</f>
        <v>206841.19099238049</v>
      </c>
      <c r="L5" s="11">
        <f>L4*'Forecast Drivers '!L71</f>
        <v>195680.05391088375</v>
      </c>
      <c r="M5" s="985">
        <f>M4*'Forecast Drivers '!M71</f>
        <v>198600.26387444753</v>
      </c>
      <c r="N5" s="11">
        <f>N4*'Forecast Drivers '!N71</f>
        <v>173918.83478723589</v>
      </c>
      <c r="O5" s="11">
        <f>O4*'Forecast Drivers '!O71</f>
        <v>178509.42666267019</v>
      </c>
      <c r="P5" s="11">
        <f>P4*'Forecast Drivers '!P71</f>
        <v>165753.37582004091</v>
      </c>
      <c r="Q5" s="11">
        <f>Q4*'Forecast Drivers '!Q71</f>
        <v>172085.34039798053</v>
      </c>
      <c r="R5" s="11">
        <f>R4*'Forecast Drivers '!R71</f>
        <v>160041.03181887121</v>
      </c>
      <c r="S5" s="11">
        <f>S4*'Forecast Drivers '!S71</f>
        <v>163243.36691200273</v>
      </c>
      <c r="T5" s="11">
        <f>T4*'Forecast Drivers '!T71</f>
        <v>154885.18261672117</v>
      </c>
      <c r="U5" s="11">
        <f>U4*'Forecast Drivers '!U71</f>
        <v>157231.60128542985</v>
      </c>
      <c r="V5" s="11">
        <f>V4*'Forecast Drivers '!V71</f>
        <v>151097.05724128554</v>
      </c>
      <c r="W5" s="11">
        <f>W4*'Forecast Drivers '!W71</f>
        <v>152102.8734651854</v>
      </c>
      <c r="X5" s="11">
        <f>X4*'Forecast Drivers '!X71</f>
        <v>147409.83742761679</v>
      </c>
      <c r="Y5" s="11">
        <f>Y4*'Forecast Drivers '!Y71</f>
        <v>143770.87369759529</v>
      </c>
      <c r="Z5" s="11">
        <f>Z4*'Forecast Drivers '!Z71</f>
        <v>138616.61901852954</v>
      </c>
      <c r="AA5" s="11">
        <f>AA4*'Forecast Drivers '!AA71</f>
        <v>135449.19573916297</v>
      </c>
      <c r="AB5" s="11">
        <f>AB4*'Forecast Drivers '!AB71</f>
        <v>130824.15079227027</v>
      </c>
      <c r="AC5" s="11">
        <f>AC4*'Forecast Drivers '!AC71</f>
        <v>126939.87276430013</v>
      </c>
      <c r="AD5" s="11">
        <f>AD4*'Forecast Drivers '!AD71</f>
        <v>122790.9627637868</v>
      </c>
      <c r="AE5" s="11">
        <f>AE4*'Forecast Drivers '!AE71</f>
        <v>119174.53785558474</v>
      </c>
      <c r="AF5" s="11">
        <f>AF4*'Forecast Drivers '!AF71</f>
        <v>115433.81950519976</v>
      </c>
      <c r="AG5" s="11">
        <f>AG4*'Forecast Drivers '!AG71</f>
        <v>112085.35780350518</v>
      </c>
      <c r="AH5" s="11">
        <f>AH4*'Forecast Drivers '!AH71</f>
        <v>108878.29821061358</v>
      </c>
      <c r="AI5" s="11">
        <f>AI4*'Forecast Drivers '!AI71</f>
        <v>105824.31250302859</v>
      </c>
      <c r="AJ5" s="11">
        <f>AJ4*'Forecast Drivers '!AJ71</f>
        <v>102899.95177175176</v>
      </c>
      <c r="AK5" s="11">
        <f>AK4*'Forecast Drivers '!AK71</f>
        <v>100112.42429674965</v>
      </c>
      <c r="AL5" s="11">
        <f>AL4*'Forecast Drivers '!AL71</f>
        <v>97444.247746646783</v>
      </c>
      <c r="AM5" s="11">
        <f>AM4*'Forecast Drivers '!AM71</f>
        <v>94898.865773919504</v>
      </c>
      <c r="AN5" s="11">
        <f>AN4*'Forecast Drivers '!AN71</f>
        <v>92463.001017285045</v>
      </c>
      <c r="AO5" s="928">
        <f>AO4*'Forecast Drivers '!AO71</f>
        <v>90137.676000835258</v>
      </c>
    </row>
    <row r="6" spans="1:41" x14ac:dyDescent="0.8">
      <c r="A6" s="1190" t="s">
        <v>41</v>
      </c>
      <c r="B6" s="1191">
        <f t="shared" ref="B6:AO6" si="0">B4-B5</f>
        <v>121747</v>
      </c>
      <c r="C6" s="1191">
        <f t="shared" si="0"/>
        <v>119244</v>
      </c>
      <c r="D6" s="1191">
        <f t="shared" si="0"/>
        <v>84880</v>
      </c>
      <c r="E6" s="1191">
        <f t="shared" si="0"/>
        <v>100210</v>
      </c>
      <c r="F6" s="1191">
        <f t="shared" si="0"/>
        <v>101965</v>
      </c>
      <c r="G6" s="1192">
        <f t="shared" si="0"/>
        <v>99758</v>
      </c>
      <c r="H6" s="1191">
        <f t="shared" si="0"/>
        <v>95521.535155429796</v>
      </c>
      <c r="I6" s="1191">
        <f t="shared" si="0"/>
        <v>108503.75543442037</v>
      </c>
      <c r="J6" s="1191">
        <f t="shared" si="0"/>
        <v>110639.83067685945</v>
      </c>
      <c r="K6" s="1191">
        <f t="shared" si="0"/>
        <v>117810.41667671385</v>
      </c>
      <c r="L6" s="1191">
        <f t="shared" si="0"/>
        <v>116771.69541734536</v>
      </c>
      <c r="M6" s="1192">
        <f t="shared" si="0"/>
        <v>123866.33757050152</v>
      </c>
      <c r="N6" s="1191">
        <f t="shared" si="0"/>
        <v>112996.47639457328</v>
      </c>
      <c r="O6" s="1191">
        <f t="shared" si="0"/>
        <v>115979.02113806937</v>
      </c>
      <c r="P6" s="1191">
        <f t="shared" si="0"/>
        <v>107691.31153093875</v>
      </c>
      <c r="Q6" s="1191">
        <f t="shared" si="0"/>
        <v>106635.53744983149</v>
      </c>
      <c r="R6" s="1191">
        <f t="shared" si="0"/>
        <v>97459.701848482713</v>
      </c>
      <c r="S6" s="1191">
        <f t="shared" si="0"/>
        <v>97760.923534692585</v>
      </c>
      <c r="T6" s="1191">
        <f t="shared" si="0"/>
        <v>91278.110271898477</v>
      </c>
      <c r="U6" s="1191">
        <f t="shared" si="0"/>
        <v>91244.223726871453</v>
      </c>
      <c r="V6" s="1191">
        <f t="shared" si="0"/>
        <v>86397.858211666549</v>
      </c>
      <c r="W6" s="1191">
        <f t="shared" si="0"/>
        <v>85749.086334415362</v>
      </c>
      <c r="X6" s="1191">
        <f t="shared" si="0"/>
        <v>81982.003447904048</v>
      </c>
      <c r="Y6" s="1191">
        <f t="shared" si="0"/>
        <v>78924.010862883501</v>
      </c>
      <c r="Z6" s="1191">
        <f t="shared" si="0"/>
        <v>76094.54727392114</v>
      </c>
      <c r="AA6" s="1191">
        <f t="shared" si="0"/>
        <v>72897.34269054851</v>
      </c>
      <c r="AB6" s="1191">
        <f t="shared" si="0"/>
        <v>70408.191798120257</v>
      </c>
      <c r="AC6" s="1191">
        <f t="shared" si="0"/>
        <v>68317.713925844218</v>
      </c>
      <c r="AD6" s="1191">
        <f t="shared" si="0"/>
        <v>66084.813889419587</v>
      </c>
      <c r="AE6" s="1191">
        <f t="shared" si="0"/>
        <v>64138.491769091066</v>
      </c>
      <c r="AF6" s="1191">
        <f t="shared" si="0"/>
        <v>62125.276216139697</v>
      </c>
      <c r="AG6" s="1191">
        <f t="shared" si="0"/>
        <v>60323.169095292222</v>
      </c>
      <c r="AH6" s="1191">
        <f t="shared" si="0"/>
        <v>58597.163112781738</v>
      </c>
      <c r="AI6" s="1191">
        <f t="shared" si="0"/>
        <v>56953.539896837508</v>
      </c>
      <c r="AJ6" s="1191">
        <f t="shared" si="0"/>
        <v>55379.679489506714</v>
      </c>
      <c r="AK6" s="1191">
        <f t="shared" si="0"/>
        <v>53879.461311793348</v>
      </c>
      <c r="AL6" s="1191">
        <f t="shared" si="0"/>
        <v>52443.476555514004</v>
      </c>
      <c r="AM6" s="1191">
        <f t="shared" si="0"/>
        <v>51073.578558470414</v>
      </c>
      <c r="AN6" s="1191">
        <f t="shared" si="0"/>
        <v>49762.621583471773</v>
      </c>
      <c r="AO6" s="1193">
        <f t="shared" si="0"/>
        <v>48511.155942306388</v>
      </c>
    </row>
    <row r="7" spans="1:41" x14ac:dyDescent="0.8">
      <c r="A7" s="22" t="s">
        <v>42</v>
      </c>
      <c r="B7" s="11"/>
      <c r="C7" s="11"/>
      <c r="D7" s="11"/>
      <c r="E7" s="11"/>
      <c r="F7" s="11"/>
      <c r="G7" s="985"/>
      <c r="H7" s="7"/>
      <c r="I7" s="7"/>
      <c r="J7" s="7"/>
      <c r="K7" s="7"/>
      <c r="L7" s="7"/>
      <c r="M7" s="194"/>
      <c r="N7" s="7"/>
      <c r="O7" s="7"/>
      <c r="P7" s="7"/>
      <c r="Q7" s="7"/>
      <c r="R7" s="7"/>
      <c r="S7" s="7"/>
      <c r="T7" s="7"/>
      <c r="U7" s="7"/>
      <c r="V7" s="7"/>
      <c r="W7" s="7"/>
      <c r="X7" s="7"/>
      <c r="Y7" s="7"/>
      <c r="Z7" s="7"/>
      <c r="AA7" s="7"/>
      <c r="AB7" s="7"/>
      <c r="AC7" s="7"/>
      <c r="AD7" s="7"/>
      <c r="AE7" s="7"/>
      <c r="AF7" s="7"/>
      <c r="AG7" s="7"/>
      <c r="AH7" s="7"/>
      <c r="AI7" s="7"/>
      <c r="AJ7" s="7"/>
      <c r="AK7" s="7"/>
      <c r="AL7" s="7"/>
      <c r="AM7" s="7"/>
      <c r="AN7" s="7"/>
      <c r="AO7" s="172"/>
    </row>
    <row r="8" spans="1:41" x14ac:dyDescent="0.8">
      <c r="A8" s="219" t="s">
        <v>43</v>
      </c>
      <c r="B8" s="11">
        <v>28177</v>
      </c>
      <c r="C8" s="11">
        <v>28847</v>
      </c>
      <c r="D8" s="11">
        <v>28022</v>
      </c>
      <c r="E8" s="11">
        <v>30884</v>
      </c>
      <c r="F8" s="11">
        <v>26667</v>
      </c>
      <c r="G8" s="985">
        <v>29986</v>
      </c>
      <c r="H8" s="11">
        <f>'R&amp;D Capitalization '!H6</f>
        <v>28504.535747997863</v>
      </c>
      <c r="I8" s="11">
        <f>'R&amp;D Capitalization '!I6</f>
        <v>32246.931336486068</v>
      </c>
      <c r="J8" s="11">
        <f>'R&amp;D Capitalization '!J6</f>
        <v>32840.74259453758</v>
      </c>
      <c r="K8" s="11">
        <f>'R&amp;D Capitalization '!K6</f>
        <v>35013.31634743094</v>
      </c>
      <c r="L8" s="11">
        <f>'R&amp;D Capitalization '!L6</f>
        <v>34826.458541259461</v>
      </c>
      <c r="M8" s="11">
        <f>'R&amp;D Capitalization '!M6</f>
        <v>37146.829919559481</v>
      </c>
      <c r="N8" s="11">
        <f>'R&amp;D Capitalization '!N6</f>
        <v>33051.467091569983</v>
      </c>
      <c r="O8" s="11">
        <f>'R&amp;D Capitalization '!O6</f>
        <v>33923.861369552353</v>
      </c>
      <c r="P8" s="11">
        <f>'R&amp;D Capitalization '!P6</f>
        <v>31499.706474774404</v>
      </c>
      <c r="Q8" s="11">
        <f>'R&amp;D Capitalization '!Q6</f>
        <v>32107.501980202855</v>
      </c>
      <c r="R8" s="11">
        <f>'R&amp;D Capitalization '!R6</f>
        <v>29663.028403070006</v>
      </c>
      <c r="S8" s="11">
        <f>'R&amp;D Capitalization '!S6</f>
        <v>30066.623774536507</v>
      </c>
      <c r="T8" s="11">
        <f>'R&amp;D Capitalization '!T6</f>
        <v>28357.001724823087</v>
      </c>
      <c r="U8" s="11">
        <f>'R&amp;D Capitalization '!U6</f>
        <v>28623.395940834896</v>
      </c>
      <c r="V8" s="11">
        <f>'R&amp;D Capitalization '!V6</f>
        <v>27358.440196781365</v>
      </c>
      <c r="W8" s="11">
        <f>'R&amp;D Capitalization '!W6</f>
        <v>27399.570241130972</v>
      </c>
      <c r="X8" s="11">
        <f>'R&amp;D Capitalization '!X6</f>
        <v>26424.999239471148</v>
      </c>
      <c r="Y8" s="11">
        <f>'R&amp;D Capitalization '!Y6</f>
        <v>25653.53733892435</v>
      </c>
      <c r="Z8" s="11">
        <f>'R&amp;D Capitalization '!Z6</f>
        <v>24733.845738928529</v>
      </c>
      <c r="AA8" s="11">
        <f>'R&amp;D Capitalization '!AA6</f>
        <v>24000.666713072656</v>
      </c>
      <c r="AB8" s="11">
        <f>'R&amp;D Capitalization '!AB6</f>
        <v>23181.140530598193</v>
      </c>
      <c r="AC8" s="11">
        <f>'R&amp;D Capitalization '!AC6</f>
        <v>22492.87315579777</v>
      </c>
      <c r="AD8" s="11">
        <f>'R&amp;D Capitalization '!AD6</f>
        <v>21757.714813945291</v>
      </c>
      <c r="AE8" s="11">
        <f>'R&amp;D Capitalization '!AE6</f>
        <v>21116.909171350282</v>
      </c>
      <c r="AF8" s="11">
        <f>'R&amp;D Capitalization '!AF6</f>
        <v>20454.079584912903</v>
      </c>
      <c r="AG8" s="11">
        <f>'R&amp;D Capitalization '!AG6</f>
        <v>19860.755181137032</v>
      </c>
      <c r="AH8" s="11">
        <f>'R&amp;D Capitalization '!AH6</f>
        <v>19292.486259362264</v>
      </c>
      <c r="AI8" s="11">
        <f>'R&amp;D Capitalization '!AI6</f>
        <v>18751.3409781796</v>
      </c>
      <c r="AJ8" s="11">
        <f>'R&amp;D Capitalization '!AJ6</f>
        <v>18233.164352049374</v>
      </c>
      <c r="AK8" s="11">
        <f>'R&amp;D Capitalization '!AK6</f>
        <v>17739.233638648209</v>
      </c>
      <c r="AL8" s="11">
        <f>'R&amp;D Capitalization '!AL6</f>
        <v>17266.451088990445</v>
      </c>
      <c r="AM8" s="11">
        <f>'R&amp;D Capitalization '!AM6</f>
        <v>16815.426894631</v>
      </c>
      <c r="AN8" s="11">
        <f>'R&amp;D Capitalization '!AN6</f>
        <v>16383.808398389167</v>
      </c>
      <c r="AO8" s="11">
        <f>'R&amp;D Capitalization '!AO6</f>
        <v>15971.776784507494</v>
      </c>
    </row>
    <row r="9" spans="1:41" ht="32" x14ac:dyDescent="0.8">
      <c r="A9" s="929" t="s">
        <v>325</v>
      </c>
      <c r="B9" s="11">
        <v>30758</v>
      </c>
      <c r="C9" s="11">
        <v>31120</v>
      </c>
      <c r="D9" s="11">
        <v>29039</v>
      </c>
      <c r="E9" s="11">
        <v>31230</v>
      </c>
      <c r="F9" s="11">
        <v>30477</v>
      </c>
      <c r="G9" s="985">
        <v>29958</v>
      </c>
      <c r="H9" s="11">
        <f>H4*'Forecast Drivers '!H24</f>
        <v>29117.752251656409</v>
      </c>
      <c r="I9" s="11">
        <f>I4*'Forecast Drivers '!I24</f>
        <v>33680.758393194737</v>
      </c>
      <c r="J9" s="11">
        <f>J4*'Forecast Drivers '!J24</f>
        <v>35071.63661145416</v>
      </c>
      <c r="K9" s="11">
        <f>K4*'Forecast Drivers '!K24</f>
        <v>38231.902164495899</v>
      </c>
      <c r="L9" s="11">
        <f>L4*'Forecast Drivers '!L24</f>
        <v>38882.265997985043</v>
      </c>
      <c r="M9" s="985">
        <f>M4*'Forecast Drivers '!M24</f>
        <v>40128.538885782909</v>
      </c>
      <c r="N9" s="11">
        <f>N4*'Forecast Drivers '!N24</f>
        <v>35704.448678078981</v>
      </c>
      <c r="O9" s="11">
        <f>O4*'Forecast Drivers '!O24</f>
        <v>36646.868469580942</v>
      </c>
      <c r="P9" s="11">
        <f>P4*'Forecast Drivers '!P24</f>
        <v>34028.131038394742</v>
      </c>
      <c r="Q9" s="11">
        <f>Q4*'Forecast Drivers '!Q24</f>
        <v>34684.713191623036</v>
      </c>
      <c r="R9" s="11">
        <f>R4*'Forecast Drivers '!R24</f>
        <v>32044.026134136235</v>
      </c>
      <c r="S9" s="11">
        <f>S4*'Forecast Drivers '!S24</f>
        <v>32480.017377348289</v>
      </c>
      <c r="T9" s="11">
        <f>T4*'Forecast Drivers '!T24</f>
        <v>30633.167052556684</v>
      </c>
      <c r="U9" s="11">
        <f>U4*'Forecast Drivers '!U24</f>
        <v>30920.944251292796</v>
      </c>
      <c r="V9" s="11">
        <f>V4*'Forecast Drivers '!V24</f>
        <v>29554.452793637647</v>
      </c>
      <c r="W9" s="11">
        <f>W4*'Forecast Drivers '!W24</f>
        <v>29598.884272383784</v>
      </c>
      <c r="X9" s="11">
        <f>X4*'Forecast Drivers '!X24</f>
        <v>28546.086216082607</v>
      </c>
      <c r="Y9" s="11">
        <f>Y4*'Forecast Drivers '!Y24</f>
        <v>27712.700461711909</v>
      </c>
      <c r="Z9" s="11">
        <f>Z4*'Forecast Drivers '!Z24</f>
        <v>26719.186877557378</v>
      </c>
      <c r="AA9" s="11">
        <f>AA4*'Forecast Drivers '!AA24</f>
        <v>25927.156895106407</v>
      </c>
      <c r="AB9" s="11">
        <f>AB4*'Forecast Drivers '!AB24</f>
        <v>25041.848825681416</v>
      </c>
      <c r="AC9" s="11">
        <f>AC4*'Forecast Drivers '!AC24</f>
        <v>24298.335471424725</v>
      </c>
      <c r="AD9" s="11">
        <f>AD4*'Forecast Drivers '!AD24</f>
        <v>23504.167296855911</v>
      </c>
      <c r="AE9" s="11">
        <f>AE4*'Forecast Drivers '!AE24</f>
        <v>22811.925342352999</v>
      </c>
      <c r="AF9" s="11">
        <f>AF4*'Forecast Drivers '!AF24</f>
        <v>22095.891621801398</v>
      </c>
      <c r="AG9" s="11">
        <f>AG4*'Forecast Drivers '!AG24</f>
        <v>21454.942139426665</v>
      </c>
      <c r="AH9" s="11">
        <f>AH4*'Forecast Drivers '!AH24</f>
        <v>20841.059297353684</v>
      </c>
      <c r="AI9" s="11">
        <f>AI4*'Forecast Drivers '!AI24</f>
        <v>20256.477261529348</v>
      </c>
      <c r="AJ9" s="11">
        <f>AJ4*'Forecast Drivers '!AJ24</f>
        <v>19696.707533226858</v>
      </c>
      <c r="AK9" s="11">
        <f>AK4*'Forecast Drivers '!AK24</f>
        <v>19163.129893290359</v>
      </c>
      <c r="AL9" s="11">
        <f>AL4*'Forecast Drivers '!AL24</f>
        <v>18652.397942016327</v>
      </c>
      <c r="AM9" s="11">
        <f>AM4*'Forecast Drivers '!AM24</f>
        <v>18165.170849934049</v>
      </c>
      <c r="AN9" s="11">
        <f>AN4*'Forecast Drivers '!AN24</f>
        <v>17698.907116318824</v>
      </c>
      <c r="AO9" s="928">
        <f>AO4*'Forecast Drivers '!AO24</f>
        <v>17253.802468745209</v>
      </c>
    </row>
    <row r="10" spans="1:41" x14ac:dyDescent="0.8">
      <c r="A10" s="219" t="s">
        <v>324</v>
      </c>
      <c r="B10" s="11">
        <v>11122</v>
      </c>
      <c r="C10" s="11">
        <v>10943</v>
      </c>
      <c r="D10" s="11">
        <v>10248</v>
      </c>
      <c r="E10" s="11">
        <v>10753</v>
      </c>
      <c r="F10" s="11">
        <v>11333</v>
      </c>
      <c r="G10" s="985">
        <v>8426</v>
      </c>
      <c r="H10" s="11">
        <f>'Fixed Asset Schedule'!L22</f>
        <v>13348.57316216216</v>
      </c>
      <c r="I10" s="11">
        <f>'Fixed Asset Schedule'!M22</f>
        <v>13969.540144972971</v>
      </c>
      <c r="J10" s="11">
        <f>'Fixed Asset Schedule'!N22</f>
        <v>20990.755262313505</v>
      </c>
      <c r="K10" s="11">
        <f>'Fixed Asset Schedule'!O22</f>
        <v>22405.224097885406</v>
      </c>
      <c r="L10" s="11">
        <f>'Fixed Asset Schedule'!P22</f>
        <v>28160.316544486053</v>
      </c>
      <c r="M10" s="985">
        <f>'Fixed Asset Schedule'!Q22</f>
        <v>24531.172969224546</v>
      </c>
      <c r="N10" s="11">
        <f>'Fixed Asset Schedule'!R22</f>
        <v>22829.714847679115</v>
      </c>
      <c r="O10" s="11">
        <f>'Fixed Asset Schedule'!S22</f>
        <v>25955.667915595797</v>
      </c>
      <c r="P10" s="11">
        <f>'Fixed Asset Schedule'!T22</f>
        <v>24046.195084141767</v>
      </c>
      <c r="Q10" s="11">
        <f>'Fixed Asset Schedule'!U22</f>
        <v>25466.386300053291</v>
      </c>
      <c r="R10" s="11">
        <f>'Fixed Asset Schedule'!V22</f>
        <v>29226.497475903692</v>
      </c>
      <c r="S10" s="11">
        <f>'Fixed Asset Schedule'!W22</f>
        <v>30541.174814106318</v>
      </c>
      <c r="T10" s="11">
        <f>'Fixed Asset Schedule'!X22</f>
        <v>27533.307501629111</v>
      </c>
      <c r="U10" s="11">
        <f>'Fixed Asset Schedule'!Y22</f>
        <v>25776.02998255163</v>
      </c>
      <c r="V10" s="11">
        <f>'Fixed Asset Schedule'!Z22</f>
        <v>21152.363746903527</v>
      </c>
      <c r="W10" s="11">
        <f>'Fixed Asset Schedule'!AA22</f>
        <v>19388.779569620092</v>
      </c>
      <c r="X10" s="11">
        <f>'Fixed Asset Schedule'!AB22</f>
        <v>17461.507057277384</v>
      </c>
      <c r="Y10" s="11">
        <f>'Fixed Asset Schedule'!AC22</f>
        <v>15504.660287239427</v>
      </c>
      <c r="Z10" s="11">
        <f>'Fixed Asset Schedule'!AD22</f>
        <v>13556.773625432752</v>
      </c>
      <c r="AA10" s="11">
        <f>'Fixed Asset Schedule'!AE22</f>
        <v>10941.629627078943</v>
      </c>
      <c r="AB10" s="11">
        <f>'Fixed Asset Schedule'!AF22</f>
        <v>8523.7192341738992</v>
      </c>
      <c r="AC10" s="11">
        <f>'Fixed Asset Schedule'!AG22</f>
        <v>6513.2094631676964</v>
      </c>
      <c r="AD10" s="11">
        <f>'Fixed Asset Schedule'!AH22</f>
        <v>4854.3063482185426</v>
      </c>
      <c r="AE10" s="11">
        <f>'Fixed Asset Schedule'!AI22</f>
        <v>3660.4364316061619</v>
      </c>
      <c r="AF10" s="11">
        <f>'Fixed Asset Schedule'!AJ22</f>
        <v>2684.8935261238444</v>
      </c>
      <c r="AG10" s="11">
        <f>'Fixed Asset Schedule'!AK22</f>
        <v>1891.3135952931534</v>
      </c>
      <c r="AH10" s="11">
        <f>'Fixed Asset Schedule'!AL22</f>
        <v>1248.1188723056694</v>
      </c>
      <c r="AI10" s="11">
        <f>'Fixed Asset Schedule'!AM22</f>
        <v>1248.2399769517574</v>
      </c>
      <c r="AJ10" s="11">
        <f>'Fixed Asset Schedule'!AN22</f>
        <v>1248.3610882586042</v>
      </c>
      <c r="AK10" s="11">
        <f>'Fixed Asset Schedule'!AO22</f>
        <v>1248.4822062265694</v>
      </c>
      <c r="AL10" s="11">
        <f>'Fixed Asset Schedule'!AP22</f>
        <v>1248.6033308560125</v>
      </c>
      <c r="AM10" s="11">
        <f>'Fixed Asset Schedule'!AQ22</f>
        <v>1248.7244621473274</v>
      </c>
      <c r="AN10" s="11">
        <f>'Fixed Asset Schedule'!AR22</f>
        <v>1248.8456001008499</v>
      </c>
      <c r="AO10" s="928">
        <f>'Fixed Asset Schedule'!AS22</f>
        <v>1248.9667447169556</v>
      </c>
    </row>
    <row r="11" spans="1:41" x14ac:dyDescent="0.8">
      <c r="A11" s="219" t="s">
        <v>44</v>
      </c>
      <c r="B11" s="11">
        <v>6937</v>
      </c>
      <c r="C11" s="11">
        <v>2524</v>
      </c>
      <c r="D11" s="11">
        <v>2244</v>
      </c>
      <c r="E11" s="11">
        <v>10521</v>
      </c>
      <c r="F11" s="11">
        <v>5978</v>
      </c>
      <c r="G11" s="985">
        <v>5555</v>
      </c>
      <c r="H11" s="157">
        <f>'Intangibles Schedule'!I12</f>
        <v>6089.8989033483331</v>
      </c>
      <c r="I11" s="157">
        <f>'Intangibles Schedule'!J12</f>
        <v>2704.0012128806175</v>
      </c>
      <c r="J11" s="157">
        <f>'Intangibles Schedule'!K12</f>
        <v>1344.3590671467059</v>
      </c>
      <c r="K11" s="157">
        <f>'Intangibles Schedule'!L12</f>
        <v>1403.8785285527065</v>
      </c>
      <c r="L11" s="157">
        <f>'Intangibles Schedule'!M12</f>
        <v>1690.2926321035832</v>
      </c>
      <c r="M11" s="991">
        <f>'Intangibles Schedule'!N12</f>
        <v>1690.2926321035832</v>
      </c>
      <c r="N11" s="157">
        <f>'Intangibles Schedule'!O12</f>
        <v>1260.5960095219129</v>
      </c>
      <c r="O11" s="157">
        <f>'Intangibles Schedule'!P12</f>
        <v>1359.4518950435045</v>
      </c>
      <c r="P11" s="157">
        <f>'Intangibles Schedule'!Q12</f>
        <v>754.70181856989279</v>
      </c>
      <c r="Q11" s="157">
        <f>'Intangibles Schedule'!R12</f>
        <v>801.24921873910034</v>
      </c>
      <c r="R11" s="157">
        <f>'Intangibles Schedule'!S12</f>
        <v>593.69061180058407</v>
      </c>
      <c r="S11" s="157">
        <f>'Intangibles Schedule'!T12</f>
        <v>596.25988677210103</v>
      </c>
      <c r="T11" s="157">
        <f>'Intangibles Schedule'!U12</f>
        <v>590.81818766747335</v>
      </c>
      <c r="U11" s="157">
        <f>'Intangibles Schedule'!V12</f>
        <v>573.94689264504598</v>
      </c>
      <c r="V11" s="157">
        <f>'Intangibles Schedule'!W12</f>
        <v>560.76530961576918</v>
      </c>
      <c r="W11" s="157">
        <f>'Intangibles Schedule'!X12</f>
        <v>545.78003966475842</v>
      </c>
      <c r="X11" s="157">
        <f>'Intangibles Schedule'!Y12</f>
        <v>535.4734456410863</v>
      </c>
      <c r="Y11" s="157">
        <f>'Intangibles Schedule'!Z12</f>
        <v>521.42666348280693</v>
      </c>
      <c r="Z11" s="157">
        <f>'Intangibles Schedule'!AA12</f>
        <v>509.89421706421166</v>
      </c>
      <c r="AA11" s="157">
        <f>'Intangibles Schedule'!AB12</f>
        <v>495.18014531726209</v>
      </c>
      <c r="AB11" s="157">
        <f>'Intangibles Schedule'!AC12</f>
        <v>481.8838686009895</v>
      </c>
      <c r="AC11" s="157">
        <f>'Intangibles Schedule'!AD12</f>
        <v>466.26593179418887</v>
      </c>
      <c r="AD11" s="157">
        <f>'Intangibles Schedule'!AE12</f>
        <v>451.41004157934015</v>
      </c>
      <c r="AE11" s="157">
        <f>'Intangibles Schedule'!AF12</f>
        <v>436.9700281028791</v>
      </c>
      <c r="AF11" s="157">
        <f>'Intangibles Schedule'!AG12</f>
        <v>423.34760222680501</v>
      </c>
      <c r="AG11" s="157">
        <f>'Intangibles Schedule'!AH12</f>
        <v>410.17033133213647</v>
      </c>
      <c r="AH11" s="157">
        <f>'Intangibles Schedule'!AI12</f>
        <v>397.7928082009048</v>
      </c>
      <c r="AI11" s="157">
        <f>'Intangibles Schedule'!AJ12</f>
        <v>385.88357229446945</v>
      </c>
      <c r="AJ11" s="157">
        <f>'Intangibles Schedule'!AK12</f>
        <v>374.66498565075528</v>
      </c>
      <c r="AK11" s="157">
        <f>'Intangibles Schedule'!AL12</f>
        <v>363.91389951150654</v>
      </c>
      <c r="AL11" s="157">
        <f>'Intangibles Schedule'!AM12</f>
        <v>353.76772999114104</v>
      </c>
      <c r="AM11" s="157">
        <f>'Intangibles Schedule'!AN12</f>
        <v>344.07449971679165</v>
      </c>
      <c r="AN11" s="157">
        <f>'Intangibles Schedule'!AO12</f>
        <v>334.81622551849091</v>
      </c>
      <c r="AO11" s="315">
        <f>'Intangibles Schedule'!AP12</f>
        <v>325.96891801769192</v>
      </c>
    </row>
    <row r="12" spans="1:41" x14ac:dyDescent="0.8">
      <c r="A12" s="219" t="s">
        <v>59</v>
      </c>
      <c r="B12" s="11">
        <v>759</v>
      </c>
      <c r="C12" s="11">
        <v>0</v>
      </c>
      <c r="D12" s="11">
        <v>0</v>
      </c>
      <c r="E12" s="11">
        <v>0</v>
      </c>
      <c r="F12" s="11">
        <v>0</v>
      </c>
      <c r="G12" s="985">
        <v>0</v>
      </c>
      <c r="H12" s="11"/>
      <c r="I12" s="11"/>
      <c r="J12" s="11"/>
      <c r="K12" s="11"/>
      <c r="L12" s="11"/>
      <c r="M12" s="985"/>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928"/>
    </row>
    <row r="13" spans="1:41" x14ac:dyDescent="0.8">
      <c r="A13" s="219" t="s">
        <v>60</v>
      </c>
      <c r="B13" s="11">
        <v>702</v>
      </c>
      <c r="C13" s="11">
        <v>6448</v>
      </c>
      <c r="D13" s="11">
        <v>0</v>
      </c>
      <c r="E13" s="11">
        <v>0</v>
      </c>
      <c r="F13" s="11">
        <v>0</v>
      </c>
      <c r="G13" s="985">
        <v>0</v>
      </c>
      <c r="H13" s="11"/>
      <c r="I13" s="11"/>
      <c r="J13" s="11"/>
      <c r="K13" s="11"/>
      <c r="L13" s="11"/>
      <c r="M13" s="985"/>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928"/>
    </row>
    <row r="14" spans="1:41" x14ac:dyDescent="0.8">
      <c r="A14" s="1190" t="s">
        <v>45</v>
      </c>
      <c r="B14" s="1191">
        <f t="shared" ref="B14:AO14" si="1">SUM(B8:B13)</f>
        <v>78455</v>
      </c>
      <c r="C14" s="1191">
        <f t="shared" si="1"/>
        <v>79882</v>
      </c>
      <c r="D14" s="1191">
        <f t="shared" si="1"/>
        <v>69553</v>
      </c>
      <c r="E14" s="1191">
        <f t="shared" si="1"/>
        <v>83388</v>
      </c>
      <c r="F14" s="1191">
        <f t="shared" si="1"/>
        <v>74455</v>
      </c>
      <c r="G14" s="1192">
        <f t="shared" si="1"/>
        <v>73925</v>
      </c>
      <c r="H14" s="1191">
        <f t="shared" si="1"/>
        <v>77060.760065164766</v>
      </c>
      <c r="I14" s="1191">
        <f t="shared" si="1"/>
        <v>82601.231087534383</v>
      </c>
      <c r="J14" s="1191">
        <f t="shared" si="1"/>
        <v>90247.493535451955</v>
      </c>
      <c r="K14" s="1191">
        <f t="shared" si="1"/>
        <v>97054.321138364961</v>
      </c>
      <c r="L14" s="1191">
        <f t="shared" si="1"/>
        <v>103559.33371583413</v>
      </c>
      <c r="M14" s="1192">
        <f t="shared" si="1"/>
        <v>103496.8344066705</v>
      </c>
      <c r="N14" s="1191">
        <f t="shared" si="1"/>
        <v>92846.22662685001</v>
      </c>
      <c r="O14" s="1191">
        <f t="shared" si="1"/>
        <v>97885.849649772601</v>
      </c>
      <c r="P14" s="1191">
        <f t="shared" si="1"/>
        <v>90328.734415880812</v>
      </c>
      <c r="Q14" s="1191">
        <f t="shared" si="1"/>
        <v>93059.850690618288</v>
      </c>
      <c r="R14" s="1191">
        <f t="shared" si="1"/>
        <v>91527.242624910519</v>
      </c>
      <c r="S14" s="1191">
        <f t="shared" si="1"/>
        <v>93684.075852763213</v>
      </c>
      <c r="T14" s="1191">
        <f t="shared" si="1"/>
        <v>87114.294466676365</v>
      </c>
      <c r="U14" s="1191">
        <f t="shared" si="1"/>
        <v>85894.317067324373</v>
      </c>
      <c r="V14" s="1191">
        <f t="shared" si="1"/>
        <v>78626.02204693832</v>
      </c>
      <c r="W14" s="1191">
        <f t="shared" si="1"/>
        <v>76933.014122799621</v>
      </c>
      <c r="X14" s="1191">
        <f t="shared" si="1"/>
        <v>72968.065958472216</v>
      </c>
      <c r="Y14" s="1191">
        <f t="shared" si="1"/>
        <v>69392.324751358494</v>
      </c>
      <c r="Z14" s="1191">
        <f t="shared" si="1"/>
        <v>65519.700458982872</v>
      </c>
      <c r="AA14" s="1191">
        <f t="shared" si="1"/>
        <v>61364.633380575273</v>
      </c>
      <c r="AB14" s="1191">
        <f t="shared" si="1"/>
        <v>57228.592459054496</v>
      </c>
      <c r="AC14" s="1191">
        <f t="shared" si="1"/>
        <v>53770.684022184381</v>
      </c>
      <c r="AD14" s="1191">
        <f t="shared" si="1"/>
        <v>50567.598500599088</v>
      </c>
      <c r="AE14" s="1191">
        <f t="shared" si="1"/>
        <v>48026.240973412321</v>
      </c>
      <c r="AF14" s="1191">
        <f t="shared" si="1"/>
        <v>45658.212335064949</v>
      </c>
      <c r="AG14" s="1191">
        <f t="shared" si="1"/>
        <v>43617.181247188986</v>
      </c>
      <c r="AH14" s="1191">
        <f t="shared" si="1"/>
        <v>41779.457237222523</v>
      </c>
      <c r="AI14" s="1191">
        <f t="shared" si="1"/>
        <v>40641.941788955177</v>
      </c>
      <c r="AJ14" s="1191">
        <f t="shared" si="1"/>
        <v>39552.897959185597</v>
      </c>
      <c r="AK14" s="1191">
        <f t="shared" si="1"/>
        <v>38514.759637676638</v>
      </c>
      <c r="AL14" s="1191">
        <f t="shared" si="1"/>
        <v>37521.220091853924</v>
      </c>
      <c r="AM14" s="1191">
        <f t="shared" si="1"/>
        <v>36573.396706429172</v>
      </c>
      <c r="AN14" s="1191">
        <f t="shared" si="1"/>
        <v>35666.377340327337</v>
      </c>
      <c r="AO14" s="1193">
        <f t="shared" si="1"/>
        <v>34800.514915987354</v>
      </c>
    </row>
    <row r="15" spans="1:41" x14ac:dyDescent="0.8">
      <c r="A15" s="1190" t="s">
        <v>269</v>
      </c>
      <c r="B15" s="1191">
        <f t="shared" ref="B15:AO15" si="2">B5+B14</f>
        <v>319981</v>
      </c>
      <c r="C15" s="1191">
        <f t="shared" si="2"/>
        <v>328642</v>
      </c>
      <c r="D15" s="1191">
        <f t="shared" si="2"/>
        <v>264687</v>
      </c>
      <c r="E15" s="1191">
        <f t="shared" si="2"/>
        <v>319508</v>
      </c>
      <c r="F15" s="1191">
        <f t="shared" si="2"/>
        <v>311257</v>
      </c>
      <c r="G15" s="1192">
        <f t="shared" si="2"/>
        <v>291376</v>
      </c>
      <c r="H15" s="1191">
        <f t="shared" si="2"/>
        <v>273302.26309973496</v>
      </c>
      <c r="I15" s="1191">
        <f t="shared" si="2"/>
        <v>293467.41074116132</v>
      </c>
      <c r="J15" s="1191">
        <f t="shared" si="2"/>
        <v>294315.77843408717</v>
      </c>
      <c r="K15" s="1191">
        <f t="shared" si="2"/>
        <v>303895.51213074545</v>
      </c>
      <c r="L15" s="1191">
        <f t="shared" si="2"/>
        <v>299239.38762671791</v>
      </c>
      <c r="M15" s="1192">
        <f t="shared" si="2"/>
        <v>302097.09828111803</v>
      </c>
      <c r="N15" s="1191">
        <f t="shared" si="2"/>
        <v>266765.06141408591</v>
      </c>
      <c r="O15" s="1191">
        <f t="shared" si="2"/>
        <v>276395.27631244279</v>
      </c>
      <c r="P15" s="1191">
        <f t="shared" si="2"/>
        <v>256082.11023592172</v>
      </c>
      <c r="Q15" s="1191">
        <f t="shared" si="2"/>
        <v>265145.1910885988</v>
      </c>
      <c r="R15" s="1191">
        <f t="shared" si="2"/>
        <v>251568.27444378173</v>
      </c>
      <c r="S15" s="1191">
        <f t="shared" si="2"/>
        <v>256927.44276476593</v>
      </c>
      <c r="T15" s="1191">
        <f t="shared" si="2"/>
        <v>241999.47708339753</v>
      </c>
      <c r="U15" s="1191">
        <f t="shared" si="2"/>
        <v>243125.9183527542</v>
      </c>
      <c r="V15" s="1191">
        <f t="shared" si="2"/>
        <v>229723.07928822387</v>
      </c>
      <c r="W15" s="1191">
        <f t="shared" si="2"/>
        <v>229035.88758798502</v>
      </c>
      <c r="X15" s="1191">
        <f t="shared" si="2"/>
        <v>220377.90338608902</v>
      </c>
      <c r="Y15" s="1191">
        <f t="shared" si="2"/>
        <v>213163.1984489538</v>
      </c>
      <c r="Z15" s="1191">
        <f t="shared" si="2"/>
        <v>204136.31947751241</v>
      </c>
      <c r="AA15" s="1191">
        <f t="shared" si="2"/>
        <v>196813.82911973825</v>
      </c>
      <c r="AB15" s="1191">
        <f t="shared" si="2"/>
        <v>188052.74325132478</v>
      </c>
      <c r="AC15" s="1191">
        <f t="shared" si="2"/>
        <v>180710.55678648452</v>
      </c>
      <c r="AD15" s="1191">
        <f t="shared" si="2"/>
        <v>173358.56126438588</v>
      </c>
      <c r="AE15" s="1191">
        <f t="shared" si="2"/>
        <v>167200.77882899705</v>
      </c>
      <c r="AF15" s="1191">
        <f t="shared" si="2"/>
        <v>161092.03184026471</v>
      </c>
      <c r="AG15" s="1191">
        <f t="shared" si="2"/>
        <v>155702.53905069415</v>
      </c>
      <c r="AH15" s="1191">
        <f t="shared" si="2"/>
        <v>150657.7554478361</v>
      </c>
      <c r="AI15" s="1191">
        <f t="shared" si="2"/>
        <v>146466.25429198376</v>
      </c>
      <c r="AJ15" s="1191">
        <f t="shared" si="2"/>
        <v>142452.84973093736</v>
      </c>
      <c r="AK15" s="1191">
        <f t="shared" si="2"/>
        <v>138627.18393442628</v>
      </c>
      <c r="AL15" s="1191">
        <f t="shared" si="2"/>
        <v>134965.46783850071</v>
      </c>
      <c r="AM15" s="1191">
        <f t="shared" si="2"/>
        <v>131472.26248034867</v>
      </c>
      <c r="AN15" s="1191">
        <f t="shared" si="2"/>
        <v>128129.37835761238</v>
      </c>
      <c r="AO15" s="1193">
        <f t="shared" si="2"/>
        <v>124938.19091682261</v>
      </c>
    </row>
    <row r="16" spans="1:41" x14ac:dyDescent="0.8">
      <c r="A16" s="288" t="s">
        <v>46</v>
      </c>
      <c r="B16" s="11">
        <f t="shared" ref="B16:AO16" si="3">B6-B14</f>
        <v>43292</v>
      </c>
      <c r="C16" s="11">
        <f t="shared" si="3"/>
        <v>39362</v>
      </c>
      <c r="D16" s="11">
        <f t="shared" si="3"/>
        <v>15327</v>
      </c>
      <c r="E16" s="11">
        <f t="shared" si="3"/>
        <v>16822</v>
      </c>
      <c r="F16" s="11">
        <f t="shared" si="3"/>
        <v>27510</v>
      </c>
      <c r="G16" s="985">
        <f t="shared" si="3"/>
        <v>25833</v>
      </c>
      <c r="H16" s="11">
        <f t="shared" si="3"/>
        <v>18460.77509026503</v>
      </c>
      <c r="I16" s="11">
        <f t="shared" si="3"/>
        <v>25902.524346885984</v>
      </c>
      <c r="J16" s="11">
        <f t="shared" si="3"/>
        <v>20392.337141407494</v>
      </c>
      <c r="K16" s="11">
        <f t="shared" si="3"/>
        <v>20756.095538348891</v>
      </c>
      <c r="L16" s="11">
        <f t="shared" si="3"/>
        <v>13212.361701511225</v>
      </c>
      <c r="M16" s="985">
        <f t="shared" si="3"/>
        <v>20369.503163831017</v>
      </c>
      <c r="N16" s="11">
        <f t="shared" si="3"/>
        <v>20150.249767723275</v>
      </c>
      <c r="O16" s="11">
        <f t="shared" si="3"/>
        <v>18093.171488296764</v>
      </c>
      <c r="P16" s="11">
        <f t="shared" si="3"/>
        <v>17362.577115057938</v>
      </c>
      <c r="Q16" s="11">
        <f t="shared" si="3"/>
        <v>13575.686759213204</v>
      </c>
      <c r="R16" s="11">
        <f t="shared" si="3"/>
        <v>5932.4592235721939</v>
      </c>
      <c r="S16" s="11">
        <f t="shared" si="3"/>
        <v>4076.8476819293719</v>
      </c>
      <c r="T16" s="11">
        <f t="shared" si="3"/>
        <v>4163.8158052221115</v>
      </c>
      <c r="U16" s="11">
        <f t="shared" si="3"/>
        <v>5349.9066595470795</v>
      </c>
      <c r="V16" s="11">
        <f t="shared" si="3"/>
        <v>7771.8361647282291</v>
      </c>
      <c r="W16" s="11">
        <f t="shared" si="3"/>
        <v>8816.0722116157413</v>
      </c>
      <c r="X16" s="11">
        <f t="shared" si="3"/>
        <v>9013.9374894318316</v>
      </c>
      <c r="Y16" s="11">
        <f t="shared" si="3"/>
        <v>9531.6861115250067</v>
      </c>
      <c r="Z16" s="11">
        <f t="shared" si="3"/>
        <v>10574.846814938268</v>
      </c>
      <c r="AA16" s="11">
        <f t="shared" si="3"/>
        <v>11532.709309973237</v>
      </c>
      <c r="AB16" s="11">
        <f t="shared" si="3"/>
        <v>13179.59933906576</v>
      </c>
      <c r="AC16" s="11">
        <f t="shared" si="3"/>
        <v>14547.029903659837</v>
      </c>
      <c r="AD16" s="11">
        <f t="shared" si="3"/>
        <v>15517.215388820499</v>
      </c>
      <c r="AE16" s="11">
        <f t="shared" si="3"/>
        <v>16112.250795678745</v>
      </c>
      <c r="AF16" s="11">
        <f t="shared" si="3"/>
        <v>16467.063881074748</v>
      </c>
      <c r="AG16" s="11">
        <f t="shared" si="3"/>
        <v>16705.987848103236</v>
      </c>
      <c r="AH16" s="11">
        <f t="shared" si="3"/>
        <v>16817.705875559215</v>
      </c>
      <c r="AI16" s="11">
        <f t="shared" si="3"/>
        <v>16311.598107882332</v>
      </c>
      <c r="AJ16" s="11">
        <f t="shared" si="3"/>
        <v>15826.781530321117</v>
      </c>
      <c r="AK16" s="11">
        <f t="shared" si="3"/>
        <v>15364.70167411671</v>
      </c>
      <c r="AL16" s="11">
        <f t="shared" si="3"/>
        <v>14922.25646366008</v>
      </c>
      <c r="AM16" s="11">
        <f t="shared" si="3"/>
        <v>14500.181852041242</v>
      </c>
      <c r="AN16" s="11">
        <f t="shared" si="3"/>
        <v>14096.244243144436</v>
      </c>
      <c r="AO16" s="928">
        <f t="shared" si="3"/>
        <v>13710.641026319034</v>
      </c>
    </row>
    <row r="17" spans="1:41" x14ac:dyDescent="0.8">
      <c r="A17" s="316" t="s">
        <v>58</v>
      </c>
      <c r="B17" s="11"/>
      <c r="C17" s="11"/>
      <c r="D17" s="11"/>
      <c r="E17" s="11"/>
      <c r="F17" s="11"/>
      <c r="G17" s="985"/>
      <c r="H17" s="7"/>
      <c r="I17" s="7"/>
      <c r="J17" s="7"/>
      <c r="K17" s="7"/>
      <c r="L17" s="7"/>
      <c r="M17" s="194"/>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172"/>
    </row>
    <row r="18" spans="1:41" x14ac:dyDescent="0.8">
      <c r="A18" s="219" t="s">
        <v>47</v>
      </c>
      <c r="B18" s="11">
        <v>285</v>
      </c>
      <c r="C18" s="11">
        <v>367</v>
      </c>
      <c r="D18" s="11">
        <v>334</v>
      </c>
      <c r="E18" s="11">
        <v>157</v>
      </c>
      <c r="F18" s="11">
        <v>240</v>
      </c>
      <c r="G18" s="985">
        <v>212</v>
      </c>
      <c r="H18" s="11">
        <v>0</v>
      </c>
      <c r="I18" s="11">
        <v>0</v>
      </c>
      <c r="J18" s="11">
        <v>0</v>
      </c>
      <c r="K18" s="11">
        <v>0</v>
      </c>
      <c r="L18" s="11">
        <v>0</v>
      </c>
      <c r="M18" s="985">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0</v>
      </c>
      <c r="AK18" s="11">
        <v>0</v>
      </c>
      <c r="AL18" s="11">
        <v>0</v>
      </c>
      <c r="AM18" s="11">
        <v>0</v>
      </c>
      <c r="AN18" s="11">
        <v>0</v>
      </c>
      <c r="AO18" s="928">
        <v>0</v>
      </c>
    </row>
    <row r="19" spans="1:41" x14ac:dyDescent="0.8">
      <c r="A19" s="219" t="s">
        <v>48</v>
      </c>
      <c r="B19" s="11">
        <v>-1513</v>
      </c>
      <c r="C19" s="11">
        <v>-1129</v>
      </c>
      <c r="D19" s="11">
        <v>-938</v>
      </c>
      <c r="E19" s="11">
        <v>-1579</v>
      </c>
      <c r="F19" s="11">
        <v>-1397</v>
      </c>
      <c r="G19" s="985">
        <v>-1641</v>
      </c>
      <c r="H19" s="157">
        <f>-'Debt Schedule'!I8</f>
        <v>-1876.07964977041</v>
      </c>
      <c r="I19" s="157">
        <f>-'Debt Schedule'!J8</f>
        <v>-838.73669921570274</v>
      </c>
      <c r="J19" s="157">
        <f>-'Debt Schedule'!K8</f>
        <v>-927.39105572269409</v>
      </c>
      <c r="K19" s="157">
        <f>-'Debt Schedule'!L8</f>
        <v>-1049.8489072575617</v>
      </c>
      <c r="L19" s="157">
        <f>-'Debt Schedule'!M8</f>
        <v>-1144.2271859355301</v>
      </c>
      <c r="M19" s="991">
        <f>-'Debt Schedule'!N8</f>
        <v>-1274.0647631415347</v>
      </c>
      <c r="N19" s="157">
        <f>-'Debt Schedule'!O8</f>
        <v>-1111.3998661053115</v>
      </c>
      <c r="O19" s="157">
        <f>-'Debt Schedule'!P8</f>
        <v>-1119.8641336110929</v>
      </c>
      <c r="P19" s="157">
        <f>-'Debt Schedule'!Q8</f>
        <v>-1101.4898876006077</v>
      </c>
      <c r="Q19" s="157">
        <f>-'Debt Schedule'!R8</f>
        <v>-1088.3285621651637</v>
      </c>
      <c r="R19" s="157">
        <f>-'Debt Schedule'!S8</f>
        <v>-1050.9611148136444</v>
      </c>
      <c r="S19" s="157">
        <f>-'Debt Schedule'!T8</f>
        <v>-994.89541116770852</v>
      </c>
      <c r="T19" s="157">
        <f>-'Debt Schedule'!U8</f>
        <v>-951.97404060055658</v>
      </c>
      <c r="U19" s="157">
        <f>-'Debt Schedule'!V8</f>
        <v>-874.57526840373646</v>
      </c>
      <c r="V19" s="157">
        <f>-'Debt Schedule'!W8</f>
        <v>-788.7989693736115</v>
      </c>
      <c r="W19" s="157">
        <f>-'Debt Schedule'!X8</f>
        <v>-701.75027296149563</v>
      </c>
      <c r="X19" s="157">
        <f>-'Debt Schedule'!Y8</f>
        <v>-608.04881792225956</v>
      </c>
      <c r="Y19" s="157">
        <f>-'Debt Schedule'!Z8</f>
        <v>-517.0804581104594</v>
      </c>
      <c r="Z19" s="157">
        <f>-'Debt Schedule'!AA8</f>
        <v>-422.27929891970871</v>
      </c>
      <c r="AA19" s="157">
        <f>-'Debt Schedule'!AB8</f>
        <v>-335.93802980177509</v>
      </c>
      <c r="AB19" s="157">
        <f>-'Debt Schedule'!AC8</f>
        <v>-262.47463367100448</v>
      </c>
      <c r="AC19" s="157">
        <f>-'Debt Schedule'!AD8</f>
        <v>-203.96216323286112</v>
      </c>
      <c r="AD19" s="157">
        <f>-'Debt Schedule'!AE8</f>
        <v>-159.04600882942867</v>
      </c>
      <c r="AE19" s="157">
        <f>-'Debt Schedule'!AF8</f>
        <v>-128.34663917404603</v>
      </c>
      <c r="AF19" s="157">
        <f>-'Debt Schedule'!AG8</f>
        <v>-111.60598499550267</v>
      </c>
      <c r="AG19" s="157">
        <f>-'Debt Schedule'!AH8</f>
        <v>-108.21252097676525</v>
      </c>
      <c r="AH19" s="157">
        <f>-'Debt Schedule'!AI8</f>
        <v>-116.93118190016983</v>
      </c>
      <c r="AI19" s="157">
        <f>-'Debt Schedule'!AJ8</f>
        <v>-136.33938165809093</v>
      </c>
      <c r="AJ19" s="157">
        <f>-'Debt Schedule'!AK8</f>
        <v>-164.45960327361493</v>
      </c>
      <c r="AK19" s="157">
        <f>-'Debt Schedule'!AL8</f>
        <v>-159.88026220133159</v>
      </c>
      <c r="AL19" s="157">
        <f>-'Debt Schedule'!AM8</f>
        <v>-155.50502491276058</v>
      </c>
      <c r="AM19" s="157">
        <f>-'Debt Schedule'!AN8</f>
        <v>-151.32602160877317</v>
      </c>
      <c r="AN19" s="157">
        <f>-'Debt Schedule'!AO8</f>
        <v>-147.3324988311112</v>
      </c>
      <c r="AO19" s="315">
        <f>-'Debt Schedule'!AP8</f>
        <v>-143.51692407775414</v>
      </c>
    </row>
    <row r="20" spans="1:41" x14ac:dyDescent="0.8">
      <c r="A20" s="219" t="s">
        <v>49</v>
      </c>
      <c r="B20" s="11">
        <v>836</v>
      </c>
      <c r="C20" s="11">
        <v>1941</v>
      </c>
      <c r="D20" s="11">
        <v>-41</v>
      </c>
      <c r="E20" s="11">
        <v>-1941</v>
      </c>
      <c r="F20" s="11">
        <v>4077</v>
      </c>
      <c r="G20" s="985">
        <v>-915</v>
      </c>
      <c r="H20" s="11">
        <v>0</v>
      </c>
      <c r="I20" s="11">
        <v>0</v>
      </c>
      <c r="J20" s="11">
        <v>0</v>
      </c>
      <c r="K20" s="11">
        <v>0</v>
      </c>
      <c r="L20" s="11">
        <v>0</v>
      </c>
      <c r="M20" s="985">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0</v>
      </c>
      <c r="AK20" s="11">
        <v>0</v>
      </c>
      <c r="AL20" s="11">
        <v>0</v>
      </c>
      <c r="AM20" s="11">
        <v>0</v>
      </c>
      <c r="AN20" s="11">
        <v>0</v>
      </c>
      <c r="AO20" s="928">
        <v>0</v>
      </c>
    </row>
    <row r="21" spans="1:41" x14ac:dyDescent="0.8">
      <c r="A21" s="1186" t="s">
        <v>50</v>
      </c>
      <c r="B21" s="1187">
        <f>B16+SUM(B18:B20)</f>
        <v>42900</v>
      </c>
      <c r="C21" s="1187">
        <f t="shared" ref="C21:AO21" si="4">C16+SUM(C18:C20)</f>
        <v>40541</v>
      </c>
      <c r="D21" s="1187">
        <f t="shared" si="4"/>
        <v>14682</v>
      </c>
      <c r="E21" s="1187">
        <f t="shared" si="4"/>
        <v>13459</v>
      </c>
      <c r="F21" s="1187">
        <f t="shared" si="4"/>
        <v>30430</v>
      </c>
      <c r="G21" s="1188">
        <f t="shared" si="4"/>
        <v>23489</v>
      </c>
      <c r="H21" s="1187">
        <f t="shared" si="4"/>
        <v>16584.695440494619</v>
      </c>
      <c r="I21" s="1187">
        <f t="shared" si="4"/>
        <v>25063.78764767028</v>
      </c>
      <c r="J21" s="1187">
        <f t="shared" si="4"/>
        <v>19464.946085684798</v>
      </c>
      <c r="K21" s="1187">
        <f t="shared" si="4"/>
        <v>19706.24663109133</v>
      </c>
      <c r="L21" s="1187">
        <f t="shared" si="4"/>
        <v>12068.134515575695</v>
      </c>
      <c r="M21" s="1188">
        <f t="shared" si="4"/>
        <v>19095.438400689483</v>
      </c>
      <c r="N21" s="1187">
        <f t="shared" si="4"/>
        <v>19038.849901617963</v>
      </c>
      <c r="O21" s="1187">
        <f t="shared" si="4"/>
        <v>16973.307354685672</v>
      </c>
      <c r="P21" s="1187">
        <f t="shared" si="4"/>
        <v>16261.08722745733</v>
      </c>
      <c r="Q21" s="1187">
        <f t="shared" si="4"/>
        <v>12487.358197048041</v>
      </c>
      <c r="R21" s="1187">
        <f t="shared" si="4"/>
        <v>4881.4981087585493</v>
      </c>
      <c r="S21" s="1187">
        <f t="shared" si="4"/>
        <v>3081.9522707616634</v>
      </c>
      <c r="T21" s="1187">
        <f t="shared" si="4"/>
        <v>3211.8417646215548</v>
      </c>
      <c r="U21" s="1187">
        <f t="shared" si="4"/>
        <v>4475.3313911433434</v>
      </c>
      <c r="V21" s="1187">
        <f t="shared" si="4"/>
        <v>6983.0371953546173</v>
      </c>
      <c r="W21" s="1187">
        <f t="shared" si="4"/>
        <v>8114.321938654246</v>
      </c>
      <c r="X21" s="1187">
        <f t="shared" si="4"/>
        <v>8405.8886715095723</v>
      </c>
      <c r="Y21" s="1187">
        <f t="shared" si="4"/>
        <v>9014.6056534145464</v>
      </c>
      <c r="Z21" s="1187">
        <f t="shared" si="4"/>
        <v>10152.56751601856</v>
      </c>
      <c r="AA21" s="1187">
        <f t="shared" si="4"/>
        <v>11196.771280171462</v>
      </c>
      <c r="AB21" s="1187">
        <f t="shared" si="4"/>
        <v>12917.124705394755</v>
      </c>
      <c r="AC21" s="1187">
        <f t="shared" si="4"/>
        <v>14343.067740426975</v>
      </c>
      <c r="AD21" s="1187">
        <f t="shared" si="4"/>
        <v>15358.16937999107</v>
      </c>
      <c r="AE21" s="1187">
        <f t="shared" si="4"/>
        <v>15983.904156504699</v>
      </c>
      <c r="AF21" s="1187">
        <f t="shared" si="4"/>
        <v>16355.457896079246</v>
      </c>
      <c r="AG21" s="1187">
        <f t="shared" si="4"/>
        <v>16597.77532712647</v>
      </c>
      <c r="AH21" s="1187">
        <f t="shared" si="4"/>
        <v>16700.774693659045</v>
      </c>
      <c r="AI21" s="1187">
        <f t="shared" si="4"/>
        <v>16175.258726224241</v>
      </c>
      <c r="AJ21" s="1187">
        <f t="shared" si="4"/>
        <v>15662.321927047502</v>
      </c>
      <c r="AK21" s="1187">
        <f t="shared" si="4"/>
        <v>15204.821411915378</v>
      </c>
      <c r="AL21" s="1187">
        <f t="shared" si="4"/>
        <v>14766.75143874732</v>
      </c>
      <c r="AM21" s="1187">
        <f t="shared" si="4"/>
        <v>14348.855830432469</v>
      </c>
      <c r="AN21" s="1187">
        <f t="shared" si="4"/>
        <v>13948.911744313325</v>
      </c>
      <c r="AO21" s="1189">
        <f t="shared" si="4"/>
        <v>13567.12410224128</v>
      </c>
    </row>
    <row r="22" spans="1:41" x14ac:dyDescent="0.8">
      <c r="A22" s="892" t="s">
        <v>51</v>
      </c>
      <c r="B22" s="12">
        <v>-6253</v>
      </c>
      <c r="C22" s="12">
        <v>-10235</v>
      </c>
      <c r="D22" s="12">
        <v>-7034</v>
      </c>
      <c r="E22" s="12">
        <v>-7413</v>
      </c>
      <c r="F22" s="12">
        <v>-6690</v>
      </c>
      <c r="G22" s="986">
        <v>-8748</v>
      </c>
      <c r="H22" s="12">
        <f>-'NOL Schedule Levered'!D13+'NOL Schedule Levered'!D14</f>
        <v>-4921.9012660096287</v>
      </c>
      <c r="I22" s="12">
        <f>-'NOL Schedule Levered'!E13+'NOL Schedule Levered'!E14</f>
        <v>-6255.0199482054359</v>
      </c>
      <c r="J22" s="12">
        <f>-'NOL Schedule Levered'!F13+'NOL Schedule Levered'!F14</f>
        <v>-4725.4024661953445</v>
      </c>
      <c r="K22" s="12">
        <f>-'NOL Schedule Levered'!G13+'NOL Schedule Levered'!G14</f>
        <v>-5109.936251452651</v>
      </c>
      <c r="L22" s="12">
        <f>-'NOL Schedule Levered'!H13+'NOL Schedule Levered'!H14</f>
        <v>-4303.1289389750664</v>
      </c>
      <c r="M22" s="986">
        <f>-'NOL Schedule Levered'!I13+'NOL Schedule Levered'!I14</f>
        <v>-6561.5059599153601</v>
      </c>
      <c r="N22" s="12">
        <f>-'NOL Schedule Levered'!J13+'NOL Schedule Levered'!J14</f>
        <v>-5902.4474588382218</v>
      </c>
      <c r="O22" s="12">
        <f>-'NOL Schedule Levered'!K13+'NOL Schedule Levered'!K14</f>
        <v>-5108.0429494958462</v>
      </c>
      <c r="P22" s="12">
        <f>-'NOL Schedule Levered'!L13+'NOL Schedule Levered'!L14</f>
        <v>-5026.2174308052809</v>
      </c>
      <c r="Q22" s="12">
        <f>-'NOL Schedule Levered'!M13+'NOL Schedule Levered'!M14</f>
        <v>-3765.7689398591938</v>
      </c>
      <c r="R22" s="12">
        <f>-'NOL Schedule Levered'!N13+'NOL Schedule Levered'!N14</f>
        <v>-1491.7926580715964</v>
      </c>
      <c r="S22" s="12">
        <f>-'NOL Schedule Levered'!O13+'NOL Schedule Levered'!O14</f>
        <v>-936.05436460689987</v>
      </c>
      <c r="T22" s="12">
        <f>-'NOL Schedule Levered'!P13+'NOL Schedule Levered'!P14</f>
        <v>-975.23907747440023</v>
      </c>
      <c r="U22" s="12">
        <f>-'NOL Schedule Levered'!Q13+'NOL Schedule Levered'!Q14</f>
        <v>-1361.9396257892186</v>
      </c>
      <c r="V22" s="12">
        <f>-'NOL Schedule Levered'!R13+'NOL Schedule Levered'!R14</f>
        <v>-2122.102759742128</v>
      </c>
      <c r="W22" s="12">
        <f>-'NOL Schedule Levered'!S13+'NOL Schedule Levered'!S14</f>
        <v>-2466.3615614775804</v>
      </c>
      <c r="X22" s="12">
        <f>-'NOL Schedule Levered'!T13+'NOL Schedule Levered'!T14</f>
        <v>-2555.8589869791454</v>
      </c>
      <c r="Y22" s="12">
        <f>-'NOL Schedule Levered'!U13+'NOL Schedule Levered'!U14</f>
        <v>-2740.1437939839411</v>
      </c>
      <c r="Z22" s="12">
        <f>-'NOL Schedule Levered'!V13+'NOL Schedule Levered'!V14</f>
        <v>-3086.2945051780953</v>
      </c>
      <c r="AA22" s="12">
        <f>-'NOL Schedule Levered'!W13+'NOL Schedule Levered'!W14</f>
        <v>-3403.8723632451333</v>
      </c>
      <c r="AB22" s="12">
        <f>-'NOL Schedule Levered'!X13+'NOL Schedule Levered'!X14</f>
        <v>-3926.6486207033495</v>
      </c>
      <c r="AC22" s="12">
        <f>-'NOL Schedule Levered'!Y13+'NOL Schedule Levered'!Y14</f>
        <v>-4360.2168831341432</v>
      </c>
      <c r="AD22" s="12">
        <f>-'NOL Schedule Levered'!Z13+'NOL Schedule Levered'!Z14</f>
        <v>-4668.8187745175237</v>
      </c>
      <c r="AE22" s="12">
        <f>-'NOL Schedule Levered'!AA13+'NOL Schedule Levered'!AA14</f>
        <v>-4859.0395098260869</v>
      </c>
      <c r="AF22" s="12">
        <f>-'NOL Schedule Levered'!AB13+'NOL Schedule Levered'!AB14</f>
        <v>-4971.990280985563</v>
      </c>
      <c r="AG22" s="12">
        <f>-'NOL Schedule Levered'!AC13+'NOL Schedule Levered'!AC14</f>
        <v>-5045.6537589349637</v>
      </c>
      <c r="AH22" s="12">
        <f>-'NOL Schedule Levered'!AD13+'NOL Schedule Levered'!AD14</f>
        <v>-5076.9651323371354</v>
      </c>
      <c r="AI22" s="12">
        <f>-'NOL Schedule Levered'!AE13+'NOL Schedule Levered'!AE14</f>
        <v>-4917.2104926816519</v>
      </c>
      <c r="AJ22" s="12">
        <f>-'NOL Schedule Levered'!AF13+'NOL Schedule Levered'!AF14</f>
        <v>-4761.2798671699102</v>
      </c>
      <c r="AK22" s="12">
        <f>-'NOL Schedule Levered'!AG13+'NOL Schedule Levered'!AG14</f>
        <v>-4622.2016384076269</v>
      </c>
      <c r="AL22" s="12">
        <f>-'NOL Schedule Levered'!AH13+'NOL Schedule Levered'!AH14</f>
        <v>-4489.0302125250573</v>
      </c>
      <c r="AM22" s="12">
        <f>-'NOL Schedule Levered'!AI13+'NOL Schedule Levered'!AI14</f>
        <v>-4361.9917085461457</v>
      </c>
      <c r="AN22" s="12">
        <f>-'NOL Schedule Levered'!AJ13+'NOL Schedule Levered'!AJ14</f>
        <v>-4240.4103916697331</v>
      </c>
      <c r="AO22" s="930">
        <f>-'NOL Schedule Levered'!AK13+'NOL Schedule Levered'!AK14</f>
        <v>-4124.3485572751333</v>
      </c>
    </row>
    <row r="23" spans="1:41" ht="16.75" thickBot="1" x14ac:dyDescent="0.95">
      <c r="A23" s="1182" t="s">
        <v>52</v>
      </c>
      <c r="B23" s="1183">
        <f>B21+B22</f>
        <v>36647</v>
      </c>
      <c r="C23" s="1183">
        <f t="shared" ref="C23:AO23" si="5">C21+C22</f>
        <v>30306</v>
      </c>
      <c r="D23" s="1183">
        <f t="shared" si="5"/>
        <v>7648</v>
      </c>
      <c r="E23" s="1183">
        <f t="shared" si="5"/>
        <v>6046</v>
      </c>
      <c r="F23" s="1183">
        <f t="shared" si="5"/>
        <v>23740</v>
      </c>
      <c r="G23" s="1184">
        <f t="shared" si="5"/>
        <v>14741</v>
      </c>
      <c r="H23" s="1183">
        <f t="shared" si="5"/>
        <v>11662.79417448499</v>
      </c>
      <c r="I23" s="1183">
        <f t="shared" si="5"/>
        <v>18808.767699464843</v>
      </c>
      <c r="J23" s="1183">
        <f t="shared" si="5"/>
        <v>14739.543619489454</v>
      </c>
      <c r="K23" s="1183">
        <f t="shared" si="5"/>
        <v>14596.310379638679</v>
      </c>
      <c r="L23" s="1183">
        <f t="shared" si="5"/>
        <v>7765.005576600629</v>
      </c>
      <c r="M23" s="1184">
        <f t="shared" si="5"/>
        <v>12533.932440774122</v>
      </c>
      <c r="N23" s="1183">
        <f t="shared" si="5"/>
        <v>13136.402442779741</v>
      </c>
      <c r="O23" s="1183">
        <f t="shared" si="5"/>
        <v>11865.264405189826</v>
      </c>
      <c r="P23" s="1183">
        <f t="shared" si="5"/>
        <v>11234.869796652049</v>
      </c>
      <c r="Q23" s="1183">
        <f t="shared" si="5"/>
        <v>8721.5892571888471</v>
      </c>
      <c r="R23" s="1183">
        <f t="shared" si="5"/>
        <v>3389.7054506869526</v>
      </c>
      <c r="S23" s="1183">
        <f t="shared" si="5"/>
        <v>2145.8979061547634</v>
      </c>
      <c r="T23" s="1183">
        <f t="shared" si="5"/>
        <v>2236.6026871471545</v>
      </c>
      <c r="U23" s="1183">
        <f t="shared" si="5"/>
        <v>3113.3917653541248</v>
      </c>
      <c r="V23" s="1183">
        <f t="shared" si="5"/>
        <v>4860.9344356124893</v>
      </c>
      <c r="W23" s="1183">
        <f t="shared" si="5"/>
        <v>5647.9603771766651</v>
      </c>
      <c r="X23" s="1183">
        <f t="shared" si="5"/>
        <v>5850.0296845304274</v>
      </c>
      <c r="Y23" s="1183">
        <f t="shared" si="5"/>
        <v>6274.4618594306048</v>
      </c>
      <c r="Z23" s="1183">
        <f t="shared" si="5"/>
        <v>7066.2730108404648</v>
      </c>
      <c r="AA23" s="1183">
        <f t="shared" si="5"/>
        <v>7792.8989169263295</v>
      </c>
      <c r="AB23" s="1183">
        <f t="shared" si="5"/>
        <v>8990.4760846914069</v>
      </c>
      <c r="AC23" s="1183">
        <f t="shared" si="5"/>
        <v>9982.8508572928331</v>
      </c>
      <c r="AD23" s="1183">
        <f t="shared" si="5"/>
        <v>10689.350605473546</v>
      </c>
      <c r="AE23" s="1183">
        <f t="shared" si="5"/>
        <v>11124.864646678612</v>
      </c>
      <c r="AF23" s="1183">
        <f t="shared" si="5"/>
        <v>11383.467615093683</v>
      </c>
      <c r="AG23" s="1183">
        <f t="shared" si="5"/>
        <v>11552.121568191506</v>
      </c>
      <c r="AH23" s="1183">
        <f t="shared" si="5"/>
        <v>11623.809561321908</v>
      </c>
      <c r="AI23" s="1183">
        <f t="shared" si="5"/>
        <v>11258.04823354259</v>
      </c>
      <c r="AJ23" s="1183">
        <f t="shared" si="5"/>
        <v>10901.042059877593</v>
      </c>
      <c r="AK23" s="1183">
        <f t="shared" si="5"/>
        <v>10582.619773507751</v>
      </c>
      <c r="AL23" s="1183">
        <f t="shared" si="5"/>
        <v>10277.721226222264</v>
      </c>
      <c r="AM23" s="1183">
        <f t="shared" si="5"/>
        <v>9986.8641218863231</v>
      </c>
      <c r="AN23" s="1183">
        <f t="shared" si="5"/>
        <v>9708.5013526435923</v>
      </c>
      <c r="AO23" s="1185">
        <f t="shared" si="5"/>
        <v>9442.7755449661454</v>
      </c>
    </row>
    <row r="24" spans="1:41" ht="16.75" thickTop="1" x14ac:dyDescent="0.8">
      <c r="A24" s="316" t="s">
        <v>53</v>
      </c>
      <c r="B24" s="11"/>
      <c r="C24" s="11"/>
      <c r="D24" s="11"/>
      <c r="E24" s="11"/>
      <c r="F24" s="11"/>
      <c r="G24" s="985"/>
      <c r="H24" s="7"/>
      <c r="I24" s="7"/>
      <c r="J24" s="7"/>
      <c r="K24" s="7"/>
      <c r="L24" s="7"/>
      <c r="M24" s="194"/>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1444">
        <f>(AO23-AN23)/AN23</f>
        <v>-2.7370424952878097E-2</v>
      </c>
    </row>
    <row r="25" spans="1:41" ht="16.75" thickBot="1" x14ac:dyDescent="0.95">
      <c r="A25" s="931" t="s">
        <v>54</v>
      </c>
      <c r="B25" s="8">
        <f t="shared" ref="B25:G25" si="6">B23/B29</f>
        <v>1.1732671682407556</v>
      </c>
      <c r="C25" s="8">
        <f t="shared" si="6"/>
        <v>0.96688361408882084</v>
      </c>
      <c r="D25" s="8">
        <f t="shared" si="6"/>
        <v>0.24651087832393231</v>
      </c>
      <c r="E25" s="8">
        <f t="shared" si="6"/>
        <v>0.19411802478648943</v>
      </c>
      <c r="F25" s="8">
        <f t="shared" si="6"/>
        <v>0.7529098347657861</v>
      </c>
      <c r="G25" s="987">
        <f t="shared" si="6"/>
        <v>0.46679755533740774</v>
      </c>
      <c r="H25" s="8"/>
      <c r="I25" s="8"/>
      <c r="J25" s="8"/>
      <c r="K25" s="8"/>
      <c r="L25" s="8"/>
      <c r="M25" s="987"/>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932"/>
    </row>
    <row r="26" spans="1:41" ht="17.5" thickTop="1" thickBot="1" x14ac:dyDescent="0.95">
      <c r="A26" s="931" t="s">
        <v>55</v>
      </c>
      <c r="B26" s="8">
        <f t="shared" ref="B26:G26" si="7">B23/B30</f>
        <v>1.1449325168707822</v>
      </c>
      <c r="C26" s="8">
        <f t="shared" si="7"/>
        <v>0.93260709010339737</v>
      </c>
      <c r="D26" s="8">
        <f t="shared" si="7"/>
        <v>0.24129988957248777</v>
      </c>
      <c r="E26" s="8">
        <f t="shared" si="7"/>
        <v>0.18943476626143627</v>
      </c>
      <c r="F26" s="8">
        <f t="shared" si="7"/>
        <v>0.73637519774186544</v>
      </c>
      <c r="G26" s="987">
        <f t="shared" si="7"/>
        <v>0.45523609524103642</v>
      </c>
      <c r="H26" s="8"/>
      <c r="I26" s="8"/>
      <c r="J26" s="8"/>
      <c r="K26" s="8"/>
      <c r="L26" s="8"/>
      <c r="M26" s="987"/>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932"/>
    </row>
    <row r="27" spans="1:41" ht="17.5" thickTop="1" thickBot="1" x14ac:dyDescent="0.95">
      <c r="A27" s="933" t="s">
        <v>56</v>
      </c>
      <c r="B27" s="9">
        <v>0</v>
      </c>
      <c r="C27" s="9">
        <v>0</v>
      </c>
      <c r="D27" s="9">
        <v>0.06</v>
      </c>
      <c r="E27" s="9">
        <v>0.12</v>
      </c>
      <c r="F27" s="9">
        <v>0.13500000000000001</v>
      </c>
      <c r="G27" s="988">
        <v>0.155</v>
      </c>
      <c r="H27" s="9"/>
      <c r="I27" s="9"/>
      <c r="J27" s="9"/>
      <c r="K27" s="9"/>
      <c r="L27" s="9"/>
      <c r="M27" s="988"/>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34"/>
    </row>
    <row r="28" spans="1:41" ht="16.75" thickTop="1" x14ac:dyDescent="0.8">
      <c r="A28" s="316" t="s">
        <v>57</v>
      </c>
      <c r="B28" s="7"/>
      <c r="C28" s="7"/>
      <c r="D28" s="7"/>
      <c r="E28" s="7"/>
      <c r="F28" s="7"/>
      <c r="G28" s="194"/>
      <c r="H28" s="7"/>
      <c r="I28" s="7"/>
      <c r="J28" s="7"/>
      <c r="K28" s="7"/>
      <c r="L28" s="7"/>
      <c r="M28" s="194"/>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172"/>
    </row>
    <row r="29" spans="1:41" ht="16.75" thickBot="1" x14ac:dyDescent="0.95">
      <c r="A29" s="931" t="s">
        <v>54</v>
      </c>
      <c r="B29" s="10">
        <v>31235</v>
      </c>
      <c r="C29" s="10">
        <v>31344</v>
      </c>
      <c r="D29" s="10">
        <v>31025</v>
      </c>
      <c r="E29" s="10">
        <v>31146</v>
      </c>
      <c r="F29" s="10">
        <v>31531</v>
      </c>
      <c r="G29" s="989">
        <v>31579</v>
      </c>
      <c r="H29" s="10"/>
      <c r="I29" s="10"/>
      <c r="J29" s="10"/>
      <c r="K29" s="10"/>
      <c r="L29" s="10"/>
      <c r="M29" s="989"/>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935"/>
    </row>
    <row r="30" spans="1:41" ht="17.5" thickTop="1" thickBot="1" x14ac:dyDescent="0.95">
      <c r="A30" s="936" t="s">
        <v>55</v>
      </c>
      <c r="B30" s="937">
        <v>32008</v>
      </c>
      <c r="C30" s="937">
        <v>32496</v>
      </c>
      <c r="D30" s="937">
        <v>31695</v>
      </c>
      <c r="E30" s="937">
        <v>31916</v>
      </c>
      <c r="F30" s="937">
        <v>32239</v>
      </c>
      <c r="G30" s="990">
        <v>32381</v>
      </c>
      <c r="H30" s="937"/>
      <c r="I30" s="937"/>
      <c r="J30" s="937"/>
      <c r="K30" s="937"/>
      <c r="L30" s="937"/>
      <c r="M30" s="990"/>
      <c r="N30" s="937"/>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8"/>
    </row>
    <row r="31" spans="1:41" x14ac:dyDescent="0.8">
      <c r="B31" s="5"/>
      <c r="C31" s="5"/>
      <c r="D31" s="5"/>
      <c r="E31" s="5"/>
      <c r="F31" s="5"/>
      <c r="G31" s="5"/>
      <c r="AM31" s="15"/>
    </row>
    <row r="32" spans="1:41" x14ac:dyDescent="0.8">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row>
    <row r="33" spans="3:41" x14ac:dyDescent="0.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row>
    <row r="34" spans="3:41" x14ac:dyDescent="0.8">
      <c r="C34" s="246"/>
      <c r="D34" s="246"/>
      <c r="E34" s="246"/>
      <c r="F34" s="246"/>
      <c r="G34" s="246"/>
      <c r="H34" s="246"/>
      <c r="I34" s="246"/>
      <c r="J34" s="24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row>
    <row r="36" spans="3:41" x14ac:dyDescent="0.8">
      <c r="G36" s="5"/>
    </row>
  </sheetData>
  <mergeCells count="3">
    <mergeCell ref="B1:G2"/>
    <mergeCell ref="H1:M2"/>
    <mergeCell ref="N1:AO2"/>
  </mergeCells>
  <hyperlinks>
    <hyperlink ref="A1" location="'Cover Page '!A1" display="Back to cover page"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XEY57"/>
  <sheetViews>
    <sheetView showGridLines="0" zoomScale="85" zoomScaleNormal="85" zoomScalePageLayoutView="85" workbookViewId="0">
      <pane xSplit="1" ySplit="3" topLeftCell="AE34" activePane="bottomRight" state="frozen"/>
      <selection activeCell="B1" sqref="B1:AO3"/>
      <selection pane="topRight" activeCell="B1" sqref="B1:AO3"/>
      <selection pane="bottomLeft" activeCell="B1" sqref="B1:AO3"/>
      <selection pane="bottomRight" activeCell="AI37" sqref="AI37"/>
    </sheetView>
  </sheetViews>
  <sheetFormatPr defaultColWidth="11" defaultRowHeight="16" x14ac:dyDescent="0.8"/>
  <cols>
    <col min="1" max="1" width="80.1640625" bestFit="1" customWidth="1"/>
    <col min="2" max="3" width="9.5" bestFit="1" customWidth="1"/>
    <col min="4" max="7" width="10" bestFit="1" customWidth="1"/>
    <col min="8" max="8" width="10.6640625" bestFit="1" customWidth="1"/>
    <col min="9" max="38" width="9.5" bestFit="1" customWidth="1"/>
    <col min="39" max="41" width="10" bestFit="1" customWidth="1"/>
  </cols>
  <sheetData>
    <row r="1" spans="1:41" ht="18.5" x14ac:dyDescent="0.9">
      <c r="A1" s="1195" t="s">
        <v>533</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286">
        <v>2012</v>
      </c>
      <c r="D3" s="286">
        <v>2013</v>
      </c>
      <c r="E3" s="286">
        <v>2014</v>
      </c>
      <c r="F3" s="286">
        <v>2015</v>
      </c>
      <c r="G3" s="286">
        <v>2016</v>
      </c>
      <c r="H3" s="252">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s="7" customFormat="1" x14ac:dyDescent="0.8">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spans="1:41" s="7" customFormat="1" ht="19.25" thickBot="1" x14ac:dyDescent="1.05">
      <c r="A5" s="515" t="s">
        <v>77</v>
      </c>
      <c r="AO5" s="24"/>
    </row>
    <row r="6" spans="1:41" s="7" customFormat="1" x14ac:dyDescent="0.8">
      <c r="A6" s="953" t="s">
        <v>61</v>
      </c>
      <c r="B6" s="926">
        <f>'Income Statement '!B23</f>
        <v>36647</v>
      </c>
      <c r="C6" s="926">
        <f>'Income Statement '!C23</f>
        <v>30306</v>
      </c>
      <c r="D6" s="926">
        <f>'Income Statement '!D23</f>
        <v>7648</v>
      </c>
      <c r="E6" s="926">
        <f>'Income Statement '!E23</f>
        <v>6046</v>
      </c>
      <c r="F6" s="926">
        <f>'Income Statement '!F23</f>
        <v>23740</v>
      </c>
      <c r="G6" s="984">
        <f>'Income Statement '!G23</f>
        <v>14741</v>
      </c>
      <c r="H6" s="954">
        <f>'Income Statement '!H23</f>
        <v>11662.79417448499</v>
      </c>
      <c r="I6" s="329">
        <f>'Income Statement '!I23</f>
        <v>18808.767699464843</v>
      </c>
      <c r="J6" s="329">
        <f>'Income Statement '!J23</f>
        <v>14739.543619489454</v>
      </c>
      <c r="K6" s="329">
        <f>'Income Statement '!K23</f>
        <v>14596.310379638679</v>
      </c>
      <c r="L6" s="329">
        <f>'Income Statement '!L23</f>
        <v>7765.005576600629</v>
      </c>
      <c r="M6" s="1002">
        <f>'Income Statement '!M23</f>
        <v>12533.932440774122</v>
      </c>
      <c r="N6" s="329">
        <f>'Income Statement '!N23</f>
        <v>13136.402442779741</v>
      </c>
      <c r="O6" s="329">
        <f>'Income Statement '!O23</f>
        <v>11865.264405189826</v>
      </c>
      <c r="P6" s="329">
        <f>'Income Statement '!P23</f>
        <v>11234.869796652049</v>
      </c>
      <c r="Q6" s="329">
        <f>'Income Statement '!Q23</f>
        <v>8721.5892571888471</v>
      </c>
      <c r="R6" s="329">
        <f>'Income Statement '!R23</f>
        <v>3389.7054506869526</v>
      </c>
      <c r="S6" s="329">
        <f>'Income Statement '!S23</f>
        <v>2145.8979061547634</v>
      </c>
      <c r="T6" s="329">
        <f>'Income Statement '!T23</f>
        <v>2236.6026871471545</v>
      </c>
      <c r="U6" s="329">
        <f>'Income Statement '!U23</f>
        <v>3113.3917653541248</v>
      </c>
      <c r="V6" s="329">
        <f>'Income Statement '!V23</f>
        <v>4860.9344356124893</v>
      </c>
      <c r="W6" s="329">
        <f>'Income Statement '!W23</f>
        <v>5647.9603771766651</v>
      </c>
      <c r="X6" s="329">
        <f>'Income Statement '!X23</f>
        <v>5850.0296845304274</v>
      </c>
      <c r="Y6" s="329">
        <f>'Income Statement '!Y23</f>
        <v>6274.4618594306048</v>
      </c>
      <c r="Z6" s="329">
        <f>'Income Statement '!Z23</f>
        <v>7066.2730108404648</v>
      </c>
      <c r="AA6" s="329">
        <f>'Income Statement '!AA23</f>
        <v>7792.8989169263295</v>
      </c>
      <c r="AB6" s="329">
        <f>'Income Statement '!AB23</f>
        <v>8990.4760846914069</v>
      </c>
      <c r="AC6" s="329">
        <f>'Income Statement '!AC23</f>
        <v>9982.8508572928331</v>
      </c>
      <c r="AD6" s="329">
        <f>'Income Statement '!AD23</f>
        <v>10689.350605473546</v>
      </c>
      <c r="AE6" s="329">
        <f>'Income Statement '!AE23</f>
        <v>11124.864646678612</v>
      </c>
      <c r="AF6" s="329">
        <f>'Income Statement '!AF23</f>
        <v>11383.467615093683</v>
      </c>
      <c r="AG6" s="329">
        <f>'Income Statement '!AG23</f>
        <v>11552.121568191506</v>
      </c>
      <c r="AH6" s="329">
        <f>'Income Statement '!AH23</f>
        <v>11623.809561321908</v>
      </c>
      <c r="AI6" s="329">
        <f>'Income Statement '!AI23</f>
        <v>11258.04823354259</v>
      </c>
      <c r="AJ6" s="329">
        <f>'Income Statement '!AJ23</f>
        <v>10901.042059877593</v>
      </c>
      <c r="AK6" s="329">
        <f>'Income Statement '!AK23</f>
        <v>10582.619773507751</v>
      </c>
      <c r="AL6" s="329">
        <f>'Income Statement '!AL23</f>
        <v>10277.721226222264</v>
      </c>
      <c r="AM6" s="329">
        <f>'Income Statement '!AM23</f>
        <v>9986.8641218863231</v>
      </c>
      <c r="AN6" s="329">
        <f>'Income Statement '!AN23</f>
        <v>9708.5013526435923</v>
      </c>
      <c r="AO6" s="955">
        <f>'Income Statement '!AO23</f>
        <v>9442.7755449661454</v>
      </c>
    </row>
    <row r="7" spans="1:41" s="7" customFormat="1" x14ac:dyDescent="0.8">
      <c r="A7" s="288" t="s">
        <v>62</v>
      </c>
      <c r="B7" s="11">
        <v>18059</v>
      </c>
      <c r="C7" s="11">
        <v>13467</v>
      </c>
      <c r="D7" s="11">
        <v>12492</v>
      </c>
      <c r="E7" s="11">
        <v>21274</v>
      </c>
      <c r="F7" s="11">
        <v>17311</v>
      </c>
      <c r="G7" s="985">
        <v>13981</v>
      </c>
      <c r="H7" s="167">
        <f>SUM('Income Statement '!H10,'Income Statement '!H11)</f>
        <v>19438.472065510494</v>
      </c>
      <c r="I7" s="157">
        <f>SUM('Income Statement '!I10,'Income Statement '!I11)</f>
        <v>16673.541357853588</v>
      </c>
      <c r="J7" s="157">
        <f>SUM('Income Statement '!J10,'Income Statement '!J11)</f>
        <v>22335.114329460212</v>
      </c>
      <c r="K7" s="157">
        <f>SUM('Income Statement '!K10,'Income Statement '!K11)</f>
        <v>23809.102626438114</v>
      </c>
      <c r="L7" s="157">
        <f>SUM('Income Statement '!L10,'Income Statement '!L11)</f>
        <v>29850.609176589638</v>
      </c>
      <c r="M7" s="991">
        <f>SUM('Income Statement '!M10,'Income Statement '!M11)</f>
        <v>26221.465601328131</v>
      </c>
      <c r="N7" s="157">
        <f>SUM('Income Statement '!N10,'Income Statement '!N11)</f>
        <v>24090.310857201028</v>
      </c>
      <c r="O7" s="157">
        <f>SUM('Income Statement '!O10,'Income Statement '!O11)</f>
        <v>27315.119810639302</v>
      </c>
      <c r="P7" s="157">
        <f>SUM('Income Statement '!P10,'Income Statement '!P11)</f>
        <v>24800.896902711662</v>
      </c>
      <c r="Q7" s="157">
        <f>SUM('Income Statement '!Q10,'Income Statement '!Q11)</f>
        <v>26267.635518792391</v>
      </c>
      <c r="R7" s="157">
        <f>SUM('Income Statement '!R10,'Income Statement '!R11)</f>
        <v>29820.188087704275</v>
      </c>
      <c r="S7" s="157">
        <f>SUM('Income Statement '!S10,'Income Statement '!S11)</f>
        <v>31137.434700878421</v>
      </c>
      <c r="T7" s="157">
        <f>SUM('Income Statement '!T10,'Income Statement '!T11)</f>
        <v>28124.125689296583</v>
      </c>
      <c r="U7" s="157">
        <f>SUM('Income Statement '!U10,'Income Statement '!U11)</f>
        <v>26349.976875196677</v>
      </c>
      <c r="V7" s="157">
        <f>SUM('Income Statement '!V10,'Income Statement '!V11)</f>
        <v>21713.129056519298</v>
      </c>
      <c r="W7" s="157">
        <f>SUM('Income Statement '!W10,'Income Statement '!W11)</f>
        <v>19934.55960928485</v>
      </c>
      <c r="X7" s="157">
        <f>SUM('Income Statement '!X10,'Income Statement '!X11)</f>
        <v>17996.980502918472</v>
      </c>
      <c r="Y7" s="157">
        <f>SUM('Income Statement '!Y10,'Income Statement '!Y11)</f>
        <v>16026.086950722234</v>
      </c>
      <c r="Z7" s="157">
        <f>SUM('Income Statement '!Z10,'Income Statement '!Z11)</f>
        <v>14066.667842496963</v>
      </c>
      <c r="AA7" s="157">
        <f>SUM('Income Statement '!AA10,'Income Statement '!AA11)</f>
        <v>11436.809772396206</v>
      </c>
      <c r="AB7" s="157">
        <f>SUM('Income Statement '!AB10,'Income Statement '!AB11)</f>
        <v>9005.6031027748886</v>
      </c>
      <c r="AC7" s="157">
        <f>SUM('Income Statement '!AC10,'Income Statement '!AC11)</f>
        <v>6979.4753949618853</v>
      </c>
      <c r="AD7" s="157">
        <f>SUM('Income Statement '!AD10,'Income Statement '!AD11)</f>
        <v>5305.7163897978826</v>
      </c>
      <c r="AE7" s="157">
        <f>SUM('Income Statement '!AE10,'Income Statement '!AE11)</f>
        <v>4097.406459709041</v>
      </c>
      <c r="AF7" s="157">
        <f>SUM('Income Statement '!AF10,'Income Statement '!AF11)</f>
        <v>3108.2411283506494</v>
      </c>
      <c r="AG7" s="157">
        <f>SUM('Income Statement '!AG10,'Income Statement '!AG11)</f>
        <v>2301.4839266252898</v>
      </c>
      <c r="AH7" s="157">
        <f>SUM('Income Statement '!AH10,'Income Statement '!AH11)</f>
        <v>1645.9116805065742</v>
      </c>
      <c r="AI7" s="157">
        <f>SUM('Income Statement '!AI10,'Income Statement '!AI11)</f>
        <v>1634.123549246227</v>
      </c>
      <c r="AJ7" s="157">
        <f>SUM('Income Statement '!AJ10,'Income Statement '!AJ11)</f>
        <v>1623.0260739093596</v>
      </c>
      <c r="AK7" s="157">
        <f>SUM('Income Statement '!AK10,'Income Statement '!AK11)</f>
        <v>1612.3961057380759</v>
      </c>
      <c r="AL7" s="157">
        <f>SUM('Income Statement '!AL10,'Income Statement '!AL11)</f>
        <v>1602.3710608471536</v>
      </c>
      <c r="AM7" s="157">
        <f>SUM('Income Statement '!AM10,'Income Statement '!AM11)</f>
        <v>1592.7989618641191</v>
      </c>
      <c r="AN7" s="157">
        <f>SUM('Income Statement '!AN10,'Income Statement '!AN11)</f>
        <v>1583.6618256193408</v>
      </c>
      <c r="AO7" s="315">
        <f>SUM('Income Statement '!AO10,'Income Statement '!AO11)</f>
        <v>1574.9356627346476</v>
      </c>
    </row>
    <row r="8" spans="1:41" s="7" customFormat="1" x14ac:dyDescent="0.8">
      <c r="A8" s="288" t="s">
        <v>63</v>
      </c>
      <c r="B8" s="11">
        <v>8534</v>
      </c>
      <c r="C8" s="11">
        <v>8524</v>
      </c>
      <c r="D8" s="11">
        <v>10064</v>
      </c>
      <c r="E8" s="11">
        <v>8563</v>
      </c>
      <c r="F8" s="11">
        <v>8935</v>
      </c>
      <c r="G8" s="985">
        <v>6795</v>
      </c>
      <c r="H8" s="952">
        <v>0</v>
      </c>
      <c r="I8" s="952">
        <v>0</v>
      </c>
      <c r="J8" s="952">
        <v>0</v>
      </c>
      <c r="K8" s="952">
        <v>0</v>
      </c>
      <c r="L8" s="952">
        <v>0</v>
      </c>
      <c r="M8" s="997">
        <v>0</v>
      </c>
      <c r="N8" s="952">
        <v>0</v>
      </c>
      <c r="O8" s="952">
        <v>0</v>
      </c>
      <c r="P8" s="952">
        <v>0</v>
      </c>
      <c r="Q8" s="952">
        <v>0</v>
      </c>
      <c r="R8" s="952">
        <v>0</v>
      </c>
      <c r="S8" s="952">
        <v>0</v>
      </c>
      <c r="T8" s="952">
        <v>0</v>
      </c>
      <c r="U8" s="952">
        <v>0</v>
      </c>
      <c r="V8" s="952">
        <v>0</v>
      </c>
      <c r="W8" s="952">
        <v>0</v>
      </c>
      <c r="X8" s="952">
        <v>0</v>
      </c>
      <c r="Y8" s="952">
        <v>0</v>
      </c>
      <c r="Z8" s="952">
        <v>0</v>
      </c>
      <c r="AA8" s="952">
        <v>0</v>
      </c>
      <c r="AB8" s="952">
        <v>0</v>
      </c>
      <c r="AC8" s="952">
        <v>0</v>
      </c>
      <c r="AD8" s="952">
        <v>0</v>
      </c>
      <c r="AE8" s="952">
        <v>0</v>
      </c>
      <c r="AF8" s="952">
        <v>0</v>
      </c>
      <c r="AG8" s="952">
        <v>0</v>
      </c>
      <c r="AH8" s="952">
        <v>0</v>
      </c>
      <c r="AI8" s="952">
        <v>0</v>
      </c>
      <c r="AJ8" s="952">
        <v>0</v>
      </c>
      <c r="AK8" s="952">
        <v>0</v>
      </c>
      <c r="AL8" s="952">
        <v>0</v>
      </c>
      <c r="AM8" s="952">
        <v>0</v>
      </c>
      <c r="AN8" s="952">
        <v>0</v>
      </c>
      <c r="AO8" s="956">
        <v>0</v>
      </c>
    </row>
    <row r="9" spans="1:41" s="7" customFormat="1" x14ac:dyDescent="0.8">
      <c r="A9" s="288" t="s">
        <v>64</v>
      </c>
      <c r="B9" s="11">
        <v>702</v>
      </c>
      <c r="C9" s="11">
        <v>6448</v>
      </c>
      <c r="D9" s="11">
        <v>0</v>
      </c>
      <c r="E9" s="11">
        <v>0</v>
      </c>
      <c r="F9" s="11">
        <v>0</v>
      </c>
      <c r="G9" s="985">
        <v>0</v>
      </c>
      <c r="H9" s="952">
        <f>-'Acquisition Schedule'!H24</f>
        <v>25164</v>
      </c>
      <c r="I9" s="952">
        <f>-'Acquisition Schedule'!I24</f>
        <v>2781</v>
      </c>
      <c r="J9" s="952">
        <f>-'Acquisition Schedule'!J24</f>
        <v>14887</v>
      </c>
      <c r="K9" s="952">
        <f>-'Acquisition Schedule'!K24</f>
        <v>8752.8911456999995</v>
      </c>
      <c r="L9" s="952">
        <f>-'Acquisition Schedule'!L24</f>
        <v>1916.2196105282837</v>
      </c>
      <c r="M9" s="997">
        <f>-'Acquisition Schedule'!M24</f>
        <v>11329.492160717808</v>
      </c>
      <c r="N9" s="952">
        <f>-'Acquisition Schedule'!N24</f>
        <v>973.95482300728304</v>
      </c>
      <c r="O9" s="952">
        <f>-'Acquisition Schedule'!O24</f>
        <v>4686.7762399234371</v>
      </c>
      <c r="P9" s="952">
        <f>-'Acquisition Schedule'!P24</f>
        <v>0</v>
      </c>
      <c r="Q9" s="952">
        <f>-'Acquisition Schedule'!Q24</f>
        <v>1721.4918670908551</v>
      </c>
      <c r="R9" s="952">
        <f>-'Acquisition Schedule'!R24</f>
        <v>1766.9306868044373</v>
      </c>
      <c r="S9" s="952">
        <f>-'Acquisition Schedule'!S24</f>
        <v>1640.668124105878</v>
      </c>
      <c r="T9" s="952">
        <f>-'Acquisition Schedule'!T24</f>
        <v>1672.3252670868721</v>
      </c>
      <c r="U9" s="952">
        <f>-'Acquisition Schedule'!U24</f>
        <v>1545.0044020041234</v>
      </c>
      <c r="V9" s="952">
        <f>-'Acquisition Schedule'!V24</f>
        <v>1566.0257426801718</v>
      </c>
      <c r="W9" s="952">
        <f>-'Acquisition Schedule'!W24</f>
        <v>1476.979757331718</v>
      </c>
      <c r="X9" s="952">
        <f>-'Acquisition Schedule'!X24</f>
        <v>1490.8549500738079</v>
      </c>
      <c r="Y9" s="952">
        <f>-'Acquisition Schedule'!Y24</f>
        <v>1424.9694927177125</v>
      </c>
      <c r="Z9" s="952">
        <f>-'Acquisition Schedule'!Z24</f>
        <v>1427.1117587976046</v>
      </c>
      <c r="AA9" s="952">
        <f>-'Acquisition Schedule'!AA24</f>
        <v>1376.351045253125</v>
      </c>
      <c r="AB9" s="952">
        <f>-'Acquisition Schedule'!AB24</f>
        <v>1336.1693073628728</v>
      </c>
      <c r="AC9" s="952">
        <f>-'Acquisition Schedule'!AC24</f>
        <v>1288.2669977547041</v>
      </c>
      <c r="AD9" s="952">
        <f>-'Acquisition Schedule'!AD24</f>
        <v>1250.0792305782688</v>
      </c>
      <c r="AE9" s="952">
        <f>-'Acquisition Schedule'!AE24</f>
        <v>1207.3940555423433</v>
      </c>
      <c r="AF9" s="952">
        <f>-'Acquisition Schedule'!AF24</f>
        <v>1171.5455201408661</v>
      </c>
      <c r="AG9" s="952">
        <f>-'Acquisition Schedule'!AG24</f>
        <v>1133.2546599192383</v>
      </c>
      <c r="AH9" s="952">
        <f>-'Acquisition Schedule'!AH24</f>
        <v>1099.8781777480547</v>
      </c>
      <c r="AI9" s="952">
        <f>-'Acquisition Schedule'!AI24</f>
        <v>1065.3545743280367</v>
      </c>
      <c r="AJ9" s="952">
        <f>-'Acquisition Schedule'!AJ24</f>
        <v>1034.4511613927843</v>
      </c>
      <c r="AK9" s="952">
        <f>-'Acquisition Schedule'!AK24</f>
        <v>1004.8527679403719</v>
      </c>
      <c r="AL9" s="952">
        <f>-'Acquisition Schedule'!AL24</f>
        <v>976.66711439919663</v>
      </c>
      <c r="AM9" s="952">
        <f>-'Acquisition Schedule'!AM24</f>
        <v>949.67778756755092</v>
      </c>
      <c r="AN9" s="952">
        <f>-'Acquisition Schedule'!AN24</f>
        <v>923.95131365125792</v>
      </c>
      <c r="AO9" s="956">
        <f>-'Acquisition Schedule'!AO24</f>
        <v>899.32634581296475</v>
      </c>
    </row>
    <row r="10" spans="1:41" s="7" customFormat="1" x14ac:dyDescent="0.8">
      <c r="A10" s="288" t="s">
        <v>65</v>
      </c>
      <c r="B10" s="11">
        <v>0</v>
      </c>
      <c r="C10" s="11">
        <v>0</v>
      </c>
      <c r="D10" s="11">
        <v>1342</v>
      </c>
      <c r="E10" s="11">
        <v>7</v>
      </c>
      <c r="F10" s="289">
        <v>1903</v>
      </c>
      <c r="G10" s="985">
        <v>454</v>
      </c>
      <c r="H10" s="952">
        <v>0</v>
      </c>
      <c r="I10" s="952">
        <v>0</v>
      </c>
      <c r="J10" s="952">
        <v>0</v>
      </c>
      <c r="K10" s="952">
        <v>0</v>
      </c>
      <c r="L10" s="952">
        <v>0</v>
      </c>
      <c r="M10" s="997">
        <v>0</v>
      </c>
      <c r="N10" s="952">
        <v>0</v>
      </c>
      <c r="O10" s="952">
        <v>0</v>
      </c>
      <c r="P10" s="952">
        <v>0</v>
      </c>
      <c r="Q10" s="952">
        <v>0</v>
      </c>
      <c r="R10" s="952">
        <v>0</v>
      </c>
      <c r="S10" s="952">
        <v>0</v>
      </c>
      <c r="T10" s="952">
        <v>0</v>
      </c>
      <c r="U10" s="952">
        <v>0</v>
      </c>
      <c r="V10" s="952">
        <v>0</v>
      </c>
      <c r="W10" s="952">
        <v>0</v>
      </c>
      <c r="X10" s="952">
        <v>0</v>
      </c>
      <c r="Y10" s="952">
        <v>0</v>
      </c>
      <c r="Z10" s="952">
        <v>0</v>
      </c>
      <c r="AA10" s="952">
        <v>0</v>
      </c>
      <c r="AB10" s="952">
        <v>0</v>
      </c>
      <c r="AC10" s="952">
        <v>0</v>
      </c>
      <c r="AD10" s="952">
        <v>0</v>
      </c>
      <c r="AE10" s="952">
        <v>0</v>
      </c>
      <c r="AF10" s="952">
        <v>0</v>
      </c>
      <c r="AG10" s="952">
        <v>0</v>
      </c>
      <c r="AH10" s="952">
        <v>0</v>
      </c>
      <c r="AI10" s="952">
        <v>0</v>
      </c>
      <c r="AJ10" s="952">
        <v>0</v>
      </c>
      <c r="AK10" s="952">
        <v>0</v>
      </c>
      <c r="AL10" s="952">
        <v>0</v>
      </c>
      <c r="AM10" s="952">
        <v>0</v>
      </c>
      <c r="AN10" s="952">
        <v>0</v>
      </c>
      <c r="AO10" s="956">
        <v>0</v>
      </c>
    </row>
    <row r="11" spans="1:41" s="7" customFormat="1" x14ac:dyDescent="0.8">
      <c r="A11" s="288" t="s">
        <v>66</v>
      </c>
      <c r="B11" s="11">
        <v>-4395</v>
      </c>
      <c r="C11" s="11">
        <v>1322</v>
      </c>
      <c r="D11" s="11">
        <v>1295</v>
      </c>
      <c r="E11" s="11">
        <v>1724</v>
      </c>
      <c r="F11" s="11">
        <v>2852</v>
      </c>
      <c r="G11" s="985">
        <v>1576</v>
      </c>
      <c r="H11" s="952">
        <v>0</v>
      </c>
      <c r="I11" s="952">
        <v>0</v>
      </c>
      <c r="J11" s="952">
        <v>0</v>
      </c>
      <c r="K11" s="952">
        <v>0</v>
      </c>
      <c r="L11" s="952">
        <v>0</v>
      </c>
      <c r="M11" s="997">
        <v>0</v>
      </c>
      <c r="N11" s="952">
        <v>0</v>
      </c>
      <c r="O11" s="952">
        <v>0</v>
      </c>
      <c r="P11" s="952">
        <v>0</v>
      </c>
      <c r="Q11" s="952">
        <v>0</v>
      </c>
      <c r="R11" s="952">
        <v>0</v>
      </c>
      <c r="S11" s="952">
        <v>0</v>
      </c>
      <c r="T11" s="952">
        <v>0</v>
      </c>
      <c r="U11" s="952">
        <v>0</v>
      </c>
      <c r="V11" s="952">
        <v>0</v>
      </c>
      <c r="W11" s="952">
        <v>0</v>
      </c>
      <c r="X11" s="952">
        <v>0</v>
      </c>
      <c r="Y11" s="952">
        <v>0</v>
      </c>
      <c r="Z11" s="952">
        <v>0</v>
      </c>
      <c r="AA11" s="952">
        <v>0</v>
      </c>
      <c r="AB11" s="952">
        <v>0</v>
      </c>
      <c r="AC11" s="952">
        <v>0</v>
      </c>
      <c r="AD11" s="952">
        <v>0</v>
      </c>
      <c r="AE11" s="952">
        <v>0</v>
      </c>
      <c r="AF11" s="952">
        <v>0</v>
      </c>
      <c r="AG11" s="952">
        <v>0</v>
      </c>
      <c r="AH11" s="952">
        <v>0</v>
      </c>
      <c r="AI11" s="952">
        <v>0</v>
      </c>
      <c r="AJ11" s="952">
        <v>0</v>
      </c>
      <c r="AK11" s="952">
        <v>0</v>
      </c>
      <c r="AL11" s="952">
        <v>0</v>
      </c>
      <c r="AM11" s="952">
        <v>0</v>
      </c>
      <c r="AN11" s="952">
        <v>0</v>
      </c>
      <c r="AO11" s="956">
        <v>0</v>
      </c>
    </row>
    <row r="12" spans="1:41" s="7" customFormat="1" x14ac:dyDescent="0.8">
      <c r="A12" s="288" t="s">
        <v>67</v>
      </c>
      <c r="B12" s="11">
        <v>3398</v>
      </c>
      <c r="C12" s="11">
        <v>3779</v>
      </c>
      <c r="D12" s="11">
        <v>3451</v>
      </c>
      <c r="E12" s="11">
        <v>2785</v>
      </c>
      <c r="F12" s="11">
        <v>2867</v>
      </c>
      <c r="G12" s="985">
        <v>3343</v>
      </c>
      <c r="H12" s="952">
        <v>0</v>
      </c>
      <c r="I12" s="952">
        <v>0</v>
      </c>
      <c r="J12" s="952">
        <v>0</v>
      </c>
      <c r="K12" s="952">
        <v>0</v>
      </c>
      <c r="L12" s="952">
        <v>0</v>
      </c>
      <c r="M12" s="997">
        <v>0</v>
      </c>
      <c r="N12" s="952">
        <v>0</v>
      </c>
      <c r="O12" s="952">
        <v>0</v>
      </c>
      <c r="P12" s="952">
        <v>0</v>
      </c>
      <c r="Q12" s="952">
        <v>0</v>
      </c>
      <c r="R12" s="952">
        <v>0</v>
      </c>
      <c r="S12" s="952">
        <v>0</v>
      </c>
      <c r="T12" s="952">
        <v>0</v>
      </c>
      <c r="U12" s="952">
        <v>0</v>
      </c>
      <c r="V12" s="952">
        <v>0</v>
      </c>
      <c r="W12" s="952">
        <v>0</v>
      </c>
      <c r="X12" s="952">
        <v>0</v>
      </c>
      <c r="Y12" s="952">
        <v>0</v>
      </c>
      <c r="Z12" s="952">
        <v>0</v>
      </c>
      <c r="AA12" s="952">
        <v>0</v>
      </c>
      <c r="AB12" s="952">
        <v>0</v>
      </c>
      <c r="AC12" s="952">
        <v>0</v>
      </c>
      <c r="AD12" s="952">
        <v>0</v>
      </c>
      <c r="AE12" s="952">
        <v>0</v>
      </c>
      <c r="AF12" s="952">
        <v>0</v>
      </c>
      <c r="AG12" s="952">
        <v>0</v>
      </c>
      <c r="AH12" s="952">
        <v>0</v>
      </c>
      <c r="AI12" s="952">
        <v>0</v>
      </c>
      <c r="AJ12" s="952">
        <v>0</v>
      </c>
      <c r="AK12" s="952">
        <v>0</v>
      </c>
      <c r="AL12" s="952">
        <v>0</v>
      </c>
      <c r="AM12" s="952">
        <v>0</v>
      </c>
      <c r="AN12" s="952">
        <v>0</v>
      </c>
      <c r="AO12" s="956">
        <v>0</v>
      </c>
    </row>
    <row r="13" spans="1:41" s="7" customFormat="1" x14ac:dyDescent="0.8">
      <c r="A13" s="288" t="s">
        <v>9</v>
      </c>
      <c r="B13" s="11">
        <v>-5398</v>
      </c>
      <c r="C13" s="11">
        <v>1696</v>
      </c>
      <c r="D13" s="11">
        <v>2495</v>
      </c>
      <c r="E13" s="11">
        <v>-551</v>
      </c>
      <c r="F13" s="11">
        <v>1340</v>
      </c>
      <c r="G13" s="985">
        <v>3768</v>
      </c>
      <c r="H13" s="12">
        <f>'Income Taxes'!I19</f>
        <v>2302.9950376583038</v>
      </c>
      <c r="I13" s="12">
        <f>'Income Taxes'!J19</f>
        <v>2425.5524892822577</v>
      </c>
      <c r="J13" s="12">
        <f>'Income Taxes'!K19</f>
        <v>-869.3956620691315</v>
      </c>
      <c r="K13" s="12">
        <f>'Income Taxes'!L19</f>
        <v>-648.71391680142551</v>
      </c>
      <c r="L13" s="12">
        <f>'Income Taxes'!M19</f>
        <v>1177.921638114447</v>
      </c>
      <c r="M13" s="986">
        <f>'Income Taxes'!N19</f>
        <v>5088.4359435949518</v>
      </c>
      <c r="N13" s="12">
        <f>'Income Taxes'!O19</f>
        <v>1734.0026915521739</v>
      </c>
      <c r="O13" s="12">
        <f>'Income Taxes'!P19</f>
        <v>-790.33922168580102</v>
      </c>
      <c r="P13" s="12">
        <f>'Income Taxes'!Q19</f>
        <v>1314.0364503630499</v>
      </c>
      <c r="Q13" s="12">
        <f>'Income Taxes'!R19</f>
        <v>-424.32112804595636</v>
      </c>
      <c r="R13" s="12">
        <f>'Income Taxes'!S19</f>
        <v>129.80558592140369</v>
      </c>
      <c r="S13" s="12">
        <f>'Income Taxes'!T19</f>
        <v>-316.48797924385872</v>
      </c>
      <c r="T13" s="12">
        <f>'Income Taxes'!U19</f>
        <v>1062.8180390698399</v>
      </c>
      <c r="U13" s="12">
        <f>'Income Taxes'!V19</f>
        <v>312.78784163493765</v>
      </c>
      <c r="V13" s="12">
        <f>'Income Taxes'!W19</f>
        <v>1311.4910407129028</v>
      </c>
      <c r="W13" s="12">
        <f>'Income Taxes'!X19</f>
        <v>357.37968643852946</v>
      </c>
      <c r="X13" s="12">
        <f>'Income Taxes'!Y19</f>
        <v>705.08247570535605</v>
      </c>
      <c r="Y13" s="12">
        <f>'Income Taxes'!Z19</f>
        <v>642.47411172399916</v>
      </c>
      <c r="Z13" s="12">
        <f>'Income Taxes'!AA19</f>
        <v>708.69710016015779</v>
      </c>
      <c r="AA13" s="12">
        <f>'Income Taxes'!AB19</f>
        <v>772.78168851187002</v>
      </c>
      <c r="AB13" s="12">
        <f>'Income Taxes'!AC19</f>
        <v>765.49086638357221</v>
      </c>
      <c r="AC13" s="12">
        <f>'Income Taxes'!AD19</f>
        <v>633.74248517569322</v>
      </c>
      <c r="AD13" s="12">
        <f>'Income Taxes'!AE19</f>
        <v>580.132940505433</v>
      </c>
      <c r="AE13" s="12">
        <f>'Income Taxes'!AF19</f>
        <v>460.67001552251713</v>
      </c>
      <c r="AF13" s="12">
        <f>'Income Taxes'!AG19</f>
        <v>424.66698333142449</v>
      </c>
      <c r="AG13" s="12">
        <f>'Income Taxes'!AH19</f>
        <v>366.90912802070306</v>
      </c>
      <c r="AH13" s="12">
        <f>'Income Taxes'!AI19</f>
        <v>329.3440772169115</v>
      </c>
      <c r="AI13" s="12">
        <f>'Income Taxes'!AJ19</f>
        <v>196.422016310652</v>
      </c>
      <c r="AJ13" s="12">
        <f>'Income Taxes'!AK19</f>
        <v>187.97995339800946</v>
      </c>
      <c r="AK13" s="12">
        <f>'Income Taxes'!AL19</f>
        <v>179.23758478315995</v>
      </c>
      <c r="AL13" s="12">
        <f>'Income Taxes'!AM19</f>
        <v>171.49037380027767</v>
      </c>
      <c r="AM13" s="12">
        <f>'Income Taxes'!AN19</f>
        <v>163.62803675055784</v>
      </c>
      <c r="AN13" s="12">
        <f>'Income Taxes'!AO19</f>
        <v>156.55197271348425</v>
      </c>
      <c r="AO13" s="930">
        <f>'Income Taxes'!AP19</f>
        <v>149.46648856885895</v>
      </c>
    </row>
    <row r="14" spans="1:41" s="7" customFormat="1" x14ac:dyDescent="0.8">
      <c r="A14" s="288" t="s">
        <v>68</v>
      </c>
      <c r="B14" s="11">
        <v>-305</v>
      </c>
      <c r="C14" s="11">
        <v>-663</v>
      </c>
      <c r="D14" s="11">
        <v>38</v>
      </c>
      <c r="E14" s="11">
        <v>-152</v>
      </c>
      <c r="F14" s="11">
        <v>-105</v>
      </c>
      <c r="G14" s="985">
        <v>0</v>
      </c>
      <c r="H14" s="952">
        <v>0</v>
      </c>
      <c r="I14" s="952">
        <v>0</v>
      </c>
      <c r="J14" s="952">
        <v>0</v>
      </c>
      <c r="K14" s="952">
        <v>0</v>
      </c>
      <c r="L14" s="952">
        <v>0</v>
      </c>
      <c r="M14" s="997">
        <v>0</v>
      </c>
      <c r="N14" s="952">
        <v>0</v>
      </c>
      <c r="O14" s="952">
        <v>0</v>
      </c>
      <c r="P14" s="952">
        <v>0</v>
      </c>
      <c r="Q14" s="952">
        <v>0</v>
      </c>
      <c r="R14" s="952">
        <v>0</v>
      </c>
      <c r="S14" s="952">
        <v>0</v>
      </c>
      <c r="T14" s="952">
        <v>0</v>
      </c>
      <c r="U14" s="952">
        <v>0</v>
      </c>
      <c r="V14" s="952">
        <v>0</v>
      </c>
      <c r="W14" s="952">
        <v>0</v>
      </c>
      <c r="X14" s="952">
        <v>0</v>
      </c>
      <c r="Y14" s="952">
        <v>0</v>
      </c>
      <c r="Z14" s="952">
        <v>0</v>
      </c>
      <c r="AA14" s="952">
        <v>0</v>
      </c>
      <c r="AB14" s="952">
        <v>0</v>
      </c>
      <c r="AC14" s="952">
        <v>0</v>
      </c>
      <c r="AD14" s="952">
        <v>0</v>
      </c>
      <c r="AE14" s="952">
        <v>0</v>
      </c>
      <c r="AF14" s="952">
        <v>0</v>
      </c>
      <c r="AG14" s="952">
        <v>0</v>
      </c>
      <c r="AH14" s="952">
        <v>0</v>
      </c>
      <c r="AI14" s="952">
        <v>0</v>
      </c>
      <c r="AJ14" s="952">
        <v>0</v>
      </c>
      <c r="AK14" s="952">
        <v>0</v>
      </c>
      <c r="AL14" s="952">
        <v>0</v>
      </c>
      <c r="AM14" s="952">
        <v>0</v>
      </c>
      <c r="AN14" s="952">
        <v>0</v>
      </c>
      <c r="AO14" s="956">
        <v>0</v>
      </c>
    </row>
    <row r="15" spans="1:41" s="7" customFormat="1" x14ac:dyDescent="0.8">
      <c r="A15" s="288" t="s">
        <v>69</v>
      </c>
      <c r="B15" s="11">
        <v>217</v>
      </c>
      <c r="C15" s="11">
        <v>71</v>
      </c>
      <c r="D15" s="11">
        <v>0</v>
      </c>
      <c r="E15" s="11">
        <v>0</v>
      </c>
      <c r="F15" s="11">
        <v>0</v>
      </c>
      <c r="G15" s="985">
        <v>0</v>
      </c>
      <c r="H15" s="952">
        <v>0</v>
      </c>
      <c r="I15" s="952">
        <v>0</v>
      </c>
      <c r="J15" s="952">
        <v>0</v>
      </c>
      <c r="K15" s="952">
        <v>0</v>
      </c>
      <c r="L15" s="952">
        <v>0</v>
      </c>
      <c r="M15" s="997">
        <v>0</v>
      </c>
      <c r="N15" s="952">
        <v>0</v>
      </c>
      <c r="O15" s="952">
        <v>0</v>
      </c>
      <c r="P15" s="952">
        <v>0</v>
      </c>
      <c r="Q15" s="952">
        <v>0</v>
      </c>
      <c r="R15" s="952">
        <v>0</v>
      </c>
      <c r="S15" s="952">
        <v>0</v>
      </c>
      <c r="T15" s="952">
        <v>0</v>
      </c>
      <c r="U15" s="952">
        <v>0</v>
      </c>
      <c r="V15" s="952">
        <v>0</v>
      </c>
      <c r="W15" s="952">
        <v>0</v>
      </c>
      <c r="X15" s="952">
        <v>0</v>
      </c>
      <c r="Y15" s="952">
        <v>0</v>
      </c>
      <c r="Z15" s="952">
        <v>0</v>
      </c>
      <c r="AA15" s="952">
        <v>0</v>
      </c>
      <c r="AB15" s="952">
        <v>0</v>
      </c>
      <c r="AC15" s="952">
        <v>0</v>
      </c>
      <c r="AD15" s="952">
        <v>0</v>
      </c>
      <c r="AE15" s="952">
        <v>0</v>
      </c>
      <c r="AF15" s="952">
        <v>0</v>
      </c>
      <c r="AG15" s="952">
        <v>0</v>
      </c>
      <c r="AH15" s="952">
        <v>0</v>
      </c>
      <c r="AI15" s="952">
        <v>0</v>
      </c>
      <c r="AJ15" s="952">
        <v>0</v>
      </c>
      <c r="AK15" s="952">
        <v>0</v>
      </c>
      <c r="AL15" s="952">
        <v>0</v>
      </c>
      <c r="AM15" s="952">
        <v>0</v>
      </c>
      <c r="AN15" s="952">
        <v>0</v>
      </c>
      <c r="AO15" s="956">
        <v>0</v>
      </c>
    </row>
    <row r="16" spans="1:41" s="7" customFormat="1" x14ac:dyDescent="0.8">
      <c r="A16" s="288" t="s">
        <v>70</v>
      </c>
      <c r="B16" s="11">
        <v>-358</v>
      </c>
      <c r="C16" s="11">
        <v>-217</v>
      </c>
      <c r="D16" s="11">
        <v>-362</v>
      </c>
      <c r="E16" s="11">
        <v>0</v>
      </c>
      <c r="F16" s="11">
        <v>0</v>
      </c>
      <c r="G16" s="985">
        <v>0</v>
      </c>
      <c r="H16" s="952">
        <v>0</v>
      </c>
      <c r="I16" s="952">
        <v>0</v>
      </c>
      <c r="J16" s="952">
        <v>0</v>
      </c>
      <c r="K16" s="952">
        <v>0</v>
      </c>
      <c r="L16" s="952">
        <v>0</v>
      </c>
      <c r="M16" s="997">
        <v>0</v>
      </c>
      <c r="N16" s="952">
        <v>0</v>
      </c>
      <c r="O16" s="952">
        <v>0</v>
      </c>
      <c r="P16" s="952">
        <v>0</v>
      </c>
      <c r="Q16" s="952">
        <v>0</v>
      </c>
      <c r="R16" s="952">
        <v>0</v>
      </c>
      <c r="S16" s="952">
        <v>0</v>
      </c>
      <c r="T16" s="952">
        <v>0</v>
      </c>
      <c r="U16" s="952">
        <v>0</v>
      </c>
      <c r="V16" s="952">
        <v>0</v>
      </c>
      <c r="W16" s="952">
        <v>0</v>
      </c>
      <c r="X16" s="952">
        <v>0</v>
      </c>
      <c r="Y16" s="952">
        <v>0</v>
      </c>
      <c r="Z16" s="952">
        <v>0</v>
      </c>
      <c r="AA16" s="952">
        <v>0</v>
      </c>
      <c r="AB16" s="952">
        <v>0</v>
      </c>
      <c r="AC16" s="952">
        <v>0</v>
      </c>
      <c r="AD16" s="952">
        <v>0</v>
      </c>
      <c r="AE16" s="952">
        <v>0</v>
      </c>
      <c r="AF16" s="952">
        <v>0</v>
      </c>
      <c r="AG16" s="952">
        <v>0</v>
      </c>
      <c r="AH16" s="952">
        <v>0</v>
      </c>
      <c r="AI16" s="952">
        <v>0</v>
      </c>
      <c r="AJ16" s="952">
        <v>0</v>
      </c>
      <c r="AK16" s="952">
        <v>0</v>
      </c>
      <c r="AL16" s="952">
        <v>0</v>
      </c>
      <c r="AM16" s="952">
        <v>0</v>
      </c>
      <c r="AN16" s="952">
        <v>0</v>
      </c>
      <c r="AO16" s="956">
        <v>0</v>
      </c>
    </row>
    <row r="17" spans="1:16379" s="7" customFormat="1" x14ac:dyDescent="0.8">
      <c r="A17" s="288" t="s">
        <v>100</v>
      </c>
      <c r="B17" s="11">
        <v>0</v>
      </c>
      <c r="C17" s="11">
        <v>0</v>
      </c>
      <c r="D17" s="11">
        <v>0</v>
      </c>
      <c r="E17" s="11">
        <v>312</v>
      </c>
      <c r="F17" s="11">
        <v>-5033</v>
      </c>
      <c r="G17" s="985">
        <v>214</v>
      </c>
      <c r="H17" s="952">
        <v>0</v>
      </c>
      <c r="I17" s="952">
        <v>0</v>
      </c>
      <c r="J17" s="952">
        <v>0</v>
      </c>
      <c r="K17" s="952">
        <v>0</v>
      </c>
      <c r="L17" s="952">
        <v>0</v>
      </c>
      <c r="M17" s="997">
        <v>0</v>
      </c>
      <c r="N17" s="952">
        <v>0</v>
      </c>
      <c r="O17" s="952">
        <v>0</v>
      </c>
      <c r="P17" s="952">
        <v>0</v>
      </c>
      <c r="Q17" s="952">
        <v>0</v>
      </c>
      <c r="R17" s="952">
        <v>0</v>
      </c>
      <c r="S17" s="952">
        <v>0</v>
      </c>
      <c r="T17" s="952">
        <v>0</v>
      </c>
      <c r="U17" s="952">
        <v>0</v>
      </c>
      <c r="V17" s="952">
        <v>0</v>
      </c>
      <c r="W17" s="952">
        <v>0</v>
      </c>
      <c r="X17" s="952">
        <v>0</v>
      </c>
      <c r="Y17" s="952">
        <v>0</v>
      </c>
      <c r="Z17" s="952">
        <v>0</v>
      </c>
      <c r="AA17" s="952">
        <v>0</v>
      </c>
      <c r="AB17" s="952">
        <v>0</v>
      </c>
      <c r="AC17" s="952">
        <v>0</v>
      </c>
      <c r="AD17" s="952">
        <v>0</v>
      </c>
      <c r="AE17" s="952">
        <v>0</v>
      </c>
      <c r="AF17" s="952">
        <v>0</v>
      </c>
      <c r="AG17" s="952">
        <v>0</v>
      </c>
      <c r="AH17" s="952">
        <v>0</v>
      </c>
      <c r="AI17" s="952">
        <v>0</v>
      </c>
      <c r="AJ17" s="952">
        <v>0</v>
      </c>
      <c r="AK17" s="952">
        <v>0</v>
      </c>
      <c r="AL17" s="952">
        <v>0</v>
      </c>
      <c r="AM17" s="952">
        <v>0</v>
      </c>
      <c r="AN17" s="952">
        <v>0</v>
      </c>
      <c r="AO17" s="956">
        <v>0</v>
      </c>
    </row>
    <row r="18" spans="1:16379" s="7" customFormat="1" x14ac:dyDescent="0.8">
      <c r="A18" s="288" t="s">
        <v>71</v>
      </c>
      <c r="B18" s="11">
        <v>3442</v>
      </c>
      <c r="C18" s="11">
        <v>-1212</v>
      </c>
      <c r="D18" s="11">
        <v>220</v>
      </c>
      <c r="E18" s="11">
        <v>0</v>
      </c>
      <c r="F18" s="11">
        <v>0</v>
      </c>
      <c r="G18" s="985">
        <v>0</v>
      </c>
      <c r="H18" s="952">
        <v>0</v>
      </c>
      <c r="I18" s="952">
        <v>0</v>
      </c>
      <c r="J18" s="952">
        <v>0</v>
      </c>
      <c r="K18" s="952">
        <v>0</v>
      </c>
      <c r="L18" s="952">
        <v>0</v>
      </c>
      <c r="M18" s="997">
        <v>0</v>
      </c>
      <c r="N18" s="952">
        <v>0</v>
      </c>
      <c r="O18" s="952">
        <v>0</v>
      </c>
      <c r="P18" s="952">
        <v>0</v>
      </c>
      <c r="Q18" s="952">
        <v>0</v>
      </c>
      <c r="R18" s="952">
        <v>0</v>
      </c>
      <c r="S18" s="952">
        <v>0</v>
      </c>
      <c r="T18" s="952">
        <v>0</v>
      </c>
      <c r="U18" s="952">
        <v>0</v>
      </c>
      <c r="V18" s="952">
        <v>0</v>
      </c>
      <c r="W18" s="952">
        <v>0</v>
      </c>
      <c r="X18" s="952">
        <v>0</v>
      </c>
      <c r="Y18" s="952">
        <v>0</v>
      </c>
      <c r="Z18" s="952">
        <v>0</v>
      </c>
      <c r="AA18" s="952">
        <v>0</v>
      </c>
      <c r="AB18" s="952">
        <v>0</v>
      </c>
      <c r="AC18" s="952">
        <v>0</v>
      </c>
      <c r="AD18" s="952">
        <v>0</v>
      </c>
      <c r="AE18" s="952">
        <v>0</v>
      </c>
      <c r="AF18" s="952">
        <v>0</v>
      </c>
      <c r="AG18" s="952">
        <v>0</v>
      </c>
      <c r="AH18" s="952">
        <v>0</v>
      </c>
      <c r="AI18" s="952">
        <v>0</v>
      </c>
      <c r="AJ18" s="952">
        <v>0</v>
      </c>
      <c r="AK18" s="952">
        <v>0</v>
      </c>
      <c r="AL18" s="952">
        <v>0</v>
      </c>
      <c r="AM18" s="952">
        <v>0</v>
      </c>
      <c r="AN18" s="952">
        <v>0</v>
      </c>
      <c r="AO18" s="956">
        <v>0</v>
      </c>
    </row>
    <row r="19" spans="1:16379" s="7" customFormat="1" x14ac:dyDescent="0.8">
      <c r="A19" s="219" t="s">
        <v>72</v>
      </c>
      <c r="B19" s="11"/>
      <c r="C19" s="11"/>
      <c r="D19" s="11"/>
      <c r="E19" s="11"/>
      <c r="F19" s="11"/>
      <c r="G19" s="985"/>
      <c r="H19" s="952"/>
      <c r="I19" s="952"/>
      <c r="J19" s="952"/>
      <c r="K19" s="952"/>
      <c r="L19" s="952"/>
      <c r="M19" s="194"/>
      <c r="AO19" s="172"/>
    </row>
    <row r="20" spans="1:16379" s="7" customFormat="1" x14ac:dyDescent="0.8">
      <c r="A20" s="288" t="s">
        <v>73</v>
      </c>
      <c r="B20" s="11">
        <v>-15279</v>
      </c>
      <c r="C20" s="11">
        <v>-2795</v>
      </c>
      <c r="D20" s="11">
        <v>-487</v>
      </c>
      <c r="E20" s="11">
        <v>-14755</v>
      </c>
      <c r="F20" s="11">
        <v>-7342</v>
      </c>
      <c r="G20" s="985">
        <v>-2238</v>
      </c>
      <c r="H20" s="167">
        <f>-('Balance Sheet '!H11-'Balance Sheet '!G11)</f>
        <v>0</v>
      </c>
      <c r="I20" s="157">
        <f>-('Balance Sheet '!I11-'Balance Sheet '!H11)</f>
        <v>-3972.3273796926806</v>
      </c>
      <c r="J20" s="157">
        <f>-('Balance Sheet '!J11-'Balance Sheet '!I11)</f>
        <v>0</v>
      </c>
      <c r="K20" s="157">
        <f>-('Balance Sheet '!K11-'Balance Sheet '!J11)</f>
        <v>-701.40611876305047</v>
      </c>
      <c r="L20" s="157">
        <f>-('Balance Sheet '!L11-'Balance Sheet '!K11)</f>
        <v>0</v>
      </c>
      <c r="M20" s="991">
        <f>-('Balance Sheet '!M11-'Balance Sheet '!L11)</f>
        <v>290.16882656649977</v>
      </c>
      <c r="N20" s="157">
        <f>-('Balance Sheet '!N11-'Balance Sheet '!M11)</f>
        <v>0</v>
      </c>
      <c r="O20" s="157">
        <f>-('Balance Sheet '!O11-'Balance Sheet '!N11)</f>
        <v>3715.4988039510208</v>
      </c>
      <c r="P20" s="157">
        <f>-('Balance Sheet '!P11-'Balance Sheet '!O11)</f>
        <v>0</v>
      </c>
      <c r="Q20" s="157">
        <f>-('Balance Sheet '!Q11-'Balance Sheet '!P11)</f>
        <v>2093.9332897487766</v>
      </c>
      <c r="R20" s="157">
        <f>-('Balance Sheet '!R11-'Balance Sheet '!Q11)</f>
        <v>0</v>
      </c>
      <c r="S20" s="157">
        <f>-('Balance Sheet '!S11-'Balance Sheet '!R11)</f>
        <v>2352.762806868297</v>
      </c>
      <c r="T20" s="157">
        <f>-('Balance Sheet '!T11-'Balance Sheet '!S11)</f>
        <v>0</v>
      </c>
      <c r="U20" s="157">
        <f>-('Balance Sheet '!U11-'Balance Sheet '!T11)</f>
        <v>1663.7802096875239</v>
      </c>
      <c r="V20" s="157">
        <f>-('Balance Sheet '!V11-'Balance Sheet '!U11)</f>
        <v>0</v>
      </c>
      <c r="W20" s="157">
        <f>-('Balance Sheet '!W11-'Balance Sheet '!V11)</f>
        <v>1410.8493002466312</v>
      </c>
      <c r="X20" s="157">
        <f>-('Balance Sheet '!X11-'Balance Sheet '!W11)</f>
        <v>0</v>
      </c>
      <c r="Y20" s="157">
        <f>-('Balance Sheet '!Y11-'Balance Sheet '!X11)</f>
        <v>0</v>
      </c>
      <c r="Z20" s="157">
        <f>-('Balance Sheet '!Z11-'Balance Sheet '!Y11)</f>
        <v>0</v>
      </c>
      <c r="AA20" s="157">
        <f>-('Balance Sheet '!AA11-'Balance Sheet '!Z11)</f>
        <v>0</v>
      </c>
      <c r="AB20" s="157">
        <f>-('Balance Sheet '!AB11-'Balance Sheet '!AA11)</f>
        <v>0</v>
      </c>
      <c r="AC20" s="157">
        <f>-('Balance Sheet '!AC11-'Balance Sheet '!AB11)</f>
        <v>0</v>
      </c>
      <c r="AD20" s="157">
        <f>-('Balance Sheet '!AD11-'Balance Sheet '!AC11)</f>
        <v>0</v>
      </c>
      <c r="AE20" s="157">
        <f>-('Balance Sheet '!AE11-'Balance Sheet '!AD11)</f>
        <v>0</v>
      </c>
      <c r="AF20" s="157">
        <f>-('Balance Sheet '!AF11-'Balance Sheet '!AE11)</f>
        <v>0</v>
      </c>
      <c r="AG20" s="157">
        <f>-('Balance Sheet '!AG11-'Balance Sheet '!AF11)</f>
        <v>0</v>
      </c>
      <c r="AH20" s="157">
        <f>-('Balance Sheet '!AH11-'Balance Sheet '!AG11)</f>
        <v>0</v>
      </c>
      <c r="AI20" s="157">
        <f>-('Balance Sheet '!AI11-'Balance Sheet '!AH11)</f>
        <v>0</v>
      </c>
      <c r="AJ20" s="157">
        <f>-('Balance Sheet '!AJ11-'Balance Sheet '!AI11)</f>
        <v>0</v>
      </c>
      <c r="AK20" s="157">
        <f>-('Balance Sheet '!AK11-'Balance Sheet '!AJ11)</f>
        <v>0</v>
      </c>
      <c r="AL20" s="157">
        <f>-('Balance Sheet '!AL11-'Balance Sheet '!AK11)</f>
        <v>0</v>
      </c>
      <c r="AM20" s="157">
        <f>-('Balance Sheet '!AM11-'Balance Sheet '!AL11)</f>
        <v>0</v>
      </c>
      <c r="AN20" s="157">
        <f>-('Balance Sheet '!AN11-'Balance Sheet '!AM11)</f>
        <v>0</v>
      </c>
      <c r="AO20" s="315">
        <f>-('Balance Sheet '!AO11-'Balance Sheet '!AN11)</f>
        <v>0</v>
      </c>
    </row>
    <row r="21" spans="1:16379" s="7" customFormat="1" x14ac:dyDescent="0.8">
      <c r="A21" s="288" t="s">
        <v>74</v>
      </c>
      <c r="B21" s="11">
        <v>-3403</v>
      </c>
      <c r="C21" s="11">
        <v>-13420</v>
      </c>
      <c r="D21" s="11">
        <v>-839</v>
      </c>
      <c r="E21" s="11">
        <v>-6296</v>
      </c>
      <c r="F21" s="11">
        <v>-2203</v>
      </c>
      <c r="G21" s="985">
        <v>-7702</v>
      </c>
      <c r="H21" s="167">
        <f>-('Balance Sheet '!H12-'Balance Sheet '!G12)</f>
        <v>0</v>
      </c>
      <c r="I21" s="157">
        <f>-('Balance Sheet '!I12-'Balance Sheet '!H12)</f>
        <v>-8478.4159261521418</v>
      </c>
      <c r="J21" s="157">
        <f>-('Balance Sheet '!J12-'Balance Sheet '!I12)</f>
        <v>0</v>
      </c>
      <c r="K21" s="157">
        <f>-('Balance Sheet '!K12-'Balance Sheet '!J12)</f>
        <v>-3099.0040580916975</v>
      </c>
      <c r="L21" s="157">
        <f>-('Balance Sheet '!L12-'Balance Sheet '!K12)</f>
        <v>0</v>
      </c>
      <c r="M21" s="991">
        <f>-('Balance Sheet '!M12-'Balance Sheet '!L12)</f>
        <v>-3243.1150098553335</v>
      </c>
      <c r="N21" s="157">
        <f>-('Balance Sheet '!N12-'Balance Sheet '!M12)</f>
        <v>0</v>
      </c>
      <c r="O21" s="157">
        <f>-('Balance Sheet '!O12-'Balance Sheet '!N12)</f>
        <v>-2756.2881416860619</v>
      </c>
      <c r="P21" s="157">
        <f>-('Balance Sheet '!P12-'Balance Sheet '!O12)</f>
        <v>0</v>
      </c>
      <c r="Q21" s="157">
        <f>-('Balance Sheet '!Q12-'Balance Sheet '!P12)</f>
        <v>-2068.0834795149858</v>
      </c>
      <c r="R21" s="157">
        <f>-('Balance Sheet '!R12-'Balance Sheet '!Q12)</f>
        <v>0</v>
      </c>
      <c r="S21" s="157">
        <f>-('Balance Sheet '!S12-'Balance Sheet '!R12)</f>
        <v>-1486.4413858413754</v>
      </c>
      <c r="T21" s="157">
        <f>-('Balance Sheet '!T12-'Balance Sheet '!S12)</f>
        <v>0</v>
      </c>
      <c r="U21" s="157">
        <f>-('Balance Sheet '!U12-'Balance Sheet '!T12)</f>
        <v>-1040.2812152645929</v>
      </c>
      <c r="V21" s="157">
        <f>-('Balance Sheet '!V12-'Balance Sheet '!U12)</f>
        <v>0</v>
      </c>
      <c r="W21" s="157">
        <f>-('Balance Sheet '!W12-'Balance Sheet '!V12)</f>
        <v>-168.04088806996879</v>
      </c>
      <c r="X21" s="157">
        <f>-('Balance Sheet '!X12-'Balance Sheet '!W12)</f>
        <v>0</v>
      </c>
      <c r="Y21" s="157">
        <f>-('Balance Sheet '!Y12-'Balance Sheet '!X12)</f>
        <v>0</v>
      </c>
      <c r="Z21" s="157">
        <f>-('Balance Sheet '!Z12-'Balance Sheet '!Y12)</f>
        <v>0</v>
      </c>
      <c r="AA21" s="157">
        <f>-('Balance Sheet '!AA12-'Balance Sheet '!Z12)</f>
        <v>0</v>
      </c>
      <c r="AB21" s="157">
        <f>-('Balance Sheet '!AB12-'Balance Sheet '!AA12)</f>
        <v>0</v>
      </c>
      <c r="AC21" s="157">
        <f>-('Balance Sheet '!AC12-'Balance Sheet '!AB12)</f>
        <v>0</v>
      </c>
      <c r="AD21" s="157">
        <f>-('Balance Sheet '!AD12-'Balance Sheet '!AC12)</f>
        <v>0</v>
      </c>
      <c r="AE21" s="157">
        <f>-('Balance Sheet '!AE12-'Balance Sheet '!AD12)</f>
        <v>0</v>
      </c>
      <c r="AF21" s="157">
        <f>-('Balance Sheet '!AF12-'Balance Sheet '!AE12)</f>
        <v>0</v>
      </c>
      <c r="AG21" s="157">
        <f>-('Balance Sheet '!AG12-'Balance Sheet '!AF12)</f>
        <v>0</v>
      </c>
      <c r="AH21" s="157">
        <f>-('Balance Sheet '!AH12-'Balance Sheet '!AG12)</f>
        <v>0</v>
      </c>
      <c r="AI21" s="157">
        <f>-('Balance Sheet '!AI12-'Balance Sheet '!AH12)</f>
        <v>0</v>
      </c>
      <c r="AJ21" s="157">
        <f>-('Balance Sheet '!AJ12-'Balance Sheet '!AI12)</f>
        <v>0</v>
      </c>
      <c r="AK21" s="157">
        <f>-('Balance Sheet '!AK12-'Balance Sheet '!AJ12)</f>
        <v>0</v>
      </c>
      <c r="AL21" s="157">
        <f>-('Balance Sheet '!AL12-'Balance Sheet '!AK12)</f>
        <v>0</v>
      </c>
      <c r="AM21" s="157">
        <f>-('Balance Sheet '!AM12-'Balance Sheet '!AL12)</f>
        <v>0</v>
      </c>
      <c r="AN21" s="157">
        <f>-('Balance Sheet '!AN12-'Balance Sheet '!AM12)</f>
        <v>0</v>
      </c>
      <c r="AO21" s="315">
        <f>-('Balance Sheet '!AO12-'Balance Sheet '!AN12)</f>
        <v>0</v>
      </c>
    </row>
    <row r="22" spans="1:16379" s="7" customFormat="1" x14ac:dyDescent="0.8">
      <c r="A22" s="288" t="s">
        <v>5</v>
      </c>
      <c r="B22" s="11">
        <v>488</v>
      </c>
      <c r="C22" s="11">
        <v>2842</v>
      </c>
      <c r="D22" s="11">
        <v>-3878</v>
      </c>
      <c r="E22" s="11">
        <v>-5518</v>
      </c>
      <c r="F22" s="11">
        <v>5103</v>
      </c>
      <c r="G22" s="985">
        <v>-1219</v>
      </c>
      <c r="H22" s="167">
        <f>-('Balance Sheet '!H13-'Balance Sheet '!G13)</f>
        <v>-490.23950957324723</v>
      </c>
      <c r="I22" s="157">
        <f>-('Balance Sheet '!I13-'Balance Sheet '!H13)</f>
        <v>-735.47162984309125</v>
      </c>
      <c r="J22" s="157">
        <f>-('Balance Sheet '!J13-'Balance Sheet '!I13)</f>
        <v>-224.18367154589032</v>
      </c>
      <c r="K22" s="157">
        <f>-('Balance Sheet '!K13-'Balance Sheet '!J13)</f>
        <v>-509.37596508449951</v>
      </c>
      <c r="L22" s="157">
        <f>-('Balance Sheet '!L13-'Balance Sheet '!K13)</f>
        <v>-104.82654061166886</v>
      </c>
      <c r="M22" s="991">
        <f>-('Balance Sheet '!M13-'Balance Sheet '!L13)</f>
        <v>-200.87598473162234</v>
      </c>
      <c r="N22" s="157">
        <f>-('Balance Sheet '!N13-'Balance Sheet '!M13)</f>
        <v>713.08096783229666</v>
      </c>
      <c r="O22" s="157">
        <f>-('Balance Sheet '!O13-'Balance Sheet '!N13)</f>
        <v>-151.90052315350567</v>
      </c>
      <c r="P22" s="157">
        <f>-('Balance Sheet '!P13-'Balance Sheet '!O13)</f>
        <v>422.09171473880724</v>
      </c>
      <c r="Q22" s="157">
        <f>-('Balance Sheet '!Q13-'Balance Sheet '!P13)</f>
        <v>-105.82881797259597</v>
      </c>
      <c r="R22" s="157">
        <f>-('Balance Sheet '!R13-'Balance Sheet '!Q13)</f>
        <v>425.62958581086059</v>
      </c>
      <c r="S22" s="157">
        <f>-('Balance Sheet '!S13-'Balance Sheet '!R13)</f>
        <v>-70.273670535621932</v>
      </c>
      <c r="T22" s="157">
        <f>-('Balance Sheet '!T13-'Balance Sheet '!S13)</f>
        <v>297.67788521818511</v>
      </c>
      <c r="U22" s="157">
        <f>-('Balance Sheet '!U13-'Balance Sheet '!T13)</f>
        <v>-46.38432621411539</v>
      </c>
      <c r="V22" s="157">
        <f>-('Balance Sheet '!V13-'Balance Sheet '!U13)</f>
        <v>220.25297980192317</v>
      </c>
      <c r="W22" s="157">
        <f>-('Balance Sheet '!W13-'Balance Sheet '!V13)</f>
        <v>-7.1615270889687963</v>
      </c>
      <c r="X22" s="157">
        <f>-('Balance Sheet '!X13-'Balance Sheet '!W13)</f>
        <v>169.69144426845378</v>
      </c>
      <c r="Y22" s="157">
        <f>-('Balance Sheet '!Y13-'Balance Sheet '!X13)</f>
        <v>134.32626650999646</v>
      </c>
      <c r="Z22" s="157">
        <f>-('Balance Sheet '!Z13-'Balance Sheet '!Y13)</f>
        <v>160.13589119628978</v>
      </c>
      <c r="AA22" s="157">
        <f>-('Balance Sheet '!AA13-'Balance Sheet '!Z13)</f>
        <v>127.66048609380778</v>
      </c>
      <c r="AB22" s="157">
        <f>-('Balance Sheet '!AB13-'Balance Sheet '!AA13)</f>
        <v>142.6951769373959</v>
      </c>
      <c r="AC22" s="157">
        <f>-('Balance Sheet '!AC13-'Balance Sheet '!AB13)</f>
        <v>119.8405089765929</v>
      </c>
      <c r="AD22" s="157">
        <f>-('Balance Sheet '!AD13-'Balance Sheet '!AC13)</f>
        <v>128.00512285147261</v>
      </c>
      <c r="AE22" s="157">
        <f>-('Balance Sheet '!AE13-'Balance Sheet '!AD13)</f>
        <v>111.57651397602149</v>
      </c>
      <c r="AF22" s="157">
        <f>-('Balance Sheet '!AF13-'Balance Sheet '!AE13)</f>
        <v>115.41130367603637</v>
      </c>
      <c r="AG22" s="157">
        <f>-('Balance Sheet '!AG13-'Balance Sheet '!AF13)</f>
        <v>103.30912250105075</v>
      </c>
      <c r="AH22" s="157">
        <f>-('Balance Sheet '!AH13-'Balance Sheet '!AG13)</f>
        <v>98.946484047446575</v>
      </c>
      <c r="AI22" s="157">
        <f>-('Balance Sheet '!AI13-'Balance Sheet '!AH13)</f>
        <v>94.223739641904103</v>
      </c>
      <c r="AJ22" s="157">
        <f>-('Balance Sheet '!AJ13-'Balance Sheet '!AI13)</f>
        <v>90.224457658227493</v>
      </c>
      <c r="AK22" s="157">
        <f>-('Balance Sheet '!AK13-'Balance Sheet '!AJ13)</f>
        <v>86.002780693086152</v>
      </c>
      <c r="AL22" s="157">
        <f>-('Balance Sheet '!AL13-'Balance Sheet '!AK13)</f>
        <v>82.320481052392097</v>
      </c>
      <c r="AM22" s="157">
        <f>-('Balance Sheet '!AM13-'Balance Sheet '!AL13)</f>
        <v>78.531935395697928</v>
      </c>
      <c r="AN22" s="157">
        <f>-('Balance Sheet '!AN13-'Balance Sheet '!AM13)</f>
        <v>75.153032334755153</v>
      </c>
      <c r="AO22" s="315">
        <f>-('Balance Sheet '!AO13-'Balance Sheet '!AN13)</f>
        <v>71.742581633111058</v>
      </c>
    </row>
    <row r="23" spans="1:16379" s="7" customFormat="1" x14ac:dyDescent="0.8">
      <c r="A23" s="288" t="s">
        <v>10</v>
      </c>
      <c r="B23" s="11">
        <v>-889</v>
      </c>
      <c r="C23" s="11">
        <v>540</v>
      </c>
      <c r="D23" s="11">
        <v>832</v>
      </c>
      <c r="E23" s="11">
        <v>-968</v>
      </c>
      <c r="F23" s="11">
        <v>828</v>
      </c>
      <c r="G23" s="985">
        <v>-101</v>
      </c>
      <c r="H23" s="945">
        <v>0</v>
      </c>
      <c r="I23" s="945">
        <v>0</v>
      </c>
      <c r="J23" s="945">
        <v>0</v>
      </c>
      <c r="K23" s="945">
        <v>0</v>
      </c>
      <c r="L23" s="945">
        <v>0</v>
      </c>
      <c r="M23" s="998">
        <v>0</v>
      </c>
      <c r="N23" s="945">
        <v>0</v>
      </c>
      <c r="O23" s="945">
        <v>0</v>
      </c>
      <c r="P23" s="945">
        <v>0</v>
      </c>
      <c r="Q23" s="945">
        <v>0</v>
      </c>
      <c r="R23" s="945">
        <v>0</v>
      </c>
      <c r="S23" s="945">
        <v>0</v>
      </c>
      <c r="T23" s="945">
        <v>0</v>
      </c>
      <c r="U23" s="945">
        <v>0</v>
      </c>
      <c r="V23" s="945">
        <v>0</v>
      </c>
      <c r="W23" s="945">
        <v>0</v>
      </c>
      <c r="X23" s="945">
        <v>0</v>
      </c>
      <c r="Y23" s="945">
        <v>0</v>
      </c>
      <c r="Z23" s="945">
        <v>0</v>
      </c>
      <c r="AA23" s="945">
        <v>0</v>
      </c>
      <c r="AB23" s="945">
        <v>0</v>
      </c>
      <c r="AC23" s="945">
        <v>0</v>
      </c>
      <c r="AD23" s="945">
        <v>0</v>
      </c>
      <c r="AE23" s="945">
        <v>0</v>
      </c>
      <c r="AF23" s="945">
        <v>0</v>
      </c>
      <c r="AG23" s="945">
        <v>0</v>
      </c>
      <c r="AH23" s="945">
        <v>0</v>
      </c>
      <c r="AI23" s="945">
        <v>0</v>
      </c>
      <c r="AJ23" s="945">
        <v>0</v>
      </c>
      <c r="AK23" s="945">
        <v>0</v>
      </c>
      <c r="AL23" s="945">
        <v>0</v>
      </c>
      <c r="AM23" s="945">
        <v>0</v>
      </c>
      <c r="AN23" s="945">
        <v>0</v>
      </c>
      <c r="AO23" s="1003">
        <v>0</v>
      </c>
    </row>
    <row r="24" spans="1:16379" s="7" customFormat="1" x14ac:dyDescent="0.8">
      <c r="A24" s="288" t="s">
        <v>17</v>
      </c>
      <c r="B24" s="11">
        <v>-1407</v>
      </c>
      <c r="C24" s="11">
        <v>-2006</v>
      </c>
      <c r="D24" s="11">
        <v>-1304</v>
      </c>
      <c r="E24" s="11">
        <v>2067</v>
      </c>
      <c r="F24" s="11">
        <v>-2646</v>
      </c>
      <c r="G24" s="985">
        <v>-2173</v>
      </c>
      <c r="H24" s="167">
        <f>'Balance Sheet '!H27-'Balance Sheet '!G27</f>
        <v>207.50657401019816</v>
      </c>
      <c r="I24" s="157">
        <f>'Balance Sheet '!I27-'Balance Sheet '!H27</f>
        <v>866.22871408824176</v>
      </c>
      <c r="J24" s="157">
        <f>'Balance Sheet '!J27-'Balance Sheet '!I27</f>
        <v>-402.6435445725092</v>
      </c>
      <c r="K24" s="157">
        <f>'Balance Sheet '!K27-'Balance Sheet '!J27</f>
        <v>164.24095673627016</v>
      </c>
      <c r="L24" s="157">
        <f>'Balance Sheet '!L27-'Balance Sheet '!K27</f>
        <v>-661.08110789058082</v>
      </c>
      <c r="M24" s="991">
        <f>'Balance Sheet '!M27-'Balance Sheet '!L27</f>
        <v>172.96585678409792</v>
      </c>
      <c r="N24" s="157">
        <f>'Balance Sheet '!N27-'Balance Sheet '!M27</f>
        <v>-1461.8964327878839</v>
      </c>
      <c r="O24" s="157">
        <f>'Balance Sheet '!O27-'Balance Sheet '!N27</f>
        <v>271.9036188451355</v>
      </c>
      <c r="P24" s="157">
        <f>'Balance Sheet '!P27-'Balance Sheet '!O27</f>
        <v>-755.54884433182451</v>
      </c>
      <c r="Q24" s="157">
        <f>'Balance Sheet '!Q27-'Balance Sheet '!P27</f>
        <v>375.04620969558709</v>
      </c>
      <c r="R24" s="157">
        <f>'Balance Sheet '!R27-'Balance Sheet '!Q27</f>
        <v>-713.39190631872771</v>
      </c>
      <c r="S24" s="157">
        <f>'Balance Sheet '!S27-'Balance Sheet '!R27</f>
        <v>189.67630410291349</v>
      </c>
      <c r="T24" s="157">
        <f>'Balance Sheet '!T27-'Balance Sheet '!S27</f>
        <v>-495.06046682632586</v>
      </c>
      <c r="U24" s="157">
        <f>'Balance Sheet '!U27-'Balance Sheet '!T27</f>
        <v>138.97984065231685</v>
      </c>
      <c r="V24" s="157">
        <f>'Balance Sheet '!V27-'Balance Sheet '!U27</f>
        <v>-363.35286839453693</v>
      </c>
      <c r="W24" s="157">
        <f>'Balance Sheet '!W27-'Balance Sheet '!V27</f>
        <v>59.575122030564671</v>
      </c>
      <c r="X24" s="157">
        <f>'Balance Sheet '!X27-'Balance Sheet '!W27</f>
        <v>-277.97145043847377</v>
      </c>
      <c r="Y24" s="157">
        <f>'Balance Sheet '!Y27-'Balance Sheet '!X27</f>
        <v>-215.53809048760741</v>
      </c>
      <c r="Z24" s="157">
        <f>'Balance Sheet '!Z27-'Balance Sheet '!Y27</f>
        <v>-305.28971812700547</v>
      </c>
      <c r="AA24" s="157">
        <f>'Balance Sheet '!AA27-'Balance Sheet '!Z27</f>
        <v>-187.60845560739835</v>
      </c>
      <c r="AB24" s="157">
        <f>'Balance Sheet '!AB27-'Balance Sheet '!AA27</f>
        <v>-273.94429574782407</v>
      </c>
      <c r="AC24" s="157">
        <f>'Balance Sheet '!AC27-'Balance Sheet '!AB27</f>
        <v>-230.06820929944115</v>
      </c>
      <c r="AD24" s="157">
        <f>'Balance Sheet '!AD27-'Balance Sheet '!AC27</f>
        <v>-245.74252602135857</v>
      </c>
      <c r="AE24" s="157">
        <f>'Balance Sheet '!AE27-'Balance Sheet '!AD27</f>
        <v>-214.20310201912707</v>
      </c>
      <c r="AF24" s="157">
        <f>'Balance Sheet '!AF27-'Balance Sheet '!AE27</f>
        <v>-221.56508009195568</v>
      </c>
      <c r="AG24" s="157">
        <f>'Balance Sheet '!AG27-'Balance Sheet '!AF27</f>
        <v>-198.33147423260471</v>
      </c>
      <c r="AH24" s="157">
        <f>'Balance Sheet '!AH27-'Balance Sheet '!AG27</f>
        <v>-189.95613916925231</v>
      </c>
      <c r="AI24" s="157">
        <f>'Balance Sheet '!AI27-'Balance Sheet '!AH27</f>
        <v>-180.88947750667103</v>
      </c>
      <c r="AJ24" s="157">
        <f>'Balance Sheet '!AJ27-'Balance Sheet '!AI27</f>
        <v>-173.21170934359088</v>
      </c>
      <c r="AK24" s="157">
        <f>'Balance Sheet '!AK27-'Balance Sheet '!AJ27</f>
        <v>-165.10699026399834</v>
      </c>
      <c r="AL24" s="157">
        <f>'Balance Sheet '!AL27-'Balance Sheet '!AK27</f>
        <v>-158.03776057135565</v>
      </c>
      <c r="AM24" s="157">
        <f>'Balance Sheet '!AM27-'Balance Sheet '!AL27</f>
        <v>-150.76456119555314</v>
      </c>
      <c r="AN24" s="157">
        <f>'Balance Sheet '!AN27-'Balance Sheet '!AM27</f>
        <v>-144.27778820646563</v>
      </c>
      <c r="AO24" s="315">
        <f>'Balance Sheet '!AO27-'Balance Sheet '!AN27</f>
        <v>-137.73045047791584</v>
      </c>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57"/>
      <c r="CL24" s="157"/>
      <c r="CM24" s="157"/>
      <c r="CN24" s="157"/>
      <c r="CO24" s="157"/>
      <c r="CP24" s="157"/>
      <c r="CQ24" s="157"/>
      <c r="CR24" s="157"/>
      <c r="CS24" s="157"/>
      <c r="CT24" s="157"/>
      <c r="CU24" s="157"/>
      <c r="CV24" s="157"/>
      <c r="CW24" s="157"/>
      <c r="CX24" s="157"/>
      <c r="CY24" s="157"/>
      <c r="CZ24" s="157"/>
      <c r="DA24" s="157"/>
      <c r="DB24" s="157"/>
      <c r="DC24" s="157"/>
      <c r="DD24" s="157"/>
      <c r="DE24" s="157"/>
      <c r="DF24" s="157"/>
      <c r="DG24" s="157"/>
      <c r="DH24" s="157"/>
      <c r="DI24" s="157"/>
      <c r="DJ24" s="157"/>
      <c r="DK24" s="157"/>
      <c r="DL24" s="157"/>
      <c r="DM24" s="157"/>
      <c r="DN24" s="157"/>
      <c r="DO24" s="157"/>
      <c r="DP24" s="157"/>
      <c r="DQ24" s="157"/>
      <c r="DR24" s="157"/>
      <c r="DS24" s="157"/>
      <c r="DT24" s="157"/>
      <c r="DU24" s="157"/>
      <c r="DV24" s="157"/>
      <c r="DW24" s="157"/>
      <c r="DX24" s="157"/>
      <c r="DY24" s="157"/>
      <c r="DZ24" s="157"/>
      <c r="EA24" s="157"/>
      <c r="EB24" s="157"/>
      <c r="EC24" s="157"/>
      <c r="ED24" s="157"/>
      <c r="EE24" s="157"/>
      <c r="EF24" s="157"/>
      <c r="EG24" s="157"/>
      <c r="EH24" s="157"/>
      <c r="EI24" s="157"/>
      <c r="EJ24" s="157"/>
      <c r="EK24" s="157"/>
      <c r="EL24" s="157"/>
      <c r="EM24" s="157"/>
      <c r="EN24" s="157"/>
      <c r="EO24" s="157"/>
      <c r="EP24" s="157"/>
      <c r="EQ24" s="157"/>
      <c r="ER24" s="157"/>
      <c r="ES24" s="157"/>
      <c r="ET24" s="157"/>
      <c r="EU24" s="157"/>
      <c r="EV24" s="157"/>
      <c r="EW24" s="157"/>
      <c r="EX24" s="157"/>
      <c r="EY24" s="157"/>
      <c r="EZ24" s="157"/>
      <c r="FA24" s="157"/>
      <c r="FB24" s="157"/>
      <c r="FC24" s="157"/>
      <c r="FD24" s="157"/>
      <c r="FE24" s="157"/>
      <c r="FF24" s="157"/>
      <c r="FG24" s="157"/>
      <c r="FH24" s="157"/>
      <c r="FI24" s="157"/>
      <c r="FJ24" s="157"/>
      <c r="FK24" s="157"/>
      <c r="FL24" s="157"/>
      <c r="FM24" s="157"/>
      <c r="FN24" s="157"/>
      <c r="FO24" s="157"/>
      <c r="FP24" s="157"/>
      <c r="FQ24" s="157"/>
      <c r="FR24" s="157"/>
      <c r="FS24" s="157"/>
      <c r="FT24" s="157"/>
      <c r="FU24" s="157"/>
      <c r="FV24" s="157"/>
      <c r="FW24" s="157"/>
      <c r="FX24" s="157"/>
      <c r="FY24" s="157"/>
      <c r="FZ24" s="157"/>
      <c r="GA24" s="157"/>
      <c r="GB24" s="157"/>
      <c r="GC24" s="157"/>
      <c r="GD24" s="157"/>
      <c r="GE24" s="157"/>
      <c r="GF24" s="157"/>
      <c r="GG24" s="157"/>
      <c r="GH24" s="157"/>
      <c r="GI24" s="157"/>
      <c r="GJ24" s="157"/>
      <c r="GK24" s="157"/>
      <c r="GL24" s="157"/>
      <c r="GM24" s="157"/>
      <c r="GN24" s="157"/>
      <c r="GO24" s="157"/>
      <c r="GP24" s="157"/>
      <c r="GQ24" s="157"/>
      <c r="GR24" s="157"/>
      <c r="GS24" s="157"/>
      <c r="GT24" s="157"/>
      <c r="GU24" s="157"/>
      <c r="GV24" s="157"/>
      <c r="GW24" s="157"/>
      <c r="GX24" s="157"/>
      <c r="GY24" s="157"/>
      <c r="GZ24" s="157"/>
      <c r="HA24" s="157"/>
      <c r="HB24" s="157"/>
      <c r="HC24" s="157"/>
      <c r="HD24" s="157"/>
      <c r="HE24" s="157"/>
      <c r="HF24" s="157"/>
      <c r="HG24" s="157"/>
      <c r="HH24" s="157"/>
      <c r="HI24" s="157"/>
      <c r="HJ24" s="157"/>
      <c r="HK24" s="157"/>
      <c r="HL24" s="157"/>
      <c r="HM24" s="157"/>
      <c r="HN24" s="157"/>
      <c r="HO24" s="157"/>
      <c r="HP24" s="157"/>
      <c r="HQ24" s="157"/>
      <c r="HR24" s="157"/>
      <c r="HS24" s="157"/>
      <c r="HT24" s="157"/>
      <c r="HU24" s="157"/>
      <c r="HV24" s="157"/>
      <c r="HW24" s="157"/>
      <c r="HX24" s="157"/>
      <c r="HY24" s="157"/>
      <c r="HZ24" s="157"/>
      <c r="IA24" s="157"/>
      <c r="IB24" s="157"/>
      <c r="IC24" s="157"/>
      <c r="ID24" s="157"/>
      <c r="IE24" s="157"/>
      <c r="IF24" s="157"/>
      <c r="IG24" s="157"/>
      <c r="IH24" s="157"/>
      <c r="II24" s="157"/>
      <c r="IJ24" s="157"/>
      <c r="IK24" s="157"/>
      <c r="IL24" s="157"/>
      <c r="IM24" s="157"/>
      <c r="IN24" s="157"/>
      <c r="IO24" s="157"/>
      <c r="IP24" s="157"/>
      <c r="IQ24" s="157"/>
      <c r="IR24" s="157"/>
      <c r="IS24" s="157"/>
      <c r="IT24" s="157"/>
      <c r="IU24" s="157"/>
      <c r="IV24" s="157"/>
      <c r="IW24" s="157"/>
      <c r="IX24" s="157"/>
      <c r="IY24" s="157"/>
      <c r="IZ24" s="157"/>
      <c r="JA24" s="157"/>
      <c r="JB24" s="157"/>
      <c r="JC24" s="157"/>
      <c r="JD24" s="157"/>
      <c r="JE24" s="157"/>
      <c r="JF24" s="157"/>
      <c r="JG24" s="157"/>
      <c r="JH24" s="157"/>
      <c r="JI24" s="157"/>
      <c r="JJ24" s="157"/>
      <c r="JK24" s="157"/>
      <c r="JL24" s="157"/>
      <c r="JM24" s="157"/>
      <c r="JN24" s="157"/>
      <c r="JO24" s="157"/>
      <c r="JP24" s="157"/>
      <c r="JQ24" s="157"/>
      <c r="JR24" s="157"/>
      <c r="JS24" s="157"/>
      <c r="JT24" s="157"/>
      <c r="JU24" s="157"/>
      <c r="JV24" s="157"/>
      <c r="JW24" s="157"/>
      <c r="JX24" s="157"/>
      <c r="JY24" s="157"/>
      <c r="JZ24" s="157"/>
      <c r="KA24" s="157"/>
      <c r="KB24" s="157"/>
      <c r="KC24" s="157"/>
      <c r="KD24" s="157"/>
      <c r="KE24" s="157"/>
      <c r="KF24" s="157"/>
      <c r="KG24" s="157"/>
      <c r="KH24" s="157"/>
      <c r="KI24" s="157"/>
      <c r="KJ24" s="157"/>
      <c r="KK24" s="157"/>
      <c r="KL24" s="157"/>
      <c r="KM24" s="157"/>
      <c r="KN24" s="157"/>
      <c r="KO24" s="157"/>
      <c r="KP24" s="157"/>
      <c r="KQ24" s="157"/>
      <c r="KR24" s="157"/>
      <c r="KS24" s="157"/>
      <c r="KT24" s="157"/>
      <c r="KU24" s="157"/>
      <c r="KV24" s="157"/>
      <c r="KW24" s="157"/>
      <c r="KX24" s="157"/>
      <c r="KY24" s="157"/>
      <c r="KZ24" s="157"/>
      <c r="LA24" s="157"/>
      <c r="LB24" s="157"/>
      <c r="LC24" s="157"/>
      <c r="LD24" s="157"/>
      <c r="LE24" s="157"/>
      <c r="LF24" s="157"/>
      <c r="LG24" s="157"/>
      <c r="LH24" s="157"/>
      <c r="LI24" s="157"/>
      <c r="LJ24" s="157"/>
      <c r="LK24" s="157"/>
      <c r="LL24" s="157"/>
      <c r="LM24" s="157"/>
      <c r="LN24" s="157"/>
      <c r="LO24" s="157"/>
      <c r="LP24" s="157"/>
      <c r="LQ24" s="157"/>
      <c r="LR24" s="157"/>
      <c r="LS24" s="157"/>
      <c r="LT24" s="157"/>
      <c r="LU24" s="157"/>
      <c r="LV24" s="157"/>
      <c r="LW24" s="157"/>
      <c r="LX24" s="157"/>
      <c r="LY24" s="157"/>
      <c r="LZ24" s="157"/>
      <c r="MA24" s="157"/>
      <c r="MB24" s="157"/>
      <c r="MC24" s="157"/>
      <c r="MD24" s="157"/>
      <c r="ME24" s="157"/>
      <c r="MF24" s="157"/>
      <c r="MG24" s="157"/>
      <c r="MH24" s="157"/>
      <c r="MI24" s="157"/>
      <c r="MJ24" s="157"/>
      <c r="MK24" s="157"/>
      <c r="ML24" s="157"/>
      <c r="MM24" s="157"/>
      <c r="MN24" s="157"/>
      <c r="MO24" s="157"/>
      <c r="MP24" s="157"/>
      <c r="MQ24" s="157"/>
      <c r="MR24" s="157"/>
      <c r="MS24" s="157"/>
      <c r="MT24" s="157"/>
      <c r="MU24" s="157"/>
      <c r="MV24" s="157"/>
      <c r="MW24" s="157"/>
      <c r="MX24" s="157"/>
      <c r="MY24" s="157"/>
      <c r="MZ24" s="157"/>
      <c r="NA24" s="157"/>
      <c r="NB24" s="157"/>
      <c r="NC24" s="157"/>
      <c r="ND24" s="157"/>
      <c r="NE24" s="157"/>
      <c r="NF24" s="157"/>
      <c r="NG24" s="157"/>
      <c r="NH24" s="157"/>
      <c r="NI24" s="157"/>
      <c r="NJ24" s="157"/>
      <c r="NK24" s="157"/>
      <c r="NL24" s="157"/>
      <c r="NM24" s="157"/>
      <c r="NN24" s="157"/>
      <c r="NO24" s="157"/>
      <c r="NP24" s="157"/>
      <c r="NQ24" s="157"/>
      <c r="NR24" s="157"/>
      <c r="NS24" s="157"/>
      <c r="NT24" s="157"/>
      <c r="NU24" s="157"/>
      <c r="NV24" s="157"/>
      <c r="NW24" s="157"/>
      <c r="NX24" s="157"/>
      <c r="NY24" s="157"/>
      <c r="NZ24" s="157"/>
      <c r="OA24" s="157"/>
      <c r="OB24" s="157"/>
      <c r="OC24" s="157"/>
      <c r="OD24" s="157"/>
      <c r="OE24" s="157"/>
      <c r="OF24" s="157"/>
      <c r="OG24" s="157"/>
      <c r="OH24" s="157"/>
      <c r="OI24" s="157"/>
      <c r="OJ24" s="157"/>
      <c r="OK24" s="157"/>
      <c r="OL24" s="157"/>
      <c r="OM24" s="157"/>
      <c r="ON24" s="157"/>
      <c r="OO24" s="157"/>
      <c r="OP24" s="157"/>
      <c r="OQ24" s="157"/>
      <c r="OR24" s="157"/>
      <c r="OS24" s="157"/>
      <c r="OT24" s="157"/>
      <c r="OU24" s="157"/>
      <c r="OV24" s="157"/>
      <c r="OW24" s="157"/>
      <c r="OX24" s="157"/>
      <c r="OY24" s="157"/>
      <c r="OZ24" s="157"/>
      <c r="PA24" s="157"/>
      <c r="PB24" s="157"/>
      <c r="PC24" s="157"/>
      <c r="PD24" s="157"/>
      <c r="PE24" s="157"/>
      <c r="PF24" s="157"/>
      <c r="PG24" s="157"/>
      <c r="PH24" s="157"/>
      <c r="PI24" s="157"/>
      <c r="PJ24" s="157"/>
      <c r="PK24" s="157"/>
      <c r="PL24" s="157"/>
      <c r="PM24" s="157"/>
      <c r="PN24" s="157"/>
      <c r="PO24" s="157"/>
      <c r="PP24" s="157"/>
      <c r="PQ24" s="157"/>
      <c r="PR24" s="157"/>
      <c r="PS24" s="157"/>
      <c r="PT24" s="157"/>
      <c r="PU24" s="157"/>
      <c r="PV24" s="157"/>
      <c r="PW24" s="157"/>
      <c r="PX24" s="157"/>
      <c r="PY24" s="157"/>
      <c r="PZ24" s="157"/>
      <c r="QA24" s="157"/>
      <c r="QB24" s="157"/>
      <c r="QC24" s="157"/>
      <c r="QD24" s="157"/>
      <c r="QE24" s="157"/>
      <c r="QF24" s="157"/>
      <c r="QG24" s="157"/>
      <c r="QH24" s="157"/>
      <c r="QI24" s="157"/>
      <c r="QJ24" s="157"/>
      <c r="QK24" s="157"/>
      <c r="QL24" s="157"/>
      <c r="QM24" s="157"/>
      <c r="QN24" s="157"/>
      <c r="QO24" s="157"/>
      <c r="QP24" s="157"/>
      <c r="QQ24" s="157"/>
      <c r="QR24" s="157"/>
      <c r="QS24" s="157"/>
      <c r="QT24" s="157"/>
      <c r="QU24" s="157"/>
      <c r="QV24" s="157"/>
      <c r="QW24" s="157"/>
      <c r="QX24" s="157"/>
      <c r="QY24" s="157"/>
      <c r="QZ24" s="157"/>
      <c r="RA24" s="157"/>
      <c r="RB24" s="157"/>
      <c r="RC24" s="157"/>
      <c r="RD24" s="157"/>
      <c r="RE24" s="157"/>
      <c r="RF24" s="157"/>
      <c r="RG24" s="157"/>
      <c r="RH24" s="157"/>
      <c r="RI24" s="157"/>
      <c r="RJ24" s="157"/>
      <c r="RK24" s="157"/>
      <c r="RL24" s="157"/>
      <c r="RM24" s="157"/>
      <c r="RN24" s="157"/>
      <c r="RO24" s="157"/>
      <c r="RP24" s="157"/>
      <c r="RQ24" s="157"/>
      <c r="RR24" s="157"/>
      <c r="RS24" s="157"/>
      <c r="RT24" s="157"/>
      <c r="RU24" s="157"/>
      <c r="RV24" s="157"/>
      <c r="RW24" s="157"/>
      <c r="RX24" s="157"/>
      <c r="RY24" s="157"/>
      <c r="RZ24" s="157"/>
      <c r="SA24" s="157"/>
      <c r="SB24" s="157"/>
      <c r="SC24" s="157"/>
      <c r="SD24" s="157"/>
      <c r="SE24" s="157"/>
      <c r="SF24" s="157"/>
      <c r="SG24" s="157"/>
      <c r="SH24" s="157"/>
      <c r="SI24" s="157"/>
      <c r="SJ24" s="157"/>
      <c r="SK24" s="157"/>
      <c r="SL24" s="157"/>
      <c r="SM24" s="157"/>
      <c r="SN24" s="157"/>
      <c r="SO24" s="157"/>
      <c r="SP24" s="157"/>
      <c r="SQ24" s="157"/>
      <c r="SR24" s="157"/>
      <c r="SS24" s="157"/>
      <c r="ST24" s="157"/>
      <c r="SU24" s="157"/>
      <c r="SV24" s="157"/>
      <c r="SW24" s="157"/>
      <c r="SX24" s="157"/>
      <c r="SY24" s="157"/>
      <c r="SZ24" s="157"/>
      <c r="TA24" s="157"/>
      <c r="TB24" s="157"/>
      <c r="TC24" s="157"/>
      <c r="TD24" s="157"/>
      <c r="TE24" s="157"/>
      <c r="TF24" s="157"/>
      <c r="TG24" s="157"/>
      <c r="TH24" s="157"/>
      <c r="TI24" s="157"/>
      <c r="TJ24" s="157"/>
      <c r="TK24" s="157"/>
      <c r="TL24" s="157"/>
      <c r="TM24" s="157"/>
      <c r="TN24" s="157"/>
      <c r="TO24" s="157"/>
      <c r="TP24" s="157"/>
      <c r="TQ24" s="157"/>
      <c r="TR24" s="157"/>
      <c r="TS24" s="157"/>
      <c r="TT24" s="157"/>
      <c r="TU24" s="157"/>
      <c r="TV24" s="157"/>
      <c r="TW24" s="157"/>
      <c r="TX24" s="157"/>
      <c r="TY24" s="157"/>
      <c r="TZ24" s="157"/>
      <c r="UA24" s="157"/>
      <c r="UB24" s="157"/>
      <c r="UC24" s="157"/>
      <c r="UD24" s="157"/>
      <c r="UE24" s="157"/>
      <c r="UF24" s="157"/>
      <c r="UG24" s="157"/>
      <c r="UH24" s="157"/>
      <c r="UI24" s="157"/>
      <c r="UJ24" s="157"/>
      <c r="UK24" s="157"/>
      <c r="UL24" s="157"/>
      <c r="UM24" s="157"/>
      <c r="UN24" s="157"/>
      <c r="UO24" s="157"/>
      <c r="UP24" s="157"/>
      <c r="UQ24" s="157"/>
      <c r="UR24" s="157"/>
      <c r="US24" s="157"/>
      <c r="UT24" s="157"/>
      <c r="UU24" s="157"/>
      <c r="UV24" s="157"/>
      <c r="UW24" s="157"/>
      <c r="UX24" s="157"/>
      <c r="UY24" s="157"/>
      <c r="UZ24" s="157"/>
      <c r="VA24" s="157"/>
      <c r="VB24" s="157"/>
      <c r="VC24" s="157"/>
      <c r="VD24" s="157"/>
      <c r="VE24" s="157"/>
      <c r="VF24" s="157"/>
      <c r="VG24" s="157"/>
      <c r="VH24" s="157"/>
      <c r="VI24" s="157"/>
      <c r="VJ24" s="157"/>
      <c r="VK24" s="157"/>
      <c r="VL24" s="157"/>
      <c r="VM24" s="157"/>
      <c r="VN24" s="157"/>
      <c r="VO24" s="157"/>
      <c r="VP24" s="157"/>
      <c r="VQ24" s="157"/>
      <c r="VR24" s="157"/>
      <c r="VS24" s="157"/>
      <c r="VT24" s="157"/>
      <c r="VU24" s="157"/>
      <c r="VV24" s="157"/>
      <c r="VW24" s="157"/>
      <c r="VX24" s="157"/>
      <c r="VY24" s="157"/>
      <c r="VZ24" s="157"/>
      <c r="WA24" s="157"/>
      <c r="WB24" s="157"/>
      <c r="WC24" s="157"/>
      <c r="WD24" s="157"/>
      <c r="WE24" s="157"/>
      <c r="WF24" s="157"/>
      <c r="WG24" s="157"/>
      <c r="WH24" s="157"/>
      <c r="WI24" s="157"/>
      <c r="WJ24" s="157"/>
      <c r="WK24" s="157"/>
      <c r="WL24" s="157"/>
      <c r="WM24" s="157"/>
      <c r="WN24" s="157"/>
      <c r="WO24" s="157"/>
      <c r="WP24" s="157"/>
      <c r="WQ24" s="157"/>
      <c r="WR24" s="157"/>
      <c r="WS24" s="157"/>
      <c r="WT24" s="157"/>
      <c r="WU24" s="157"/>
      <c r="WV24" s="157"/>
      <c r="WW24" s="157"/>
      <c r="WX24" s="157"/>
      <c r="WY24" s="157"/>
      <c r="WZ24" s="157"/>
      <c r="XA24" s="157"/>
      <c r="XB24" s="157"/>
      <c r="XC24" s="157"/>
      <c r="XD24" s="157"/>
      <c r="XE24" s="157"/>
      <c r="XF24" s="157"/>
      <c r="XG24" s="157"/>
      <c r="XH24" s="157"/>
      <c r="XI24" s="157"/>
      <c r="XJ24" s="157"/>
      <c r="XK24" s="157"/>
      <c r="XL24" s="157"/>
      <c r="XM24" s="157"/>
      <c r="XN24" s="157"/>
      <c r="XO24" s="157"/>
      <c r="XP24" s="157"/>
      <c r="XQ24" s="157"/>
      <c r="XR24" s="157"/>
      <c r="XS24" s="157"/>
      <c r="XT24" s="157"/>
      <c r="XU24" s="157"/>
      <c r="XV24" s="157"/>
      <c r="XW24" s="157"/>
      <c r="XX24" s="157"/>
      <c r="XY24" s="157"/>
      <c r="XZ24" s="157"/>
      <c r="YA24" s="157"/>
      <c r="YB24" s="157"/>
      <c r="YC24" s="157"/>
      <c r="YD24" s="157"/>
      <c r="YE24" s="157"/>
      <c r="YF24" s="157"/>
      <c r="YG24" s="157"/>
      <c r="YH24" s="157"/>
      <c r="YI24" s="157"/>
      <c r="YJ24" s="157"/>
      <c r="YK24" s="157"/>
      <c r="YL24" s="157"/>
      <c r="YM24" s="157"/>
      <c r="YN24" s="157"/>
      <c r="YO24" s="157"/>
      <c r="YP24" s="157"/>
      <c r="YQ24" s="157"/>
      <c r="YR24" s="157"/>
      <c r="YS24" s="157"/>
      <c r="YT24" s="157"/>
      <c r="YU24" s="157"/>
      <c r="YV24" s="157"/>
      <c r="YW24" s="157"/>
      <c r="YX24" s="157"/>
      <c r="YY24" s="157"/>
      <c r="YZ24" s="157"/>
      <c r="ZA24" s="157"/>
      <c r="ZB24" s="157"/>
      <c r="ZC24" s="157"/>
      <c r="ZD24" s="157"/>
      <c r="ZE24" s="157"/>
      <c r="ZF24" s="157"/>
      <c r="ZG24" s="157"/>
      <c r="ZH24" s="157"/>
      <c r="ZI24" s="157"/>
      <c r="ZJ24" s="157"/>
      <c r="ZK24" s="157"/>
      <c r="ZL24" s="157"/>
      <c r="ZM24" s="157"/>
      <c r="ZN24" s="157"/>
      <c r="ZO24" s="157"/>
      <c r="ZP24" s="157"/>
      <c r="ZQ24" s="157"/>
      <c r="ZR24" s="157"/>
      <c r="ZS24" s="157"/>
      <c r="ZT24" s="157"/>
      <c r="ZU24" s="157"/>
      <c r="ZV24" s="157"/>
      <c r="ZW24" s="157"/>
      <c r="ZX24" s="157"/>
      <c r="ZY24" s="157"/>
      <c r="ZZ24" s="157"/>
      <c r="AAA24" s="157"/>
      <c r="AAB24" s="157"/>
      <c r="AAC24" s="157"/>
      <c r="AAD24" s="157"/>
      <c r="AAE24" s="157"/>
      <c r="AAF24" s="157"/>
      <c r="AAG24" s="157"/>
      <c r="AAH24" s="157"/>
      <c r="AAI24" s="157"/>
      <c r="AAJ24" s="157"/>
      <c r="AAK24" s="157"/>
      <c r="AAL24" s="157"/>
      <c r="AAM24" s="157"/>
      <c r="AAN24" s="157"/>
      <c r="AAO24" s="157"/>
      <c r="AAP24" s="157"/>
      <c r="AAQ24" s="157"/>
      <c r="AAR24" s="157"/>
      <c r="AAS24" s="157"/>
      <c r="AAT24" s="157"/>
      <c r="AAU24" s="157"/>
      <c r="AAV24" s="157"/>
      <c r="AAW24" s="157"/>
      <c r="AAX24" s="157"/>
      <c r="AAY24" s="157"/>
      <c r="AAZ24" s="157"/>
      <c r="ABA24" s="157"/>
      <c r="ABB24" s="157"/>
      <c r="ABC24" s="157"/>
      <c r="ABD24" s="157"/>
      <c r="ABE24" s="157"/>
      <c r="ABF24" s="157"/>
      <c r="ABG24" s="157"/>
      <c r="ABH24" s="157"/>
      <c r="ABI24" s="157"/>
      <c r="ABJ24" s="157"/>
      <c r="ABK24" s="157"/>
      <c r="ABL24" s="157"/>
      <c r="ABM24" s="157"/>
      <c r="ABN24" s="157"/>
      <c r="ABO24" s="157"/>
      <c r="ABP24" s="157"/>
      <c r="ABQ24" s="157"/>
      <c r="ABR24" s="157"/>
      <c r="ABS24" s="157"/>
      <c r="ABT24" s="157"/>
      <c r="ABU24" s="157"/>
      <c r="ABV24" s="157"/>
      <c r="ABW24" s="157"/>
      <c r="ABX24" s="157"/>
      <c r="ABY24" s="157"/>
      <c r="ABZ24" s="157"/>
      <c r="ACA24" s="157"/>
      <c r="ACB24" s="157"/>
      <c r="ACC24" s="157"/>
      <c r="ACD24" s="157"/>
      <c r="ACE24" s="157"/>
      <c r="ACF24" s="157"/>
      <c r="ACG24" s="157"/>
      <c r="ACH24" s="157"/>
      <c r="ACI24" s="157"/>
      <c r="ACJ24" s="157"/>
      <c r="ACK24" s="157"/>
      <c r="ACL24" s="157"/>
      <c r="ACM24" s="157"/>
      <c r="ACN24" s="157"/>
      <c r="ACO24" s="157"/>
      <c r="ACP24" s="157"/>
      <c r="ACQ24" s="157"/>
      <c r="ACR24" s="157"/>
      <c r="ACS24" s="157"/>
      <c r="ACT24" s="157"/>
      <c r="ACU24" s="157"/>
      <c r="ACV24" s="157"/>
      <c r="ACW24" s="157"/>
      <c r="ACX24" s="157"/>
      <c r="ACY24" s="157"/>
      <c r="ACZ24" s="157"/>
      <c r="ADA24" s="157"/>
      <c r="ADB24" s="157"/>
      <c r="ADC24" s="157"/>
      <c r="ADD24" s="157"/>
      <c r="ADE24" s="157"/>
      <c r="ADF24" s="157"/>
      <c r="ADG24" s="157"/>
      <c r="ADH24" s="157"/>
      <c r="ADI24" s="157"/>
      <c r="ADJ24" s="157"/>
      <c r="ADK24" s="157"/>
      <c r="ADL24" s="157"/>
      <c r="ADM24" s="157"/>
      <c r="ADN24" s="157"/>
      <c r="ADO24" s="157"/>
      <c r="ADP24" s="157"/>
      <c r="ADQ24" s="157"/>
      <c r="ADR24" s="157"/>
      <c r="ADS24" s="157"/>
      <c r="ADT24" s="157"/>
      <c r="ADU24" s="157"/>
      <c r="ADV24" s="157"/>
      <c r="ADW24" s="157"/>
      <c r="ADX24" s="157"/>
      <c r="ADY24" s="157"/>
      <c r="ADZ24" s="157"/>
      <c r="AEA24" s="157"/>
      <c r="AEB24" s="157"/>
      <c r="AEC24" s="157"/>
      <c r="AED24" s="157"/>
      <c r="AEE24" s="157"/>
      <c r="AEF24" s="157"/>
      <c r="AEG24" s="157"/>
      <c r="AEH24" s="157"/>
      <c r="AEI24" s="157"/>
      <c r="AEJ24" s="157"/>
      <c r="AEK24" s="157"/>
      <c r="AEL24" s="157"/>
      <c r="AEM24" s="157"/>
      <c r="AEN24" s="157"/>
      <c r="AEO24" s="157"/>
      <c r="AEP24" s="157"/>
      <c r="AEQ24" s="157"/>
      <c r="AER24" s="157"/>
      <c r="AES24" s="157"/>
      <c r="AET24" s="157"/>
      <c r="AEU24" s="157"/>
      <c r="AEV24" s="157"/>
      <c r="AEW24" s="157"/>
      <c r="AEX24" s="157"/>
      <c r="AEY24" s="157"/>
      <c r="AEZ24" s="157"/>
      <c r="AFA24" s="157"/>
      <c r="AFB24" s="157"/>
      <c r="AFC24" s="157"/>
      <c r="AFD24" s="157"/>
      <c r="AFE24" s="157"/>
      <c r="AFF24" s="157"/>
      <c r="AFG24" s="157"/>
      <c r="AFH24" s="157"/>
      <c r="AFI24" s="157"/>
      <c r="AFJ24" s="157"/>
      <c r="AFK24" s="157"/>
      <c r="AFL24" s="157"/>
      <c r="AFM24" s="157"/>
      <c r="AFN24" s="157"/>
      <c r="AFO24" s="157"/>
      <c r="AFP24" s="157"/>
      <c r="AFQ24" s="157"/>
      <c r="AFR24" s="157"/>
      <c r="AFS24" s="157"/>
      <c r="AFT24" s="157"/>
      <c r="AFU24" s="157"/>
      <c r="AFV24" s="157"/>
      <c r="AFW24" s="157"/>
      <c r="AFX24" s="157"/>
      <c r="AFY24" s="157"/>
      <c r="AFZ24" s="157"/>
      <c r="AGA24" s="157"/>
      <c r="AGB24" s="157"/>
      <c r="AGC24" s="157"/>
      <c r="AGD24" s="157"/>
      <c r="AGE24" s="157"/>
      <c r="AGF24" s="157"/>
      <c r="AGG24" s="157"/>
      <c r="AGH24" s="157"/>
      <c r="AGI24" s="157"/>
      <c r="AGJ24" s="157"/>
      <c r="AGK24" s="157"/>
      <c r="AGL24" s="157"/>
      <c r="AGM24" s="157"/>
      <c r="AGN24" s="157"/>
      <c r="AGO24" s="157"/>
      <c r="AGP24" s="157"/>
      <c r="AGQ24" s="157"/>
      <c r="AGR24" s="157"/>
      <c r="AGS24" s="157"/>
      <c r="AGT24" s="157"/>
      <c r="AGU24" s="157"/>
      <c r="AGV24" s="157"/>
      <c r="AGW24" s="157"/>
      <c r="AGX24" s="157"/>
      <c r="AGY24" s="157"/>
      <c r="AGZ24" s="157"/>
      <c r="AHA24" s="157"/>
      <c r="AHB24" s="157"/>
      <c r="AHC24" s="157"/>
      <c r="AHD24" s="157"/>
      <c r="AHE24" s="157"/>
      <c r="AHF24" s="157"/>
      <c r="AHG24" s="157"/>
      <c r="AHH24" s="157"/>
      <c r="AHI24" s="157"/>
      <c r="AHJ24" s="157"/>
      <c r="AHK24" s="157"/>
      <c r="AHL24" s="157"/>
      <c r="AHM24" s="157"/>
      <c r="AHN24" s="157"/>
      <c r="AHO24" s="157"/>
      <c r="AHP24" s="157"/>
      <c r="AHQ24" s="157"/>
      <c r="AHR24" s="157"/>
      <c r="AHS24" s="157"/>
      <c r="AHT24" s="157"/>
      <c r="AHU24" s="157"/>
      <c r="AHV24" s="157"/>
      <c r="AHW24" s="157"/>
      <c r="AHX24" s="157"/>
      <c r="AHY24" s="157"/>
      <c r="AHZ24" s="157"/>
      <c r="AIA24" s="157"/>
      <c r="AIB24" s="157"/>
      <c r="AIC24" s="157"/>
      <c r="AID24" s="157"/>
      <c r="AIE24" s="157"/>
      <c r="AIF24" s="157"/>
      <c r="AIG24" s="157"/>
      <c r="AIH24" s="157"/>
      <c r="AII24" s="157"/>
      <c r="AIJ24" s="157"/>
      <c r="AIK24" s="157"/>
      <c r="AIL24" s="157"/>
      <c r="AIM24" s="157"/>
      <c r="AIN24" s="157"/>
      <c r="AIO24" s="157"/>
      <c r="AIP24" s="157"/>
      <c r="AIQ24" s="157"/>
      <c r="AIR24" s="157"/>
      <c r="AIS24" s="157"/>
      <c r="AIT24" s="157"/>
      <c r="AIU24" s="157"/>
      <c r="AIV24" s="157"/>
      <c r="AIW24" s="157"/>
      <c r="AIX24" s="157"/>
      <c r="AIY24" s="157"/>
      <c r="AIZ24" s="157"/>
      <c r="AJA24" s="157"/>
      <c r="AJB24" s="157"/>
      <c r="AJC24" s="157"/>
      <c r="AJD24" s="157"/>
      <c r="AJE24" s="157"/>
      <c r="AJF24" s="157"/>
      <c r="AJG24" s="157"/>
      <c r="AJH24" s="157"/>
      <c r="AJI24" s="157"/>
      <c r="AJJ24" s="157"/>
      <c r="AJK24" s="157"/>
      <c r="AJL24" s="157"/>
      <c r="AJM24" s="157"/>
      <c r="AJN24" s="157"/>
      <c r="AJO24" s="157"/>
      <c r="AJP24" s="157"/>
      <c r="AJQ24" s="157"/>
      <c r="AJR24" s="157"/>
      <c r="AJS24" s="157"/>
      <c r="AJT24" s="157"/>
      <c r="AJU24" s="157"/>
      <c r="AJV24" s="157"/>
      <c r="AJW24" s="157"/>
      <c r="AJX24" s="157"/>
      <c r="AJY24" s="157"/>
      <c r="AJZ24" s="157"/>
      <c r="AKA24" s="157"/>
      <c r="AKB24" s="157"/>
      <c r="AKC24" s="157"/>
      <c r="AKD24" s="157"/>
      <c r="AKE24" s="157"/>
      <c r="AKF24" s="157"/>
      <c r="AKG24" s="157"/>
      <c r="AKH24" s="157"/>
      <c r="AKI24" s="157"/>
      <c r="AKJ24" s="157"/>
      <c r="AKK24" s="157"/>
      <c r="AKL24" s="157"/>
      <c r="AKM24" s="157"/>
      <c r="AKN24" s="157"/>
      <c r="AKO24" s="157"/>
      <c r="AKP24" s="157"/>
      <c r="AKQ24" s="157"/>
      <c r="AKR24" s="157"/>
      <c r="AKS24" s="157"/>
      <c r="AKT24" s="157"/>
      <c r="AKU24" s="157"/>
      <c r="AKV24" s="157"/>
      <c r="AKW24" s="157"/>
      <c r="AKX24" s="157"/>
      <c r="AKY24" s="157"/>
      <c r="AKZ24" s="157"/>
      <c r="ALA24" s="157"/>
      <c r="ALB24" s="157"/>
      <c r="ALC24" s="157"/>
      <c r="ALD24" s="157"/>
      <c r="ALE24" s="157"/>
      <c r="ALF24" s="157"/>
      <c r="ALG24" s="157"/>
      <c r="ALH24" s="157"/>
      <c r="ALI24" s="157"/>
      <c r="ALJ24" s="157"/>
      <c r="ALK24" s="157"/>
      <c r="ALL24" s="157"/>
      <c r="ALM24" s="157"/>
      <c r="ALN24" s="157"/>
      <c r="ALO24" s="157"/>
      <c r="ALP24" s="157"/>
      <c r="ALQ24" s="157"/>
      <c r="ALR24" s="157"/>
      <c r="ALS24" s="157"/>
      <c r="ALT24" s="157"/>
      <c r="ALU24" s="157"/>
      <c r="ALV24" s="157"/>
      <c r="ALW24" s="157"/>
      <c r="ALX24" s="157"/>
      <c r="ALY24" s="157"/>
      <c r="ALZ24" s="157"/>
      <c r="AMA24" s="157"/>
      <c r="AMB24" s="157"/>
      <c r="AMC24" s="157"/>
      <c r="AMD24" s="157"/>
      <c r="AME24" s="157"/>
      <c r="AMF24" s="157"/>
      <c r="AMG24" s="157"/>
      <c r="AMH24" s="157"/>
      <c r="AMI24" s="157"/>
      <c r="AMJ24" s="157"/>
      <c r="AMK24" s="157"/>
      <c r="AML24" s="157"/>
      <c r="AMM24" s="157"/>
      <c r="AMN24" s="157"/>
      <c r="AMO24" s="157"/>
      <c r="AMP24" s="157"/>
      <c r="AMQ24" s="157"/>
      <c r="AMR24" s="157"/>
      <c r="AMS24" s="157"/>
      <c r="AMT24" s="157"/>
      <c r="AMU24" s="157"/>
      <c r="AMV24" s="157"/>
      <c r="AMW24" s="157"/>
      <c r="AMX24" s="157"/>
      <c r="AMY24" s="157"/>
      <c r="AMZ24" s="157"/>
      <c r="ANA24" s="157"/>
      <c r="ANB24" s="157"/>
      <c r="ANC24" s="157"/>
      <c r="AND24" s="157"/>
      <c r="ANE24" s="157"/>
      <c r="ANF24" s="157"/>
      <c r="ANG24" s="157"/>
      <c r="ANH24" s="157"/>
      <c r="ANI24" s="157"/>
      <c r="ANJ24" s="157"/>
      <c r="ANK24" s="157"/>
      <c r="ANL24" s="157"/>
      <c r="ANM24" s="157"/>
      <c r="ANN24" s="157"/>
      <c r="ANO24" s="157"/>
      <c r="ANP24" s="157"/>
      <c r="ANQ24" s="157"/>
      <c r="ANR24" s="157"/>
      <c r="ANS24" s="157"/>
      <c r="ANT24" s="157"/>
      <c r="ANU24" s="157"/>
      <c r="ANV24" s="157"/>
      <c r="ANW24" s="157"/>
      <c r="ANX24" s="157"/>
      <c r="ANY24" s="157"/>
      <c r="ANZ24" s="157"/>
      <c r="AOA24" s="157"/>
      <c r="AOB24" s="157"/>
      <c r="AOC24" s="157"/>
      <c r="AOD24" s="157"/>
      <c r="AOE24" s="157"/>
      <c r="AOF24" s="157"/>
      <c r="AOG24" s="157"/>
      <c r="AOH24" s="157"/>
      <c r="AOI24" s="157"/>
      <c r="AOJ24" s="157"/>
      <c r="AOK24" s="157"/>
      <c r="AOL24" s="157"/>
      <c r="AOM24" s="157"/>
      <c r="AON24" s="157"/>
      <c r="AOO24" s="157"/>
      <c r="AOP24" s="157"/>
      <c r="AOQ24" s="157"/>
      <c r="AOR24" s="157"/>
      <c r="AOS24" s="157"/>
      <c r="AOT24" s="157"/>
      <c r="AOU24" s="157"/>
      <c r="AOV24" s="157"/>
      <c r="AOW24" s="157"/>
      <c r="AOX24" s="157"/>
      <c r="AOY24" s="157"/>
      <c r="AOZ24" s="157"/>
      <c r="APA24" s="157"/>
      <c r="APB24" s="157"/>
      <c r="APC24" s="157"/>
      <c r="APD24" s="157"/>
      <c r="APE24" s="157"/>
      <c r="APF24" s="157"/>
      <c r="APG24" s="157"/>
      <c r="APH24" s="157"/>
      <c r="API24" s="157"/>
      <c r="APJ24" s="157"/>
      <c r="APK24" s="157"/>
      <c r="APL24" s="157"/>
      <c r="APM24" s="157"/>
      <c r="APN24" s="157"/>
      <c r="APO24" s="157"/>
      <c r="APP24" s="157"/>
      <c r="APQ24" s="157"/>
      <c r="APR24" s="157"/>
      <c r="APS24" s="157"/>
      <c r="APT24" s="157"/>
      <c r="APU24" s="157"/>
      <c r="APV24" s="157"/>
      <c r="APW24" s="157"/>
      <c r="APX24" s="157"/>
      <c r="APY24" s="157"/>
      <c r="APZ24" s="157"/>
      <c r="AQA24" s="157"/>
      <c r="AQB24" s="157"/>
      <c r="AQC24" s="157"/>
      <c r="AQD24" s="157"/>
      <c r="AQE24" s="157"/>
      <c r="AQF24" s="157"/>
      <c r="AQG24" s="157"/>
      <c r="AQH24" s="157"/>
      <c r="AQI24" s="157"/>
      <c r="AQJ24" s="157"/>
      <c r="AQK24" s="157"/>
      <c r="AQL24" s="157"/>
      <c r="AQM24" s="157"/>
      <c r="AQN24" s="157"/>
      <c r="AQO24" s="157"/>
      <c r="AQP24" s="157"/>
      <c r="AQQ24" s="157"/>
      <c r="AQR24" s="157"/>
      <c r="AQS24" s="157"/>
      <c r="AQT24" s="157"/>
      <c r="AQU24" s="157"/>
      <c r="AQV24" s="157"/>
      <c r="AQW24" s="157"/>
      <c r="AQX24" s="157"/>
      <c r="AQY24" s="157"/>
      <c r="AQZ24" s="157"/>
      <c r="ARA24" s="157"/>
      <c r="ARB24" s="157"/>
      <c r="ARC24" s="157"/>
      <c r="ARD24" s="157"/>
      <c r="ARE24" s="157"/>
      <c r="ARF24" s="157"/>
      <c r="ARG24" s="157"/>
      <c r="ARH24" s="157"/>
      <c r="ARI24" s="157"/>
      <c r="ARJ24" s="157"/>
      <c r="ARK24" s="157"/>
      <c r="ARL24" s="157"/>
      <c r="ARM24" s="157"/>
      <c r="ARN24" s="157"/>
      <c r="ARO24" s="157"/>
      <c r="ARP24" s="157"/>
      <c r="ARQ24" s="157"/>
      <c r="ARR24" s="157"/>
      <c r="ARS24" s="157"/>
      <c r="ART24" s="157"/>
      <c r="ARU24" s="157"/>
      <c r="ARV24" s="157"/>
      <c r="ARW24" s="157"/>
      <c r="ARX24" s="157"/>
      <c r="ARY24" s="157"/>
      <c r="ARZ24" s="157"/>
      <c r="ASA24" s="157"/>
      <c r="ASB24" s="157"/>
      <c r="ASC24" s="157"/>
      <c r="ASD24" s="157"/>
      <c r="ASE24" s="157"/>
      <c r="ASF24" s="157"/>
      <c r="ASG24" s="157"/>
      <c r="ASH24" s="157"/>
      <c r="ASI24" s="157"/>
      <c r="ASJ24" s="157"/>
      <c r="ASK24" s="157"/>
      <c r="ASL24" s="157"/>
      <c r="ASM24" s="157"/>
      <c r="ASN24" s="157"/>
      <c r="ASO24" s="157"/>
      <c r="ASP24" s="157"/>
      <c r="ASQ24" s="157"/>
      <c r="ASR24" s="157"/>
      <c r="ASS24" s="157"/>
      <c r="AST24" s="157"/>
      <c r="ASU24" s="157"/>
      <c r="ASV24" s="157"/>
      <c r="ASW24" s="157"/>
      <c r="ASX24" s="157"/>
      <c r="ASY24" s="157"/>
      <c r="ASZ24" s="157"/>
      <c r="ATA24" s="157"/>
      <c r="ATB24" s="157"/>
      <c r="ATC24" s="157"/>
      <c r="ATD24" s="157"/>
      <c r="ATE24" s="157"/>
      <c r="ATF24" s="157"/>
      <c r="ATG24" s="157"/>
      <c r="ATH24" s="157"/>
      <c r="ATI24" s="157"/>
      <c r="ATJ24" s="157"/>
      <c r="ATK24" s="157"/>
      <c r="ATL24" s="157"/>
      <c r="ATM24" s="157"/>
      <c r="ATN24" s="157"/>
      <c r="ATO24" s="157"/>
      <c r="ATP24" s="157"/>
      <c r="ATQ24" s="157"/>
      <c r="ATR24" s="157"/>
      <c r="ATS24" s="157"/>
      <c r="ATT24" s="157"/>
      <c r="ATU24" s="157"/>
      <c r="ATV24" s="157"/>
      <c r="ATW24" s="157"/>
      <c r="ATX24" s="157"/>
      <c r="ATY24" s="157"/>
      <c r="ATZ24" s="157"/>
      <c r="AUA24" s="157"/>
      <c r="AUB24" s="157"/>
      <c r="AUC24" s="157"/>
      <c r="AUD24" s="157"/>
      <c r="AUE24" s="157"/>
      <c r="AUF24" s="157"/>
      <c r="AUG24" s="157"/>
      <c r="AUH24" s="157"/>
      <c r="AUI24" s="157"/>
      <c r="AUJ24" s="157"/>
      <c r="AUK24" s="157"/>
      <c r="AUL24" s="157"/>
      <c r="AUM24" s="157"/>
      <c r="AUN24" s="157"/>
      <c r="AUO24" s="157"/>
      <c r="AUP24" s="157"/>
      <c r="AUQ24" s="157"/>
      <c r="AUR24" s="157"/>
      <c r="AUS24" s="157"/>
      <c r="AUT24" s="157"/>
      <c r="AUU24" s="157"/>
      <c r="AUV24" s="157"/>
      <c r="AUW24" s="157"/>
      <c r="AUX24" s="157"/>
      <c r="AUY24" s="157"/>
      <c r="AUZ24" s="157"/>
      <c r="AVA24" s="157"/>
      <c r="AVB24" s="157"/>
      <c r="AVC24" s="157"/>
      <c r="AVD24" s="157"/>
      <c r="AVE24" s="157"/>
      <c r="AVF24" s="157"/>
      <c r="AVG24" s="157"/>
      <c r="AVH24" s="157"/>
      <c r="AVI24" s="157"/>
      <c r="AVJ24" s="157"/>
      <c r="AVK24" s="157"/>
      <c r="AVL24" s="157"/>
      <c r="AVM24" s="157"/>
      <c r="AVN24" s="157"/>
      <c r="AVO24" s="157"/>
      <c r="AVP24" s="157"/>
      <c r="AVQ24" s="157"/>
      <c r="AVR24" s="157"/>
      <c r="AVS24" s="157"/>
      <c r="AVT24" s="157"/>
      <c r="AVU24" s="157"/>
      <c r="AVV24" s="157"/>
      <c r="AVW24" s="157"/>
      <c r="AVX24" s="157"/>
      <c r="AVY24" s="157"/>
      <c r="AVZ24" s="157"/>
      <c r="AWA24" s="157"/>
      <c r="AWB24" s="157"/>
      <c r="AWC24" s="157"/>
      <c r="AWD24" s="157"/>
      <c r="AWE24" s="157"/>
      <c r="AWF24" s="157"/>
      <c r="AWG24" s="157"/>
      <c r="AWH24" s="157"/>
      <c r="AWI24" s="157"/>
      <c r="AWJ24" s="157"/>
      <c r="AWK24" s="157"/>
      <c r="AWL24" s="157"/>
      <c r="AWM24" s="157"/>
      <c r="AWN24" s="157"/>
      <c r="AWO24" s="157"/>
      <c r="AWP24" s="157"/>
      <c r="AWQ24" s="157"/>
      <c r="AWR24" s="157"/>
      <c r="AWS24" s="157"/>
      <c r="AWT24" s="157"/>
      <c r="AWU24" s="157"/>
      <c r="AWV24" s="157"/>
      <c r="AWW24" s="157"/>
      <c r="AWX24" s="157"/>
      <c r="AWY24" s="157"/>
      <c r="AWZ24" s="157"/>
      <c r="AXA24" s="157"/>
      <c r="AXB24" s="157"/>
      <c r="AXC24" s="157"/>
      <c r="AXD24" s="157"/>
      <c r="AXE24" s="157"/>
      <c r="AXF24" s="157"/>
      <c r="AXG24" s="157"/>
      <c r="AXH24" s="157"/>
      <c r="AXI24" s="157"/>
      <c r="AXJ24" s="157"/>
      <c r="AXK24" s="157"/>
      <c r="AXL24" s="157"/>
      <c r="AXM24" s="157"/>
      <c r="AXN24" s="157"/>
      <c r="AXO24" s="157"/>
      <c r="AXP24" s="157"/>
      <c r="AXQ24" s="157"/>
      <c r="AXR24" s="157"/>
      <c r="AXS24" s="157"/>
      <c r="AXT24" s="157"/>
      <c r="AXU24" s="157"/>
      <c r="AXV24" s="157"/>
      <c r="AXW24" s="157"/>
      <c r="AXX24" s="157"/>
      <c r="AXY24" s="157"/>
      <c r="AXZ24" s="157"/>
      <c r="AYA24" s="157"/>
      <c r="AYB24" s="157"/>
      <c r="AYC24" s="157"/>
      <c r="AYD24" s="157"/>
      <c r="AYE24" s="157"/>
      <c r="AYF24" s="157"/>
      <c r="AYG24" s="157"/>
      <c r="AYH24" s="157"/>
      <c r="AYI24" s="157"/>
      <c r="AYJ24" s="157"/>
      <c r="AYK24" s="157"/>
      <c r="AYL24" s="157"/>
      <c r="AYM24" s="157"/>
      <c r="AYN24" s="157"/>
      <c r="AYO24" s="157"/>
      <c r="AYP24" s="157"/>
      <c r="AYQ24" s="157"/>
      <c r="AYR24" s="157"/>
      <c r="AYS24" s="157"/>
      <c r="AYT24" s="157"/>
      <c r="AYU24" s="157"/>
      <c r="AYV24" s="157"/>
      <c r="AYW24" s="157"/>
      <c r="AYX24" s="157"/>
      <c r="AYY24" s="157"/>
      <c r="AYZ24" s="157"/>
      <c r="AZA24" s="157"/>
      <c r="AZB24" s="157"/>
      <c r="AZC24" s="157"/>
      <c r="AZD24" s="157"/>
      <c r="AZE24" s="157"/>
      <c r="AZF24" s="157"/>
      <c r="AZG24" s="157"/>
      <c r="AZH24" s="157"/>
      <c r="AZI24" s="157"/>
      <c r="AZJ24" s="157"/>
      <c r="AZK24" s="157"/>
      <c r="AZL24" s="157"/>
      <c r="AZM24" s="157"/>
      <c r="AZN24" s="157"/>
      <c r="AZO24" s="157"/>
      <c r="AZP24" s="157"/>
      <c r="AZQ24" s="157"/>
      <c r="AZR24" s="157"/>
      <c r="AZS24" s="157"/>
      <c r="AZT24" s="157"/>
      <c r="AZU24" s="157"/>
      <c r="AZV24" s="157"/>
      <c r="AZW24" s="157"/>
      <c r="AZX24" s="157"/>
      <c r="AZY24" s="157"/>
      <c r="AZZ24" s="157"/>
      <c r="BAA24" s="157"/>
      <c r="BAB24" s="157"/>
      <c r="BAC24" s="157"/>
      <c r="BAD24" s="157"/>
      <c r="BAE24" s="157"/>
      <c r="BAF24" s="157"/>
      <c r="BAG24" s="157"/>
      <c r="BAH24" s="157"/>
      <c r="BAI24" s="157"/>
      <c r="BAJ24" s="157"/>
      <c r="BAK24" s="157"/>
      <c r="BAL24" s="157"/>
      <c r="BAM24" s="157"/>
      <c r="BAN24" s="157"/>
      <c r="BAO24" s="157"/>
      <c r="BAP24" s="157"/>
      <c r="BAQ24" s="157"/>
      <c r="BAR24" s="157"/>
      <c r="BAS24" s="157"/>
      <c r="BAT24" s="157"/>
      <c r="BAU24" s="157"/>
      <c r="BAV24" s="157"/>
      <c r="BAW24" s="157"/>
      <c r="BAX24" s="157"/>
      <c r="BAY24" s="157"/>
      <c r="BAZ24" s="157"/>
      <c r="BBA24" s="157"/>
      <c r="BBB24" s="157"/>
      <c r="BBC24" s="157"/>
      <c r="BBD24" s="157"/>
      <c r="BBE24" s="157"/>
      <c r="BBF24" s="157"/>
      <c r="BBG24" s="157"/>
      <c r="BBH24" s="157"/>
      <c r="BBI24" s="157"/>
      <c r="BBJ24" s="157"/>
      <c r="BBK24" s="157"/>
      <c r="BBL24" s="157"/>
      <c r="BBM24" s="157"/>
      <c r="BBN24" s="157"/>
      <c r="BBO24" s="157"/>
      <c r="BBP24" s="157"/>
      <c r="BBQ24" s="157"/>
      <c r="BBR24" s="157"/>
      <c r="BBS24" s="157"/>
      <c r="BBT24" s="157"/>
      <c r="BBU24" s="157"/>
      <c r="BBV24" s="157"/>
      <c r="BBW24" s="157"/>
      <c r="BBX24" s="157"/>
      <c r="BBY24" s="157"/>
      <c r="BBZ24" s="157"/>
      <c r="BCA24" s="157"/>
      <c r="BCB24" s="157"/>
      <c r="BCC24" s="157"/>
      <c r="BCD24" s="157"/>
      <c r="BCE24" s="157"/>
      <c r="BCF24" s="157"/>
      <c r="BCG24" s="157"/>
      <c r="BCH24" s="157"/>
      <c r="BCI24" s="157"/>
      <c r="BCJ24" s="157"/>
      <c r="BCK24" s="157"/>
      <c r="BCL24" s="157"/>
      <c r="BCM24" s="157"/>
      <c r="BCN24" s="157"/>
      <c r="BCO24" s="157"/>
      <c r="BCP24" s="157"/>
      <c r="BCQ24" s="157"/>
      <c r="BCR24" s="157"/>
      <c r="BCS24" s="157"/>
      <c r="BCT24" s="157"/>
      <c r="BCU24" s="157"/>
      <c r="BCV24" s="157"/>
      <c r="BCW24" s="157"/>
      <c r="BCX24" s="157"/>
      <c r="BCY24" s="157"/>
      <c r="BCZ24" s="157"/>
      <c r="BDA24" s="157"/>
      <c r="BDB24" s="157"/>
      <c r="BDC24" s="157"/>
      <c r="BDD24" s="157"/>
      <c r="BDE24" s="157"/>
      <c r="BDF24" s="157"/>
      <c r="BDG24" s="157"/>
      <c r="BDH24" s="157"/>
      <c r="BDI24" s="157"/>
      <c r="BDJ24" s="157"/>
      <c r="BDK24" s="157"/>
      <c r="BDL24" s="157"/>
      <c r="BDM24" s="157"/>
      <c r="BDN24" s="157"/>
      <c r="BDO24" s="157"/>
      <c r="BDP24" s="157"/>
      <c r="BDQ24" s="157"/>
      <c r="BDR24" s="157"/>
      <c r="BDS24" s="157"/>
      <c r="BDT24" s="157"/>
      <c r="BDU24" s="157"/>
      <c r="BDV24" s="157"/>
      <c r="BDW24" s="157"/>
      <c r="BDX24" s="157"/>
      <c r="BDY24" s="157"/>
      <c r="BDZ24" s="157"/>
      <c r="BEA24" s="157"/>
      <c r="BEB24" s="157"/>
      <c r="BEC24" s="157"/>
      <c r="BED24" s="157"/>
      <c r="BEE24" s="157"/>
      <c r="BEF24" s="157"/>
      <c r="BEG24" s="157"/>
      <c r="BEH24" s="157"/>
      <c r="BEI24" s="157"/>
      <c r="BEJ24" s="157"/>
      <c r="BEK24" s="157"/>
      <c r="BEL24" s="157"/>
      <c r="BEM24" s="157"/>
      <c r="BEN24" s="157"/>
      <c r="BEO24" s="157"/>
      <c r="BEP24" s="157"/>
      <c r="BEQ24" s="157"/>
      <c r="BER24" s="157"/>
      <c r="BES24" s="157"/>
      <c r="BET24" s="157"/>
      <c r="BEU24" s="157"/>
      <c r="BEV24" s="157"/>
      <c r="BEW24" s="157"/>
      <c r="BEX24" s="157"/>
      <c r="BEY24" s="157"/>
      <c r="BEZ24" s="157"/>
      <c r="BFA24" s="157"/>
      <c r="BFB24" s="157"/>
      <c r="BFC24" s="157"/>
      <c r="BFD24" s="157"/>
      <c r="BFE24" s="157"/>
      <c r="BFF24" s="157"/>
      <c r="BFG24" s="157"/>
      <c r="BFH24" s="157"/>
      <c r="BFI24" s="157"/>
      <c r="BFJ24" s="157"/>
      <c r="BFK24" s="157"/>
      <c r="BFL24" s="157"/>
      <c r="BFM24" s="157"/>
      <c r="BFN24" s="157"/>
      <c r="BFO24" s="157"/>
      <c r="BFP24" s="157"/>
      <c r="BFQ24" s="157"/>
      <c r="BFR24" s="157"/>
      <c r="BFS24" s="157"/>
      <c r="BFT24" s="157"/>
      <c r="BFU24" s="157"/>
      <c r="BFV24" s="157"/>
      <c r="BFW24" s="157"/>
      <c r="BFX24" s="157"/>
      <c r="BFY24" s="157"/>
      <c r="BFZ24" s="157"/>
      <c r="BGA24" s="157"/>
      <c r="BGB24" s="157"/>
      <c r="BGC24" s="157"/>
      <c r="BGD24" s="157"/>
      <c r="BGE24" s="157"/>
      <c r="BGF24" s="157"/>
      <c r="BGG24" s="157"/>
      <c r="BGH24" s="157"/>
      <c r="BGI24" s="157"/>
      <c r="BGJ24" s="157"/>
      <c r="BGK24" s="157"/>
      <c r="BGL24" s="157"/>
      <c r="BGM24" s="157"/>
      <c r="BGN24" s="157"/>
      <c r="BGO24" s="157"/>
      <c r="BGP24" s="157"/>
      <c r="BGQ24" s="157"/>
      <c r="BGR24" s="157"/>
      <c r="BGS24" s="157"/>
      <c r="BGT24" s="157"/>
      <c r="BGU24" s="157"/>
      <c r="BGV24" s="157"/>
      <c r="BGW24" s="157"/>
      <c r="BGX24" s="157"/>
      <c r="BGY24" s="157"/>
      <c r="BGZ24" s="157"/>
      <c r="BHA24" s="157"/>
      <c r="BHB24" s="157"/>
      <c r="BHC24" s="157"/>
      <c r="BHD24" s="157"/>
      <c r="BHE24" s="157"/>
      <c r="BHF24" s="157"/>
      <c r="BHG24" s="157"/>
      <c r="BHH24" s="157"/>
      <c r="BHI24" s="157"/>
      <c r="BHJ24" s="157"/>
      <c r="BHK24" s="157"/>
      <c r="BHL24" s="157"/>
      <c r="BHM24" s="157"/>
      <c r="BHN24" s="157"/>
      <c r="BHO24" s="157"/>
      <c r="BHP24" s="157"/>
      <c r="BHQ24" s="157"/>
      <c r="BHR24" s="157"/>
      <c r="BHS24" s="157"/>
      <c r="BHT24" s="157"/>
      <c r="BHU24" s="157"/>
      <c r="BHV24" s="157"/>
      <c r="BHW24" s="157"/>
      <c r="BHX24" s="157"/>
      <c r="BHY24" s="157"/>
      <c r="BHZ24" s="157"/>
      <c r="BIA24" s="157"/>
      <c r="BIB24" s="157"/>
      <c r="BIC24" s="157"/>
      <c r="BID24" s="157"/>
      <c r="BIE24" s="157"/>
      <c r="BIF24" s="157"/>
      <c r="BIG24" s="157"/>
      <c r="BIH24" s="157"/>
      <c r="BII24" s="157"/>
      <c r="BIJ24" s="157"/>
      <c r="BIK24" s="157"/>
      <c r="BIL24" s="157"/>
      <c r="BIM24" s="157"/>
      <c r="BIN24" s="157"/>
      <c r="BIO24" s="157"/>
      <c r="BIP24" s="157"/>
      <c r="BIQ24" s="157"/>
      <c r="BIR24" s="157"/>
      <c r="BIS24" s="157"/>
      <c r="BIT24" s="157"/>
      <c r="BIU24" s="157"/>
      <c r="BIV24" s="157"/>
      <c r="BIW24" s="157"/>
      <c r="BIX24" s="157"/>
      <c r="BIY24" s="157"/>
      <c r="BIZ24" s="157"/>
      <c r="BJA24" s="157"/>
      <c r="BJB24" s="157"/>
      <c r="BJC24" s="157"/>
      <c r="BJD24" s="157"/>
      <c r="BJE24" s="157"/>
      <c r="BJF24" s="157"/>
      <c r="BJG24" s="157"/>
      <c r="BJH24" s="157"/>
      <c r="BJI24" s="157"/>
      <c r="BJJ24" s="157"/>
      <c r="BJK24" s="157"/>
      <c r="BJL24" s="157"/>
      <c r="BJM24" s="157"/>
      <c r="BJN24" s="157"/>
      <c r="BJO24" s="157"/>
      <c r="BJP24" s="157"/>
      <c r="BJQ24" s="157"/>
      <c r="BJR24" s="157"/>
      <c r="BJS24" s="157"/>
      <c r="BJT24" s="157"/>
      <c r="BJU24" s="157"/>
      <c r="BJV24" s="157"/>
      <c r="BJW24" s="157"/>
      <c r="BJX24" s="157"/>
      <c r="BJY24" s="157"/>
      <c r="BJZ24" s="157"/>
      <c r="BKA24" s="157"/>
      <c r="BKB24" s="157"/>
      <c r="BKC24" s="157"/>
      <c r="BKD24" s="157"/>
      <c r="BKE24" s="157"/>
      <c r="BKF24" s="157"/>
      <c r="BKG24" s="157"/>
      <c r="BKH24" s="157"/>
      <c r="BKI24" s="157"/>
      <c r="BKJ24" s="157"/>
      <c r="BKK24" s="157"/>
      <c r="BKL24" s="157"/>
      <c r="BKM24" s="157"/>
      <c r="BKN24" s="157"/>
      <c r="BKO24" s="157"/>
      <c r="BKP24" s="157"/>
      <c r="BKQ24" s="157"/>
      <c r="BKR24" s="157"/>
      <c r="BKS24" s="157"/>
      <c r="BKT24" s="157"/>
      <c r="BKU24" s="157"/>
      <c r="BKV24" s="157"/>
      <c r="BKW24" s="157"/>
      <c r="BKX24" s="157"/>
      <c r="BKY24" s="157"/>
      <c r="BKZ24" s="157"/>
      <c r="BLA24" s="157"/>
      <c r="BLB24" s="157"/>
      <c r="BLC24" s="157"/>
      <c r="BLD24" s="157"/>
      <c r="BLE24" s="157"/>
      <c r="BLF24" s="157"/>
      <c r="BLG24" s="157"/>
      <c r="BLH24" s="157"/>
      <c r="BLI24" s="157"/>
      <c r="BLJ24" s="157"/>
      <c r="BLK24" s="157"/>
      <c r="BLL24" s="157"/>
      <c r="BLM24" s="157"/>
      <c r="BLN24" s="157"/>
      <c r="BLO24" s="157"/>
      <c r="BLP24" s="157"/>
      <c r="BLQ24" s="157"/>
      <c r="BLR24" s="157"/>
      <c r="BLS24" s="157"/>
      <c r="BLT24" s="157"/>
      <c r="BLU24" s="157"/>
      <c r="BLV24" s="157"/>
      <c r="BLW24" s="157"/>
      <c r="BLX24" s="157"/>
      <c r="BLY24" s="157"/>
      <c r="BLZ24" s="157"/>
      <c r="BMA24" s="157"/>
      <c r="BMB24" s="157"/>
      <c r="BMC24" s="157"/>
      <c r="BMD24" s="157"/>
      <c r="BME24" s="157"/>
      <c r="BMF24" s="157"/>
      <c r="BMG24" s="157"/>
      <c r="BMH24" s="157"/>
      <c r="BMI24" s="157"/>
      <c r="BMJ24" s="157"/>
      <c r="BMK24" s="157"/>
      <c r="BML24" s="157"/>
      <c r="BMM24" s="157"/>
      <c r="BMN24" s="157"/>
      <c r="BMO24" s="157"/>
      <c r="BMP24" s="157"/>
      <c r="BMQ24" s="157"/>
      <c r="BMR24" s="157"/>
      <c r="BMS24" s="157"/>
      <c r="BMT24" s="157"/>
      <c r="BMU24" s="157"/>
      <c r="BMV24" s="157"/>
      <c r="BMW24" s="157"/>
      <c r="BMX24" s="157"/>
      <c r="BMY24" s="157"/>
      <c r="BMZ24" s="157"/>
      <c r="BNA24" s="157"/>
      <c r="BNB24" s="157"/>
      <c r="BNC24" s="157"/>
      <c r="BND24" s="157"/>
      <c r="BNE24" s="157"/>
      <c r="BNF24" s="157"/>
      <c r="BNG24" s="157"/>
      <c r="BNH24" s="157"/>
      <c r="BNI24" s="157"/>
      <c r="BNJ24" s="157"/>
      <c r="BNK24" s="157"/>
      <c r="BNL24" s="157"/>
      <c r="BNM24" s="157"/>
      <c r="BNN24" s="157"/>
      <c r="BNO24" s="157"/>
      <c r="BNP24" s="157"/>
      <c r="BNQ24" s="157"/>
      <c r="BNR24" s="157"/>
      <c r="BNS24" s="157"/>
      <c r="BNT24" s="157"/>
      <c r="BNU24" s="157"/>
      <c r="BNV24" s="157"/>
      <c r="BNW24" s="157"/>
      <c r="BNX24" s="157"/>
      <c r="BNY24" s="157"/>
      <c r="BNZ24" s="157"/>
      <c r="BOA24" s="157"/>
      <c r="BOB24" s="157"/>
      <c r="BOC24" s="157"/>
      <c r="BOD24" s="157"/>
      <c r="BOE24" s="157"/>
      <c r="BOF24" s="157"/>
      <c r="BOG24" s="157"/>
      <c r="BOH24" s="157"/>
      <c r="BOI24" s="157"/>
      <c r="BOJ24" s="157"/>
      <c r="BOK24" s="157"/>
      <c r="BOL24" s="157"/>
      <c r="BOM24" s="157"/>
      <c r="BON24" s="157"/>
      <c r="BOO24" s="157"/>
      <c r="BOP24" s="157"/>
      <c r="BOQ24" s="157"/>
      <c r="BOR24" s="157"/>
      <c r="BOS24" s="157"/>
      <c r="BOT24" s="157"/>
      <c r="BOU24" s="157"/>
      <c r="BOV24" s="157"/>
      <c r="BOW24" s="157"/>
      <c r="BOX24" s="157"/>
      <c r="BOY24" s="157"/>
      <c r="BOZ24" s="157"/>
      <c r="BPA24" s="157"/>
      <c r="BPB24" s="157"/>
      <c r="BPC24" s="157"/>
      <c r="BPD24" s="157"/>
      <c r="BPE24" s="157"/>
      <c r="BPF24" s="157"/>
      <c r="BPG24" s="157"/>
      <c r="BPH24" s="157"/>
      <c r="BPI24" s="157"/>
      <c r="BPJ24" s="157"/>
      <c r="BPK24" s="157"/>
      <c r="BPL24" s="157"/>
      <c r="BPM24" s="157"/>
      <c r="BPN24" s="157"/>
      <c r="BPO24" s="157"/>
      <c r="BPP24" s="157"/>
      <c r="BPQ24" s="157"/>
      <c r="BPR24" s="157"/>
      <c r="BPS24" s="157"/>
      <c r="BPT24" s="157"/>
      <c r="BPU24" s="157"/>
      <c r="BPV24" s="157"/>
      <c r="BPW24" s="157"/>
      <c r="BPX24" s="157"/>
      <c r="BPY24" s="157"/>
      <c r="BPZ24" s="157"/>
      <c r="BQA24" s="157"/>
      <c r="BQB24" s="157"/>
      <c r="BQC24" s="157"/>
      <c r="BQD24" s="157"/>
      <c r="BQE24" s="157"/>
      <c r="BQF24" s="157"/>
      <c r="BQG24" s="157"/>
      <c r="BQH24" s="157"/>
      <c r="BQI24" s="157"/>
      <c r="BQJ24" s="157"/>
      <c r="BQK24" s="157"/>
      <c r="BQL24" s="157"/>
      <c r="BQM24" s="157"/>
      <c r="BQN24" s="157"/>
      <c r="BQO24" s="157"/>
      <c r="BQP24" s="157"/>
      <c r="BQQ24" s="157"/>
      <c r="BQR24" s="157"/>
      <c r="BQS24" s="157"/>
      <c r="BQT24" s="157"/>
      <c r="BQU24" s="157"/>
      <c r="BQV24" s="157"/>
      <c r="BQW24" s="157"/>
      <c r="BQX24" s="157"/>
      <c r="BQY24" s="157"/>
      <c r="BQZ24" s="157"/>
      <c r="BRA24" s="157"/>
      <c r="BRB24" s="157"/>
      <c r="BRC24" s="157"/>
      <c r="BRD24" s="157"/>
      <c r="BRE24" s="157"/>
      <c r="BRF24" s="157"/>
      <c r="BRG24" s="157"/>
      <c r="BRH24" s="157"/>
      <c r="BRI24" s="157"/>
      <c r="BRJ24" s="157"/>
      <c r="BRK24" s="157"/>
      <c r="BRL24" s="157"/>
      <c r="BRM24" s="157"/>
      <c r="BRN24" s="157"/>
      <c r="BRO24" s="157"/>
      <c r="BRP24" s="157"/>
      <c r="BRQ24" s="157"/>
      <c r="BRR24" s="157"/>
      <c r="BRS24" s="157"/>
      <c r="BRT24" s="157"/>
      <c r="BRU24" s="157"/>
      <c r="BRV24" s="157"/>
      <c r="BRW24" s="157"/>
      <c r="BRX24" s="157"/>
      <c r="BRY24" s="157"/>
      <c r="BRZ24" s="157"/>
      <c r="BSA24" s="157"/>
      <c r="BSB24" s="157"/>
      <c r="BSC24" s="157"/>
      <c r="BSD24" s="157"/>
      <c r="BSE24" s="157"/>
      <c r="BSF24" s="157"/>
      <c r="BSG24" s="157"/>
      <c r="BSH24" s="157"/>
      <c r="BSI24" s="157"/>
      <c r="BSJ24" s="157"/>
      <c r="BSK24" s="157"/>
      <c r="BSL24" s="157"/>
      <c r="BSM24" s="157"/>
      <c r="BSN24" s="157"/>
      <c r="BSO24" s="157"/>
      <c r="BSP24" s="157"/>
      <c r="BSQ24" s="157"/>
      <c r="BSR24" s="157"/>
      <c r="BSS24" s="157"/>
      <c r="BST24" s="157"/>
      <c r="BSU24" s="157"/>
      <c r="BSV24" s="157"/>
      <c r="BSW24" s="157"/>
      <c r="BSX24" s="157"/>
      <c r="BSY24" s="157"/>
      <c r="BSZ24" s="157"/>
      <c r="BTA24" s="157"/>
      <c r="BTB24" s="157"/>
      <c r="BTC24" s="157"/>
      <c r="BTD24" s="157"/>
      <c r="BTE24" s="157"/>
      <c r="BTF24" s="157"/>
      <c r="BTG24" s="157"/>
      <c r="BTH24" s="157"/>
      <c r="BTI24" s="157"/>
      <c r="BTJ24" s="157"/>
      <c r="BTK24" s="157"/>
      <c r="BTL24" s="157"/>
      <c r="BTM24" s="157"/>
      <c r="BTN24" s="157"/>
      <c r="BTO24" s="157"/>
      <c r="BTP24" s="157"/>
      <c r="BTQ24" s="157"/>
      <c r="BTR24" s="157"/>
      <c r="BTS24" s="157"/>
      <c r="BTT24" s="157"/>
      <c r="BTU24" s="157"/>
      <c r="BTV24" s="157"/>
      <c r="BTW24" s="157"/>
      <c r="BTX24" s="157"/>
      <c r="BTY24" s="157"/>
      <c r="BTZ24" s="157"/>
      <c r="BUA24" s="157"/>
      <c r="BUB24" s="157"/>
      <c r="BUC24" s="157"/>
      <c r="BUD24" s="157"/>
      <c r="BUE24" s="157"/>
      <c r="BUF24" s="157"/>
      <c r="BUG24" s="157"/>
      <c r="BUH24" s="157"/>
      <c r="BUI24" s="157"/>
      <c r="BUJ24" s="157"/>
      <c r="BUK24" s="157"/>
      <c r="BUL24" s="157"/>
      <c r="BUM24" s="157"/>
      <c r="BUN24" s="157"/>
      <c r="BUO24" s="157"/>
      <c r="BUP24" s="157"/>
      <c r="BUQ24" s="157"/>
      <c r="BUR24" s="157"/>
      <c r="BUS24" s="157"/>
      <c r="BUT24" s="157"/>
      <c r="BUU24" s="157"/>
      <c r="BUV24" s="157"/>
      <c r="BUW24" s="157"/>
      <c r="BUX24" s="157"/>
      <c r="BUY24" s="157"/>
      <c r="BUZ24" s="157"/>
      <c r="BVA24" s="157"/>
      <c r="BVB24" s="157"/>
      <c r="BVC24" s="157"/>
      <c r="BVD24" s="157"/>
      <c r="BVE24" s="157"/>
      <c r="BVF24" s="157"/>
      <c r="BVG24" s="157"/>
      <c r="BVH24" s="157"/>
      <c r="BVI24" s="157"/>
      <c r="BVJ24" s="157"/>
      <c r="BVK24" s="157"/>
      <c r="BVL24" s="157"/>
      <c r="BVM24" s="157"/>
      <c r="BVN24" s="157"/>
      <c r="BVO24" s="157"/>
      <c r="BVP24" s="157"/>
      <c r="BVQ24" s="157"/>
      <c r="BVR24" s="157"/>
      <c r="BVS24" s="157"/>
      <c r="BVT24" s="157"/>
      <c r="BVU24" s="157"/>
      <c r="BVV24" s="157"/>
      <c r="BVW24" s="157"/>
      <c r="BVX24" s="157"/>
      <c r="BVY24" s="157"/>
      <c r="BVZ24" s="157"/>
      <c r="BWA24" s="157"/>
      <c r="BWB24" s="157"/>
      <c r="BWC24" s="157"/>
      <c r="BWD24" s="157"/>
      <c r="BWE24" s="157"/>
      <c r="BWF24" s="157"/>
      <c r="BWG24" s="157"/>
      <c r="BWH24" s="157"/>
      <c r="BWI24" s="157"/>
      <c r="BWJ24" s="157"/>
      <c r="BWK24" s="157"/>
      <c r="BWL24" s="157"/>
      <c r="BWM24" s="157"/>
      <c r="BWN24" s="157"/>
      <c r="BWO24" s="157"/>
      <c r="BWP24" s="157"/>
      <c r="BWQ24" s="157"/>
      <c r="BWR24" s="157"/>
      <c r="BWS24" s="157"/>
      <c r="BWT24" s="157"/>
      <c r="BWU24" s="157"/>
      <c r="BWV24" s="157"/>
      <c r="BWW24" s="157"/>
      <c r="BWX24" s="157"/>
      <c r="BWY24" s="157"/>
      <c r="BWZ24" s="157"/>
      <c r="BXA24" s="157"/>
      <c r="BXB24" s="157"/>
      <c r="BXC24" s="157"/>
      <c r="BXD24" s="157"/>
      <c r="BXE24" s="157"/>
      <c r="BXF24" s="157"/>
      <c r="BXG24" s="157"/>
      <c r="BXH24" s="157"/>
      <c r="BXI24" s="157"/>
      <c r="BXJ24" s="157"/>
      <c r="BXK24" s="157"/>
      <c r="BXL24" s="157"/>
      <c r="BXM24" s="157"/>
      <c r="BXN24" s="157"/>
      <c r="BXO24" s="157"/>
      <c r="BXP24" s="157"/>
      <c r="BXQ24" s="157"/>
      <c r="BXR24" s="157"/>
      <c r="BXS24" s="157"/>
      <c r="BXT24" s="157"/>
      <c r="BXU24" s="157"/>
      <c r="BXV24" s="157"/>
      <c r="BXW24" s="157"/>
      <c r="BXX24" s="157"/>
      <c r="BXY24" s="157"/>
      <c r="BXZ24" s="157"/>
      <c r="BYA24" s="157"/>
      <c r="BYB24" s="157"/>
      <c r="BYC24" s="157"/>
      <c r="BYD24" s="157"/>
      <c r="BYE24" s="157"/>
      <c r="BYF24" s="157"/>
      <c r="BYG24" s="157"/>
      <c r="BYH24" s="157"/>
      <c r="BYI24" s="157"/>
      <c r="BYJ24" s="157"/>
      <c r="BYK24" s="157"/>
      <c r="BYL24" s="157"/>
      <c r="BYM24" s="157"/>
      <c r="BYN24" s="157"/>
      <c r="BYO24" s="157"/>
      <c r="BYP24" s="157"/>
      <c r="BYQ24" s="157"/>
      <c r="BYR24" s="157"/>
      <c r="BYS24" s="157"/>
      <c r="BYT24" s="157"/>
      <c r="BYU24" s="157"/>
      <c r="BYV24" s="157"/>
      <c r="BYW24" s="157"/>
      <c r="BYX24" s="157"/>
      <c r="BYY24" s="157"/>
      <c r="BYZ24" s="157"/>
      <c r="BZA24" s="157"/>
      <c r="BZB24" s="157"/>
      <c r="BZC24" s="157"/>
      <c r="BZD24" s="157"/>
      <c r="BZE24" s="157"/>
      <c r="BZF24" s="157"/>
      <c r="BZG24" s="157"/>
      <c r="BZH24" s="157"/>
      <c r="BZI24" s="157"/>
      <c r="BZJ24" s="157"/>
      <c r="BZK24" s="157"/>
      <c r="BZL24" s="157"/>
      <c r="BZM24" s="157"/>
      <c r="BZN24" s="157"/>
      <c r="BZO24" s="157"/>
      <c r="BZP24" s="157"/>
      <c r="BZQ24" s="157"/>
      <c r="BZR24" s="157"/>
      <c r="BZS24" s="157"/>
      <c r="BZT24" s="157"/>
      <c r="BZU24" s="157"/>
      <c r="BZV24" s="157"/>
      <c r="BZW24" s="157"/>
      <c r="BZX24" s="157"/>
      <c r="BZY24" s="157"/>
      <c r="BZZ24" s="157"/>
      <c r="CAA24" s="157"/>
      <c r="CAB24" s="157"/>
      <c r="CAC24" s="157"/>
      <c r="CAD24" s="157"/>
      <c r="CAE24" s="157"/>
      <c r="CAF24" s="157"/>
      <c r="CAG24" s="157"/>
      <c r="CAH24" s="157"/>
      <c r="CAI24" s="157"/>
      <c r="CAJ24" s="157"/>
      <c r="CAK24" s="157"/>
      <c r="CAL24" s="157"/>
      <c r="CAM24" s="157"/>
      <c r="CAN24" s="157"/>
      <c r="CAO24" s="157"/>
      <c r="CAP24" s="157"/>
      <c r="CAQ24" s="157"/>
      <c r="CAR24" s="157"/>
      <c r="CAS24" s="157"/>
      <c r="CAT24" s="157"/>
      <c r="CAU24" s="157"/>
      <c r="CAV24" s="157"/>
      <c r="CAW24" s="157"/>
      <c r="CAX24" s="157"/>
      <c r="CAY24" s="157"/>
      <c r="CAZ24" s="157"/>
      <c r="CBA24" s="157"/>
      <c r="CBB24" s="157"/>
      <c r="CBC24" s="157"/>
      <c r="CBD24" s="157"/>
      <c r="CBE24" s="157"/>
      <c r="CBF24" s="157"/>
      <c r="CBG24" s="157"/>
      <c r="CBH24" s="157"/>
      <c r="CBI24" s="157"/>
      <c r="CBJ24" s="157"/>
      <c r="CBK24" s="157"/>
      <c r="CBL24" s="157"/>
      <c r="CBM24" s="157"/>
      <c r="CBN24" s="157"/>
      <c r="CBO24" s="157"/>
      <c r="CBP24" s="157"/>
      <c r="CBQ24" s="157"/>
      <c r="CBR24" s="157"/>
      <c r="CBS24" s="157"/>
      <c r="CBT24" s="157"/>
      <c r="CBU24" s="157"/>
      <c r="CBV24" s="157"/>
      <c r="CBW24" s="157"/>
      <c r="CBX24" s="157"/>
      <c r="CBY24" s="157"/>
      <c r="CBZ24" s="157"/>
      <c r="CCA24" s="157"/>
      <c r="CCB24" s="157"/>
      <c r="CCC24" s="157"/>
      <c r="CCD24" s="157"/>
      <c r="CCE24" s="157"/>
      <c r="CCF24" s="157"/>
      <c r="CCG24" s="157"/>
      <c r="CCH24" s="157"/>
      <c r="CCI24" s="157"/>
      <c r="CCJ24" s="157"/>
      <c r="CCK24" s="157"/>
      <c r="CCL24" s="157"/>
      <c r="CCM24" s="157"/>
      <c r="CCN24" s="157"/>
      <c r="CCO24" s="157"/>
      <c r="CCP24" s="157"/>
      <c r="CCQ24" s="157"/>
      <c r="CCR24" s="157"/>
      <c r="CCS24" s="157"/>
      <c r="CCT24" s="157"/>
      <c r="CCU24" s="157"/>
      <c r="CCV24" s="157"/>
      <c r="CCW24" s="157"/>
      <c r="CCX24" s="157"/>
      <c r="CCY24" s="157"/>
      <c r="CCZ24" s="157"/>
      <c r="CDA24" s="157"/>
      <c r="CDB24" s="157"/>
      <c r="CDC24" s="157"/>
      <c r="CDD24" s="157"/>
      <c r="CDE24" s="157"/>
      <c r="CDF24" s="157"/>
      <c r="CDG24" s="157"/>
      <c r="CDH24" s="157"/>
      <c r="CDI24" s="157"/>
      <c r="CDJ24" s="157"/>
      <c r="CDK24" s="157"/>
      <c r="CDL24" s="157"/>
      <c r="CDM24" s="157"/>
      <c r="CDN24" s="157"/>
      <c r="CDO24" s="157"/>
      <c r="CDP24" s="157"/>
      <c r="CDQ24" s="157"/>
      <c r="CDR24" s="157"/>
      <c r="CDS24" s="157"/>
      <c r="CDT24" s="157"/>
      <c r="CDU24" s="157"/>
      <c r="CDV24" s="157"/>
      <c r="CDW24" s="157"/>
      <c r="CDX24" s="157"/>
      <c r="CDY24" s="157"/>
      <c r="CDZ24" s="157"/>
      <c r="CEA24" s="157"/>
      <c r="CEB24" s="157"/>
      <c r="CEC24" s="157"/>
      <c r="CED24" s="157"/>
      <c r="CEE24" s="157"/>
      <c r="CEF24" s="157"/>
      <c r="CEG24" s="157"/>
      <c r="CEH24" s="157"/>
      <c r="CEI24" s="157"/>
      <c r="CEJ24" s="157"/>
      <c r="CEK24" s="157"/>
      <c r="CEL24" s="157"/>
      <c r="CEM24" s="157"/>
      <c r="CEN24" s="157"/>
      <c r="CEO24" s="157"/>
      <c r="CEP24" s="157"/>
      <c r="CEQ24" s="157"/>
      <c r="CER24" s="157"/>
      <c r="CES24" s="157"/>
      <c r="CET24" s="157"/>
      <c r="CEU24" s="157"/>
      <c r="CEV24" s="157"/>
      <c r="CEW24" s="157"/>
      <c r="CEX24" s="157"/>
      <c r="CEY24" s="157"/>
      <c r="CEZ24" s="157"/>
      <c r="CFA24" s="157"/>
      <c r="CFB24" s="157"/>
      <c r="CFC24" s="157"/>
      <c r="CFD24" s="157"/>
      <c r="CFE24" s="157"/>
      <c r="CFF24" s="157"/>
      <c r="CFG24" s="157"/>
      <c r="CFH24" s="157"/>
      <c r="CFI24" s="157"/>
      <c r="CFJ24" s="157"/>
      <c r="CFK24" s="157"/>
      <c r="CFL24" s="157"/>
      <c r="CFM24" s="157"/>
      <c r="CFN24" s="157"/>
      <c r="CFO24" s="157"/>
      <c r="CFP24" s="157"/>
      <c r="CFQ24" s="157"/>
      <c r="CFR24" s="157"/>
      <c r="CFS24" s="157"/>
      <c r="CFT24" s="157"/>
      <c r="CFU24" s="157"/>
      <c r="CFV24" s="157"/>
      <c r="CFW24" s="157"/>
      <c r="CFX24" s="157"/>
      <c r="CFY24" s="157"/>
      <c r="CFZ24" s="157"/>
      <c r="CGA24" s="157"/>
      <c r="CGB24" s="157"/>
      <c r="CGC24" s="157"/>
      <c r="CGD24" s="157"/>
      <c r="CGE24" s="157"/>
      <c r="CGF24" s="157"/>
      <c r="CGG24" s="157"/>
      <c r="CGH24" s="157"/>
      <c r="CGI24" s="157"/>
      <c r="CGJ24" s="157"/>
      <c r="CGK24" s="157"/>
      <c r="CGL24" s="157"/>
      <c r="CGM24" s="157"/>
      <c r="CGN24" s="157"/>
      <c r="CGO24" s="157"/>
      <c r="CGP24" s="157"/>
      <c r="CGQ24" s="157"/>
      <c r="CGR24" s="157"/>
      <c r="CGS24" s="157"/>
      <c r="CGT24" s="157"/>
      <c r="CGU24" s="157"/>
      <c r="CGV24" s="157"/>
      <c r="CGW24" s="157"/>
      <c r="CGX24" s="157"/>
      <c r="CGY24" s="157"/>
      <c r="CGZ24" s="157"/>
      <c r="CHA24" s="157"/>
      <c r="CHB24" s="157"/>
      <c r="CHC24" s="157"/>
      <c r="CHD24" s="157"/>
      <c r="CHE24" s="157"/>
      <c r="CHF24" s="157"/>
      <c r="CHG24" s="157"/>
      <c r="CHH24" s="157"/>
      <c r="CHI24" s="157"/>
      <c r="CHJ24" s="157"/>
      <c r="CHK24" s="157"/>
      <c r="CHL24" s="157"/>
      <c r="CHM24" s="157"/>
      <c r="CHN24" s="157"/>
      <c r="CHO24" s="157"/>
      <c r="CHP24" s="157"/>
      <c r="CHQ24" s="157"/>
      <c r="CHR24" s="157"/>
      <c r="CHS24" s="157"/>
      <c r="CHT24" s="157"/>
      <c r="CHU24" s="157"/>
      <c r="CHV24" s="157"/>
      <c r="CHW24" s="157"/>
      <c r="CHX24" s="157"/>
      <c r="CHY24" s="157"/>
      <c r="CHZ24" s="157"/>
      <c r="CIA24" s="157"/>
      <c r="CIB24" s="157"/>
      <c r="CIC24" s="157"/>
      <c r="CID24" s="157"/>
      <c r="CIE24" s="157"/>
      <c r="CIF24" s="157"/>
      <c r="CIG24" s="157"/>
      <c r="CIH24" s="157"/>
      <c r="CII24" s="157"/>
      <c r="CIJ24" s="157"/>
      <c r="CIK24" s="157"/>
      <c r="CIL24" s="157"/>
      <c r="CIM24" s="157"/>
      <c r="CIN24" s="157"/>
      <c r="CIO24" s="157"/>
      <c r="CIP24" s="157"/>
      <c r="CIQ24" s="157"/>
      <c r="CIR24" s="157"/>
      <c r="CIS24" s="157"/>
      <c r="CIT24" s="157"/>
      <c r="CIU24" s="157"/>
      <c r="CIV24" s="157"/>
      <c r="CIW24" s="157"/>
      <c r="CIX24" s="157"/>
      <c r="CIY24" s="157"/>
      <c r="CIZ24" s="157"/>
      <c r="CJA24" s="157"/>
      <c r="CJB24" s="157"/>
      <c r="CJC24" s="157"/>
      <c r="CJD24" s="157"/>
      <c r="CJE24" s="157"/>
      <c r="CJF24" s="157"/>
      <c r="CJG24" s="157"/>
      <c r="CJH24" s="157"/>
      <c r="CJI24" s="157"/>
      <c r="CJJ24" s="157"/>
      <c r="CJK24" s="157"/>
      <c r="CJL24" s="157"/>
      <c r="CJM24" s="157"/>
      <c r="CJN24" s="157"/>
      <c r="CJO24" s="157"/>
      <c r="CJP24" s="157"/>
      <c r="CJQ24" s="157"/>
      <c r="CJR24" s="157"/>
      <c r="CJS24" s="157"/>
      <c r="CJT24" s="157"/>
      <c r="CJU24" s="157"/>
      <c r="CJV24" s="157"/>
      <c r="CJW24" s="157"/>
      <c r="CJX24" s="157"/>
      <c r="CJY24" s="157"/>
      <c r="CJZ24" s="157"/>
      <c r="CKA24" s="157"/>
      <c r="CKB24" s="157"/>
      <c r="CKC24" s="157"/>
      <c r="CKD24" s="157"/>
      <c r="CKE24" s="157"/>
      <c r="CKF24" s="157"/>
      <c r="CKG24" s="157"/>
      <c r="CKH24" s="157"/>
      <c r="CKI24" s="157"/>
      <c r="CKJ24" s="157"/>
      <c r="CKK24" s="157"/>
      <c r="CKL24" s="157"/>
      <c r="CKM24" s="157"/>
      <c r="CKN24" s="157"/>
      <c r="CKO24" s="157"/>
      <c r="CKP24" s="157"/>
      <c r="CKQ24" s="157"/>
      <c r="CKR24" s="157"/>
      <c r="CKS24" s="157"/>
      <c r="CKT24" s="157"/>
      <c r="CKU24" s="157"/>
      <c r="CKV24" s="157"/>
      <c r="CKW24" s="157"/>
      <c r="CKX24" s="157"/>
      <c r="CKY24" s="157"/>
      <c r="CKZ24" s="157"/>
      <c r="CLA24" s="157"/>
      <c r="CLB24" s="157"/>
      <c r="CLC24" s="157"/>
      <c r="CLD24" s="157"/>
      <c r="CLE24" s="157"/>
      <c r="CLF24" s="157"/>
      <c r="CLG24" s="157"/>
      <c r="CLH24" s="157"/>
      <c r="CLI24" s="157"/>
      <c r="CLJ24" s="157"/>
      <c r="CLK24" s="157"/>
      <c r="CLL24" s="157"/>
      <c r="CLM24" s="157"/>
      <c r="CLN24" s="157"/>
      <c r="CLO24" s="157"/>
      <c r="CLP24" s="157"/>
      <c r="CLQ24" s="157"/>
      <c r="CLR24" s="157"/>
      <c r="CLS24" s="157"/>
      <c r="CLT24" s="157"/>
      <c r="CLU24" s="157"/>
      <c r="CLV24" s="157"/>
      <c r="CLW24" s="157"/>
      <c r="CLX24" s="157"/>
      <c r="CLY24" s="157"/>
      <c r="CLZ24" s="157"/>
      <c r="CMA24" s="157"/>
      <c r="CMB24" s="157"/>
      <c r="CMC24" s="157"/>
      <c r="CMD24" s="157"/>
      <c r="CME24" s="157"/>
      <c r="CMF24" s="157"/>
      <c r="CMG24" s="157"/>
      <c r="CMH24" s="157"/>
      <c r="CMI24" s="157"/>
      <c r="CMJ24" s="157"/>
      <c r="CMK24" s="157"/>
      <c r="CML24" s="157"/>
      <c r="CMM24" s="157"/>
      <c r="CMN24" s="157"/>
      <c r="CMO24" s="157"/>
      <c r="CMP24" s="157"/>
      <c r="CMQ24" s="157"/>
      <c r="CMR24" s="157"/>
      <c r="CMS24" s="157"/>
      <c r="CMT24" s="157"/>
      <c r="CMU24" s="157"/>
      <c r="CMV24" s="157"/>
      <c r="CMW24" s="157"/>
      <c r="CMX24" s="157"/>
      <c r="CMY24" s="157"/>
      <c r="CMZ24" s="157"/>
      <c r="CNA24" s="157"/>
      <c r="CNB24" s="157"/>
      <c r="CNC24" s="157"/>
      <c r="CND24" s="157"/>
      <c r="CNE24" s="157"/>
      <c r="CNF24" s="157"/>
      <c r="CNG24" s="157"/>
      <c r="CNH24" s="157"/>
      <c r="CNI24" s="157"/>
      <c r="CNJ24" s="157"/>
      <c r="CNK24" s="157"/>
      <c r="CNL24" s="157"/>
      <c r="CNM24" s="157"/>
      <c r="CNN24" s="157"/>
      <c r="CNO24" s="157"/>
      <c r="CNP24" s="157"/>
      <c r="CNQ24" s="157"/>
      <c r="CNR24" s="157"/>
      <c r="CNS24" s="157"/>
      <c r="CNT24" s="157"/>
      <c r="CNU24" s="157"/>
      <c r="CNV24" s="157"/>
      <c r="CNW24" s="157"/>
      <c r="CNX24" s="157"/>
      <c r="CNY24" s="157"/>
      <c r="CNZ24" s="157"/>
      <c r="COA24" s="157"/>
      <c r="COB24" s="157"/>
      <c r="COC24" s="157"/>
      <c r="COD24" s="157"/>
      <c r="COE24" s="157"/>
      <c r="COF24" s="157"/>
      <c r="COG24" s="157"/>
      <c r="COH24" s="157"/>
      <c r="COI24" s="157"/>
      <c r="COJ24" s="157"/>
      <c r="COK24" s="157"/>
      <c r="COL24" s="157"/>
      <c r="COM24" s="157"/>
      <c r="CON24" s="157"/>
      <c r="COO24" s="157"/>
      <c r="COP24" s="157"/>
      <c r="COQ24" s="157"/>
      <c r="COR24" s="157"/>
      <c r="COS24" s="157"/>
      <c r="COT24" s="157"/>
      <c r="COU24" s="157"/>
      <c r="COV24" s="157"/>
      <c r="COW24" s="157"/>
      <c r="COX24" s="157"/>
      <c r="COY24" s="157"/>
      <c r="COZ24" s="157"/>
      <c r="CPA24" s="157"/>
      <c r="CPB24" s="157"/>
      <c r="CPC24" s="157"/>
      <c r="CPD24" s="157"/>
      <c r="CPE24" s="157"/>
      <c r="CPF24" s="157"/>
      <c r="CPG24" s="157"/>
      <c r="CPH24" s="157"/>
      <c r="CPI24" s="157"/>
      <c r="CPJ24" s="157"/>
      <c r="CPK24" s="157"/>
      <c r="CPL24" s="157"/>
      <c r="CPM24" s="157"/>
      <c r="CPN24" s="157"/>
      <c r="CPO24" s="157"/>
      <c r="CPP24" s="157"/>
      <c r="CPQ24" s="157"/>
      <c r="CPR24" s="157"/>
      <c r="CPS24" s="157"/>
      <c r="CPT24" s="157"/>
      <c r="CPU24" s="157"/>
      <c r="CPV24" s="157"/>
      <c r="CPW24" s="157"/>
      <c r="CPX24" s="157"/>
      <c r="CPY24" s="157"/>
      <c r="CPZ24" s="157"/>
      <c r="CQA24" s="157"/>
      <c r="CQB24" s="157"/>
      <c r="CQC24" s="157"/>
      <c r="CQD24" s="157"/>
      <c r="CQE24" s="157"/>
      <c r="CQF24" s="157"/>
      <c r="CQG24" s="157"/>
      <c r="CQH24" s="157"/>
      <c r="CQI24" s="157"/>
      <c r="CQJ24" s="157"/>
      <c r="CQK24" s="157"/>
      <c r="CQL24" s="157"/>
      <c r="CQM24" s="157"/>
      <c r="CQN24" s="157"/>
      <c r="CQO24" s="157"/>
      <c r="CQP24" s="157"/>
      <c r="CQQ24" s="157"/>
      <c r="CQR24" s="157"/>
      <c r="CQS24" s="157"/>
      <c r="CQT24" s="157"/>
      <c r="CQU24" s="157"/>
      <c r="CQV24" s="157"/>
      <c r="CQW24" s="157"/>
      <c r="CQX24" s="157"/>
      <c r="CQY24" s="157"/>
      <c r="CQZ24" s="157"/>
      <c r="CRA24" s="157"/>
      <c r="CRB24" s="157"/>
      <c r="CRC24" s="157"/>
      <c r="CRD24" s="157"/>
      <c r="CRE24" s="157"/>
      <c r="CRF24" s="157"/>
      <c r="CRG24" s="157"/>
      <c r="CRH24" s="157"/>
      <c r="CRI24" s="157"/>
      <c r="CRJ24" s="157"/>
      <c r="CRK24" s="157"/>
      <c r="CRL24" s="157"/>
      <c r="CRM24" s="157"/>
      <c r="CRN24" s="157"/>
      <c r="CRO24" s="157"/>
      <c r="CRP24" s="157"/>
      <c r="CRQ24" s="157"/>
      <c r="CRR24" s="157"/>
      <c r="CRS24" s="157"/>
      <c r="CRT24" s="157"/>
      <c r="CRU24" s="157"/>
      <c r="CRV24" s="157"/>
      <c r="CRW24" s="157"/>
      <c r="CRX24" s="157"/>
      <c r="CRY24" s="157"/>
      <c r="CRZ24" s="157"/>
      <c r="CSA24" s="157"/>
      <c r="CSB24" s="157"/>
      <c r="CSC24" s="157"/>
      <c r="CSD24" s="157"/>
      <c r="CSE24" s="157"/>
      <c r="CSF24" s="157"/>
      <c r="CSG24" s="157"/>
      <c r="CSH24" s="157"/>
      <c r="CSI24" s="157"/>
      <c r="CSJ24" s="157"/>
      <c r="CSK24" s="157"/>
      <c r="CSL24" s="157"/>
      <c r="CSM24" s="157"/>
      <c r="CSN24" s="157"/>
      <c r="CSO24" s="157"/>
      <c r="CSP24" s="157"/>
      <c r="CSQ24" s="157"/>
      <c r="CSR24" s="157"/>
      <c r="CSS24" s="157"/>
      <c r="CST24" s="157"/>
      <c r="CSU24" s="157"/>
      <c r="CSV24" s="157"/>
      <c r="CSW24" s="157"/>
      <c r="CSX24" s="157"/>
      <c r="CSY24" s="157"/>
      <c r="CSZ24" s="157"/>
      <c r="CTA24" s="157"/>
      <c r="CTB24" s="157"/>
      <c r="CTC24" s="157"/>
      <c r="CTD24" s="157"/>
      <c r="CTE24" s="157"/>
      <c r="CTF24" s="157"/>
      <c r="CTG24" s="157"/>
      <c r="CTH24" s="157"/>
      <c r="CTI24" s="157"/>
      <c r="CTJ24" s="157"/>
      <c r="CTK24" s="157"/>
      <c r="CTL24" s="157"/>
      <c r="CTM24" s="157"/>
      <c r="CTN24" s="157"/>
      <c r="CTO24" s="157"/>
      <c r="CTP24" s="157"/>
      <c r="CTQ24" s="157"/>
      <c r="CTR24" s="157"/>
      <c r="CTS24" s="157"/>
      <c r="CTT24" s="157"/>
      <c r="CTU24" s="157"/>
      <c r="CTV24" s="157"/>
      <c r="CTW24" s="157"/>
      <c r="CTX24" s="157"/>
      <c r="CTY24" s="157"/>
      <c r="CTZ24" s="157"/>
      <c r="CUA24" s="157"/>
      <c r="CUB24" s="157"/>
      <c r="CUC24" s="157"/>
      <c r="CUD24" s="157"/>
      <c r="CUE24" s="157"/>
      <c r="CUF24" s="157"/>
      <c r="CUG24" s="157"/>
      <c r="CUH24" s="157"/>
      <c r="CUI24" s="157"/>
      <c r="CUJ24" s="157"/>
      <c r="CUK24" s="157"/>
      <c r="CUL24" s="157"/>
      <c r="CUM24" s="157"/>
      <c r="CUN24" s="157"/>
      <c r="CUO24" s="157"/>
      <c r="CUP24" s="157"/>
      <c r="CUQ24" s="157"/>
      <c r="CUR24" s="157"/>
      <c r="CUS24" s="157"/>
      <c r="CUT24" s="157"/>
      <c r="CUU24" s="157"/>
      <c r="CUV24" s="157"/>
      <c r="CUW24" s="157"/>
      <c r="CUX24" s="157"/>
      <c r="CUY24" s="157"/>
      <c r="CUZ24" s="157"/>
      <c r="CVA24" s="157"/>
      <c r="CVB24" s="157"/>
      <c r="CVC24" s="157"/>
      <c r="CVD24" s="157"/>
      <c r="CVE24" s="157"/>
      <c r="CVF24" s="157"/>
      <c r="CVG24" s="157"/>
      <c r="CVH24" s="157"/>
      <c r="CVI24" s="157"/>
      <c r="CVJ24" s="157"/>
      <c r="CVK24" s="157"/>
      <c r="CVL24" s="157"/>
      <c r="CVM24" s="157"/>
      <c r="CVN24" s="157"/>
      <c r="CVO24" s="157"/>
      <c r="CVP24" s="157"/>
      <c r="CVQ24" s="157"/>
      <c r="CVR24" s="157"/>
      <c r="CVS24" s="157"/>
      <c r="CVT24" s="157"/>
      <c r="CVU24" s="157"/>
      <c r="CVV24" s="157"/>
      <c r="CVW24" s="157"/>
      <c r="CVX24" s="157"/>
      <c r="CVY24" s="157"/>
      <c r="CVZ24" s="157"/>
      <c r="CWA24" s="157"/>
      <c r="CWB24" s="157"/>
      <c r="CWC24" s="157"/>
      <c r="CWD24" s="157"/>
      <c r="CWE24" s="157"/>
      <c r="CWF24" s="157"/>
      <c r="CWG24" s="157"/>
      <c r="CWH24" s="157"/>
      <c r="CWI24" s="157"/>
      <c r="CWJ24" s="157"/>
      <c r="CWK24" s="157"/>
      <c r="CWL24" s="157"/>
      <c r="CWM24" s="157"/>
      <c r="CWN24" s="157"/>
      <c r="CWO24" s="157"/>
      <c r="CWP24" s="157"/>
      <c r="CWQ24" s="157"/>
      <c r="CWR24" s="157"/>
      <c r="CWS24" s="157"/>
      <c r="CWT24" s="157"/>
      <c r="CWU24" s="157"/>
      <c r="CWV24" s="157"/>
      <c r="CWW24" s="157"/>
      <c r="CWX24" s="157"/>
      <c r="CWY24" s="157"/>
      <c r="CWZ24" s="157"/>
      <c r="CXA24" s="157"/>
      <c r="CXB24" s="157"/>
      <c r="CXC24" s="157"/>
      <c r="CXD24" s="157"/>
      <c r="CXE24" s="157"/>
      <c r="CXF24" s="157"/>
      <c r="CXG24" s="157"/>
      <c r="CXH24" s="157"/>
      <c r="CXI24" s="157"/>
      <c r="CXJ24" s="157"/>
      <c r="CXK24" s="157"/>
      <c r="CXL24" s="157"/>
      <c r="CXM24" s="157"/>
      <c r="CXN24" s="157"/>
      <c r="CXO24" s="157"/>
      <c r="CXP24" s="157"/>
      <c r="CXQ24" s="157"/>
      <c r="CXR24" s="157"/>
      <c r="CXS24" s="157"/>
      <c r="CXT24" s="157"/>
      <c r="CXU24" s="157"/>
      <c r="CXV24" s="157"/>
      <c r="CXW24" s="157"/>
      <c r="CXX24" s="157"/>
      <c r="CXY24" s="157"/>
      <c r="CXZ24" s="157"/>
      <c r="CYA24" s="157"/>
      <c r="CYB24" s="157"/>
      <c r="CYC24" s="157"/>
      <c r="CYD24" s="157"/>
      <c r="CYE24" s="157"/>
      <c r="CYF24" s="157"/>
      <c r="CYG24" s="157"/>
      <c r="CYH24" s="157"/>
      <c r="CYI24" s="157"/>
      <c r="CYJ24" s="157"/>
      <c r="CYK24" s="157"/>
      <c r="CYL24" s="157"/>
      <c r="CYM24" s="157"/>
      <c r="CYN24" s="157"/>
      <c r="CYO24" s="157"/>
      <c r="CYP24" s="157"/>
      <c r="CYQ24" s="157"/>
      <c r="CYR24" s="157"/>
      <c r="CYS24" s="157"/>
      <c r="CYT24" s="157"/>
      <c r="CYU24" s="157"/>
      <c r="CYV24" s="157"/>
      <c r="CYW24" s="157"/>
      <c r="CYX24" s="157"/>
      <c r="CYY24" s="157"/>
      <c r="CYZ24" s="157"/>
      <c r="CZA24" s="157"/>
      <c r="CZB24" s="157"/>
      <c r="CZC24" s="157"/>
      <c r="CZD24" s="157"/>
      <c r="CZE24" s="157"/>
      <c r="CZF24" s="157"/>
      <c r="CZG24" s="157"/>
      <c r="CZH24" s="157"/>
      <c r="CZI24" s="157"/>
      <c r="CZJ24" s="157"/>
      <c r="CZK24" s="157"/>
      <c r="CZL24" s="157"/>
      <c r="CZM24" s="157"/>
      <c r="CZN24" s="157"/>
      <c r="CZO24" s="157"/>
      <c r="CZP24" s="157"/>
      <c r="CZQ24" s="157"/>
      <c r="CZR24" s="157"/>
      <c r="CZS24" s="157"/>
      <c r="CZT24" s="157"/>
      <c r="CZU24" s="157"/>
      <c r="CZV24" s="157"/>
      <c r="CZW24" s="157"/>
      <c r="CZX24" s="157"/>
      <c r="CZY24" s="157"/>
      <c r="CZZ24" s="157"/>
      <c r="DAA24" s="157"/>
      <c r="DAB24" s="157"/>
      <c r="DAC24" s="157"/>
      <c r="DAD24" s="157"/>
      <c r="DAE24" s="157"/>
      <c r="DAF24" s="157"/>
      <c r="DAG24" s="157"/>
      <c r="DAH24" s="157"/>
      <c r="DAI24" s="157"/>
      <c r="DAJ24" s="157"/>
      <c r="DAK24" s="157"/>
      <c r="DAL24" s="157"/>
      <c r="DAM24" s="157"/>
      <c r="DAN24" s="157"/>
      <c r="DAO24" s="157"/>
      <c r="DAP24" s="157"/>
      <c r="DAQ24" s="157"/>
      <c r="DAR24" s="157"/>
      <c r="DAS24" s="157"/>
      <c r="DAT24" s="157"/>
      <c r="DAU24" s="157"/>
      <c r="DAV24" s="157"/>
      <c r="DAW24" s="157"/>
      <c r="DAX24" s="157"/>
      <c r="DAY24" s="157"/>
      <c r="DAZ24" s="157"/>
      <c r="DBA24" s="157"/>
      <c r="DBB24" s="157"/>
      <c r="DBC24" s="157"/>
      <c r="DBD24" s="157"/>
      <c r="DBE24" s="157"/>
      <c r="DBF24" s="157"/>
      <c r="DBG24" s="157"/>
      <c r="DBH24" s="157"/>
      <c r="DBI24" s="157"/>
      <c r="DBJ24" s="157"/>
      <c r="DBK24" s="157"/>
      <c r="DBL24" s="157"/>
      <c r="DBM24" s="157"/>
      <c r="DBN24" s="157"/>
      <c r="DBO24" s="157"/>
      <c r="DBP24" s="157"/>
      <c r="DBQ24" s="157"/>
      <c r="DBR24" s="157"/>
      <c r="DBS24" s="157"/>
      <c r="DBT24" s="157"/>
      <c r="DBU24" s="157"/>
      <c r="DBV24" s="157"/>
      <c r="DBW24" s="157"/>
      <c r="DBX24" s="157"/>
      <c r="DBY24" s="157"/>
      <c r="DBZ24" s="157"/>
      <c r="DCA24" s="157"/>
      <c r="DCB24" s="157"/>
      <c r="DCC24" s="157"/>
      <c r="DCD24" s="157"/>
      <c r="DCE24" s="157"/>
      <c r="DCF24" s="157"/>
      <c r="DCG24" s="157"/>
      <c r="DCH24" s="157"/>
      <c r="DCI24" s="157"/>
      <c r="DCJ24" s="157"/>
      <c r="DCK24" s="157"/>
      <c r="DCL24" s="157"/>
      <c r="DCM24" s="157"/>
      <c r="DCN24" s="157"/>
      <c r="DCO24" s="157"/>
      <c r="DCP24" s="157"/>
      <c r="DCQ24" s="157"/>
      <c r="DCR24" s="157"/>
      <c r="DCS24" s="157"/>
      <c r="DCT24" s="157"/>
      <c r="DCU24" s="157"/>
      <c r="DCV24" s="157"/>
      <c r="DCW24" s="157"/>
      <c r="DCX24" s="157"/>
      <c r="DCY24" s="157"/>
      <c r="DCZ24" s="157"/>
      <c r="DDA24" s="157"/>
      <c r="DDB24" s="157"/>
      <c r="DDC24" s="157"/>
      <c r="DDD24" s="157"/>
      <c r="DDE24" s="157"/>
      <c r="DDF24" s="157"/>
      <c r="DDG24" s="157"/>
      <c r="DDH24" s="157"/>
      <c r="DDI24" s="157"/>
      <c r="DDJ24" s="157"/>
      <c r="DDK24" s="157"/>
      <c r="DDL24" s="157"/>
      <c r="DDM24" s="157"/>
      <c r="DDN24" s="157"/>
      <c r="DDO24" s="157"/>
      <c r="DDP24" s="157"/>
      <c r="DDQ24" s="157"/>
      <c r="DDR24" s="157"/>
      <c r="DDS24" s="157"/>
      <c r="DDT24" s="157"/>
      <c r="DDU24" s="157"/>
      <c r="DDV24" s="157"/>
      <c r="DDW24" s="157"/>
      <c r="DDX24" s="157"/>
      <c r="DDY24" s="157"/>
      <c r="DDZ24" s="157"/>
      <c r="DEA24" s="157"/>
      <c r="DEB24" s="157"/>
      <c r="DEC24" s="157"/>
      <c r="DED24" s="157"/>
      <c r="DEE24" s="157"/>
      <c r="DEF24" s="157"/>
      <c r="DEG24" s="157"/>
      <c r="DEH24" s="157"/>
      <c r="DEI24" s="157"/>
      <c r="DEJ24" s="157"/>
      <c r="DEK24" s="157"/>
      <c r="DEL24" s="157"/>
      <c r="DEM24" s="157"/>
      <c r="DEN24" s="157"/>
      <c r="DEO24" s="157"/>
      <c r="DEP24" s="157"/>
      <c r="DEQ24" s="157"/>
      <c r="DER24" s="157"/>
      <c r="DES24" s="157"/>
      <c r="DET24" s="157"/>
      <c r="DEU24" s="157"/>
      <c r="DEV24" s="157"/>
      <c r="DEW24" s="157"/>
      <c r="DEX24" s="157"/>
      <c r="DEY24" s="157"/>
      <c r="DEZ24" s="157"/>
      <c r="DFA24" s="157"/>
      <c r="DFB24" s="157"/>
      <c r="DFC24" s="157"/>
      <c r="DFD24" s="157"/>
      <c r="DFE24" s="157"/>
      <c r="DFF24" s="157"/>
      <c r="DFG24" s="157"/>
      <c r="DFH24" s="157"/>
      <c r="DFI24" s="157"/>
      <c r="DFJ24" s="157"/>
      <c r="DFK24" s="157"/>
      <c r="DFL24" s="157"/>
      <c r="DFM24" s="157"/>
      <c r="DFN24" s="157"/>
      <c r="DFO24" s="157"/>
      <c r="DFP24" s="157"/>
      <c r="DFQ24" s="157"/>
      <c r="DFR24" s="157"/>
      <c r="DFS24" s="157"/>
      <c r="DFT24" s="157"/>
      <c r="DFU24" s="157"/>
      <c r="DFV24" s="157"/>
      <c r="DFW24" s="157"/>
      <c r="DFX24" s="157"/>
      <c r="DFY24" s="157"/>
      <c r="DFZ24" s="157"/>
      <c r="DGA24" s="157"/>
      <c r="DGB24" s="157"/>
      <c r="DGC24" s="157"/>
      <c r="DGD24" s="157"/>
      <c r="DGE24" s="157"/>
      <c r="DGF24" s="157"/>
      <c r="DGG24" s="157"/>
      <c r="DGH24" s="157"/>
      <c r="DGI24" s="157"/>
      <c r="DGJ24" s="157"/>
      <c r="DGK24" s="157"/>
      <c r="DGL24" s="157"/>
      <c r="DGM24" s="157"/>
      <c r="DGN24" s="157"/>
      <c r="DGO24" s="157"/>
      <c r="DGP24" s="157"/>
      <c r="DGQ24" s="157"/>
      <c r="DGR24" s="157"/>
      <c r="DGS24" s="157"/>
      <c r="DGT24" s="157"/>
      <c r="DGU24" s="157"/>
      <c r="DGV24" s="157"/>
      <c r="DGW24" s="157"/>
      <c r="DGX24" s="157"/>
      <c r="DGY24" s="157"/>
      <c r="DGZ24" s="157"/>
      <c r="DHA24" s="157"/>
      <c r="DHB24" s="157"/>
      <c r="DHC24" s="157"/>
      <c r="DHD24" s="157"/>
      <c r="DHE24" s="157"/>
      <c r="DHF24" s="157"/>
      <c r="DHG24" s="157"/>
      <c r="DHH24" s="157"/>
      <c r="DHI24" s="157"/>
      <c r="DHJ24" s="157"/>
      <c r="DHK24" s="157"/>
      <c r="DHL24" s="157"/>
      <c r="DHM24" s="157"/>
      <c r="DHN24" s="157"/>
      <c r="DHO24" s="157"/>
      <c r="DHP24" s="157"/>
      <c r="DHQ24" s="157"/>
      <c r="DHR24" s="157"/>
      <c r="DHS24" s="157"/>
      <c r="DHT24" s="157"/>
      <c r="DHU24" s="157"/>
      <c r="DHV24" s="157"/>
      <c r="DHW24" s="157"/>
      <c r="DHX24" s="157"/>
      <c r="DHY24" s="157"/>
      <c r="DHZ24" s="157"/>
      <c r="DIA24" s="157"/>
      <c r="DIB24" s="157"/>
      <c r="DIC24" s="157"/>
      <c r="DID24" s="157"/>
      <c r="DIE24" s="157"/>
      <c r="DIF24" s="157"/>
      <c r="DIG24" s="157"/>
      <c r="DIH24" s="157"/>
      <c r="DII24" s="157"/>
      <c r="DIJ24" s="157"/>
      <c r="DIK24" s="157"/>
      <c r="DIL24" s="157"/>
      <c r="DIM24" s="157"/>
      <c r="DIN24" s="157"/>
      <c r="DIO24" s="157"/>
      <c r="DIP24" s="157"/>
      <c r="DIQ24" s="157"/>
      <c r="DIR24" s="157"/>
      <c r="DIS24" s="157"/>
      <c r="DIT24" s="157"/>
      <c r="DIU24" s="157"/>
      <c r="DIV24" s="157"/>
      <c r="DIW24" s="157"/>
      <c r="DIX24" s="157"/>
      <c r="DIY24" s="157"/>
      <c r="DIZ24" s="157"/>
      <c r="DJA24" s="157"/>
      <c r="DJB24" s="157"/>
      <c r="DJC24" s="157"/>
      <c r="DJD24" s="157"/>
      <c r="DJE24" s="157"/>
      <c r="DJF24" s="157"/>
      <c r="DJG24" s="157"/>
      <c r="DJH24" s="157"/>
      <c r="DJI24" s="157"/>
      <c r="DJJ24" s="157"/>
      <c r="DJK24" s="157"/>
      <c r="DJL24" s="157"/>
      <c r="DJM24" s="157"/>
      <c r="DJN24" s="157"/>
      <c r="DJO24" s="157"/>
      <c r="DJP24" s="157"/>
      <c r="DJQ24" s="157"/>
      <c r="DJR24" s="157"/>
      <c r="DJS24" s="157"/>
      <c r="DJT24" s="157"/>
      <c r="DJU24" s="157"/>
      <c r="DJV24" s="157"/>
      <c r="DJW24" s="157"/>
      <c r="DJX24" s="157"/>
      <c r="DJY24" s="157"/>
      <c r="DJZ24" s="157"/>
      <c r="DKA24" s="157"/>
      <c r="DKB24" s="157"/>
      <c r="DKC24" s="157"/>
      <c r="DKD24" s="157"/>
      <c r="DKE24" s="157"/>
      <c r="DKF24" s="157"/>
      <c r="DKG24" s="157"/>
      <c r="DKH24" s="157"/>
      <c r="DKI24" s="157"/>
      <c r="DKJ24" s="157"/>
      <c r="DKK24" s="157"/>
      <c r="DKL24" s="157"/>
      <c r="DKM24" s="157"/>
      <c r="DKN24" s="157"/>
      <c r="DKO24" s="157"/>
      <c r="DKP24" s="157"/>
      <c r="DKQ24" s="157"/>
      <c r="DKR24" s="157"/>
      <c r="DKS24" s="157"/>
      <c r="DKT24" s="157"/>
      <c r="DKU24" s="157"/>
      <c r="DKV24" s="157"/>
      <c r="DKW24" s="157"/>
      <c r="DKX24" s="157"/>
      <c r="DKY24" s="157"/>
      <c r="DKZ24" s="157"/>
      <c r="DLA24" s="157"/>
      <c r="DLB24" s="157"/>
      <c r="DLC24" s="157"/>
      <c r="DLD24" s="157"/>
      <c r="DLE24" s="157"/>
      <c r="DLF24" s="157"/>
      <c r="DLG24" s="157"/>
      <c r="DLH24" s="157"/>
      <c r="DLI24" s="157"/>
      <c r="DLJ24" s="157"/>
      <c r="DLK24" s="157"/>
      <c r="DLL24" s="157"/>
      <c r="DLM24" s="157"/>
      <c r="DLN24" s="157"/>
      <c r="DLO24" s="157"/>
      <c r="DLP24" s="157"/>
      <c r="DLQ24" s="157"/>
      <c r="DLR24" s="157"/>
      <c r="DLS24" s="157"/>
      <c r="DLT24" s="157"/>
      <c r="DLU24" s="157"/>
      <c r="DLV24" s="157"/>
      <c r="DLW24" s="157"/>
      <c r="DLX24" s="157"/>
      <c r="DLY24" s="157"/>
      <c r="DLZ24" s="157"/>
      <c r="DMA24" s="157"/>
      <c r="DMB24" s="157"/>
      <c r="DMC24" s="157"/>
      <c r="DMD24" s="157"/>
      <c r="DME24" s="157"/>
      <c r="DMF24" s="157"/>
      <c r="DMG24" s="157"/>
      <c r="DMH24" s="157"/>
      <c r="DMI24" s="157"/>
      <c r="DMJ24" s="157"/>
      <c r="DMK24" s="157"/>
      <c r="DML24" s="157"/>
      <c r="DMM24" s="157"/>
      <c r="DMN24" s="157"/>
      <c r="DMO24" s="157"/>
      <c r="DMP24" s="157"/>
      <c r="DMQ24" s="157"/>
      <c r="DMR24" s="157"/>
      <c r="DMS24" s="157"/>
      <c r="DMT24" s="157"/>
      <c r="DMU24" s="157"/>
      <c r="DMV24" s="157"/>
      <c r="DMW24" s="157"/>
      <c r="DMX24" s="157"/>
      <c r="DMY24" s="157"/>
      <c r="DMZ24" s="157"/>
      <c r="DNA24" s="157"/>
      <c r="DNB24" s="157"/>
      <c r="DNC24" s="157"/>
      <c r="DND24" s="157"/>
      <c r="DNE24" s="157"/>
      <c r="DNF24" s="157"/>
      <c r="DNG24" s="157"/>
      <c r="DNH24" s="157"/>
      <c r="DNI24" s="157"/>
      <c r="DNJ24" s="157"/>
      <c r="DNK24" s="157"/>
      <c r="DNL24" s="157"/>
      <c r="DNM24" s="157"/>
      <c r="DNN24" s="157"/>
      <c r="DNO24" s="157"/>
      <c r="DNP24" s="157"/>
      <c r="DNQ24" s="157"/>
      <c r="DNR24" s="157"/>
      <c r="DNS24" s="157"/>
      <c r="DNT24" s="157"/>
      <c r="DNU24" s="157"/>
      <c r="DNV24" s="157"/>
      <c r="DNW24" s="157"/>
      <c r="DNX24" s="157"/>
      <c r="DNY24" s="157"/>
      <c r="DNZ24" s="157"/>
      <c r="DOA24" s="157"/>
      <c r="DOB24" s="157"/>
      <c r="DOC24" s="157"/>
      <c r="DOD24" s="157"/>
      <c r="DOE24" s="157"/>
      <c r="DOF24" s="157"/>
      <c r="DOG24" s="157"/>
      <c r="DOH24" s="157"/>
      <c r="DOI24" s="157"/>
      <c r="DOJ24" s="157"/>
      <c r="DOK24" s="157"/>
      <c r="DOL24" s="157"/>
      <c r="DOM24" s="157"/>
      <c r="DON24" s="157"/>
      <c r="DOO24" s="157"/>
      <c r="DOP24" s="157"/>
      <c r="DOQ24" s="157"/>
      <c r="DOR24" s="157"/>
      <c r="DOS24" s="157"/>
      <c r="DOT24" s="157"/>
      <c r="DOU24" s="157"/>
      <c r="DOV24" s="157"/>
      <c r="DOW24" s="157"/>
      <c r="DOX24" s="157"/>
      <c r="DOY24" s="157"/>
      <c r="DOZ24" s="157"/>
      <c r="DPA24" s="157"/>
      <c r="DPB24" s="157"/>
      <c r="DPC24" s="157"/>
      <c r="DPD24" s="157"/>
      <c r="DPE24" s="157"/>
      <c r="DPF24" s="157"/>
      <c r="DPG24" s="157"/>
      <c r="DPH24" s="157"/>
      <c r="DPI24" s="157"/>
      <c r="DPJ24" s="157"/>
      <c r="DPK24" s="157"/>
      <c r="DPL24" s="157"/>
      <c r="DPM24" s="157"/>
      <c r="DPN24" s="157"/>
      <c r="DPO24" s="157"/>
      <c r="DPP24" s="157"/>
      <c r="DPQ24" s="157"/>
      <c r="DPR24" s="157"/>
      <c r="DPS24" s="157"/>
      <c r="DPT24" s="157"/>
      <c r="DPU24" s="157"/>
      <c r="DPV24" s="157"/>
      <c r="DPW24" s="157"/>
      <c r="DPX24" s="157"/>
      <c r="DPY24" s="157"/>
      <c r="DPZ24" s="157"/>
      <c r="DQA24" s="157"/>
      <c r="DQB24" s="157"/>
      <c r="DQC24" s="157"/>
      <c r="DQD24" s="157"/>
      <c r="DQE24" s="157"/>
      <c r="DQF24" s="157"/>
      <c r="DQG24" s="157"/>
      <c r="DQH24" s="157"/>
      <c r="DQI24" s="157"/>
      <c r="DQJ24" s="157"/>
      <c r="DQK24" s="157"/>
      <c r="DQL24" s="157"/>
      <c r="DQM24" s="157"/>
      <c r="DQN24" s="157"/>
      <c r="DQO24" s="157"/>
      <c r="DQP24" s="157"/>
      <c r="DQQ24" s="157"/>
      <c r="DQR24" s="157"/>
      <c r="DQS24" s="157"/>
      <c r="DQT24" s="157"/>
      <c r="DQU24" s="157"/>
      <c r="DQV24" s="157"/>
      <c r="DQW24" s="157"/>
      <c r="DQX24" s="157"/>
      <c r="DQY24" s="157"/>
      <c r="DQZ24" s="157"/>
      <c r="DRA24" s="157"/>
      <c r="DRB24" s="157"/>
      <c r="DRC24" s="157"/>
      <c r="DRD24" s="157"/>
      <c r="DRE24" s="157"/>
      <c r="DRF24" s="157"/>
      <c r="DRG24" s="157"/>
      <c r="DRH24" s="157"/>
      <c r="DRI24" s="157"/>
      <c r="DRJ24" s="157"/>
      <c r="DRK24" s="157"/>
      <c r="DRL24" s="157"/>
      <c r="DRM24" s="157"/>
      <c r="DRN24" s="157"/>
      <c r="DRO24" s="157"/>
      <c r="DRP24" s="157"/>
      <c r="DRQ24" s="157"/>
      <c r="DRR24" s="157"/>
      <c r="DRS24" s="157"/>
      <c r="DRT24" s="157"/>
      <c r="DRU24" s="157"/>
      <c r="DRV24" s="157"/>
      <c r="DRW24" s="157"/>
      <c r="DRX24" s="157"/>
      <c r="DRY24" s="157"/>
      <c r="DRZ24" s="157"/>
      <c r="DSA24" s="157"/>
      <c r="DSB24" s="157"/>
      <c r="DSC24" s="157"/>
      <c r="DSD24" s="157"/>
      <c r="DSE24" s="157"/>
      <c r="DSF24" s="157"/>
      <c r="DSG24" s="157"/>
      <c r="DSH24" s="157"/>
      <c r="DSI24" s="157"/>
      <c r="DSJ24" s="157"/>
      <c r="DSK24" s="157"/>
      <c r="DSL24" s="157"/>
      <c r="DSM24" s="157"/>
      <c r="DSN24" s="157"/>
      <c r="DSO24" s="157"/>
      <c r="DSP24" s="157"/>
      <c r="DSQ24" s="157"/>
      <c r="DSR24" s="157"/>
      <c r="DSS24" s="157"/>
      <c r="DST24" s="157"/>
      <c r="DSU24" s="157"/>
      <c r="DSV24" s="157"/>
      <c r="DSW24" s="157"/>
      <c r="DSX24" s="157"/>
      <c r="DSY24" s="157"/>
      <c r="DSZ24" s="157"/>
      <c r="DTA24" s="157"/>
      <c r="DTB24" s="157"/>
      <c r="DTC24" s="157"/>
      <c r="DTD24" s="157"/>
      <c r="DTE24" s="157"/>
      <c r="DTF24" s="157"/>
      <c r="DTG24" s="157"/>
      <c r="DTH24" s="157"/>
      <c r="DTI24" s="157"/>
      <c r="DTJ24" s="157"/>
      <c r="DTK24" s="157"/>
      <c r="DTL24" s="157"/>
      <c r="DTM24" s="157"/>
      <c r="DTN24" s="157"/>
      <c r="DTO24" s="157"/>
      <c r="DTP24" s="157"/>
      <c r="DTQ24" s="157"/>
      <c r="DTR24" s="157"/>
      <c r="DTS24" s="157"/>
      <c r="DTT24" s="157"/>
      <c r="DTU24" s="157"/>
      <c r="DTV24" s="157"/>
      <c r="DTW24" s="157"/>
      <c r="DTX24" s="157"/>
      <c r="DTY24" s="157"/>
      <c r="DTZ24" s="157"/>
      <c r="DUA24" s="157"/>
      <c r="DUB24" s="157"/>
      <c r="DUC24" s="157"/>
      <c r="DUD24" s="157"/>
      <c r="DUE24" s="157"/>
      <c r="DUF24" s="157"/>
      <c r="DUG24" s="157"/>
      <c r="DUH24" s="157"/>
      <c r="DUI24" s="157"/>
      <c r="DUJ24" s="157"/>
      <c r="DUK24" s="157"/>
      <c r="DUL24" s="157"/>
      <c r="DUM24" s="157"/>
      <c r="DUN24" s="157"/>
      <c r="DUO24" s="157"/>
      <c r="DUP24" s="157"/>
      <c r="DUQ24" s="157"/>
      <c r="DUR24" s="157"/>
      <c r="DUS24" s="157"/>
      <c r="DUT24" s="157"/>
      <c r="DUU24" s="157"/>
      <c r="DUV24" s="157"/>
      <c r="DUW24" s="157"/>
      <c r="DUX24" s="157"/>
      <c r="DUY24" s="157"/>
      <c r="DUZ24" s="157"/>
      <c r="DVA24" s="157"/>
      <c r="DVB24" s="157"/>
      <c r="DVC24" s="157"/>
      <c r="DVD24" s="157"/>
      <c r="DVE24" s="157"/>
      <c r="DVF24" s="157"/>
      <c r="DVG24" s="157"/>
      <c r="DVH24" s="157"/>
      <c r="DVI24" s="157"/>
      <c r="DVJ24" s="157"/>
      <c r="DVK24" s="157"/>
      <c r="DVL24" s="157"/>
      <c r="DVM24" s="157"/>
      <c r="DVN24" s="157"/>
      <c r="DVO24" s="157"/>
      <c r="DVP24" s="157"/>
      <c r="DVQ24" s="157"/>
      <c r="DVR24" s="157"/>
      <c r="DVS24" s="157"/>
      <c r="DVT24" s="157"/>
      <c r="DVU24" s="157"/>
      <c r="DVV24" s="157"/>
      <c r="DVW24" s="157"/>
      <c r="DVX24" s="157"/>
      <c r="DVY24" s="157"/>
      <c r="DVZ24" s="157"/>
      <c r="DWA24" s="157"/>
      <c r="DWB24" s="157"/>
      <c r="DWC24" s="157"/>
      <c r="DWD24" s="157"/>
      <c r="DWE24" s="157"/>
      <c r="DWF24" s="157"/>
      <c r="DWG24" s="157"/>
      <c r="DWH24" s="157"/>
      <c r="DWI24" s="157"/>
      <c r="DWJ24" s="157"/>
      <c r="DWK24" s="157"/>
      <c r="DWL24" s="157"/>
      <c r="DWM24" s="157"/>
      <c r="DWN24" s="157"/>
      <c r="DWO24" s="157"/>
      <c r="DWP24" s="157"/>
      <c r="DWQ24" s="157"/>
      <c r="DWR24" s="157"/>
      <c r="DWS24" s="157"/>
      <c r="DWT24" s="157"/>
      <c r="DWU24" s="157"/>
      <c r="DWV24" s="157"/>
      <c r="DWW24" s="157"/>
      <c r="DWX24" s="157"/>
      <c r="DWY24" s="157"/>
      <c r="DWZ24" s="157"/>
      <c r="DXA24" s="157"/>
      <c r="DXB24" s="157"/>
      <c r="DXC24" s="157"/>
      <c r="DXD24" s="157"/>
      <c r="DXE24" s="157"/>
      <c r="DXF24" s="157"/>
      <c r="DXG24" s="157"/>
      <c r="DXH24" s="157"/>
      <c r="DXI24" s="157"/>
      <c r="DXJ24" s="157"/>
      <c r="DXK24" s="157"/>
      <c r="DXL24" s="157"/>
      <c r="DXM24" s="157"/>
      <c r="DXN24" s="157"/>
      <c r="DXO24" s="157"/>
      <c r="DXP24" s="157"/>
      <c r="DXQ24" s="157"/>
      <c r="DXR24" s="157"/>
      <c r="DXS24" s="157"/>
      <c r="DXT24" s="157"/>
      <c r="DXU24" s="157"/>
      <c r="DXV24" s="157"/>
      <c r="DXW24" s="157"/>
      <c r="DXX24" s="157"/>
      <c r="DXY24" s="157"/>
      <c r="DXZ24" s="157"/>
      <c r="DYA24" s="157"/>
      <c r="DYB24" s="157"/>
      <c r="DYC24" s="157"/>
      <c r="DYD24" s="157"/>
      <c r="DYE24" s="157"/>
      <c r="DYF24" s="157"/>
      <c r="DYG24" s="157"/>
      <c r="DYH24" s="157"/>
      <c r="DYI24" s="157"/>
      <c r="DYJ24" s="157"/>
      <c r="DYK24" s="157"/>
      <c r="DYL24" s="157"/>
      <c r="DYM24" s="157"/>
      <c r="DYN24" s="157"/>
      <c r="DYO24" s="157"/>
      <c r="DYP24" s="157"/>
      <c r="DYQ24" s="157"/>
      <c r="DYR24" s="157"/>
      <c r="DYS24" s="157"/>
      <c r="DYT24" s="157"/>
      <c r="DYU24" s="157"/>
      <c r="DYV24" s="157"/>
      <c r="DYW24" s="157"/>
      <c r="DYX24" s="157"/>
      <c r="DYY24" s="157"/>
      <c r="DYZ24" s="157"/>
      <c r="DZA24" s="157"/>
      <c r="DZB24" s="157"/>
      <c r="DZC24" s="157"/>
      <c r="DZD24" s="157"/>
      <c r="DZE24" s="157"/>
      <c r="DZF24" s="157"/>
      <c r="DZG24" s="157"/>
      <c r="DZH24" s="157"/>
      <c r="DZI24" s="157"/>
      <c r="DZJ24" s="157"/>
      <c r="DZK24" s="157"/>
      <c r="DZL24" s="157"/>
      <c r="DZM24" s="157"/>
      <c r="DZN24" s="157"/>
      <c r="DZO24" s="157"/>
      <c r="DZP24" s="157"/>
      <c r="DZQ24" s="157"/>
      <c r="DZR24" s="157"/>
      <c r="DZS24" s="157"/>
      <c r="DZT24" s="157"/>
      <c r="DZU24" s="157"/>
      <c r="DZV24" s="157"/>
      <c r="DZW24" s="157"/>
      <c r="DZX24" s="157"/>
      <c r="DZY24" s="157"/>
      <c r="DZZ24" s="157"/>
      <c r="EAA24" s="157"/>
      <c r="EAB24" s="157"/>
      <c r="EAC24" s="157"/>
      <c r="EAD24" s="157"/>
      <c r="EAE24" s="157"/>
      <c r="EAF24" s="157"/>
      <c r="EAG24" s="157"/>
      <c r="EAH24" s="157"/>
      <c r="EAI24" s="157"/>
      <c r="EAJ24" s="157"/>
      <c r="EAK24" s="157"/>
      <c r="EAL24" s="157"/>
      <c r="EAM24" s="157"/>
      <c r="EAN24" s="157"/>
      <c r="EAO24" s="157"/>
      <c r="EAP24" s="157"/>
      <c r="EAQ24" s="157"/>
      <c r="EAR24" s="157"/>
      <c r="EAS24" s="157"/>
      <c r="EAT24" s="157"/>
      <c r="EAU24" s="157"/>
      <c r="EAV24" s="157"/>
      <c r="EAW24" s="157"/>
      <c r="EAX24" s="157"/>
      <c r="EAY24" s="157"/>
      <c r="EAZ24" s="157"/>
      <c r="EBA24" s="157"/>
      <c r="EBB24" s="157"/>
      <c r="EBC24" s="157"/>
      <c r="EBD24" s="157"/>
      <c r="EBE24" s="157"/>
      <c r="EBF24" s="157"/>
      <c r="EBG24" s="157"/>
      <c r="EBH24" s="157"/>
      <c r="EBI24" s="157"/>
      <c r="EBJ24" s="157"/>
      <c r="EBK24" s="157"/>
      <c r="EBL24" s="157"/>
      <c r="EBM24" s="157"/>
      <c r="EBN24" s="157"/>
      <c r="EBO24" s="157"/>
      <c r="EBP24" s="157"/>
      <c r="EBQ24" s="157"/>
      <c r="EBR24" s="157"/>
      <c r="EBS24" s="157"/>
      <c r="EBT24" s="157"/>
      <c r="EBU24" s="157"/>
      <c r="EBV24" s="157"/>
      <c r="EBW24" s="157"/>
      <c r="EBX24" s="157"/>
      <c r="EBY24" s="157"/>
      <c r="EBZ24" s="157"/>
      <c r="ECA24" s="157"/>
      <c r="ECB24" s="157"/>
      <c r="ECC24" s="157"/>
      <c r="ECD24" s="157"/>
      <c r="ECE24" s="157"/>
      <c r="ECF24" s="157"/>
      <c r="ECG24" s="157"/>
      <c r="ECH24" s="157"/>
      <c r="ECI24" s="157"/>
      <c r="ECJ24" s="157"/>
      <c r="ECK24" s="157"/>
      <c r="ECL24" s="157"/>
      <c r="ECM24" s="157"/>
      <c r="ECN24" s="157"/>
      <c r="ECO24" s="157"/>
      <c r="ECP24" s="157"/>
      <c r="ECQ24" s="157"/>
      <c r="ECR24" s="157"/>
      <c r="ECS24" s="157"/>
      <c r="ECT24" s="157"/>
      <c r="ECU24" s="157"/>
      <c r="ECV24" s="157"/>
      <c r="ECW24" s="157"/>
      <c r="ECX24" s="157"/>
      <c r="ECY24" s="157"/>
      <c r="ECZ24" s="157"/>
      <c r="EDA24" s="157"/>
      <c r="EDB24" s="157"/>
      <c r="EDC24" s="157"/>
      <c r="EDD24" s="157"/>
      <c r="EDE24" s="157"/>
      <c r="EDF24" s="157"/>
      <c r="EDG24" s="157"/>
      <c r="EDH24" s="157"/>
      <c r="EDI24" s="157"/>
      <c r="EDJ24" s="157"/>
      <c r="EDK24" s="157"/>
      <c r="EDL24" s="157"/>
      <c r="EDM24" s="157"/>
      <c r="EDN24" s="157"/>
      <c r="EDO24" s="157"/>
      <c r="EDP24" s="157"/>
      <c r="EDQ24" s="157"/>
      <c r="EDR24" s="157"/>
      <c r="EDS24" s="157"/>
      <c r="EDT24" s="157"/>
      <c r="EDU24" s="157"/>
      <c r="EDV24" s="157"/>
      <c r="EDW24" s="157"/>
      <c r="EDX24" s="157"/>
      <c r="EDY24" s="157"/>
      <c r="EDZ24" s="157"/>
      <c r="EEA24" s="157"/>
      <c r="EEB24" s="157"/>
      <c r="EEC24" s="157"/>
      <c r="EED24" s="157"/>
      <c r="EEE24" s="157"/>
      <c r="EEF24" s="157"/>
      <c r="EEG24" s="157"/>
      <c r="EEH24" s="157"/>
      <c r="EEI24" s="157"/>
      <c r="EEJ24" s="157"/>
      <c r="EEK24" s="157"/>
      <c r="EEL24" s="157"/>
      <c r="EEM24" s="157"/>
      <c r="EEN24" s="157"/>
      <c r="EEO24" s="157"/>
      <c r="EEP24" s="157"/>
      <c r="EEQ24" s="157"/>
      <c r="EER24" s="157"/>
      <c r="EES24" s="157"/>
      <c r="EET24" s="157"/>
      <c r="EEU24" s="157"/>
      <c r="EEV24" s="157"/>
      <c r="EEW24" s="157"/>
      <c r="EEX24" s="157"/>
      <c r="EEY24" s="157"/>
      <c r="EEZ24" s="157"/>
      <c r="EFA24" s="157"/>
      <c r="EFB24" s="157"/>
      <c r="EFC24" s="157"/>
      <c r="EFD24" s="157"/>
      <c r="EFE24" s="157"/>
      <c r="EFF24" s="157"/>
      <c r="EFG24" s="157"/>
      <c r="EFH24" s="157"/>
      <c r="EFI24" s="157"/>
      <c r="EFJ24" s="157"/>
      <c r="EFK24" s="157"/>
      <c r="EFL24" s="157"/>
      <c r="EFM24" s="157"/>
      <c r="EFN24" s="157"/>
      <c r="EFO24" s="157"/>
      <c r="EFP24" s="157"/>
      <c r="EFQ24" s="157"/>
      <c r="EFR24" s="157"/>
      <c r="EFS24" s="157"/>
      <c r="EFT24" s="157"/>
      <c r="EFU24" s="157"/>
      <c r="EFV24" s="157"/>
      <c r="EFW24" s="157"/>
      <c r="EFX24" s="157"/>
      <c r="EFY24" s="157"/>
      <c r="EFZ24" s="157"/>
      <c r="EGA24" s="157"/>
      <c r="EGB24" s="157"/>
      <c r="EGC24" s="157"/>
      <c r="EGD24" s="157"/>
      <c r="EGE24" s="157"/>
      <c r="EGF24" s="157"/>
      <c r="EGG24" s="157"/>
      <c r="EGH24" s="157"/>
      <c r="EGI24" s="157"/>
      <c r="EGJ24" s="157"/>
      <c r="EGK24" s="157"/>
      <c r="EGL24" s="157"/>
      <c r="EGM24" s="157"/>
      <c r="EGN24" s="157"/>
      <c r="EGO24" s="157"/>
      <c r="EGP24" s="157"/>
      <c r="EGQ24" s="157"/>
      <c r="EGR24" s="157"/>
      <c r="EGS24" s="157"/>
      <c r="EGT24" s="157"/>
      <c r="EGU24" s="157"/>
      <c r="EGV24" s="157"/>
      <c r="EGW24" s="157"/>
      <c r="EGX24" s="157"/>
      <c r="EGY24" s="157"/>
      <c r="EGZ24" s="157"/>
      <c r="EHA24" s="157"/>
      <c r="EHB24" s="157"/>
      <c r="EHC24" s="157"/>
      <c r="EHD24" s="157"/>
      <c r="EHE24" s="157"/>
      <c r="EHF24" s="157"/>
      <c r="EHG24" s="157"/>
      <c r="EHH24" s="157"/>
      <c r="EHI24" s="157"/>
      <c r="EHJ24" s="157"/>
      <c r="EHK24" s="157"/>
      <c r="EHL24" s="157"/>
      <c r="EHM24" s="157"/>
      <c r="EHN24" s="157"/>
      <c r="EHO24" s="157"/>
      <c r="EHP24" s="157"/>
      <c r="EHQ24" s="157"/>
      <c r="EHR24" s="157"/>
      <c r="EHS24" s="157"/>
      <c r="EHT24" s="157"/>
      <c r="EHU24" s="157"/>
      <c r="EHV24" s="157"/>
      <c r="EHW24" s="157"/>
      <c r="EHX24" s="157"/>
      <c r="EHY24" s="157"/>
      <c r="EHZ24" s="157"/>
      <c r="EIA24" s="157"/>
      <c r="EIB24" s="157"/>
      <c r="EIC24" s="157"/>
      <c r="EID24" s="157"/>
      <c r="EIE24" s="157"/>
      <c r="EIF24" s="157"/>
      <c r="EIG24" s="157"/>
      <c r="EIH24" s="157"/>
      <c r="EII24" s="157"/>
      <c r="EIJ24" s="157"/>
      <c r="EIK24" s="157"/>
      <c r="EIL24" s="157"/>
      <c r="EIM24" s="157"/>
      <c r="EIN24" s="157"/>
      <c r="EIO24" s="157"/>
      <c r="EIP24" s="157"/>
      <c r="EIQ24" s="157"/>
      <c r="EIR24" s="157"/>
      <c r="EIS24" s="157"/>
      <c r="EIT24" s="157"/>
      <c r="EIU24" s="157"/>
      <c r="EIV24" s="157"/>
      <c r="EIW24" s="157"/>
      <c r="EIX24" s="157"/>
      <c r="EIY24" s="157"/>
      <c r="EIZ24" s="157"/>
      <c r="EJA24" s="157"/>
      <c r="EJB24" s="157"/>
      <c r="EJC24" s="157"/>
      <c r="EJD24" s="157"/>
      <c r="EJE24" s="157"/>
      <c r="EJF24" s="157"/>
      <c r="EJG24" s="157"/>
      <c r="EJH24" s="157"/>
      <c r="EJI24" s="157"/>
      <c r="EJJ24" s="157"/>
      <c r="EJK24" s="157"/>
      <c r="EJL24" s="157"/>
      <c r="EJM24" s="157"/>
      <c r="EJN24" s="157"/>
      <c r="EJO24" s="157"/>
      <c r="EJP24" s="157"/>
      <c r="EJQ24" s="157"/>
      <c r="EJR24" s="157"/>
      <c r="EJS24" s="157"/>
      <c r="EJT24" s="157"/>
      <c r="EJU24" s="157"/>
      <c r="EJV24" s="157"/>
      <c r="EJW24" s="157"/>
      <c r="EJX24" s="157"/>
      <c r="EJY24" s="157"/>
      <c r="EJZ24" s="157"/>
      <c r="EKA24" s="157"/>
      <c r="EKB24" s="157"/>
      <c r="EKC24" s="157"/>
      <c r="EKD24" s="157"/>
      <c r="EKE24" s="157"/>
      <c r="EKF24" s="157"/>
      <c r="EKG24" s="157"/>
      <c r="EKH24" s="157"/>
      <c r="EKI24" s="157"/>
      <c r="EKJ24" s="157"/>
      <c r="EKK24" s="157"/>
      <c r="EKL24" s="157"/>
      <c r="EKM24" s="157"/>
      <c r="EKN24" s="157"/>
      <c r="EKO24" s="157"/>
      <c r="EKP24" s="157"/>
      <c r="EKQ24" s="157"/>
      <c r="EKR24" s="157"/>
      <c r="EKS24" s="157"/>
      <c r="EKT24" s="157"/>
      <c r="EKU24" s="157"/>
      <c r="EKV24" s="157"/>
      <c r="EKW24" s="157"/>
      <c r="EKX24" s="157"/>
      <c r="EKY24" s="157"/>
      <c r="EKZ24" s="157"/>
      <c r="ELA24" s="157"/>
      <c r="ELB24" s="157"/>
      <c r="ELC24" s="157"/>
      <c r="ELD24" s="157"/>
      <c r="ELE24" s="157"/>
      <c r="ELF24" s="157"/>
      <c r="ELG24" s="157"/>
      <c r="ELH24" s="157"/>
      <c r="ELI24" s="157"/>
      <c r="ELJ24" s="157"/>
      <c r="ELK24" s="157"/>
      <c r="ELL24" s="157"/>
      <c r="ELM24" s="157"/>
      <c r="ELN24" s="157"/>
      <c r="ELO24" s="157"/>
      <c r="ELP24" s="157"/>
      <c r="ELQ24" s="157"/>
      <c r="ELR24" s="157"/>
      <c r="ELS24" s="157"/>
      <c r="ELT24" s="157"/>
      <c r="ELU24" s="157"/>
      <c r="ELV24" s="157"/>
      <c r="ELW24" s="157"/>
      <c r="ELX24" s="157"/>
      <c r="ELY24" s="157"/>
      <c r="ELZ24" s="157"/>
      <c r="EMA24" s="157"/>
      <c r="EMB24" s="157"/>
      <c r="EMC24" s="157"/>
      <c r="EMD24" s="157"/>
      <c r="EME24" s="157"/>
      <c r="EMF24" s="157"/>
      <c r="EMG24" s="157"/>
      <c r="EMH24" s="157"/>
      <c r="EMI24" s="157"/>
      <c r="EMJ24" s="157"/>
      <c r="EMK24" s="157"/>
      <c r="EML24" s="157"/>
      <c r="EMM24" s="157"/>
      <c r="EMN24" s="157"/>
      <c r="EMO24" s="157"/>
      <c r="EMP24" s="157"/>
      <c r="EMQ24" s="157"/>
      <c r="EMR24" s="157"/>
      <c r="EMS24" s="157"/>
      <c r="EMT24" s="157"/>
      <c r="EMU24" s="157"/>
      <c r="EMV24" s="157"/>
      <c r="EMW24" s="157"/>
      <c r="EMX24" s="157"/>
      <c r="EMY24" s="157"/>
      <c r="EMZ24" s="157"/>
      <c r="ENA24" s="157"/>
      <c r="ENB24" s="157"/>
      <c r="ENC24" s="157"/>
      <c r="END24" s="157"/>
      <c r="ENE24" s="157"/>
      <c r="ENF24" s="157"/>
      <c r="ENG24" s="157"/>
      <c r="ENH24" s="157"/>
      <c r="ENI24" s="157"/>
      <c r="ENJ24" s="157"/>
      <c r="ENK24" s="157"/>
      <c r="ENL24" s="157"/>
      <c r="ENM24" s="157"/>
      <c r="ENN24" s="157"/>
      <c r="ENO24" s="157"/>
      <c r="ENP24" s="157"/>
      <c r="ENQ24" s="157"/>
      <c r="ENR24" s="157"/>
      <c r="ENS24" s="157"/>
      <c r="ENT24" s="157"/>
      <c r="ENU24" s="157"/>
      <c r="ENV24" s="157"/>
      <c r="ENW24" s="157"/>
      <c r="ENX24" s="157"/>
      <c r="ENY24" s="157"/>
      <c r="ENZ24" s="157"/>
      <c r="EOA24" s="157"/>
      <c r="EOB24" s="157"/>
      <c r="EOC24" s="157"/>
      <c r="EOD24" s="157"/>
      <c r="EOE24" s="157"/>
      <c r="EOF24" s="157"/>
      <c r="EOG24" s="157"/>
      <c r="EOH24" s="157"/>
      <c r="EOI24" s="157"/>
      <c r="EOJ24" s="157"/>
      <c r="EOK24" s="157"/>
      <c r="EOL24" s="157"/>
      <c r="EOM24" s="157"/>
      <c r="EON24" s="157"/>
      <c r="EOO24" s="157"/>
      <c r="EOP24" s="157"/>
      <c r="EOQ24" s="157"/>
      <c r="EOR24" s="157"/>
      <c r="EOS24" s="157"/>
      <c r="EOT24" s="157"/>
      <c r="EOU24" s="157"/>
      <c r="EOV24" s="157"/>
      <c r="EOW24" s="157"/>
      <c r="EOX24" s="157"/>
      <c r="EOY24" s="157"/>
      <c r="EOZ24" s="157"/>
      <c r="EPA24" s="157"/>
      <c r="EPB24" s="157"/>
      <c r="EPC24" s="157"/>
      <c r="EPD24" s="157"/>
      <c r="EPE24" s="157"/>
      <c r="EPF24" s="157"/>
      <c r="EPG24" s="157"/>
      <c r="EPH24" s="157"/>
      <c r="EPI24" s="157"/>
      <c r="EPJ24" s="157"/>
      <c r="EPK24" s="157"/>
      <c r="EPL24" s="157"/>
      <c r="EPM24" s="157"/>
      <c r="EPN24" s="157"/>
      <c r="EPO24" s="157"/>
      <c r="EPP24" s="157"/>
      <c r="EPQ24" s="157"/>
      <c r="EPR24" s="157"/>
      <c r="EPS24" s="157"/>
      <c r="EPT24" s="157"/>
      <c r="EPU24" s="157"/>
      <c r="EPV24" s="157"/>
      <c r="EPW24" s="157"/>
      <c r="EPX24" s="157"/>
      <c r="EPY24" s="157"/>
      <c r="EPZ24" s="157"/>
      <c r="EQA24" s="157"/>
      <c r="EQB24" s="157"/>
      <c r="EQC24" s="157"/>
      <c r="EQD24" s="157"/>
      <c r="EQE24" s="157"/>
      <c r="EQF24" s="157"/>
      <c r="EQG24" s="157"/>
      <c r="EQH24" s="157"/>
      <c r="EQI24" s="157"/>
      <c r="EQJ24" s="157"/>
      <c r="EQK24" s="157"/>
      <c r="EQL24" s="157"/>
      <c r="EQM24" s="157"/>
      <c r="EQN24" s="157"/>
      <c r="EQO24" s="157"/>
      <c r="EQP24" s="157"/>
      <c r="EQQ24" s="157"/>
      <c r="EQR24" s="157"/>
      <c r="EQS24" s="157"/>
      <c r="EQT24" s="157"/>
      <c r="EQU24" s="157"/>
      <c r="EQV24" s="157"/>
      <c r="EQW24" s="157"/>
      <c r="EQX24" s="157"/>
      <c r="EQY24" s="157"/>
      <c r="EQZ24" s="157"/>
      <c r="ERA24" s="157"/>
      <c r="ERB24" s="157"/>
      <c r="ERC24" s="157"/>
      <c r="ERD24" s="157"/>
      <c r="ERE24" s="157"/>
      <c r="ERF24" s="157"/>
      <c r="ERG24" s="157"/>
      <c r="ERH24" s="157"/>
      <c r="ERI24" s="157"/>
      <c r="ERJ24" s="157"/>
      <c r="ERK24" s="157"/>
      <c r="ERL24" s="157"/>
      <c r="ERM24" s="157"/>
      <c r="ERN24" s="157"/>
      <c r="ERO24" s="157"/>
      <c r="ERP24" s="157"/>
      <c r="ERQ24" s="157"/>
      <c r="ERR24" s="157"/>
      <c r="ERS24" s="157"/>
      <c r="ERT24" s="157"/>
      <c r="ERU24" s="157"/>
      <c r="ERV24" s="157"/>
      <c r="ERW24" s="157"/>
      <c r="ERX24" s="157"/>
      <c r="ERY24" s="157"/>
      <c r="ERZ24" s="157"/>
      <c r="ESA24" s="157"/>
      <c r="ESB24" s="157"/>
      <c r="ESC24" s="157"/>
      <c r="ESD24" s="157"/>
      <c r="ESE24" s="157"/>
      <c r="ESF24" s="157"/>
      <c r="ESG24" s="157"/>
      <c r="ESH24" s="157"/>
      <c r="ESI24" s="157"/>
      <c r="ESJ24" s="157"/>
      <c r="ESK24" s="157"/>
      <c r="ESL24" s="157"/>
      <c r="ESM24" s="157"/>
      <c r="ESN24" s="157"/>
      <c r="ESO24" s="157"/>
      <c r="ESP24" s="157"/>
      <c r="ESQ24" s="157"/>
      <c r="ESR24" s="157"/>
      <c r="ESS24" s="157"/>
      <c r="EST24" s="157"/>
      <c r="ESU24" s="157"/>
      <c r="ESV24" s="157"/>
      <c r="ESW24" s="157"/>
      <c r="ESX24" s="157"/>
      <c r="ESY24" s="157"/>
      <c r="ESZ24" s="157"/>
      <c r="ETA24" s="157"/>
      <c r="ETB24" s="157"/>
      <c r="ETC24" s="157"/>
      <c r="ETD24" s="157"/>
      <c r="ETE24" s="157"/>
      <c r="ETF24" s="157"/>
      <c r="ETG24" s="157"/>
      <c r="ETH24" s="157"/>
      <c r="ETI24" s="157"/>
      <c r="ETJ24" s="157"/>
      <c r="ETK24" s="157"/>
      <c r="ETL24" s="157"/>
      <c r="ETM24" s="157"/>
      <c r="ETN24" s="157"/>
      <c r="ETO24" s="157"/>
      <c r="ETP24" s="157"/>
      <c r="ETQ24" s="157"/>
      <c r="ETR24" s="157"/>
      <c r="ETS24" s="157"/>
      <c r="ETT24" s="157"/>
      <c r="ETU24" s="157"/>
      <c r="ETV24" s="157"/>
      <c r="ETW24" s="157"/>
      <c r="ETX24" s="157"/>
      <c r="ETY24" s="157"/>
      <c r="ETZ24" s="157"/>
      <c r="EUA24" s="157"/>
      <c r="EUB24" s="157"/>
      <c r="EUC24" s="157"/>
      <c r="EUD24" s="157"/>
      <c r="EUE24" s="157"/>
      <c r="EUF24" s="157"/>
      <c r="EUG24" s="157"/>
      <c r="EUH24" s="157"/>
      <c r="EUI24" s="157"/>
      <c r="EUJ24" s="157"/>
      <c r="EUK24" s="157"/>
      <c r="EUL24" s="157"/>
      <c r="EUM24" s="157"/>
      <c r="EUN24" s="157"/>
      <c r="EUO24" s="157"/>
      <c r="EUP24" s="157"/>
      <c r="EUQ24" s="157"/>
      <c r="EUR24" s="157"/>
      <c r="EUS24" s="157"/>
      <c r="EUT24" s="157"/>
      <c r="EUU24" s="157"/>
      <c r="EUV24" s="157"/>
      <c r="EUW24" s="157"/>
      <c r="EUX24" s="157"/>
      <c r="EUY24" s="157"/>
      <c r="EUZ24" s="157"/>
      <c r="EVA24" s="157"/>
      <c r="EVB24" s="157"/>
      <c r="EVC24" s="157"/>
      <c r="EVD24" s="157"/>
      <c r="EVE24" s="157"/>
      <c r="EVF24" s="157"/>
      <c r="EVG24" s="157"/>
      <c r="EVH24" s="157"/>
      <c r="EVI24" s="157"/>
      <c r="EVJ24" s="157"/>
      <c r="EVK24" s="157"/>
      <c r="EVL24" s="157"/>
      <c r="EVM24" s="157"/>
      <c r="EVN24" s="157"/>
      <c r="EVO24" s="157"/>
      <c r="EVP24" s="157"/>
      <c r="EVQ24" s="157"/>
      <c r="EVR24" s="157"/>
      <c r="EVS24" s="157"/>
      <c r="EVT24" s="157"/>
      <c r="EVU24" s="157"/>
      <c r="EVV24" s="157"/>
      <c r="EVW24" s="157"/>
      <c r="EVX24" s="157"/>
      <c r="EVY24" s="157"/>
      <c r="EVZ24" s="157"/>
      <c r="EWA24" s="157"/>
      <c r="EWB24" s="157"/>
      <c r="EWC24" s="157"/>
      <c r="EWD24" s="157"/>
      <c r="EWE24" s="157"/>
      <c r="EWF24" s="157"/>
      <c r="EWG24" s="157"/>
      <c r="EWH24" s="157"/>
      <c r="EWI24" s="157"/>
      <c r="EWJ24" s="157"/>
      <c r="EWK24" s="157"/>
      <c r="EWL24" s="157"/>
      <c r="EWM24" s="157"/>
      <c r="EWN24" s="157"/>
      <c r="EWO24" s="157"/>
      <c r="EWP24" s="157"/>
      <c r="EWQ24" s="157"/>
      <c r="EWR24" s="157"/>
      <c r="EWS24" s="157"/>
      <c r="EWT24" s="157"/>
      <c r="EWU24" s="157"/>
      <c r="EWV24" s="157"/>
      <c r="EWW24" s="157"/>
      <c r="EWX24" s="157"/>
      <c r="EWY24" s="157"/>
      <c r="EWZ24" s="157"/>
      <c r="EXA24" s="157"/>
      <c r="EXB24" s="157"/>
      <c r="EXC24" s="157"/>
      <c r="EXD24" s="157"/>
      <c r="EXE24" s="157"/>
      <c r="EXF24" s="157"/>
      <c r="EXG24" s="157"/>
      <c r="EXH24" s="157"/>
      <c r="EXI24" s="157"/>
      <c r="EXJ24" s="157"/>
      <c r="EXK24" s="157"/>
      <c r="EXL24" s="157"/>
      <c r="EXM24" s="157"/>
      <c r="EXN24" s="157"/>
      <c r="EXO24" s="157"/>
      <c r="EXP24" s="157"/>
      <c r="EXQ24" s="157"/>
      <c r="EXR24" s="157"/>
      <c r="EXS24" s="157"/>
      <c r="EXT24" s="157"/>
      <c r="EXU24" s="157"/>
      <c r="EXV24" s="157"/>
      <c r="EXW24" s="157"/>
      <c r="EXX24" s="157"/>
      <c r="EXY24" s="157"/>
      <c r="EXZ24" s="157"/>
      <c r="EYA24" s="157"/>
      <c r="EYB24" s="157"/>
      <c r="EYC24" s="157"/>
      <c r="EYD24" s="157"/>
      <c r="EYE24" s="157"/>
      <c r="EYF24" s="157"/>
      <c r="EYG24" s="157"/>
      <c r="EYH24" s="157"/>
      <c r="EYI24" s="157"/>
      <c r="EYJ24" s="157"/>
      <c r="EYK24" s="157"/>
      <c r="EYL24" s="157"/>
      <c r="EYM24" s="157"/>
      <c r="EYN24" s="157"/>
      <c r="EYO24" s="157"/>
      <c r="EYP24" s="157"/>
      <c r="EYQ24" s="157"/>
      <c r="EYR24" s="157"/>
      <c r="EYS24" s="157"/>
      <c r="EYT24" s="157"/>
      <c r="EYU24" s="157"/>
      <c r="EYV24" s="157"/>
      <c r="EYW24" s="157"/>
      <c r="EYX24" s="157"/>
      <c r="EYY24" s="157"/>
      <c r="EYZ24" s="157"/>
      <c r="EZA24" s="157"/>
      <c r="EZB24" s="157"/>
      <c r="EZC24" s="157"/>
      <c r="EZD24" s="157"/>
      <c r="EZE24" s="157"/>
      <c r="EZF24" s="157"/>
      <c r="EZG24" s="157"/>
      <c r="EZH24" s="157"/>
      <c r="EZI24" s="157"/>
      <c r="EZJ24" s="157"/>
      <c r="EZK24" s="157"/>
      <c r="EZL24" s="157"/>
      <c r="EZM24" s="157"/>
      <c r="EZN24" s="157"/>
      <c r="EZO24" s="157"/>
      <c r="EZP24" s="157"/>
      <c r="EZQ24" s="157"/>
      <c r="EZR24" s="157"/>
      <c r="EZS24" s="157"/>
      <c r="EZT24" s="157"/>
      <c r="EZU24" s="157"/>
      <c r="EZV24" s="157"/>
      <c r="EZW24" s="157"/>
      <c r="EZX24" s="157"/>
      <c r="EZY24" s="157"/>
      <c r="EZZ24" s="157"/>
      <c r="FAA24" s="157"/>
      <c r="FAB24" s="157"/>
      <c r="FAC24" s="157"/>
      <c r="FAD24" s="157"/>
      <c r="FAE24" s="157"/>
      <c r="FAF24" s="157"/>
      <c r="FAG24" s="157"/>
      <c r="FAH24" s="157"/>
      <c r="FAI24" s="157"/>
      <c r="FAJ24" s="157"/>
      <c r="FAK24" s="157"/>
      <c r="FAL24" s="157"/>
      <c r="FAM24" s="157"/>
      <c r="FAN24" s="157"/>
      <c r="FAO24" s="157"/>
      <c r="FAP24" s="157"/>
      <c r="FAQ24" s="157"/>
      <c r="FAR24" s="157"/>
      <c r="FAS24" s="157"/>
      <c r="FAT24" s="157"/>
      <c r="FAU24" s="157"/>
      <c r="FAV24" s="157"/>
      <c r="FAW24" s="157"/>
      <c r="FAX24" s="157"/>
      <c r="FAY24" s="157"/>
      <c r="FAZ24" s="157"/>
      <c r="FBA24" s="157"/>
      <c r="FBB24" s="157"/>
      <c r="FBC24" s="157"/>
      <c r="FBD24" s="157"/>
      <c r="FBE24" s="157"/>
      <c r="FBF24" s="157"/>
      <c r="FBG24" s="157"/>
      <c r="FBH24" s="157"/>
      <c r="FBI24" s="157"/>
      <c r="FBJ24" s="157"/>
      <c r="FBK24" s="157"/>
      <c r="FBL24" s="157"/>
      <c r="FBM24" s="157"/>
      <c r="FBN24" s="157"/>
      <c r="FBO24" s="157"/>
      <c r="FBP24" s="157"/>
      <c r="FBQ24" s="157"/>
      <c r="FBR24" s="157"/>
      <c r="FBS24" s="157"/>
      <c r="FBT24" s="157"/>
      <c r="FBU24" s="157"/>
      <c r="FBV24" s="157"/>
      <c r="FBW24" s="157"/>
      <c r="FBX24" s="157"/>
      <c r="FBY24" s="157"/>
      <c r="FBZ24" s="157"/>
      <c r="FCA24" s="157"/>
      <c r="FCB24" s="157"/>
      <c r="FCC24" s="157"/>
      <c r="FCD24" s="157"/>
      <c r="FCE24" s="157"/>
      <c r="FCF24" s="157"/>
      <c r="FCG24" s="157"/>
      <c r="FCH24" s="157"/>
      <c r="FCI24" s="157"/>
      <c r="FCJ24" s="157"/>
      <c r="FCK24" s="157"/>
      <c r="FCL24" s="157"/>
      <c r="FCM24" s="157"/>
      <c r="FCN24" s="157"/>
      <c r="FCO24" s="157"/>
      <c r="FCP24" s="157"/>
      <c r="FCQ24" s="157"/>
      <c r="FCR24" s="157"/>
      <c r="FCS24" s="157"/>
      <c r="FCT24" s="157"/>
      <c r="FCU24" s="157"/>
      <c r="FCV24" s="157"/>
      <c r="FCW24" s="157"/>
      <c r="FCX24" s="157"/>
      <c r="FCY24" s="157"/>
      <c r="FCZ24" s="157"/>
      <c r="FDA24" s="157"/>
      <c r="FDB24" s="157"/>
      <c r="FDC24" s="157"/>
      <c r="FDD24" s="157"/>
      <c r="FDE24" s="157"/>
      <c r="FDF24" s="157"/>
      <c r="FDG24" s="157"/>
      <c r="FDH24" s="157"/>
      <c r="FDI24" s="157"/>
      <c r="FDJ24" s="157"/>
      <c r="FDK24" s="157"/>
      <c r="FDL24" s="157"/>
      <c r="FDM24" s="157"/>
      <c r="FDN24" s="157"/>
      <c r="FDO24" s="157"/>
      <c r="FDP24" s="157"/>
      <c r="FDQ24" s="157"/>
      <c r="FDR24" s="157"/>
      <c r="FDS24" s="157"/>
      <c r="FDT24" s="157"/>
      <c r="FDU24" s="157"/>
      <c r="FDV24" s="157"/>
      <c r="FDW24" s="157"/>
      <c r="FDX24" s="157"/>
      <c r="FDY24" s="157"/>
      <c r="FDZ24" s="157"/>
      <c r="FEA24" s="157"/>
      <c r="FEB24" s="157"/>
      <c r="FEC24" s="157"/>
      <c r="FED24" s="157"/>
      <c r="FEE24" s="157"/>
      <c r="FEF24" s="157"/>
      <c r="FEG24" s="157"/>
      <c r="FEH24" s="157"/>
      <c r="FEI24" s="157"/>
      <c r="FEJ24" s="157"/>
      <c r="FEK24" s="157"/>
      <c r="FEL24" s="157"/>
      <c r="FEM24" s="157"/>
      <c r="FEN24" s="157"/>
      <c r="FEO24" s="157"/>
      <c r="FEP24" s="157"/>
      <c r="FEQ24" s="157"/>
      <c r="FER24" s="157"/>
      <c r="FES24" s="157"/>
      <c r="FET24" s="157"/>
      <c r="FEU24" s="157"/>
      <c r="FEV24" s="157"/>
      <c r="FEW24" s="157"/>
      <c r="FEX24" s="157"/>
      <c r="FEY24" s="157"/>
      <c r="FEZ24" s="157"/>
      <c r="FFA24" s="157"/>
      <c r="FFB24" s="157"/>
      <c r="FFC24" s="157"/>
      <c r="FFD24" s="157"/>
      <c r="FFE24" s="157"/>
      <c r="FFF24" s="157"/>
      <c r="FFG24" s="157"/>
      <c r="FFH24" s="157"/>
      <c r="FFI24" s="157"/>
      <c r="FFJ24" s="157"/>
      <c r="FFK24" s="157"/>
      <c r="FFL24" s="157"/>
      <c r="FFM24" s="157"/>
      <c r="FFN24" s="157"/>
      <c r="FFO24" s="157"/>
      <c r="FFP24" s="157"/>
      <c r="FFQ24" s="157"/>
      <c r="FFR24" s="157"/>
      <c r="FFS24" s="157"/>
      <c r="FFT24" s="157"/>
      <c r="FFU24" s="157"/>
      <c r="FFV24" s="157"/>
      <c r="FFW24" s="157"/>
      <c r="FFX24" s="157"/>
      <c r="FFY24" s="157"/>
      <c r="FFZ24" s="157"/>
      <c r="FGA24" s="157"/>
      <c r="FGB24" s="157"/>
      <c r="FGC24" s="157"/>
      <c r="FGD24" s="157"/>
      <c r="FGE24" s="157"/>
      <c r="FGF24" s="157"/>
      <c r="FGG24" s="157"/>
      <c r="FGH24" s="157"/>
      <c r="FGI24" s="157"/>
      <c r="FGJ24" s="157"/>
      <c r="FGK24" s="157"/>
      <c r="FGL24" s="157"/>
      <c r="FGM24" s="157"/>
      <c r="FGN24" s="157"/>
      <c r="FGO24" s="157"/>
      <c r="FGP24" s="157"/>
      <c r="FGQ24" s="157"/>
      <c r="FGR24" s="157"/>
      <c r="FGS24" s="157"/>
      <c r="FGT24" s="157"/>
      <c r="FGU24" s="157"/>
      <c r="FGV24" s="157"/>
      <c r="FGW24" s="157"/>
      <c r="FGX24" s="157"/>
      <c r="FGY24" s="157"/>
      <c r="FGZ24" s="157"/>
      <c r="FHA24" s="157"/>
      <c r="FHB24" s="157"/>
      <c r="FHC24" s="157"/>
      <c r="FHD24" s="157"/>
      <c r="FHE24" s="157"/>
      <c r="FHF24" s="157"/>
      <c r="FHG24" s="157"/>
      <c r="FHH24" s="157"/>
      <c r="FHI24" s="157"/>
      <c r="FHJ24" s="157"/>
      <c r="FHK24" s="157"/>
      <c r="FHL24" s="157"/>
      <c r="FHM24" s="157"/>
      <c r="FHN24" s="157"/>
      <c r="FHO24" s="157"/>
      <c r="FHP24" s="157"/>
      <c r="FHQ24" s="157"/>
      <c r="FHR24" s="157"/>
      <c r="FHS24" s="157"/>
      <c r="FHT24" s="157"/>
      <c r="FHU24" s="157"/>
      <c r="FHV24" s="157"/>
      <c r="FHW24" s="157"/>
      <c r="FHX24" s="157"/>
      <c r="FHY24" s="157"/>
      <c r="FHZ24" s="157"/>
      <c r="FIA24" s="157"/>
      <c r="FIB24" s="157"/>
      <c r="FIC24" s="157"/>
      <c r="FID24" s="157"/>
      <c r="FIE24" s="157"/>
      <c r="FIF24" s="157"/>
      <c r="FIG24" s="157"/>
      <c r="FIH24" s="157"/>
      <c r="FII24" s="157"/>
      <c r="FIJ24" s="157"/>
      <c r="FIK24" s="157"/>
      <c r="FIL24" s="157"/>
      <c r="FIM24" s="157"/>
      <c r="FIN24" s="157"/>
      <c r="FIO24" s="157"/>
      <c r="FIP24" s="157"/>
      <c r="FIQ24" s="157"/>
      <c r="FIR24" s="157"/>
      <c r="FIS24" s="157"/>
      <c r="FIT24" s="157"/>
      <c r="FIU24" s="157"/>
      <c r="FIV24" s="157"/>
      <c r="FIW24" s="157"/>
      <c r="FIX24" s="157"/>
      <c r="FIY24" s="157"/>
      <c r="FIZ24" s="157"/>
      <c r="FJA24" s="157"/>
      <c r="FJB24" s="157"/>
      <c r="FJC24" s="157"/>
      <c r="FJD24" s="157"/>
      <c r="FJE24" s="157"/>
      <c r="FJF24" s="157"/>
      <c r="FJG24" s="157"/>
      <c r="FJH24" s="157"/>
      <c r="FJI24" s="157"/>
      <c r="FJJ24" s="157"/>
      <c r="FJK24" s="157"/>
      <c r="FJL24" s="157"/>
      <c r="FJM24" s="157"/>
      <c r="FJN24" s="157"/>
      <c r="FJO24" s="157"/>
      <c r="FJP24" s="157"/>
      <c r="FJQ24" s="157"/>
      <c r="FJR24" s="157"/>
      <c r="FJS24" s="157"/>
      <c r="FJT24" s="157"/>
      <c r="FJU24" s="157"/>
      <c r="FJV24" s="157"/>
      <c r="FJW24" s="157"/>
      <c r="FJX24" s="157"/>
      <c r="FJY24" s="157"/>
      <c r="FJZ24" s="157"/>
      <c r="FKA24" s="157"/>
      <c r="FKB24" s="157"/>
      <c r="FKC24" s="157"/>
      <c r="FKD24" s="157"/>
      <c r="FKE24" s="157"/>
      <c r="FKF24" s="157"/>
      <c r="FKG24" s="157"/>
      <c r="FKH24" s="157"/>
      <c r="FKI24" s="157"/>
      <c r="FKJ24" s="157"/>
      <c r="FKK24" s="157"/>
      <c r="FKL24" s="157"/>
      <c r="FKM24" s="157"/>
      <c r="FKN24" s="157"/>
      <c r="FKO24" s="157"/>
      <c r="FKP24" s="157"/>
      <c r="FKQ24" s="157"/>
      <c r="FKR24" s="157"/>
      <c r="FKS24" s="157"/>
      <c r="FKT24" s="157"/>
      <c r="FKU24" s="157"/>
      <c r="FKV24" s="157"/>
      <c r="FKW24" s="157"/>
      <c r="FKX24" s="157"/>
      <c r="FKY24" s="157"/>
      <c r="FKZ24" s="157"/>
      <c r="FLA24" s="157"/>
      <c r="FLB24" s="157"/>
      <c r="FLC24" s="157"/>
      <c r="FLD24" s="157"/>
      <c r="FLE24" s="157"/>
      <c r="FLF24" s="157"/>
      <c r="FLG24" s="157"/>
      <c r="FLH24" s="157"/>
      <c r="FLI24" s="157"/>
      <c r="FLJ24" s="157"/>
      <c r="FLK24" s="157"/>
      <c r="FLL24" s="157"/>
      <c r="FLM24" s="157"/>
      <c r="FLN24" s="157"/>
      <c r="FLO24" s="157"/>
      <c r="FLP24" s="157"/>
      <c r="FLQ24" s="157"/>
      <c r="FLR24" s="157"/>
      <c r="FLS24" s="157"/>
      <c r="FLT24" s="157"/>
      <c r="FLU24" s="157"/>
      <c r="FLV24" s="157"/>
      <c r="FLW24" s="157"/>
      <c r="FLX24" s="157"/>
      <c r="FLY24" s="157"/>
      <c r="FLZ24" s="157"/>
      <c r="FMA24" s="157"/>
      <c r="FMB24" s="157"/>
      <c r="FMC24" s="157"/>
      <c r="FMD24" s="157"/>
      <c r="FME24" s="157"/>
      <c r="FMF24" s="157"/>
      <c r="FMG24" s="157"/>
      <c r="FMH24" s="157"/>
      <c r="FMI24" s="157"/>
      <c r="FMJ24" s="157"/>
      <c r="FMK24" s="157"/>
      <c r="FML24" s="157"/>
      <c r="FMM24" s="157"/>
      <c r="FMN24" s="157"/>
      <c r="FMO24" s="157"/>
      <c r="FMP24" s="157"/>
      <c r="FMQ24" s="157"/>
      <c r="FMR24" s="157"/>
      <c r="FMS24" s="157"/>
      <c r="FMT24" s="157"/>
      <c r="FMU24" s="157"/>
      <c r="FMV24" s="157"/>
      <c r="FMW24" s="157"/>
      <c r="FMX24" s="157"/>
      <c r="FMY24" s="157"/>
      <c r="FMZ24" s="157"/>
      <c r="FNA24" s="157"/>
      <c r="FNB24" s="157"/>
      <c r="FNC24" s="157"/>
      <c r="FND24" s="157"/>
      <c r="FNE24" s="157"/>
      <c r="FNF24" s="157"/>
      <c r="FNG24" s="157"/>
      <c r="FNH24" s="157"/>
      <c r="FNI24" s="157"/>
      <c r="FNJ24" s="157"/>
      <c r="FNK24" s="157"/>
      <c r="FNL24" s="157"/>
      <c r="FNM24" s="157"/>
      <c r="FNN24" s="157"/>
      <c r="FNO24" s="157"/>
      <c r="FNP24" s="157"/>
      <c r="FNQ24" s="157"/>
      <c r="FNR24" s="157"/>
      <c r="FNS24" s="157"/>
      <c r="FNT24" s="157"/>
      <c r="FNU24" s="157"/>
      <c r="FNV24" s="157"/>
      <c r="FNW24" s="157"/>
      <c r="FNX24" s="157"/>
      <c r="FNY24" s="157"/>
      <c r="FNZ24" s="157"/>
      <c r="FOA24" s="157"/>
      <c r="FOB24" s="157"/>
      <c r="FOC24" s="157"/>
      <c r="FOD24" s="157"/>
      <c r="FOE24" s="157"/>
      <c r="FOF24" s="157"/>
      <c r="FOG24" s="157"/>
      <c r="FOH24" s="157"/>
      <c r="FOI24" s="157"/>
      <c r="FOJ24" s="157"/>
      <c r="FOK24" s="157"/>
      <c r="FOL24" s="157"/>
      <c r="FOM24" s="157"/>
      <c r="FON24" s="157"/>
      <c r="FOO24" s="157"/>
      <c r="FOP24" s="157"/>
      <c r="FOQ24" s="157"/>
      <c r="FOR24" s="157"/>
      <c r="FOS24" s="157"/>
      <c r="FOT24" s="157"/>
      <c r="FOU24" s="157"/>
      <c r="FOV24" s="157"/>
      <c r="FOW24" s="157"/>
      <c r="FOX24" s="157"/>
      <c r="FOY24" s="157"/>
      <c r="FOZ24" s="157"/>
      <c r="FPA24" s="157"/>
      <c r="FPB24" s="157"/>
      <c r="FPC24" s="157"/>
      <c r="FPD24" s="157"/>
      <c r="FPE24" s="157"/>
      <c r="FPF24" s="157"/>
      <c r="FPG24" s="157"/>
      <c r="FPH24" s="157"/>
      <c r="FPI24" s="157"/>
      <c r="FPJ24" s="157"/>
      <c r="FPK24" s="157"/>
      <c r="FPL24" s="157"/>
      <c r="FPM24" s="157"/>
      <c r="FPN24" s="157"/>
      <c r="FPO24" s="157"/>
      <c r="FPP24" s="157"/>
      <c r="FPQ24" s="157"/>
      <c r="FPR24" s="157"/>
      <c r="FPS24" s="157"/>
      <c r="FPT24" s="157"/>
      <c r="FPU24" s="157"/>
      <c r="FPV24" s="157"/>
      <c r="FPW24" s="157"/>
      <c r="FPX24" s="157"/>
      <c r="FPY24" s="157"/>
      <c r="FPZ24" s="157"/>
      <c r="FQA24" s="157"/>
      <c r="FQB24" s="157"/>
      <c r="FQC24" s="157"/>
      <c r="FQD24" s="157"/>
      <c r="FQE24" s="157"/>
      <c r="FQF24" s="157"/>
      <c r="FQG24" s="157"/>
      <c r="FQH24" s="157"/>
      <c r="FQI24" s="157"/>
      <c r="FQJ24" s="157"/>
      <c r="FQK24" s="157"/>
      <c r="FQL24" s="157"/>
      <c r="FQM24" s="157"/>
      <c r="FQN24" s="157"/>
      <c r="FQO24" s="157"/>
      <c r="FQP24" s="157"/>
      <c r="FQQ24" s="157"/>
      <c r="FQR24" s="157"/>
      <c r="FQS24" s="157"/>
      <c r="FQT24" s="157"/>
      <c r="FQU24" s="157"/>
      <c r="FQV24" s="157"/>
      <c r="FQW24" s="157"/>
      <c r="FQX24" s="157"/>
      <c r="FQY24" s="157"/>
      <c r="FQZ24" s="157"/>
      <c r="FRA24" s="157"/>
      <c r="FRB24" s="157"/>
      <c r="FRC24" s="157"/>
      <c r="FRD24" s="157"/>
      <c r="FRE24" s="157"/>
      <c r="FRF24" s="157"/>
      <c r="FRG24" s="157"/>
      <c r="FRH24" s="157"/>
      <c r="FRI24" s="157"/>
      <c r="FRJ24" s="157"/>
      <c r="FRK24" s="157"/>
      <c r="FRL24" s="157"/>
      <c r="FRM24" s="157"/>
      <c r="FRN24" s="157"/>
      <c r="FRO24" s="157"/>
      <c r="FRP24" s="157"/>
      <c r="FRQ24" s="157"/>
      <c r="FRR24" s="157"/>
      <c r="FRS24" s="157"/>
      <c r="FRT24" s="157"/>
      <c r="FRU24" s="157"/>
      <c r="FRV24" s="157"/>
      <c r="FRW24" s="157"/>
      <c r="FRX24" s="157"/>
      <c r="FRY24" s="157"/>
      <c r="FRZ24" s="157"/>
      <c r="FSA24" s="157"/>
      <c r="FSB24" s="157"/>
      <c r="FSC24" s="157"/>
      <c r="FSD24" s="157"/>
      <c r="FSE24" s="157"/>
      <c r="FSF24" s="157"/>
      <c r="FSG24" s="157"/>
      <c r="FSH24" s="157"/>
      <c r="FSI24" s="157"/>
      <c r="FSJ24" s="157"/>
      <c r="FSK24" s="157"/>
      <c r="FSL24" s="157"/>
      <c r="FSM24" s="157"/>
      <c r="FSN24" s="157"/>
      <c r="FSO24" s="157"/>
      <c r="FSP24" s="157"/>
      <c r="FSQ24" s="157"/>
      <c r="FSR24" s="157"/>
      <c r="FSS24" s="157"/>
      <c r="FST24" s="157"/>
      <c r="FSU24" s="157"/>
      <c r="FSV24" s="157"/>
      <c r="FSW24" s="157"/>
      <c r="FSX24" s="157"/>
      <c r="FSY24" s="157"/>
      <c r="FSZ24" s="157"/>
      <c r="FTA24" s="157"/>
      <c r="FTB24" s="157"/>
      <c r="FTC24" s="157"/>
      <c r="FTD24" s="157"/>
      <c r="FTE24" s="157"/>
      <c r="FTF24" s="157"/>
      <c r="FTG24" s="157"/>
      <c r="FTH24" s="157"/>
      <c r="FTI24" s="157"/>
      <c r="FTJ24" s="157"/>
      <c r="FTK24" s="157"/>
      <c r="FTL24" s="157"/>
      <c r="FTM24" s="157"/>
      <c r="FTN24" s="157"/>
      <c r="FTO24" s="157"/>
      <c r="FTP24" s="157"/>
      <c r="FTQ24" s="157"/>
      <c r="FTR24" s="157"/>
      <c r="FTS24" s="157"/>
      <c r="FTT24" s="157"/>
      <c r="FTU24" s="157"/>
      <c r="FTV24" s="157"/>
      <c r="FTW24" s="157"/>
      <c r="FTX24" s="157"/>
      <c r="FTY24" s="157"/>
      <c r="FTZ24" s="157"/>
      <c r="FUA24" s="157"/>
      <c r="FUB24" s="157"/>
      <c r="FUC24" s="157"/>
      <c r="FUD24" s="157"/>
      <c r="FUE24" s="157"/>
      <c r="FUF24" s="157"/>
      <c r="FUG24" s="157"/>
      <c r="FUH24" s="157"/>
      <c r="FUI24" s="157"/>
      <c r="FUJ24" s="157"/>
      <c r="FUK24" s="157"/>
      <c r="FUL24" s="157"/>
      <c r="FUM24" s="157"/>
      <c r="FUN24" s="157"/>
      <c r="FUO24" s="157"/>
      <c r="FUP24" s="157"/>
      <c r="FUQ24" s="157"/>
      <c r="FUR24" s="157"/>
      <c r="FUS24" s="157"/>
      <c r="FUT24" s="157"/>
      <c r="FUU24" s="157"/>
      <c r="FUV24" s="157"/>
      <c r="FUW24" s="157"/>
      <c r="FUX24" s="157"/>
      <c r="FUY24" s="157"/>
      <c r="FUZ24" s="157"/>
      <c r="FVA24" s="157"/>
      <c r="FVB24" s="157"/>
      <c r="FVC24" s="157"/>
      <c r="FVD24" s="157"/>
      <c r="FVE24" s="157"/>
      <c r="FVF24" s="157"/>
      <c r="FVG24" s="157"/>
      <c r="FVH24" s="157"/>
      <c r="FVI24" s="157"/>
      <c r="FVJ24" s="157"/>
      <c r="FVK24" s="157"/>
      <c r="FVL24" s="157"/>
      <c r="FVM24" s="157"/>
      <c r="FVN24" s="157"/>
      <c r="FVO24" s="157"/>
      <c r="FVP24" s="157"/>
      <c r="FVQ24" s="157"/>
      <c r="FVR24" s="157"/>
      <c r="FVS24" s="157"/>
      <c r="FVT24" s="157"/>
      <c r="FVU24" s="157"/>
      <c r="FVV24" s="157"/>
      <c r="FVW24" s="157"/>
      <c r="FVX24" s="157"/>
      <c r="FVY24" s="157"/>
      <c r="FVZ24" s="157"/>
      <c r="FWA24" s="157"/>
      <c r="FWB24" s="157"/>
      <c r="FWC24" s="157"/>
      <c r="FWD24" s="157"/>
      <c r="FWE24" s="157"/>
      <c r="FWF24" s="157"/>
      <c r="FWG24" s="157"/>
      <c r="FWH24" s="157"/>
      <c r="FWI24" s="157"/>
      <c r="FWJ24" s="157"/>
      <c r="FWK24" s="157"/>
      <c r="FWL24" s="157"/>
      <c r="FWM24" s="157"/>
      <c r="FWN24" s="157"/>
      <c r="FWO24" s="157"/>
      <c r="FWP24" s="157"/>
      <c r="FWQ24" s="157"/>
      <c r="FWR24" s="157"/>
      <c r="FWS24" s="157"/>
      <c r="FWT24" s="157"/>
      <c r="FWU24" s="157"/>
      <c r="FWV24" s="157"/>
      <c r="FWW24" s="157"/>
      <c r="FWX24" s="157"/>
      <c r="FWY24" s="157"/>
      <c r="FWZ24" s="157"/>
      <c r="FXA24" s="157"/>
      <c r="FXB24" s="157"/>
      <c r="FXC24" s="157"/>
      <c r="FXD24" s="157"/>
      <c r="FXE24" s="157"/>
      <c r="FXF24" s="157"/>
      <c r="FXG24" s="157"/>
      <c r="FXH24" s="157"/>
      <c r="FXI24" s="157"/>
      <c r="FXJ24" s="157"/>
      <c r="FXK24" s="157"/>
      <c r="FXL24" s="157"/>
      <c r="FXM24" s="157"/>
      <c r="FXN24" s="157"/>
      <c r="FXO24" s="157"/>
      <c r="FXP24" s="157"/>
      <c r="FXQ24" s="157"/>
      <c r="FXR24" s="157"/>
      <c r="FXS24" s="157"/>
      <c r="FXT24" s="157"/>
      <c r="FXU24" s="157"/>
      <c r="FXV24" s="157"/>
      <c r="FXW24" s="157"/>
      <c r="FXX24" s="157"/>
      <c r="FXY24" s="157"/>
      <c r="FXZ24" s="157"/>
      <c r="FYA24" s="157"/>
      <c r="FYB24" s="157"/>
      <c r="FYC24" s="157"/>
      <c r="FYD24" s="157"/>
      <c r="FYE24" s="157"/>
      <c r="FYF24" s="157"/>
      <c r="FYG24" s="157"/>
      <c r="FYH24" s="157"/>
      <c r="FYI24" s="157"/>
      <c r="FYJ24" s="157"/>
      <c r="FYK24" s="157"/>
      <c r="FYL24" s="157"/>
      <c r="FYM24" s="157"/>
      <c r="FYN24" s="157"/>
      <c r="FYO24" s="157"/>
      <c r="FYP24" s="157"/>
      <c r="FYQ24" s="157"/>
      <c r="FYR24" s="157"/>
      <c r="FYS24" s="157"/>
      <c r="FYT24" s="157"/>
      <c r="FYU24" s="157"/>
      <c r="FYV24" s="157"/>
      <c r="FYW24" s="157"/>
      <c r="FYX24" s="157"/>
      <c r="FYY24" s="157"/>
      <c r="FYZ24" s="157"/>
      <c r="FZA24" s="157"/>
      <c r="FZB24" s="157"/>
      <c r="FZC24" s="157"/>
      <c r="FZD24" s="157"/>
      <c r="FZE24" s="157"/>
      <c r="FZF24" s="157"/>
      <c r="FZG24" s="157"/>
      <c r="FZH24" s="157"/>
      <c r="FZI24" s="157"/>
      <c r="FZJ24" s="157"/>
      <c r="FZK24" s="157"/>
      <c r="FZL24" s="157"/>
      <c r="FZM24" s="157"/>
      <c r="FZN24" s="157"/>
      <c r="FZO24" s="157"/>
      <c r="FZP24" s="157"/>
      <c r="FZQ24" s="157"/>
      <c r="FZR24" s="157"/>
      <c r="FZS24" s="157"/>
      <c r="FZT24" s="157"/>
      <c r="FZU24" s="157"/>
      <c r="FZV24" s="157"/>
      <c r="FZW24" s="157"/>
      <c r="FZX24" s="157"/>
      <c r="FZY24" s="157"/>
      <c r="FZZ24" s="157"/>
      <c r="GAA24" s="157"/>
      <c r="GAB24" s="157"/>
      <c r="GAC24" s="157"/>
      <c r="GAD24" s="157"/>
      <c r="GAE24" s="157"/>
      <c r="GAF24" s="157"/>
      <c r="GAG24" s="157"/>
      <c r="GAH24" s="157"/>
      <c r="GAI24" s="157"/>
      <c r="GAJ24" s="157"/>
      <c r="GAK24" s="157"/>
      <c r="GAL24" s="157"/>
      <c r="GAM24" s="157"/>
      <c r="GAN24" s="157"/>
      <c r="GAO24" s="157"/>
      <c r="GAP24" s="157"/>
      <c r="GAQ24" s="157"/>
      <c r="GAR24" s="157"/>
      <c r="GAS24" s="157"/>
      <c r="GAT24" s="157"/>
      <c r="GAU24" s="157"/>
      <c r="GAV24" s="157"/>
      <c r="GAW24" s="157"/>
      <c r="GAX24" s="157"/>
      <c r="GAY24" s="157"/>
      <c r="GAZ24" s="157"/>
      <c r="GBA24" s="157"/>
      <c r="GBB24" s="157"/>
      <c r="GBC24" s="157"/>
      <c r="GBD24" s="157"/>
      <c r="GBE24" s="157"/>
      <c r="GBF24" s="157"/>
      <c r="GBG24" s="157"/>
      <c r="GBH24" s="157"/>
      <c r="GBI24" s="157"/>
      <c r="GBJ24" s="157"/>
      <c r="GBK24" s="157"/>
      <c r="GBL24" s="157"/>
      <c r="GBM24" s="157"/>
      <c r="GBN24" s="157"/>
      <c r="GBO24" s="157"/>
      <c r="GBP24" s="157"/>
      <c r="GBQ24" s="157"/>
      <c r="GBR24" s="157"/>
      <c r="GBS24" s="157"/>
      <c r="GBT24" s="157"/>
      <c r="GBU24" s="157"/>
      <c r="GBV24" s="157"/>
      <c r="GBW24" s="157"/>
      <c r="GBX24" s="157"/>
      <c r="GBY24" s="157"/>
      <c r="GBZ24" s="157"/>
      <c r="GCA24" s="157"/>
      <c r="GCB24" s="157"/>
      <c r="GCC24" s="157"/>
      <c r="GCD24" s="157"/>
      <c r="GCE24" s="157"/>
      <c r="GCF24" s="157"/>
      <c r="GCG24" s="157"/>
      <c r="GCH24" s="157"/>
      <c r="GCI24" s="157"/>
      <c r="GCJ24" s="157"/>
      <c r="GCK24" s="157"/>
      <c r="GCL24" s="157"/>
      <c r="GCM24" s="157"/>
      <c r="GCN24" s="157"/>
      <c r="GCO24" s="157"/>
      <c r="GCP24" s="157"/>
      <c r="GCQ24" s="157"/>
      <c r="GCR24" s="157"/>
      <c r="GCS24" s="157"/>
      <c r="GCT24" s="157"/>
      <c r="GCU24" s="157"/>
      <c r="GCV24" s="157"/>
      <c r="GCW24" s="157"/>
      <c r="GCX24" s="157"/>
      <c r="GCY24" s="157"/>
      <c r="GCZ24" s="157"/>
      <c r="GDA24" s="157"/>
      <c r="GDB24" s="157"/>
      <c r="GDC24" s="157"/>
      <c r="GDD24" s="157"/>
      <c r="GDE24" s="157"/>
      <c r="GDF24" s="157"/>
      <c r="GDG24" s="157"/>
      <c r="GDH24" s="157"/>
      <c r="GDI24" s="157"/>
      <c r="GDJ24" s="157"/>
      <c r="GDK24" s="157"/>
      <c r="GDL24" s="157"/>
      <c r="GDM24" s="157"/>
      <c r="GDN24" s="157"/>
      <c r="GDO24" s="157"/>
      <c r="GDP24" s="157"/>
      <c r="GDQ24" s="157"/>
      <c r="GDR24" s="157"/>
      <c r="GDS24" s="157"/>
      <c r="GDT24" s="157"/>
      <c r="GDU24" s="157"/>
      <c r="GDV24" s="157"/>
      <c r="GDW24" s="157"/>
      <c r="GDX24" s="157"/>
      <c r="GDY24" s="157"/>
      <c r="GDZ24" s="157"/>
      <c r="GEA24" s="157"/>
      <c r="GEB24" s="157"/>
      <c r="GEC24" s="157"/>
      <c r="GED24" s="157"/>
      <c r="GEE24" s="157"/>
      <c r="GEF24" s="157"/>
      <c r="GEG24" s="157"/>
      <c r="GEH24" s="157"/>
      <c r="GEI24" s="157"/>
      <c r="GEJ24" s="157"/>
      <c r="GEK24" s="157"/>
      <c r="GEL24" s="157"/>
      <c r="GEM24" s="157"/>
      <c r="GEN24" s="157"/>
      <c r="GEO24" s="157"/>
      <c r="GEP24" s="157"/>
      <c r="GEQ24" s="157"/>
      <c r="GER24" s="157"/>
      <c r="GES24" s="157"/>
      <c r="GET24" s="157"/>
      <c r="GEU24" s="157"/>
      <c r="GEV24" s="157"/>
      <c r="GEW24" s="157"/>
      <c r="GEX24" s="157"/>
      <c r="GEY24" s="157"/>
      <c r="GEZ24" s="157"/>
      <c r="GFA24" s="157"/>
      <c r="GFB24" s="157"/>
      <c r="GFC24" s="157"/>
      <c r="GFD24" s="157"/>
      <c r="GFE24" s="157"/>
      <c r="GFF24" s="157"/>
      <c r="GFG24" s="157"/>
      <c r="GFH24" s="157"/>
      <c r="GFI24" s="157"/>
      <c r="GFJ24" s="157"/>
      <c r="GFK24" s="157"/>
      <c r="GFL24" s="157"/>
      <c r="GFM24" s="157"/>
      <c r="GFN24" s="157"/>
      <c r="GFO24" s="157"/>
      <c r="GFP24" s="157"/>
      <c r="GFQ24" s="157"/>
      <c r="GFR24" s="157"/>
      <c r="GFS24" s="157"/>
      <c r="GFT24" s="157"/>
      <c r="GFU24" s="157"/>
      <c r="GFV24" s="157"/>
      <c r="GFW24" s="157"/>
      <c r="GFX24" s="157"/>
      <c r="GFY24" s="157"/>
      <c r="GFZ24" s="157"/>
      <c r="GGA24" s="157"/>
      <c r="GGB24" s="157"/>
      <c r="GGC24" s="157"/>
      <c r="GGD24" s="157"/>
      <c r="GGE24" s="157"/>
      <c r="GGF24" s="157"/>
      <c r="GGG24" s="157"/>
      <c r="GGH24" s="157"/>
      <c r="GGI24" s="157"/>
      <c r="GGJ24" s="157"/>
      <c r="GGK24" s="157"/>
      <c r="GGL24" s="157"/>
      <c r="GGM24" s="157"/>
      <c r="GGN24" s="157"/>
      <c r="GGO24" s="157"/>
      <c r="GGP24" s="157"/>
      <c r="GGQ24" s="157"/>
      <c r="GGR24" s="157"/>
      <c r="GGS24" s="157"/>
      <c r="GGT24" s="157"/>
      <c r="GGU24" s="157"/>
      <c r="GGV24" s="157"/>
      <c r="GGW24" s="157"/>
      <c r="GGX24" s="157"/>
      <c r="GGY24" s="157"/>
      <c r="GGZ24" s="157"/>
      <c r="GHA24" s="157"/>
      <c r="GHB24" s="157"/>
      <c r="GHC24" s="157"/>
      <c r="GHD24" s="157"/>
      <c r="GHE24" s="157"/>
      <c r="GHF24" s="157"/>
      <c r="GHG24" s="157"/>
      <c r="GHH24" s="157"/>
      <c r="GHI24" s="157"/>
      <c r="GHJ24" s="157"/>
      <c r="GHK24" s="157"/>
      <c r="GHL24" s="157"/>
      <c r="GHM24" s="157"/>
      <c r="GHN24" s="157"/>
      <c r="GHO24" s="157"/>
      <c r="GHP24" s="157"/>
      <c r="GHQ24" s="157"/>
      <c r="GHR24" s="157"/>
      <c r="GHS24" s="157"/>
      <c r="GHT24" s="157"/>
      <c r="GHU24" s="157"/>
      <c r="GHV24" s="157"/>
      <c r="GHW24" s="157"/>
      <c r="GHX24" s="157"/>
      <c r="GHY24" s="157"/>
      <c r="GHZ24" s="157"/>
      <c r="GIA24" s="157"/>
      <c r="GIB24" s="157"/>
      <c r="GIC24" s="157"/>
      <c r="GID24" s="157"/>
      <c r="GIE24" s="157"/>
      <c r="GIF24" s="157"/>
      <c r="GIG24" s="157"/>
      <c r="GIH24" s="157"/>
      <c r="GII24" s="157"/>
      <c r="GIJ24" s="157"/>
      <c r="GIK24" s="157"/>
      <c r="GIL24" s="157"/>
      <c r="GIM24" s="157"/>
      <c r="GIN24" s="157"/>
      <c r="GIO24" s="157"/>
      <c r="GIP24" s="157"/>
      <c r="GIQ24" s="157"/>
      <c r="GIR24" s="157"/>
      <c r="GIS24" s="157"/>
      <c r="GIT24" s="157"/>
      <c r="GIU24" s="157"/>
      <c r="GIV24" s="157"/>
      <c r="GIW24" s="157"/>
      <c r="GIX24" s="157"/>
      <c r="GIY24" s="157"/>
      <c r="GIZ24" s="157"/>
      <c r="GJA24" s="157"/>
      <c r="GJB24" s="157"/>
      <c r="GJC24" s="157"/>
      <c r="GJD24" s="157"/>
      <c r="GJE24" s="157"/>
      <c r="GJF24" s="157"/>
      <c r="GJG24" s="157"/>
      <c r="GJH24" s="157"/>
      <c r="GJI24" s="157"/>
      <c r="GJJ24" s="157"/>
      <c r="GJK24" s="157"/>
      <c r="GJL24" s="157"/>
      <c r="GJM24" s="157"/>
      <c r="GJN24" s="157"/>
      <c r="GJO24" s="157"/>
      <c r="GJP24" s="157"/>
      <c r="GJQ24" s="157"/>
      <c r="GJR24" s="157"/>
      <c r="GJS24" s="157"/>
      <c r="GJT24" s="157"/>
      <c r="GJU24" s="157"/>
      <c r="GJV24" s="157"/>
      <c r="GJW24" s="157"/>
      <c r="GJX24" s="157"/>
      <c r="GJY24" s="157"/>
      <c r="GJZ24" s="157"/>
      <c r="GKA24" s="157"/>
      <c r="GKB24" s="157"/>
      <c r="GKC24" s="157"/>
      <c r="GKD24" s="157"/>
      <c r="GKE24" s="157"/>
      <c r="GKF24" s="157"/>
      <c r="GKG24" s="157"/>
      <c r="GKH24" s="157"/>
      <c r="GKI24" s="157"/>
      <c r="GKJ24" s="157"/>
      <c r="GKK24" s="157"/>
      <c r="GKL24" s="157"/>
      <c r="GKM24" s="157"/>
      <c r="GKN24" s="157"/>
      <c r="GKO24" s="157"/>
      <c r="GKP24" s="157"/>
      <c r="GKQ24" s="157"/>
      <c r="GKR24" s="157"/>
      <c r="GKS24" s="157"/>
      <c r="GKT24" s="157"/>
      <c r="GKU24" s="157"/>
      <c r="GKV24" s="157"/>
      <c r="GKW24" s="157"/>
      <c r="GKX24" s="157"/>
      <c r="GKY24" s="157"/>
      <c r="GKZ24" s="157"/>
      <c r="GLA24" s="157"/>
      <c r="GLB24" s="157"/>
      <c r="GLC24" s="157"/>
      <c r="GLD24" s="157"/>
      <c r="GLE24" s="157"/>
      <c r="GLF24" s="157"/>
      <c r="GLG24" s="157"/>
      <c r="GLH24" s="157"/>
      <c r="GLI24" s="157"/>
      <c r="GLJ24" s="157"/>
      <c r="GLK24" s="157"/>
      <c r="GLL24" s="157"/>
      <c r="GLM24" s="157"/>
      <c r="GLN24" s="157"/>
      <c r="GLO24" s="157"/>
      <c r="GLP24" s="157"/>
      <c r="GLQ24" s="157"/>
      <c r="GLR24" s="157"/>
      <c r="GLS24" s="157"/>
      <c r="GLT24" s="157"/>
      <c r="GLU24" s="157"/>
      <c r="GLV24" s="157"/>
      <c r="GLW24" s="157"/>
      <c r="GLX24" s="157"/>
      <c r="GLY24" s="157"/>
      <c r="GLZ24" s="157"/>
      <c r="GMA24" s="157"/>
      <c r="GMB24" s="157"/>
      <c r="GMC24" s="157"/>
      <c r="GMD24" s="157"/>
      <c r="GME24" s="157"/>
      <c r="GMF24" s="157"/>
      <c r="GMG24" s="157"/>
      <c r="GMH24" s="157"/>
      <c r="GMI24" s="157"/>
      <c r="GMJ24" s="157"/>
      <c r="GMK24" s="157"/>
      <c r="GML24" s="157"/>
      <c r="GMM24" s="157"/>
      <c r="GMN24" s="157"/>
      <c r="GMO24" s="157"/>
      <c r="GMP24" s="157"/>
      <c r="GMQ24" s="157"/>
      <c r="GMR24" s="157"/>
      <c r="GMS24" s="157"/>
      <c r="GMT24" s="157"/>
      <c r="GMU24" s="157"/>
      <c r="GMV24" s="157"/>
      <c r="GMW24" s="157"/>
      <c r="GMX24" s="157"/>
      <c r="GMY24" s="157"/>
      <c r="GMZ24" s="157"/>
      <c r="GNA24" s="157"/>
      <c r="GNB24" s="157"/>
      <c r="GNC24" s="157"/>
      <c r="GND24" s="157"/>
      <c r="GNE24" s="157"/>
      <c r="GNF24" s="157"/>
      <c r="GNG24" s="157"/>
      <c r="GNH24" s="157"/>
      <c r="GNI24" s="157"/>
      <c r="GNJ24" s="157"/>
      <c r="GNK24" s="157"/>
      <c r="GNL24" s="157"/>
      <c r="GNM24" s="157"/>
      <c r="GNN24" s="157"/>
      <c r="GNO24" s="157"/>
      <c r="GNP24" s="157"/>
      <c r="GNQ24" s="157"/>
      <c r="GNR24" s="157"/>
      <c r="GNS24" s="157"/>
      <c r="GNT24" s="157"/>
      <c r="GNU24" s="157"/>
      <c r="GNV24" s="157"/>
      <c r="GNW24" s="157"/>
      <c r="GNX24" s="157"/>
      <c r="GNY24" s="157"/>
      <c r="GNZ24" s="157"/>
      <c r="GOA24" s="157"/>
      <c r="GOB24" s="157"/>
      <c r="GOC24" s="157"/>
      <c r="GOD24" s="157"/>
      <c r="GOE24" s="157"/>
      <c r="GOF24" s="157"/>
      <c r="GOG24" s="157"/>
      <c r="GOH24" s="157"/>
      <c r="GOI24" s="157"/>
      <c r="GOJ24" s="157"/>
      <c r="GOK24" s="157"/>
      <c r="GOL24" s="157"/>
      <c r="GOM24" s="157"/>
      <c r="GON24" s="157"/>
      <c r="GOO24" s="157"/>
      <c r="GOP24" s="157"/>
      <c r="GOQ24" s="157"/>
      <c r="GOR24" s="157"/>
      <c r="GOS24" s="157"/>
      <c r="GOT24" s="157"/>
      <c r="GOU24" s="157"/>
      <c r="GOV24" s="157"/>
      <c r="GOW24" s="157"/>
      <c r="GOX24" s="157"/>
      <c r="GOY24" s="157"/>
      <c r="GOZ24" s="157"/>
      <c r="GPA24" s="157"/>
      <c r="GPB24" s="157"/>
      <c r="GPC24" s="157"/>
      <c r="GPD24" s="157"/>
      <c r="GPE24" s="157"/>
      <c r="GPF24" s="157"/>
      <c r="GPG24" s="157"/>
      <c r="GPH24" s="157"/>
      <c r="GPI24" s="157"/>
      <c r="GPJ24" s="157"/>
      <c r="GPK24" s="157"/>
      <c r="GPL24" s="157"/>
      <c r="GPM24" s="157"/>
      <c r="GPN24" s="157"/>
      <c r="GPO24" s="157"/>
      <c r="GPP24" s="157"/>
      <c r="GPQ24" s="157"/>
      <c r="GPR24" s="157"/>
      <c r="GPS24" s="157"/>
      <c r="GPT24" s="157"/>
      <c r="GPU24" s="157"/>
      <c r="GPV24" s="157"/>
      <c r="GPW24" s="157"/>
      <c r="GPX24" s="157"/>
      <c r="GPY24" s="157"/>
      <c r="GPZ24" s="157"/>
      <c r="GQA24" s="157"/>
      <c r="GQB24" s="157"/>
      <c r="GQC24" s="157"/>
      <c r="GQD24" s="157"/>
      <c r="GQE24" s="157"/>
      <c r="GQF24" s="157"/>
      <c r="GQG24" s="157"/>
      <c r="GQH24" s="157"/>
      <c r="GQI24" s="157"/>
      <c r="GQJ24" s="157"/>
      <c r="GQK24" s="157"/>
      <c r="GQL24" s="157"/>
      <c r="GQM24" s="157"/>
      <c r="GQN24" s="157"/>
      <c r="GQO24" s="157"/>
      <c r="GQP24" s="157"/>
      <c r="GQQ24" s="157"/>
      <c r="GQR24" s="157"/>
      <c r="GQS24" s="157"/>
      <c r="GQT24" s="157"/>
      <c r="GQU24" s="157"/>
      <c r="GQV24" s="157"/>
      <c r="GQW24" s="157"/>
      <c r="GQX24" s="157"/>
      <c r="GQY24" s="157"/>
      <c r="GQZ24" s="157"/>
      <c r="GRA24" s="157"/>
      <c r="GRB24" s="157"/>
      <c r="GRC24" s="157"/>
      <c r="GRD24" s="157"/>
      <c r="GRE24" s="157"/>
      <c r="GRF24" s="157"/>
      <c r="GRG24" s="157"/>
      <c r="GRH24" s="157"/>
      <c r="GRI24" s="157"/>
      <c r="GRJ24" s="157"/>
      <c r="GRK24" s="157"/>
      <c r="GRL24" s="157"/>
      <c r="GRM24" s="157"/>
      <c r="GRN24" s="157"/>
      <c r="GRO24" s="157"/>
      <c r="GRP24" s="157"/>
      <c r="GRQ24" s="157"/>
      <c r="GRR24" s="157"/>
      <c r="GRS24" s="157"/>
      <c r="GRT24" s="157"/>
      <c r="GRU24" s="157"/>
      <c r="GRV24" s="157"/>
      <c r="GRW24" s="157"/>
      <c r="GRX24" s="157"/>
      <c r="GRY24" s="157"/>
      <c r="GRZ24" s="157"/>
      <c r="GSA24" s="157"/>
      <c r="GSB24" s="157"/>
      <c r="GSC24" s="157"/>
      <c r="GSD24" s="157"/>
      <c r="GSE24" s="157"/>
      <c r="GSF24" s="157"/>
      <c r="GSG24" s="157"/>
      <c r="GSH24" s="157"/>
      <c r="GSI24" s="157"/>
      <c r="GSJ24" s="157"/>
      <c r="GSK24" s="157"/>
      <c r="GSL24" s="157"/>
      <c r="GSM24" s="157"/>
      <c r="GSN24" s="157"/>
      <c r="GSO24" s="157"/>
      <c r="GSP24" s="157"/>
      <c r="GSQ24" s="157"/>
      <c r="GSR24" s="157"/>
      <c r="GSS24" s="157"/>
      <c r="GST24" s="157"/>
      <c r="GSU24" s="157"/>
      <c r="GSV24" s="157"/>
      <c r="GSW24" s="157"/>
      <c r="GSX24" s="157"/>
      <c r="GSY24" s="157"/>
      <c r="GSZ24" s="157"/>
      <c r="GTA24" s="157"/>
      <c r="GTB24" s="157"/>
      <c r="GTC24" s="157"/>
      <c r="GTD24" s="157"/>
      <c r="GTE24" s="157"/>
      <c r="GTF24" s="157"/>
      <c r="GTG24" s="157"/>
      <c r="GTH24" s="157"/>
      <c r="GTI24" s="157"/>
      <c r="GTJ24" s="157"/>
      <c r="GTK24" s="157"/>
      <c r="GTL24" s="157"/>
      <c r="GTM24" s="157"/>
      <c r="GTN24" s="157"/>
      <c r="GTO24" s="157"/>
      <c r="GTP24" s="157"/>
      <c r="GTQ24" s="157"/>
      <c r="GTR24" s="157"/>
      <c r="GTS24" s="157"/>
      <c r="GTT24" s="157"/>
      <c r="GTU24" s="157"/>
      <c r="GTV24" s="157"/>
      <c r="GTW24" s="157"/>
      <c r="GTX24" s="157"/>
      <c r="GTY24" s="157"/>
      <c r="GTZ24" s="157"/>
      <c r="GUA24" s="157"/>
      <c r="GUB24" s="157"/>
      <c r="GUC24" s="157"/>
      <c r="GUD24" s="157"/>
      <c r="GUE24" s="157"/>
      <c r="GUF24" s="157"/>
      <c r="GUG24" s="157"/>
      <c r="GUH24" s="157"/>
      <c r="GUI24" s="157"/>
      <c r="GUJ24" s="157"/>
      <c r="GUK24" s="157"/>
      <c r="GUL24" s="157"/>
      <c r="GUM24" s="157"/>
      <c r="GUN24" s="157"/>
      <c r="GUO24" s="157"/>
      <c r="GUP24" s="157"/>
      <c r="GUQ24" s="157"/>
      <c r="GUR24" s="157"/>
      <c r="GUS24" s="157"/>
      <c r="GUT24" s="157"/>
      <c r="GUU24" s="157"/>
      <c r="GUV24" s="157"/>
      <c r="GUW24" s="157"/>
      <c r="GUX24" s="157"/>
      <c r="GUY24" s="157"/>
      <c r="GUZ24" s="157"/>
      <c r="GVA24" s="157"/>
      <c r="GVB24" s="157"/>
      <c r="GVC24" s="157"/>
      <c r="GVD24" s="157"/>
      <c r="GVE24" s="157"/>
      <c r="GVF24" s="157"/>
      <c r="GVG24" s="157"/>
      <c r="GVH24" s="157"/>
      <c r="GVI24" s="157"/>
      <c r="GVJ24" s="157"/>
      <c r="GVK24" s="157"/>
      <c r="GVL24" s="157"/>
      <c r="GVM24" s="157"/>
      <c r="GVN24" s="157"/>
      <c r="GVO24" s="157"/>
      <c r="GVP24" s="157"/>
      <c r="GVQ24" s="157"/>
      <c r="GVR24" s="157"/>
      <c r="GVS24" s="157"/>
      <c r="GVT24" s="157"/>
      <c r="GVU24" s="157"/>
      <c r="GVV24" s="157"/>
      <c r="GVW24" s="157"/>
      <c r="GVX24" s="157"/>
      <c r="GVY24" s="157"/>
      <c r="GVZ24" s="157"/>
      <c r="GWA24" s="157"/>
      <c r="GWB24" s="157"/>
      <c r="GWC24" s="157"/>
      <c r="GWD24" s="157"/>
      <c r="GWE24" s="157"/>
      <c r="GWF24" s="157"/>
      <c r="GWG24" s="157"/>
      <c r="GWH24" s="157"/>
      <c r="GWI24" s="157"/>
      <c r="GWJ24" s="157"/>
      <c r="GWK24" s="157"/>
      <c r="GWL24" s="157"/>
      <c r="GWM24" s="157"/>
      <c r="GWN24" s="157"/>
      <c r="GWO24" s="157"/>
      <c r="GWP24" s="157"/>
      <c r="GWQ24" s="157"/>
      <c r="GWR24" s="157"/>
      <c r="GWS24" s="157"/>
      <c r="GWT24" s="157"/>
      <c r="GWU24" s="157"/>
      <c r="GWV24" s="157"/>
      <c r="GWW24" s="157"/>
      <c r="GWX24" s="157"/>
      <c r="GWY24" s="157"/>
      <c r="GWZ24" s="157"/>
      <c r="GXA24" s="157"/>
      <c r="GXB24" s="157"/>
      <c r="GXC24" s="157"/>
      <c r="GXD24" s="157"/>
      <c r="GXE24" s="157"/>
      <c r="GXF24" s="157"/>
      <c r="GXG24" s="157"/>
      <c r="GXH24" s="157"/>
      <c r="GXI24" s="157"/>
      <c r="GXJ24" s="157"/>
      <c r="GXK24" s="157"/>
      <c r="GXL24" s="157"/>
      <c r="GXM24" s="157"/>
      <c r="GXN24" s="157"/>
      <c r="GXO24" s="157"/>
      <c r="GXP24" s="157"/>
      <c r="GXQ24" s="157"/>
      <c r="GXR24" s="157"/>
      <c r="GXS24" s="157"/>
      <c r="GXT24" s="157"/>
      <c r="GXU24" s="157"/>
      <c r="GXV24" s="157"/>
      <c r="GXW24" s="157"/>
      <c r="GXX24" s="157"/>
      <c r="GXY24" s="157"/>
      <c r="GXZ24" s="157"/>
      <c r="GYA24" s="157"/>
      <c r="GYB24" s="157"/>
      <c r="GYC24" s="157"/>
      <c r="GYD24" s="157"/>
      <c r="GYE24" s="157"/>
      <c r="GYF24" s="157"/>
      <c r="GYG24" s="157"/>
      <c r="GYH24" s="157"/>
      <c r="GYI24" s="157"/>
      <c r="GYJ24" s="157"/>
      <c r="GYK24" s="157"/>
      <c r="GYL24" s="157"/>
      <c r="GYM24" s="157"/>
      <c r="GYN24" s="157"/>
      <c r="GYO24" s="157"/>
      <c r="GYP24" s="157"/>
      <c r="GYQ24" s="157"/>
      <c r="GYR24" s="157"/>
      <c r="GYS24" s="157"/>
      <c r="GYT24" s="157"/>
      <c r="GYU24" s="157"/>
      <c r="GYV24" s="157"/>
      <c r="GYW24" s="157"/>
      <c r="GYX24" s="157"/>
      <c r="GYY24" s="157"/>
      <c r="GYZ24" s="157"/>
      <c r="GZA24" s="157"/>
      <c r="GZB24" s="157"/>
      <c r="GZC24" s="157"/>
      <c r="GZD24" s="157"/>
      <c r="GZE24" s="157"/>
      <c r="GZF24" s="157"/>
      <c r="GZG24" s="157"/>
      <c r="GZH24" s="157"/>
      <c r="GZI24" s="157"/>
      <c r="GZJ24" s="157"/>
      <c r="GZK24" s="157"/>
      <c r="GZL24" s="157"/>
      <c r="GZM24" s="157"/>
      <c r="GZN24" s="157"/>
      <c r="GZO24" s="157"/>
      <c r="GZP24" s="157"/>
      <c r="GZQ24" s="157"/>
      <c r="GZR24" s="157"/>
      <c r="GZS24" s="157"/>
      <c r="GZT24" s="157"/>
      <c r="GZU24" s="157"/>
      <c r="GZV24" s="157"/>
      <c r="GZW24" s="157"/>
      <c r="GZX24" s="157"/>
      <c r="GZY24" s="157"/>
      <c r="GZZ24" s="157"/>
      <c r="HAA24" s="157"/>
      <c r="HAB24" s="157"/>
      <c r="HAC24" s="157"/>
      <c r="HAD24" s="157"/>
      <c r="HAE24" s="157"/>
      <c r="HAF24" s="157"/>
      <c r="HAG24" s="157"/>
      <c r="HAH24" s="157"/>
      <c r="HAI24" s="157"/>
      <c r="HAJ24" s="157"/>
      <c r="HAK24" s="157"/>
      <c r="HAL24" s="157"/>
      <c r="HAM24" s="157"/>
      <c r="HAN24" s="157"/>
      <c r="HAO24" s="157"/>
      <c r="HAP24" s="157"/>
      <c r="HAQ24" s="157"/>
      <c r="HAR24" s="157"/>
      <c r="HAS24" s="157"/>
      <c r="HAT24" s="157"/>
      <c r="HAU24" s="157"/>
      <c r="HAV24" s="157"/>
      <c r="HAW24" s="157"/>
      <c r="HAX24" s="157"/>
      <c r="HAY24" s="157"/>
      <c r="HAZ24" s="157"/>
      <c r="HBA24" s="157"/>
      <c r="HBB24" s="157"/>
      <c r="HBC24" s="157"/>
      <c r="HBD24" s="157"/>
      <c r="HBE24" s="157"/>
      <c r="HBF24" s="157"/>
      <c r="HBG24" s="157"/>
      <c r="HBH24" s="157"/>
      <c r="HBI24" s="157"/>
      <c r="HBJ24" s="157"/>
      <c r="HBK24" s="157"/>
      <c r="HBL24" s="157"/>
      <c r="HBM24" s="157"/>
      <c r="HBN24" s="157"/>
      <c r="HBO24" s="157"/>
      <c r="HBP24" s="157"/>
      <c r="HBQ24" s="157"/>
      <c r="HBR24" s="157"/>
      <c r="HBS24" s="157"/>
      <c r="HBT24" s="157"/>
      <c r="HBU24" s="157"/>
      <c r="HBV24" s="157"/>
      <c r="HBW24" s="157"/>
      <c r="HBX24" s="157"/>
      <c r="HBY24" s="157"/>
      <c r="HBZ24" s="157"/>
      <c r="HCA24" s="157"/>
      <c r="HCB24" s="157"/>
      <c r="HCC24" s="157"/>
      <c r="HCD24" s="157"/>
      <c r="HCE24" s="157"/>
      <c r="HCF24" s="157"/>
      <c r="HCG24" s="157"/>
      <c r="HCH24" s="157"/>
      <c r="HCI24" s="157"/>
      <c r="HCJ24" s="157"/>
      <c r="HCK24" s="157"/>
      <c r="HCL24" s="157"/>
      <c r="HCM24" s="157"/>
      <c r="HCN24" s="157"/>
      <c r="HCO24" s="157"/>
      <c r="HCP24" s="157"/>
      <c r="HCQ24" s="157"/>
      <c r="HCR24" s="157"/>
      <c r="HCS24" s="157"/>
      <c r="HCT24" s="157"/>
      <c r="HCU24" s="157"/>
      <c r="HCV24" s="157"/>
      <c r="HCW24" s="157"/>
      <c r="HCX24" s="157"/>
      <c r="HCY24" s="157"/>
      <c r="HCZ24" s="157"/>
      <c r="HDA24" s="157"/>
      <c r="HDB24" s="157"/>
      <c r="HDC24" s="157"/>
      <c r="HDD24" s="157"/>
      <c r="HDE24" s="157"/>
      <c r="HDF24" s="157"/>
      <c r="HDG24" s="157"/>
      <c r="HDH24" s="157"/>
      <c r="HDI24" s="157"/>
      <c r="HDJ24" s="157"/>
      <c r="HDK24" s="157"/>
      <c r="HDL24" s="157"/>
      <c r="HDM24" s="157"/>
      <c r="HDN24" s="157"/>
      <c r="HDO24" s="157"/>
      <c r="HDP24" s="157"/>
      <c r="HDQ24" s="157"/>
      <c r="HDR24" s="157"/>
      <c r="HDS24" s="157"/>
      <c r="HDT24" s="157"/>
      <c r="HDU24" s="157"/>
      <c r="HDV24" s="157"/>
      <c r="HDW24" s="157"/>
      <c r="HDX24" s="157"/>
      <c r="HDY24" s="157"/>
      <c r="HDZ24" s="157"/>
      <c r="HEA24" s="157"/>
      <c r="HEB24" s="157"/>
      <c r="HEC24" s="157"/>
      <c r="HED24" s="157"/>
      <c r="HEE24" s="157"/>
      <c r="HEF24" s="157"/>
      <c r="HEG24" s="157"/>
      <c r="HEH24" s="157"/>
      <c r="HEI24" s="157"/>
      <c r="HEJ24" s="157"/>
      <c r="HEK24" s="157"/>
      <c r="HEL24" s="157"/>
      <c r="HEM24" s="157"/>
      <c r="HEN24" s="157"/>
      <c r="HEO24" s="157"/>
      <c r="HEP24" s="157"/>
      <c r="HEQ24" s="157"/>
      <c r="HER24" s="157"/>
      <c r="HES24" s="157"/>
      <c r="HET24" s="157"/>
      <c r="HEU24" s="157"/>
      <c r="HEV24" s="157"/>
      <c r="HEW24" s="157"/>
      <c r="HEX24" s="157"/>
      <c r="HEY24" s="157"/>
      <c r="HEZ24" s="157"/>
      <c r="HFA24" s="157"/>
      <c r="HFB24" s="157"/>
      <c r="HFC24" s="157"/>
      <c r="HFD24" s="157"/>
      <c r="HFE24" s="157"/>
      <c r="HFF24" s="157"/>
      <c r="HFG24" s="157"/>
      <c r="HFH24" s="157"/>
      <c r="HFI24" s="157"/>
      <c r="HFJ24" s="157"/>
      <c r="HFK24" s="157"/>
      <c r="HFL24" s="157"/>
      <c r="HFM24" s="157"/>
      <c r="HFN24" s="157"/>
      <c r="HFO24" s="157"/>
      <c r="HFP24" s="157"/>
      <c r="HFQ24" s="157"/>
      <c r="HFR24" s="157"/>
      <c r="HFS24" s="157"/>
      <c r="HFT24" s="157"/>
      <c r="HFU24" s="157"/>
      <c r="HFV24" s="157"/>
      <c r="HFW24" s="157"/>
      <c r="HFX24" s="157"/>
      <c r="HFY24" s="157"/>
      <c r="HFZ24" s="157"/>
      <c r="HGA24" s="157"/>
      <c r="HGB24" s="157"/>
      <c r="HGC24" s="157"/>
      <c r="HGD24" s="157"/>
      <c r="HGE24" s="157"/>
      <c r="HGF24" s="157"/>
      <c r="HGG24" s="157"/>
      <c r="HGH24" s="157"/>
      <c r="HGI24" s="157"/>
      <c r="HGJ24" s="157"/>
      <c r="HGK24" s="157"/>
      <c r="HGL24" s="157"/>
      <c r="HGM24" s="157"/>
      <c r="HGN24" s="157"/>
      <c r="HGO24" s="157"/>
      <c r="HGP24" s="157"/>
      <c r="HGQ24" s="157"/>
      <c r="HGR24" s="157"/>
      <c r="HGS24" s="157"/>
      <c r="HGT24" s="157"/>
      <c r="HGU24" s="157"/>
      <c r="HGV24" s="157"/>
      <c r="HGW24" s="157"/>
      <c r="HGX24" s="157"/>
      <c r="HGY24" s="157"/>
      <c r="HGZ24" s="157"/>
      <c r="HHA24" s="157"/>
      <c r="HHB24" s="157"/>
      <c r="HHC24" s="157"/>
      <c r="HHD24" s="157"/>
      <c r="HHE24" s="157"/>
      <c r="HHF24" s="157"/>
      <c r="HHG24" s="157"/>
      <c r="HHH24" s="157"/>
      <c r="HHI24" s="157"/>
      <c r="HHJ24" s="157"/>
      <c r="HHK24" s="157"/>
      <c r="HHL24" s="157"/>
      <c r="HHM24" s="157"/>
      <c r="HHN24" s="157"/>
      <c r="HHO24" s="157"/>
      <c r="HHP24" s="157"/>
      <c r="HHQ24" s="157"/>
      <c r="HHR24" s="157"/>
      <c r="HHS24" s="157"/>
      <c r="HHT24" s="157"/>
      <c r="HHU24" s="157"/>
      <c r="HHV24" s="157"/>
      <c r="HHW24" s="157"/>
      <c r="HHX24" s="157"/>
      <c r="HHY24" s="157"/>
      <c r="HHZ24" s="157"/>
      <c r="HIA24" s="157"/>
      <c r="HIB24" s="157"/>
      <c r="HIC24" s="157"/>
      <c r="HID24" s="157"/>
      <c r="HIE24" s="157"/>
      <c r="HIF24" s="157"/>
      <c r="HIG24" s="157"/>
      <c r="HIH24" s="157"/>
      <c r="HII24" s="157"/>
      <c r="HIJ24" s="157"/>
      <c r="HIK24" s="157"/>
      <c r="HIL24" s="157"/>
      <c r="HIM24" s="157"/>
      <c r="HIN24" s="157"/>
      <c r="HIO24" s="157"/>
      <c r="HIP24" s="157"/>
      <c r="HIQ24" s="157"/>
      <c r="HIR24" s="157"/>
      <c r="HIS24" s="157"/>
      <c r="HIT24" s="157"/>
      <c r="HIU24" s="157"/>
      <c r="HIV24" s="157"/>
      <c r="HIW24" s="157"/>
      <c r="HIX24" s="157"/>
      <c r="HIY24" s="157"/>
      <c r="HIZ24" s="157"/>
      <c r="HJA24" s="157"/>
      <c r="HJB24" s="157"/>
      <c r="HJC24" s="157"/>
      <c r="HJD24" s="157"/>
      <c r="HJE24" s="157"/>
      <c r="HJF24" s="157"/>
      <c r="HJG24" s="157"/>
      <c r="HJH24" s="157"/>
      <c r="HJI24" s="157"/>
      <c r="HJJ24" s="157"/>
      <c r="HJK24" s="157"/>
      <c r="HJL24" s="157"/>
      <c r="HJM24" s="157"/>
      <c r="HJN24" s="157"/>
      <c r="HJO24" s="157"/>
      <c r="HJP24" s="157"/>
      <c r="HJQ24" s="157"/>
      <c r="HJR24" s="157"/>
      <c r="HJS24" s="157"/>
      <c r="HJT24" s="157"/>
      <c r="HJU24" s="157"/>
      <c r="HJV24" s="157"/>
      <c r="HJW24" s="157"/>
      <c r="HJX24" s="157"/>
      <c r="HJY24" s="157"/>
      <c r="HJZ24" s="157"/>
      <c r="HKA24" s="157"/>
      <c r="HKB24" s="157"/>
      <c r="HKC24" s="157"/>
      <c r="HKD24" s="157"/>
      <c r="HKE24" s="157"/>
      <c r="HKF24" s="157"/>
      <c r="HKG24" s="157"/>
      <c r="HKH24" s="157"/>
      <c r="HKI24" s="157"/>
      <c r="HKJ24" s="157"/>
      <c r="HKK24" s="157"/>
      <c r="HKL24" s="157"/>
      <c r="HKM24" s="157"/>
      <c r="HKN24" s="157"/>
      <c r="HKO24" s="157"/>
      <c r="HKP24" s="157"/>
      <c r="HKQ24" s="157"/>
      <c r="HKR24" s="157"/>
      <c r="HKS24" s="157"/>
      <c r="HKT24" s="157"/>
      <c r="HKU24" s="157"/>
      <c r="HKV24" s="157"/>
      <c r="HKW24" s="157"/>
      <c r="HKX24" s="157"/>
      <c r="HKY24" s="157"/>
      <c r="HKZ24" s="157"/>
      <c r="HLA24" s="157"/>
      <c r="HLB24" s="157"/>
      <c r="HLC24" s="157"/>
      <c r="HLD24" s="157"/>
      <c r="HLE24" s="157"/>
      <c r="HLF24" s="157"/>
      <c r="HLG24" s="157"/>
      <c r="HLH24" s="157"/>
      <c r="HLI24" s="157"/>
      <c r="HLJ24" s="157"/>
      <c r="HLK24" s="157"/>
      <c r="HLL24" s="157"/>
      <c r="HLM24" s="157"/>
      <c r="HLN24" s="157"/>
      <c r="HLO24" s="157"/>
      <c r="HLP24" s="157"/>
      <c r="HLQ24" s="157"/>
      <c r="HLR24" s="157"/>
      <c r="HLS24" s="157"/>
      <c r="HLT24" s="157"/>
      <c r="HLU24" s="157"/>
      <c r="HLV24" s="157"/>
      <c r="HLW24" s="157"/>
      <c r="HLX24" s="157"/>
      <c r="HLY24" s="157"/>
      <c r="HLZ24" s="157"/>
      <c r="HMA24" s="157"/>
      <c r="HMB24" s="157"/>
      <c r="HMC24" s="157"/>
      <c r="HMD24" s="157"/>
      <c r="HME24" s="157"/>
      <c r="HMF24" s="157"/>
      <c r="HMG24" s="157"/>
      <c r="HMH24" s="157"/>
      <c r="HMI24" s="157"/>
      <c r="HMJ24" s="157"/>
      <c r="HMK24" s="157"/>
      <c r="HML24" s="157"/>
      <c r="HMM24" s="157"/>
      <c r="HMN24" s="157"/>
      <c r="HMO24" s="157"/>
      <c r="HMP24" s="157"/>
      <c r="HMQ24" s="157"/>
      <c r="HMR24" s="157"/>
      <c r="HMS24" s="157"/>
      <c r="HMT24" s="157"/>
      <c r="HMU24" s="157"/>
      <c r="HMV24" s="157"/>
      <c r="HMW24" s="157"/>
      <c r="HMX24" s="157"/>
      <c r="HMY24" s="157"/>
      <c r="HMZ24" s="157"/>
      <c r="HNA24" s="157"/>
      <c r="HNB24" s="157"/>
      <c r="HNC24" s="157"/>
      <c r="HND24" s="157"/>
      <c r="HNE24" s="157"/>
      <c r="HNF24" s="157"/>
      <c r="HNG24" s="157"/>
      <c r="HNH24" s="157"/>
      <c r="HNI24" s="157"/>
      <c r="HNJ24" s="157"/>
      <c r="HNK24" s="157"/>
      <c r="HNL24" s="157"/>
      <c r="HNM24" s="157"/>
      <c r="HNN24" s="157"/>
      <c r="HNO24" s="157"/>
      <c r="HNP24" s="157"/>
      <c r="HNQ24" s="157"/>
      <c r="HNR24" s="157"/>
      <c r="HNS24" s="157"/>
      <c r="HNT24" s="157"/>
      <c r="HNU24" s="157"/>
      <c r="HNV24" s="157"/>
      <c r="HNW24" s="157"/>
      <c r="HNX24" s="157"/>
      <c r="HNY24" s="157"/>
      <c r="HNZ24" s="157"/>
      <c r="HOA24" s="157"/>
      <c r="HOB24" s="157"/>
      <c r="HOC24" s="157"/>
      <c r="HOD24" s="157"/>
      <c r="HOE24" s="157"/>
      <c r="HOF24" s="157"/>
      <c r="HOG24" s="157"/>
      <c r="HOH24" s="157"/>
      <c r="HOI24" s="157"/>
      <c r="HOJ24" s="157"/>
      <c r="HOK24" s="157"/>
      <c r="HOL24" s="157"/>
      <c r="HOM24" s="157"/>
      <c r="HON24" s="157"/>
      <c r="HOO24" s="157"/>
      <c r="HOP24" s="157"/>
      <c r="HOQ24" s="157"/>
      <c r="HOR24" s="157"/>
      <c r="HOS24" s="157"/>
      <c r="HOT24" s="157"/>
      <c r="HOU24" s="157"/>
      <c r="HOV24" s="157"/>
      <c r="HOW24" s="157"/>
      <c r="HOX24" s="157"/>
      <c r="HOY24" s="157"/>
      <c r="HOZ24" s="157"/>
      <c r="HPA24" s="157"/>
      <c r="HPB24" s="157"/>
      <c r="HPC24" s="157"/>
      <c r="HPD24" s="157"/>
      <c r="HPE24" s="157"/>
      <c r="HPF24" s="157"/>
      <c r="HPG24" s="157"/>
      <c r="HPH24" s="157"/>
      <c r="HPI24" s="157"/>
      <c r="HPJ24" s="157"/>
      <c r="HPK24" s="157"/>
      <c r="HPL24" s="157"/>
      <c r="HPM24" s="157"/>
      <c r="HPN24" s="157"/>
      <c r="HPO24" s="157"/>
      <c r="HPP24" s="157"/>
      <c r="HPQ24" s="157"/>
      <c r="HPR24" s="157"/>
      <c r="HPS24" s="157"/>
      <c r="HPT24" s="157"/>
      <c r="HPU24" s="157"/>
      <c r="HPV24" s="157"/>
      <c r="HPW24" s="157"/>
      <c r="HPX24" s="157"/>
      <c r="HPY24" s="157"/>
      <c r="HPZ24" s="157"/>
      <c r="HQA24" s="157"/>
      <c r="HQB24" s="157"/>
      <c r="HQC24" s="157"/>
      <c r="HQD24" s="157"/>
      <c r="HQE24" s="157"/>
      <c r="HQF24" s="157"/>
      <c r="HQG24" s="157"/>
      <c r="HQH24" s="157"/>
      <c r="HQI24" s="157"/>
      <c r="HQJ24" s="157"/>
      <c r="HQK24" s="157"/>
      <c r="HQL24" s="157"/>
      <c r="HQM24" s="157"/>
      <c r="HQN24" s="157"/>
      <c r="HQO24" s="157"/>
      <c r="HQP24" s="157"/>
      <c r="HQQ24" s="157"/>
      <c r="HQR24" s="157"/>
      <c r="HQS24" s="157"/>
      <c r="HQT24" s="157"/>
      <c r="HQU24" s="157"/>
      <c r="HQV24" s="157"/>
      <c r="HQW24" s="157"/>
      <c r="HQX24" s="157"/>
      <c r="HQY24" s="157"/>
      <c r="HQZ24" s="157"/>
      <c r="HRA24" s="157"/>
      <c r="HRB24" s="157"/>
      <c r="HRC24" s="157"/>
      <c r="HRD24" s="157"/>
      <c r="HRE24" s="157"/>
      <c r="HRF24" s="157"/>
      <c r="HRG24" s="157"/>
      <c r="HRH24" s="157"/>
      <c r="HRI24" s="157"/>
      <c r="HRJ24" s="157"/>
      <c r="HRK24" s="157"/>
      <c r="HRL24" s="157"/>
      <c r="HRM24" s="157"/>
      <c r="HRN24" s="157"/>
      <c r="HRO24" s="157"/>
      <c r="HRP24" s="157"/>
      <c r="HRQ24" s="157"/>
      <c r="HRR24" s="157"/>
      <c r="HRS24" s="157"/>
      <c r="HRT24" s="157"/>
      <c r="HRU24" s="157"/>
      <c r="HRV24" s="157"/>
      <c r="HRW24" s="157"/>
      <c r="HRX24" s="157"/>
      <c r="HRY24" s="157"/>
      <c r="HRZ24" s="157"/>
      <c r="HSA24" s="157"/>
      <c r="HSB24" s="157"/>
      <c r="HSC24" s="157"/>
      <c r="HSD24" s="157"/>
      <c r="HSE24" s="157"/>
      <c r="HSF24" s="157"/>
      <c r="HSG24" s="157"/>
      <c r="HSH24" s="157"/>
      <c r="HSI24" s="157"/>
      <c r="HSJ24" s="157"/>
      <c r="HSK24" s="157"/>
      <c r="HSL24" s="157"/>
      <c r="HSM24" s="157"/>
      <c r="HSN24" s="157"/>
      <c r="HSO24" s="157"/>
      <c r="HSP24" s="157"/>
      <c r="HSQ24" s="157"/>
      <c r="HSR24" s="157"/>
      <c r="HSS24" s="157"/>
      <c r="HST24" s="157"/>
      <c r="HSU24" s="157"/>
      <c r="HSV24" s="157"/>
      <c r="HSW24" s="157"/>
      <c r="HSX24" s="157"/>
      <c r="HSY24" s="157"/>
      <c r="HSZ24" s="157"/>
      <c r="HTA24" s="157"/>
      <c r="HTB24" s="157"/>
      <c r="HTC24" s="157"/>
      <c r="HTD24" s="157"/>
      <c r="HTE24" s="157"/>
      <c r="HTF24" s="157"/>
      <c r="HTG24" s="157"/>
      <c r="HTH24" s="157"/>
      <c r="HTI24" s="157"/>
      <c r="HTJ24" s="157"/>
      <c r="HTK24" s="157"/>
      <c r="HTL24" s="157"/>
      <c r="HTM24" s="157"/>
      <c r="HTN24" s="157"/>
      <c r="HTO24" s="157"/>
      <c r="HTP24" s="157"/>
      <c r="HTQ24" s="157"/>
      <c r="HTR24" s="157"/>
      <c r="HTS24" s="157"/>
      <c r="HTT24" s="157"/>
      <c r="HTU24" s="157"/>
      <c r="HTV24" s="157"/>
      <c r="HTW24" s="157"/>
      <c r="HTX24" s="157"/>
      <c r="HTY24" s="157"/>
      <c r="HTZ24" s="157"/>
      <c r="HUA24" s="157"/>
      <c r="HUB24" s="157"/>
      <c r="HUC24" s="157"/>
      <c r="HUD24" s="157"/>
      <c r="HUE24" s="157"/>
      <c r="HUF24" s="157"/>
      <c r="HUG24" s="157"/>
      <c r="HUH24" s="157"/>
      <c r="HUI24" s="157"/>
      <c r="HUJ24" s="157"/>
      <c r="HUK24" s="157"/>
      <c r="HUL24" s="157"/>
      <c r="HUM24" s="157"/>
      <c r="HUN24" s="157"/>
      <c r="HUO24" s="157"/>
      <c r="HUP24" s="157"/>
      <c r="HUQ24" s="157"/>
      <c r="HUR24" s="157"/>
      <c r="HUS24" s="157"/>
      <c r="HUT24" s="157"/>
      <c r="HUU24" s="157"/>
      <c r="HUV24" s="157"/>
      <c r="HUW24" s="157"/>
      <c r="HUX24" s="157"/>
      <c r="HUY24" s="157"/>
      <c r="HUZ24" s="157"/>
      <c r="HVA24" s="157"/>
      <c r="HVB24" s="157"/>
      <c r="HVC24" s="157"/>
      <c r="HVD24" s="157"/>
      <c r="HVE24" s="157"/>
      <c r="HVF24" s="157"/>
      <c r="HVG24" s="157"/>
      <c r="HVH24" s="157"/>
      <c r="HVI24" s="157"/>
      <c r="HVJ24" s="157"/>
      <c r="HVK24" s="157"/>
      <c r="HVL24" s="157"/>
      <c r="HVM24" s="157"/>
      <c r="HVN24" s="157"/>
      <c r="HVO24" s="157"/>
      <c r="HVP24" s="157"/>
      <c r="HVQ24" s="157"/>
      <c r="HVR24" s="157"/>
      <c r="HVS24" s="157"/>
      <c r="HVT24" s="157"/>
      <c r="HVU24" s="157"/>
      <c r="HVV24" s="157"/>
      <c r="HVW24" s="157"/>
      <c r="HVX24" s="157"/>
      <c r="HVY24" s="157"/>
      <c r="HVZ24" s="157"/>
      <c r="HWA24" s="157"/>
      <c r="HWB24" s="157"/>
      <c r="HWC24" s="157"/>
      <c r="HWD24" s="157"/>
      <c r="HWE24" s="157"/>
      <c r="HWF24" s="157"/>
      <c r="HWG24" s="157"/>
      <c r="HWH24" s="157"/>
      <c r="HWI24" s="157"/>
      <c r="HWJ24" s="157"/>
      <c r="HWK24" s="157"/>
      <c r="HWL24" s="157"/>
      <c r="HWM24" s="157"/>
      <c r="HWN24" s="157"/>
      <c r="HWO24" s="157"/>
      <c r="HWP24" s="157"/>
      <c r="HWQ24" s="157"/>
      <c r="HWR24" s="157"/>
      <c r="HWS24" s="157"/>
      <c r="HWT24" s="157"/>
      <c r="HWU24" s="157"/>
      <c r="HWV24" s="157"/>
      <c r="HWW24" s="157"/>
      <c r="HWX24" s="157"/>
      <c r="HWY24" s="157"/>
      <c r="HWZ24" s="157"/>
      <c r="HXA24" s="157"/>
      <c r="HXB24" s="157"/>
      <c r="HXC24" s="157"/>
      <c r="HXD24" s="157"/>
      <c r="HXE24" s="157"/>
      <c r="HXF24" s="157"/>
      <c r="HXG24" s="157"/>
      <c r="HXH24" s="157"/>
      <c r="HXI24" s="157"/>
      <c r="HXJ24" s="157"/>
      <c r="HXK24" s="157"/>
      <c r="HXL24" s="157"/>
      <c r="HXM24" s="157"/>
      <c r="HXN24" s="157"/>
      <c r="HXO24" s="157"/>
      <c r="HXP24" s="157"/>
      <c r="HXQ24" s="157"/>
      <c r="HXR24" s="157"/>
      <c r="HXS24" s="157"/>
      <c r="HXT24" s="157"/>
      <c r="HXU24" s="157"/>
      <c r="HXV24" s="157"/>
      <c r="HXW24" s="157"/>
      <c r="HXX24" s="157"/>
      <c r="HXY24" s="157"/>
      <c r="HXZ24" s="157"/>
      <c r="HYA24" s="157"/>
      <c r="HYB24" s="157"/>
      <c r="HYC24" s="157"/>
      <c r="HYD24" s="157"/>
      <c r="HYE24" s="157"/>
      <c r="HYF24" s="157"/>
      <c r="HYG24" s="157"/>
      <c r="HYH24" s="157"/>
      <c r="HYI24" s="157"/>
      <c r="HYJ24" s="157"/>
      <c r="HYK24" s="157"/>
      <c r="HYL24" s="157"/>
      <c r="HYM24" s="157"/>
      <c r="HYN24" s="157"/>
      <c r="HYO24" s="157"/>
      <c r="HYP24" s="157"/>
      <c r="HYQ24" s="157"/>
      <c r="HYR24" s="157"/>
      <c r="HYS24" s="157"/>
      <c r="HYT24" s="157"/>
      <c r="HYU24" s="157"/>
      <c r="HYV24" s="157"/>
      <c r="HYW24" s="157"/>
      <c r="HYX24" s="157"/>
      <c r="HYY24" s="157"/>
      <c r="HYZ24" s="157"/>
      <c r="HZA24" s="157"/>
      <c r="HZB24" s="157"/>
      <c r="HZC24" s="157"/>
      <c r="HZD24" s="157"/>
      <c r="HZE24" s="157"/>
      <c r="HZF24" s="157"/>
      <c r="HZG24" s="157"/>
      <c r="HZH24" s="157"/>
      <c r="HZI24" s="157"/>
      <c r="HZJ24" s="157"/>
      <c r="HZK24" s="157"/>
      <c r="HZL24" s="157"/>
      <c r="HZM24" s="157"/>
      <c r="HZN24" s="157"/>
      <c r="HZO24" s="157"/>
      <c r="HZP24" s="157"/>
      <c r="HZQ24" s="157"/>
      <c r="HZR24" s="157"/>
      <c r="HZS24" s="157"/>
      <c r="HZT24" s="157"/>
      <c r="HZU24" s="157"/>
      <c r="HZV24" s="157"/>
      <c r="HZW24" s="157"/>
      <c r="HZX24" s="157"/>
      <c r="HZY24" s="157"/>
      <c r="HZZ24" s="157"/>
      <c r="IAA24" s="157"/>
      <c r="IAB24" s="157"/>
      <c r="IAC24" s="157"/>
      <c r="IAD24" s="157"/>
      <c r="IAE24" s="157"/>
      <c r="IAF24" s="157"/>
      <c r="IAG24" s="157"/>
      <c r="IAH24" s="157"/>
      <c r="IAI24" s="157"/>
      <c r="IAJ24" s="157"/>
      <c r="IAK24" s="157"/>
      <c r="IAL24" s="157"/>
      <c r="IAM24" s="157"/>
      <c r="IAN24" s="157"/>
      <c r="IAO24" s="157"/>
      <c r="IAP24" s="157"/>
      <c r="IAQ24" s="157"/>
      <c r="IAR24" s="157"/>
      <c r="IAS24" s="157"/>
      <c r="IAT24" s="157"/>
      <c r="IAU24" s="157"/>
      <c r="IAV24" s="157"/>
      <c r="IAW24" s="157"/>
      <c r="IAX24" s="157"/>
      <c r="IAY24" s="157"/>
      <c r="IAZ24" s="157"/>
      <c r="IBA24" s="157"/>
      <c r="IBB24" s="157"/>
      <c r="IBC24" s="157"/>
      <c r="IBD24" s="157"/>
      <c r="IBE24" s="157"/>
      <c r="IBF24" s="157"/>
      <c r="IBG24" s="157"/>
      <c r="IBH24" s="157"/>
      <c r="IBI24" s="157"/>
      <c r="IBJ24" s="157"/>
      <c r="IBK24" s="157"/>
      <c r="IBL24" s="157"/>
      <c r="IBM24" s="157"/>
      <c r="IBN24" s="157"/>
      <c r="IBO24" s="157"/>
      <c r="IBP24" s="157"/>
      <c r="IBQ24" s="157"/>
      <c r="IBR24" s="157"/>
      <c r="IBS24" s="157"/>
      <c r="IBT24" s="157"/>
      <c r="IBU24" s="157"/>
      <c r="IBV24" s="157"/>
      <c r="IBW24" s="157"/>
      <c r="IBX24" s="157"/>
      <c r="IBY24" s="157"/>
      <c r="IBZ24" s="157"/>
      <c r="ICA24" s="157"/>
      <c r="ICB24" s="157"/>
      <c r="ICC24" s="157"/>
      <c r="ICD24" s="157"/>
      <c r="ICE24" s="157"/>
      <c r="ICF24" s="157"/>
      <c r="ICG24" s="157"/>
      <c r="ICH24" s="157"/>
      <c r="ICI24" s="157"/>
      <c r="ICJ24" s="157"/>
      <c r="ICK24" s="157"/>
      <c r="ICL24" s="157"/>
      <c r="ICM24" s="157"/>
      <c r="ICN24" s="157"/>
      <c r="ICO24" s="157"/>
      <c r="ICP24" s="157"/>
      <c r="ICQ24" s="157"/>
      <c r="ICR24" s="157"/>
      <c r="ICS24" s="157"/>
      <c r="ICT24" s="157"/>
      <c r="ICU24" s="157"/>
      <c r="ICV24" s="157"/>
      <c r="ICW24" s="157"/>
      <c r="ICX24" s="157"/>
      <c r="ICY24" s="157"/>
      <c r="ICZ24" s="157"/>
      <c r="IDA24" s="157"/>
      <c r="IDB24" s="157"/>
      <c r="IDC24" s="157"/>
      <c r="IDD24" s="157"/>
      <c r="IDE24" s="157"/>
      <c r="IDF24" s="157"/>
      <c r="IDG24" s="157"/>
      <c r="IDH24" s="157"/>
      <c r="IDI24" s="157"/>
      <c r="IDJ24" s="157"/>
      <c r="IDK24" s="157"/>
      <c r="IDL24" s="157"/>
      <c r="IDM24" s="157"/>
      <c r="IDN24" s="157"/>
      <c r="IDO24" s="157"/>
      <c r="IDP24" s="157"/>
      <c r="IDQ24" s="157"/>
      <c r="IDR24" s="157"/>
      <c r="IDS24" s="157"/>
      <c r="IDT24" s="157"/>
      <c r="IDU24" s="157"/>
      <c r="IDV24" s="157"/>
      <c r="IDW24" s="157"/>
      <c r="IDX24" s="157"/>
      <c r="IDY24" s="157"/>
      <c r="IDZ24" s="157"/>
      <c r="IEA24" s="157"/>
      <c r="IEB24" s="157"/>
      <c r="IEC24" s="157"/>
      <c r="IED24" s="157"/>
      <c r="IEE24" s="157"/>
      <c r="IEF24" s="157"/>
      <c r="IEG24" s="157"/>
      <c r="IEH24" s="157"/>
      <c r="IEI24" s="157"/>
      <c r="IEJ24" s="157"/>
      <c r="IEK24" s="157"/>
      <c r="IEL24" s="157"/>
      <c r="IEM24" s="157"/>
      <c r="IEN24" s="157"/>
      <c r="IEO24" s="157"/>
      <c r="IEP24" s="157"/>
      <c r="IEQ24" s="157"/>
      <c r="IER24" s="157"/>
      <c r="IES24" s="157"/>
      <c r="IET24" s="157"/>
      <c r="IEU24" s="157"/>
      <c r="IEV24" s="157"/>
      <c r="IEW24" s="157"/>
      <c r="IEX24" s="157"/>
      <c r="IEY24" s="157"/>
      <c r="IEZ24" s="157"/>
      <c r="IFA24" s="157"/>
      <c r="IFB24" s="157"/>
      <c r="IFC24" s="157"/>
      <c r="IFD24" s="157"/>
      <c r="IFE24" s="157"/>
      <c r="IFF24" s="157"/>
      <c r="IFG24" s="157"/>
      <c r="IFH24" s="157"/>
      <c r="IFI24" s="157"/>
      <c r="IFJ24" s="157"/>
      <c r="IFK24" s="157"/>
      <c r="IFL24" s="157"/>
      <c r="IFM24" s="157"/>
      <c r="IFN24" s="157"/>
      <c r="IFO24" s="157"/>
      <c r="IFP24" s="157"/>
      <c r="IFQ24" s="157"/>
      <c r="IFR24" s="157"/>
      <c r="IFS24" s="157"/>
      <c r="IFT24" s="157"/>
      <c r="IFU24" s="157"/>
      <c r="IFV24" s="157"/>
      <c r="IFW24" s="157"/>
      <c r="IFX24" s="157"/>
      <c r="IFY24" s="157"/>
      <c r="IFZ24" s="157"/>
      <c r="IGA24" s="157"/>
      <c r="IGB24" s="157"/>
      <c r="IGC24" s="157"/>
      <c r="IGD24" s="157"/>
      <c r="IGE24" s="157"/>
      <c r="IGF24" s="157"/>
      <c r="IGG24" s="157"/>
      <c r="IGH24" s="157"/>
      <c r="IGI24" s="157"/>
      <c r="IGJ24" s="157"/>
      <c r="IGK24" s="157"/>
      <c r="IGL24" s="157"/>
      <c r="IGM24" s="157"/>
      <c r="IGN24" s="157"/>
      <c r="IGO24" s="157"/>
      <c r="IGP24" s="157"/>
      <c r="IGQ24" s="157"/>
      <c r="IGR24" s="157"/>
      <c r="IGS24" s="157"/>
      <c r="IGT24" s="157"/>
      <c r="IGU24" s="157"/>
      <c r="IGV24" s="157"/>
      <c r="IGW24" s="157"/>
      <c r="IGX24" s="157"/>
      <c r="IGY24" s="157"/>
      <c r="IGZ24" s="157"/>
      <c r="IHA24" s="157"/>
      <c r="IHB24" s="157"/>
      <c r="IHC24" s="157"/>
      <c r="IHD24" s="157"/>
      <c r="IHE24" s="157"/>
      <c r="IHF24" s="157"/>
      <c r="IHG24" s="157"/>
      <c r="IHH24" s="157"/>
      <c r="IHI24" s="157"/>
      <c r="IHJ24" s="157"/>
      <c r="IHK24" s="157"/>
      <c r="IHL24" s="157"/>
      <c r="IHM24" s="157"/>
      <c r="IHN24" s="157"/>
      <c r="IHO24" s="157"/>
      <c r="IHP24" s="157"/>
      <c r="IHQ24" s="157"/>
      <c r="IHR24" s="157"/>
      <c r="IHS24" s="157"/>
      <c r="IHT24" s="157"/>
      <c r="IHU24" s="157"/>
      <c r="IHV24" s="157"/>
      <c r="IHW24" s="157"/>
      <c r="IHX24" s="157"/>
      <c r="IHY24" s="157"/>
      <c r="IHZ24" s="157"/>
      <c r="IIA24" s="157"/>
      <c r="IIB24" s="157"/>
      <c r="IIC24" s="157"/>
      <c r="IID24" s="157"/>
      <c r="IIE24" s="157"/>
      <c r="IIF24" s="157"/>
      <c r="IIG24" s="157"/>
      <c r="IIH24" s="157"/>
      <c r="III24" s="157"/>
      <c r="IIJ24" s="157"/>
      <c r="IIK24" s="157"/>
      <c r="IIL24" s="157"/>
      <c r="IIM24" s="157"/>
      <c r="IIN24" s="157"/>
      <c r="IIO24" s="157"/>
      <c r="IIP24" s="157"/>
      <c r="IIQ24" s="157"/>
      <c r="IIR24" s="157"/>
      <c r="IIS24" s="157"/>
      <c r="IIT24" s="157"/>
      <c r="IIU24" s="157"/>
      <c r="IIV24" s="157"/>
      <c r="IIW24" s="157"/>
      <c r="IIX24" s="157"/>
      <c r="IIY24" s="157"/>
      <c r="IIZ24" s="157"/>
      <c r="IJA24" s="157"/>
      <c r="IJB24" s="157"/>
      <c r="IJC24" s="157"/>
      <c r="IJD24" s="157"/>
      <c r="IJE24" s="157"/>
      <c r="IJF24" s="157"/>
      <c r="IJG24" s="157"/>
      <c r="IJH24" s="157"/>
      <c r="IJI24" s="157"/>
      <c r="IJJ24" s="157"/>
      <c r="IJK24" s="157"/>
      <c r="IJL24" s="157"/>
      <c r="IJM24" s="157"/>
      <c r="IJN24" s="157"/>
      <c r="IJO24" s="157"/>
      <c r="IJP24" s="157"/>
      <c r="IJQ24" s="157"/>
      <c r="IJR24" s="157"/>
      <c r="IJS24" s="157"/>
      <c r="IJT24" s="157"/>
      <c r="IJU24" s="157"/>
      <c r="IJV24" s="157"/>
      <c r="IJW24" s="157"/>
      <c r="IJX24" s="157"/>
      <c r="IJY24" s="157"/>
      <c r="IJZ24" s="157"/>
      <c r="IKA24" s="157"/>
      <c r="IKB24" s="157"/>
      <c r="IKC24" s="157"/>
      <c r="IKD24" s="157"/>
      <c r="IKE24" s="157"/>
      <c r="IKF24" s="157"/>
      <c r="IKG24" s="157"/>
      <c r="IKH24" s="157"/>
      <c r="IKI24" s="157"/>
      <c r="IKJ24" s="157"/>
      <c r="IKK24" s="157"/>
      <c r="IKL24" s="157"/>
      <c r="IKM24" s="157"/>
      <c r="IKN24" s="157"/>
      <c r="IKO24" s="157"/>
      <c r="IKP24" s="157"/>
      <c r="IKQ24" s="157"/>
      <c r="IKR24" s="157"/>
      <c r="IKS24" s="157"/>
      <c r="IKT24" s="157"/>
      <c r="IKU24" s="157"/>
      <c r="IKV24" s="157"/>
      <c r="IKW24" s="157"/>
      <c r="IKX24" s="157"/>
      <c r="IKY24" s="157"/>
      <c r="IKZ24" s="157"/>
      <c r="ILA24" s="157"/>
      <c r="ILB24" s="157"/>
      <c r="ILC24" s="157"/>
      <c r="ILD24" s="157"/>
      <c r="ILE24" s="157"/>
      <c r="ILF24" s="157"/>
      <c r="ILG24" s="157"/>
      <c r="ILH24" s="157"/>
      <c r="ILI24" s="157"/>
      <c r="ILJ24" s="157"/>
      <c r="ILK24" s="157"/>
      <c r="ILL24" s="157"/>
      <c r="ILM24" s="157"/>
      <c r="ILN24" s="157"/>
      <c r="ILO24" s="157"/>
      <c r="ILP24" s="157"/>
      <c r="ILQ24" s="157"/>
      <c r="ILR24" s="157"/>
      <c r="ILS24" s="157"/>
      <c r="ILT24" s="157"/>
      <c r="ILU24" s="157"/>
      <c r="ILV24" s="157"/>
      <c r="ILW24" s="157"/>
      <c r="ILX24" s="157"/>
      <c r="ILY24" s="157"/>
      <c r="ILZ24" s="157"/>
      <c r="IMA24" s="157"/>
      <c r="IMB24" s="157"/>
      <c r="IMC24" s="157"/>
      <c r="IMD24" s="157"/>
      <c r="IME24" s="157"/>
      <c r="IMF24" s="157"/>
      <c r="IMG24" s="157"/>
      <c r="IMH24" s="157"/>
      <c r="IMI24" s="157"/>
      <c r="IMJ24" s="157"/>
      <c r="IMK24" s="157"/>
      <c r="IML24" s="157"/>
      <c r="IMM24" s="157"/>
      <c r="IMN24" s="157"/>
      <c r="IMO24" s="157"/>
      <c r="IMP24" s="157"/>
      <c r="IMQ24" s="157"/>
      <c r="IMR24" s="157"/>
      <c r="IMS24" s="157"/>
      <c r="IMT24" s="157"/>
      <c r="IMU24" s="157"/>
      <c r="IMV24" s="157"/>
      <c r="IMW24" s="157"/>
      <c r="IMX24" s="157"/>
      <c r="IMY24" s="157"/>
      <c r="IMZ24" s="157"/>
      <c r="INA24" s="157"/>
      <c r="INB24" s="157"/>
      <c r="INC24" s="157"/>
      <c r="IND24" s="157"/>
      <c r="INE24" s="157"/>
      <c r="INF24" s="157"/>
      <c r="ING24" s="157"/>
      <c r="INH24" s="157"/>
      <c r="INI24" s="157"/>
      <c r="INJ24" s="157"/>
      <c r="INK24" s="157"/>
      <c r="INL24" s="157"/>
      <c r="INM24" s="157"/>
      <c r="INN24" s="157"/>
      <c r="INO24" s="157"/>
      <c r="INP24" s="157"/>
      <c r="INQ24" s="157"/>
      <c r="INR24" s="157"/>
      <c r="INS24" s="157"/>
      <c r="INT24" s="157"/>
      <c r="INU24" s="157"/>
      <c r="INV24" s="157"/>
      <c r="INW24" s="157"/>
      <c r="INX24" s="157"/>
      <c r="INY24" s="157"/>
      <c r="INZ24" s="157"/>
      <c r="IOA24" s="157"/>
      <c r="IOB24" s="157"/>
      <c r="IOC24" s="157"/>
      <c r="IOD24" s="157"/>
      <c r="IOE24" s="157"/>
      <c r="IOF24" s="157"/>
      <c r="IOG24" s="157"/>
      <c r="IOH24" s="157"/>
      <c r="IOI24" s="157"/>
      <c r="IOJ24" s="157"/>
      <c r="IOK24" s="157"/>
      <c r="IOL24" s="157"/>
      <c r="IOM24" s="157"/>
      <c r="ION24" s="157"/>
      <c r="IOO24" s="157"/>
      <c r="IOP24" s="157"/>
      <c r="IOQ24" s="157"/>
      <c r="IOR24" s="157"/>
      <c r="IOS24" s="157"/>
      <c r="IOT24" s="157"/>
      <c r="IOU24" s="157"/>
      <c r="IOV24" s="157"/>
      <c r="IOW24" s="157"/>
      <c r="IOX24" s="157"/>
      <c r="IOY24" s="157"/>
      <c r="IOZ24" s="157"/>
      <c r="IPA24" s="157"/>
      <c r="IPB24" s="157"/>
      <c r="IPC24" s="157"/>
      <c r="IPD24" s="157"/>
      <c r="IPE24" s="157"/>
      <c r="IPF24" s="157"/>
      <c r="IPG24" s="157"/>
      <c r="IPH24" s="157"/>
      <c r="IPI24" s="157"/>
      <c r="IPJ24" s="157"/>
      <c r="IPK24" s="157"/>
      <c r="IPL24" s="157"/>
      <c r="IPM24" s="157"/>
      <c r="IPN24" s="157"/>
      <c r="IPO24" s="157"/>
      <c r="IPP24" s="157"/>
      <c r="IPQ24" s="157"/>
      <c r="IPR24" s="157"/>
      <c r="IPS24" s="157"/>
      <c r="IPT24" s="157"/>
      <c r="IPU24" s="157"/>
      <c r="IPV24" s="157"/>
      <c r="IPW24" s="157"/>
      <c r="IPX24" s="157"/>
      <c r="IPY24" s="157"/>
      <c r="IPZ24" s="157"/>
      <c r="IQA24" s="157"/>
      <c r="IQB24" s="157"/>
      <c r="IQC24" s="157"/>
      <c r="IQD24" s="157"/>
      <c r="IQE24" s="157"/>
      <c r="IQF24" s="157"/>
      <c r="IQG24" s="157"/>
      <c r="IQH24" s="157"/>
      <c r="IQI24" s="157"/>
      <c r="IQJ24" s="157"/>
      <c r="IQK24" s="157"/>
      <c r="IQL24" s="157"/>
      <c r="IQM24" s="157"/>
      <c r="IQN24" s="157"/>
      <c r="IQO24" s="157"/>
      <c r="IQP24" s="157"/>
      <c r="IQQ24" s="157"/>
      <c r="IQR24" s="157"/>
      <c r="IQS24" s="157"/>
      <c r="IQT24" s="157"/>
      <c r="IQU24" s="157"/>
      <c r="IQV24" s="157"/>
      <c r="IQW24" s="157"/>
      <c r="IQX24" s="157"/>
      <c r="IQY24" s="157"/>
      <c r="IQZ24" s="157"/>
      <c r="IRA24" s="157"/>
      <c r="IRB24" s="157"/>
      <c r="IRC24" s="157"/>
      <c r="IRD24" s="157"/>
      <c r="IRE24" s="157"/>
      <c r="IRF24" s="157"/>
      <c r="IRG24" s="157"/>
      <c r="IRH24" s="157"/>
      <c r="IRI24" s="157"/>
      <c r="IRJ24" s="157"/>
      <c r="IRK24" s="157"/>
      <c r="IRL24" s="157"/>
      <c r="IRM24" s="157"/>
      <c r="IRN24" s="157"/>
      <c r="IRO24" s="157"/>
      <c r="IRP24" s="157"/>
      <c r="IRQ24" s="157"/>
      <c r="IRR24" s="157"/>
      <c r="IRS24" s="157"/>
      <c r="IRT24" s="157"/>
      <c r="IRU24" s="157"/>
      <c r="IRV24" s="157"/>
      <c r="IRW24" s="157"/>
      <c r="IRX24" s="157"/>
      <c r="IRY24" s="157"/>
      <c r="IRZ24" s="157"/>
      <c r="ISA24" s="157"/>
      <c r="ISB24" s="157"/>
      <c r="ISC24" s="157"/>
      <c r="ISD24" s="157"/>
      <c r="ISE24" s="157"/>
      <c r="ISF24" s="157"/>
      <c r="ISG24" s="157"/>
      <c r="ISH24" s="157"/>
      <c r="ISI24" s="157"/>
      <c r="ISJ24" s="157"/>
      <c r="ISK24" s="157"/>
      <c r="ISL24" s="157"/>
      <c r="ISM24" s="157"/>
      <c r="ISN24" s="157"/>
      <c r="ISO24" s="157"/>
      <c r="ISP24" s="157"/>
      <c r="ISQ24" s="157"/>
      <c r="ISR24" s="157"/>
      <c r="ISS24" s="157"/>
      <c r="IST24" s="157"/>
      <c r="ISU24" s="157"/>
      <c r="ISV24" s="157"/>
      <c r="ISW24" s="157"/>
      <c r="ISX24" s="157"/>
      <c r="ISY24" s="157"/>
      <c r="ISZ24" s="157"/>
      <c r="ITA24" s="157"/>
      <c r="ITB24" s="157"/>
      <c r="ITC24" s="157"/>
      <c r="ITD24" s="157"/>
      <c r="ITE24" s="157"/>
      <c r="ITF24" s="157"/>
      <c r="ITG24" s="157"/>
      <c r="ITH24" s="157"/>
      <c r="ITI24" s="157"/>
      <c r="ITJ24" s="157"/>
      <c r="ITK24" s="157"/>
      <c r="ITL24" s="157"/>
      <c r="ITM24" s="157"/>
      <c r="ITN24" s="157"/>
      <c r="ITO24" s="157"/>
      <c r="ITP24" s="157"/>
      <c r="ITQ24" s="157"/>
      <c r="ITR24" s="157"/>
      <c r="ITS24" s="157"/>
      <c r="ITT24" s="157"/>
      <c r="ITU24" s="157"/>
      <c r="ITV24" s="157"/>
      <c r="ITW24" s="157"/>
      <c r="ITX24" s="157"/>
      <c r="ITY24" s="157"/>
      <c r="ITZ24" s="157"/>
      <c r="IUA24" s="157"/>
      <c r="IUB24" s="157"/>
      <c r="IUC24" s="157"/>
      <c r="IUD24" s="157"/>
      <c r="IUE24" s="157"/>
      <c r="IUF24" s="157"/>
      <c r="IUG24" s="157"/>
      <c r="IUH24" s="157"/>
      <c r="IUI24" s="157"/>
      <c r="IUJ24" s="157"/>
      <c r="IUK24" s="157"/>
      <c r="IUL24" s="157"/>
      <c r="IUM24" s="157"/>
      <c r="IUN24" s="157"/>
      <c r="IUO24" s="157"/>
      <c r="IUP24" s="157"/>
      <c r="IUQ24" s="157"/>
      <c r="IUR24" s="157"/>
      <c r="IUS24" s="157"/>
      <c r="IUT24" s="157"/>
      <c r="IUU24" s="157"/>
      <c r="IUV24" s="157"/>
      <c r="IUW24" s="157"/>
      <c r="IUX24" s="157"/>
      <c r="IUY24" s="157"/>
      <c r="IUZ24" s="157"/>
      <c r="IVA24" s="157"/>
      <c r="IVB24" s="157"/>
      <c r="IVC24" s="157"/>
      <c r="IVD24" s="157"/>
      <c r="IVE24" s="157"/>
      <c r="IVF24" s="157"/>
      <c r="IVG24" s="157"/>
      <c r="IVH24" s="157"/>
      <c r="IVI24" s="157"/>
      <c r="IVJ24" s="157"/>
      <c r="IVK24" s="157"/>
      <c r="IVL24" s="157"/>
      <c r="IVM24" s="157"/>
      <c r="IVN24" s="157"/>
      <c r="IVO24" s="157"/>
      <c r="IVP24" s="157"/>
      <c r="IVQ24" s="157"/>
      <c r="IVR24" s="157"/>
      <c r="IVS24" s="157"/>
      <c r="IVT24" s="157"/>
      <c r="IVU24" s="157"/>
      <c r="IVV24" s="157"/>
      <c r="IVW24" s="157"/>
      <c r="IVX24" s="157"/>
      <c r="IVY24" s="157"/>
      <c r="IVZ24" s="157"/>
      <c r="IWA24" s="157"/>
      <c r="IWB24" s="157"/>
      <c r="IWC24" s="157"/>
      <c r="IWD24" s="157"/>
      <c r="IWE24" s="157"/>
      <c r="IWF24" s="157"/>
      <c r="IWG24" s="157"/>
      <c r="IWH24" s="157"/>
      <c r="IWI24" s="157"/>
      <c r="IWJ24" s="157"/>
      <c r="IWK24" s="157"/>
      <c r="IWL24" s="157"/>
      <c r="IWM24" s="157"/>
      <c r="IWN24" s="157"/>
      <c r="IWO24" s="157"/>
      <c r="IWP24" s="157"/>
      <c r="IWQ24" s="157"/>
      <c r="IWR24" s="157"/>
      <c r="IWS24" s="157"/>
      <c r="IWT24" s="157"/>
      <c r="IWU24" s="157"/>
      <c r="IWV24" s="157"/>
      <c r="IWW24" s="157"/>
      <c r="IWX24" s="157"/>
      <c r="IWY24" s="157"/>
      <c r="IWZ24" s="157"/>
      <c r="IXA24" s="157"/>
      <c r="IXB24" s="157"/>
      <c r="IXC24" s="157"/>
      <c r="IXD24" s="157"/>
      <c r="IXE24" s="157"/>
      <c r="IXF24" s="157"/>
      <c r="IXG24" s="157"/>
      <c r="IXH24" s="157"/>
      <c r="IXI24" s="157"/>
      <c r="IXJ24" s="157"/>
      <c r="IXK24" s="157"/>
      <c r="IXL24" s="157"/>
      <c r="IXM24" s="157"/>
      <c r="IXN24" s="157"/>
      <c r="IXO24" s="157"/>
      <c r="IXP24" s="157"/>
      <c r="IXQ24" s="157"/>
      <c r="IXR24" s="157"/>
      <c r="IXS24" s="157"/>
      <c r="IXT24" s="157"/>
      <c r="IXU24" s="157"/>
      <c r="IXV24" s="157"/>
      <c r="IXW24" s="157"/>
      <c r="IXX24" s="157"/>
      <c r="IXY24" s="157"/>
      <c r="IXZ24" s="157"/>
      <c r="IYA24" s="157"/>
      <c r="IYB24" s="157"/>
      <c r="IYC24" s="157"/>
      <c r="IYD24" s="157"/>
      <c r="IYE24" s="157"/>
      <c r="IYF24" s="157"/>
      <c r="IYG24" s="157"/>
      <c r="IYH24" s="157"/>
      <c r="IYI24" s="157"/>
      <c r="IYJ24" s="157"/>
      <c r="IYK24" s="157"/>
      <c r="IYL24" s="157"/>
      <c r="IYM24" s="157"/>
      <c r="IYN24" s="157"/>
      <c r="IYO24" s="157"/>
      <c r="IYP24" s="157"/>
      <c r="IYQ24" s="157"/>
      <c r="IYR24" s="157"/>
      <c r="IYS24" s="157"/>
      <c r="IYT24" s="157"/>
      <c r="IYU24" s="157"/>
      <c r="IYV24" s="157"/>
      <c r="IYW24" s="157"/>
      <c r="IYX24" s="157"/>
      <c r="IYY24" s="157"/>
      <c r="IYZ24" s="157"/>
      <c r="IZA24" s="157"/>
      <c r="IZB24" s="157"/>
      <c r="IZC24" s="157"/>
      <c r="IZD24" s="157"/>
      <c r="IZE24" s="157"/>
      <c r="IZF24" s="157"/>
      <c r="IZG24" s="157"/>
      <c r="IZH24" s="157"/>
      <c r="IZI24" s="157"/>
      <c r="IZJ24" s="157"/>
      <c r="IZK24" s="157"/>
      <c r="IZL24" s="157"/>
      <c r="IZM24" s="157"/>
      <c r="IZN24" s="157"/>
      <c r="IZO24" s="157"/>
      <c r="IZP24" s="157"/>
      <c r="IZQ24" s="157"/>
      <c r="IZR24" s="157"/>
      <c r="IZS24" s="157"/>
      <c r="IZT24" s="157"/>
      <c r="IZU24" s="157"/>
      <c r="IZV24" s="157"/>
      <c r="IZW24" s="157"/>
      <c r="IZX24" s="157"/>
      <c r="IZY24" s="157"/>
      <c r="IZZ24" s="157"/>
      <c r="JAA24" s="157"/>
      <c r="JAB24" s="157"/>
      <c r="JAC24" s="157"/>
      <c r="JAD24" s="157"/>
      <c r="JAE24" s="157"/>
      <c r="JAF24" s="157"/>
      <c r="JAG24" s="157"/>
      <c r="JAH24" s="157"/>
      <c r="JAI24" s="157"/>
      <c r="JAJ24" s="157"/>
      <c r="JAK24" s="157"/>
      <c r="JAL24" s="157"/>
      <c r="JAM24" s="157"/>
      <c r="JAN24" s="157"/>
      <c r="JAO24" s="157"/>
      <c r="JAP24" s="157"/>
      <c r="JAQ24" s="157"/>
      <c r="JAR24" s="157"/>
      <c r="JAS24" s="157"/>
      <c r="JAT24" s="157"/>
      <c r="JAU24" s="157"/>
      <c r="JAV24" s="157"/>
      <c r="JAW24" s="157"/>
      <c r="JAX24" s="157"/>
      <c r="JAY24" s="157"/>
      <c r="JAZ24" s="157"/>
      <c r="JBA24" s="157"/>
      <c r="JBB24" s="157"/>
      <c r="JBC24" s="157"/>
      <c r="JBD24" s="157"/>
      <c r="JBE24" s="157"/>
      <c r="JBF24" s="157"/>
      <c r="JBG24" s="157"/>
      <c r="JBH24" s="157"/>
      <c r="JBI24" s="157"/>
      <c r="JBJ24" s="157"/>
      <c r="JBK24" s="157"/>
      <c r="JBL24" s="157"/>
      <c r="JBM24" s="157"/>
      <c r="JBN24" s="157"/>
      <c r="JBO24" s="157"/>
      <c r="JBP24" s="157"/>
      <c r="JBQ24" s="157"/>
      <c r="JBR24" s="157"/>
      <c r="JBS24" s="157"/>
      <c r="JBT24" s="157"/>
      <c r="JBU24" s="157"/>
      <c r="JBV24" s="157"/>
      <c r="JBW24" s="157"/>
      <c r="JBX24" s="157"/>
      <c r="JBY24" s="157"/>
      <c r="JBZ24" s="157"/>
      <c r="JCA24" s="157"/>
      <c r="JCB24" s="157"/>
      <c r="JCC24" s="157"/>
      <c r="JCD24" s="157"/>
      <c r="JCE24" s="157"/>
      <c r="JCF24" s="157"/>
      <c r="JCG24" s="157"/>
      <c r="JCH24" s="157"/>
      <c r="JCI24" s="157"/>
      <c r="JCJ24" s="157"/>
      <c r="JCK24" s="157"/>
      <c r="JCL24" s="157"/>
      <c r="JCM24" s="157"/>
      <c r="JCN24" s="157"/>
      <c r="JCO24" s="157"/>
      <c r="JCP24" s="157"/>
      <c r="JCQ24" s="157"/>
      <c r="JCR24" s="157"/>
      <c r="JCS24" s="157"/>
      <c r="JCT24" s="157"/>
      <c r="JCU24" s="157"/>
      <c r="JCV24" s="157"/>
      <c r="JCW24" s="157"/>
      <c r="JCX24" s="157"/>
      <c r="JCY24" s="157"/>
      <c r="JCZ24" s="157"/>
      <c r="JDA24" s="157"/>
      <c r="JDB24" s="157"/>
      <c r="JDC24" s="157"/>
      <c r="JDD24" s="157"/>
      <c r="JDE24" s="157"/>
      <c r="JDF24" s="157"/>
      <c r="JDG24" s="157"/>
      <c r="JDH24" s="157"/>
      <c r="JDI24" s="157"/>
      <c r="JDJ24" s="157"/>
      <c r="JDK24" s="157"/>
      <c r="JDL24" s="157"/>
      <c r="JDM24" s="157"/>
      <c r="JDN24" s="157"/>
      <c r="JDO24" s="157"/>
      <c r="JDP24" s="157"/>
      <c r="JDQ24" s="157"/>
      <c r="JDR24" s="157"/>
      <c r="JDS24" s="157"/>
      <c r="JDT24" s="157"/>
      <c r="JDU24" s="157"/>
      <c r="JDV24" s="157"/>
      <c r="JDW24" s="157"/>
      <c r="JDX24" s="157"/>
      <c r="JDY24" s="157"/>
      <c r="JDZ24" s="157"/>
      <c r="JEA24" s="157"/>
      <c r="JEB24" s="157"/>
      <c r="JEC24" s="157"/>
      <c r="JED24" s="157"/>
      <c r="JEE24" s="157"/>
      <c r="JEF24" s="157"/>
      <c r="JEG24" s="157"/>
      <c r="JEH24" s="157"/>
      <c r="JEI24" s="157"/>
      <c r="JEJ24" s="157"/>
      <c r="JEK24" s="157"/>
      <c r="JEL24" s="157"/>
      <c r="JEM24" s="157"/>
      <c r="JEN24" s="157"/>
      <c r="JEO24" s="157"/>
      <c r="JEP24" s="157"/>
      <c r="JEQ24" s="157"/>
      <c r="JER24" s="157"/>
      <c r="JES24" s="157"/>
      <c r="JET24" s="157"/>
      <c r="JEU24" s="157"/>
      <c r="JEV24" s="157"/>
      <c r="JEW24" s="157"/>
      <c r="JEX24" s="157"/>
      <c r="JEY24" s="157"/>
      <c r="JEZ24" s="157"/>
      <c r="JFA24" s="157"/>
      <c r="JFB24" s="157"/>
      <c r="JFC24" s="157"/>
      <c r="JFD24" s="157"/>
      <c r="JFE24" s="157"/>
      <c r="JFF24" s="157"/>
      <c r="JFG24" s="157"/>
      <c r="JFH24" s="157"/>
      <c r="JFI24" s="157"/>
      <c r="JFJ24" s="157"/>
      <c r="JFK24" s="157"/>
      <c r="JFL24" s="157"/>
      <c r="JFM24" s="157"/>
      <c r="JFN24" s="157"/>
      <c r="JFO24" s="157"/>
      <c r="JFP24" s="157"/>
      <c r="JFQ24" s="157"/>
      <c r="JFR24" s="157"/>
      <c r="JFS24" s="157"/>
      <c r="JFT24" s="157"/>
      <c r="JFU24" s="157"/>
      <c r="JFV24" s="157"/>
      <c r="JFW24" s="157"/>
      <c r="JFX24" s="157"/>
      <c r="JFY24" s="157"/>
      <c r="JFZ24" s="157"/>
      <c r="JGA24" s="157"/>
      <c r="JGB24" s="157"/>
      <c r="JGC24" s="157"/>
      <c r="JGD24" s="157"/>
      <c r="JGE24" s="157"/>
      <c r="JGF24" s="157"/>
      <c r="JGG24" s="157"/>
      <c r="JGH24" s="157"/>
      <c r="JGI24" s="157"/>
      <c r="JGJ24" s="157"/>
      <c r="JGK24" s="157"/>
      <c r="JGL24" s="157"/>
      <c r="JGM24" s="157"/>
      <c r="JGN24" s="157"/>
      <c r="JGO24" s="157"/>
      <c r="JGP24" s="157"/>
      <c r="JGQ24" s="157"/>
      <c r="JGR24" s="157"/>
      <c r="JGS24" s="157"/>
      <c r="JGT24" s="157"/>
      <c r="JGU24" s="157"/>
      <c r="JGV24" s="157"/>
      <c r="JGW24" s="157"/>
      <c r="JGX24" s="157"/>
      <c r="JGY24" s="157"/>
      <c r="JGZ24" s="157"/>
      <c r="JHA24" s="157"/>
      <c r="JHB24" s="157"/>
      <c r="JHC24" s="157"/>
      <c r="JHD24" s="157"/>
      <c r="JHE24" s="157"/>
      <c r="JHF24" s="157"/>
      <c r="JHG24" s="157"/>
      <c r="JHH24" s="157"/>
      <c r="JHI24" s="157"/>
      <c r="JHJ24" s="157"/>
      <c r="JHK24" s="157"/>
      <c r="JHL24" s="157"/>
      <c r="JHM24" s="157"/>
      <c r="JHN24" s="157"/>
      <c r="JHO24" s="157"/>
      <c r="JHP24" s="157"/>
      <c r="JHQ24" s="157"/>
      <c r="JHR24" s="157"/>
      <c r="JHS24" s="157"/>
      <c r="JHT24" s="157"/>
      <c r="JHU24" s="157"/>
      <c r="JHV24" s="157"/>
      <c r="JHW24" s="157"/>
      <c r="JHX24" s="157"/>
      <c r="JHY24" s="157"/>
      <c r="JHZ24" s="157"/>
      <c r="JIA24" s="157"/>
      <c r="JIB24" s="157"/>
      <c r="JIC24" s="157"/>
      <c r="JID24" s="157"/>
      <c r="JIE24" s="157"/>
      <c r="JIF24" s="157"/>
      <c r="JIG24" s="157"/>
      <c r="JIH24" s="157"/>
      <c r="JII24" s="157"/>
      <c r="JIJ24" s="157"/>
      <c r="JIK24" s="157"/>
      <c r="JIL24" s="157"/>
      <c r="JIM24" s="157"/>
      <c r="JIN24" s="157"/>
      <c r="JIO24" s="157"/>
      <c r="JIP24" s="157"/>
      <c r="JIQ24" s="157"/>
      <c r="JIR24" s="157"/>
      <c r="JIS24" s="157"/>
      <c r="JIT24" s="157"/>
      <c r="JIU24" s="157"/>
      <c r="JIV24" s="157"/>
      <c r="JIW24" s="157"/>
      <c r="JIX24" s="157"/>
      <c r="JIY24" s="157"/>
      <c r="JIZ24" s="157"/>
      <c r="JJA24" s="157"/>
      <c r="JJB24" s="157"/>
      <c r="JJC24" s="157"/>
      <c r="JJD24" s="157"/>
      <c r="JJE24" s="157"/>
      <c r="JJF24" s="157"/>
      <c r="JJG24" s="157"/>
      <c r="JJH24" s="157"/>
      <c r="JJI24" s="157"/>
      <c r="JJJ24" s="157"/>
      <c r="JJK24" s="157"/>
      <c r="JJL24" s="157"/>
      <c r="JJM24" s="157"/>
      <c r="JJN24" s="157"/>
      <c r="JJO24" s="157"/>
      <c r="JJP24" s="157"/>
      <c r="JJQ24" s="157"/>
      <c r="JJR24" s="157"/>
      <c r="JJS24" s="157"/>
      <c r="JJT24" s="157"/>
      <c r="JJU24" s="157"/>
      <c r="JJV24" s="157"/>
      <c r="JJW24" s="157"/>
      <c r="JJX24" s="157"/>
      <c r="JJY24" s="157"/>
      <c r="JJZ24" s="157"/>
      <c r="JKA24" s="157"/>
      <c r="JKB24" s="157"/>
      <c r="JKC24" s="157"/>
      <c r="JKD24" s="157"/>
      <c r="JKE24" s="157"/>
      <c r="JKF24" s="157"/>
      <c r="JKG24" s="157"/>
      <c r="JKH24" s="157"/>
      <c r="JKI24" s="157"/>
      <c r="JKJ24" s="157"/>
      <c r="JKK24" s="157"/>
      <c r="JKL24" s="157"/>
      <c r="JKM24" s="157"/>
      <c r="JKN24" s="157"/>
      <c r="JKO24" s="157"/>
      <c r="JKP24" s="157"/>
      <c r="JKQ24" s="157"/>
      <c r="JKR24" s="157"/>
      <c r="JKS24" s="157"/>
      <c r="JKT24" s="157"/>
      <c r="JKU24" s="157"/>
      <c r="JKV24" s="157"/>
      <c r="JKW24" s="157"/>
      <c r="JKX24" s="157"/>
      <c r="JKY24" s="157"/>
      <c r="JKZ24" s="157"/>
      <c r="JLA24" s="157"/>
      <c r="JLB24" s="157"/>
      <c r="JLC24" s="157"/>
      <c r="JLD24" s="157"/>
      <c r="JLE24" s="157"/>
      <c r="JLF24" s="157"/>
      <c r="JLG24" s="157"/>
      <c r="JLH24" s="157"/>
      <c r="JLI24" s="157"/>
      <c r="JLJ24" s="157"/>
      <c r="JLK24" s="157"/>
      <c r="JLL24" s="157"/>
      <c r="JLM24" s="157"/>
      <c r="JLN24" s="157"/>
      <c r="JLO24" s="157"/>
      <c r="JLP24" s="157"/>
      <c r="JLQ24" s="157"/>
      <c r="JLR24" s="157"/>
      <c r="JLS24" s="157"/>
      <c r="JLT24" s="157"/>
      <c r="JLU24" s="157"/>
      <c r="JLV24" s="157"/>
      <c r="JLW24" s="157"/>
      <c r="JLX24" s="157"/>
      <c r="JLY24" s="157"/>
      <c r="JLZ24" s="157"/>
      <c r="JMA24" s="157"/>
      <c r="JMB24" s="157"/>
      <c r="JMC24" s="157"/>
      <c r="JMD24" s="157"/>
      <c r="JME24" s="157"/>
      <c r="JMF24" s="157"/>
      <c r="JMG24" s="157"/>
      <c r="JMH24" s="157"/>
      <c r="JMI24" s="157"/>
      <c r="JMJ24" s="157"/>
      <c r="JMK24" s="157"/>
      <c r="JML24" s="157"/>
      <c r="JMM24" s="157"/>
      <c r="JMN24" s="157"/>
      <c r="JMO24" s="157"/>
      <c r="JMP24" s="157"/>
      <c r="JMQ24" s="157"/>
      <c r="JMR24" s="157"/>
      <c r="JMS24" s="157"/>
      <c r="JMT24" s="157"/>
      <c r="JMU24" s="157"/>
      <c r="JMV24" s="157"/>
      <c r="JMW24" s="157"/>
      <c r="JMX24" s="157"/>
      <c r="JMY24" s="157"/>
      <c r="JMZ24" s="157"/>
      <c r="JNA24" s="157"/>
      <c r="JNB24" s="157"/>
      <c r="JNC24" s="157"/>
      <c r="JND24" s="157"/>
      <c r="JNE24" s="157"/>
      <c r="JNF24" s="157"/>
      <c r="JNG24" s="157"/>
      <c r="JNH24" s="157"/>
      <c r="JNI24" s="157"/>
      <c r="JNJ24" s="157"/>
      <c r="JNK24" s="157"/>
      <c r="JNL24" s="157"/>
      <c r="JNM24" s="157"/>
      <c r="JNN24" s="157"/>
      <c r="JNO24" s="157"/>
      <c r="JNP24" s="157"/>
      <c r="JNQ24" s="157"/>
      <c r="JNR24" s="157"/>
      <c r="JNS24" s="157"/>
      <c r="JNT24" s="157"/>
      <c r="JNU24" s="157"/>
      <c r="JNV24" s="157"/>
      <c r="JNW24" s="157"/>
      <c r="JNX24" s="157"/>
      <c r="JNY24" s="157"/>
      <c r="JNZ24" s="157"/>
      <c r="JOA24" s="157"/>
      <c r="JOB24" s="157"/>
      <c r="JOC24" s="157"/>
      <c r="JOD24" s="157"/>
      <c r="JOE24" s="157"/>
      <c r="JOF24" s="157"/>
      <c r="JOG24" s="157"/>
      <c r="JOH24" s="157"/>
      <c r="JOI24" s="157"/>
      <c r="JOJ24" s="157"/>
      <c r="JOK24" s="157"/>
      <c r="JOL24" s="157"/>
      <c r="JOM24" s="157"/>
      <c r="JON24" s="157"/>
      <c r="JOO24" s="157"/>
      <c r="JOP24" s="157"/>
      <c r="JOQ24" s="157"/>
      <c r="JOR24" s="157"/>
      <c r="JOS24" s="157"/>
      <c r="JOT24" s="157"/>
      <c r="JOU24" s="157"/>
      <c r="JOV24" s="157"/>
      <c r="JOW24" s="157"/>
      <c r="JOX24" s="157"/>
      <c r="JOY24" s="157"/>
      <c r="JOZ24" s="157"/>
      <c r="JPA24" s="157"/>
      <c r="JPB24" s="157"/>
      <c r="JPC24" s="157"/>
      <c r="JPD24" s="157"/>
      <c r="JPE24" s="157"/>
      <c r="JPF24" s="157"/>
      <c r="JPG24" s="157"/>
      <c r="JPH24" s="157"/>
      <c r="JPI24" s="157"/>
      <c r="JPJ24" s="157"/>
      <c r="JPK24" s="157"/>
      <c r="JPL24" s="157"/>
      <c r="JPM24" s="157"/>
      <c r="JPN24" s="157"/>
      <c r="JPO24" s="157"/>
      <c r="JPP24" s="157"/>
      <c r="JPQ24" s="157"/>
      <c r="JPR24" s="157"/>
      <c r="JPS24" s="157"/>
      <c r="JPT24" s="157"/>
      <c r="JPU24" s="157"/>
      <c r="JPV24" s="157"/>
      <c r="JPW24" s="157"/>
      <c r="JPX24" s="157"/>
      <c r="JPY24" s="157"/>
      <c r="JPZ24" s="157"/>
      <c r="JQA24" s="157"/>
      <c r="JQB24" s="157"/>
      <c r="JQC24" s="157"/>
      <c r="JQD24" s="157"/>
      <c r="JQE24" s="157"/>
      <c r="JQF24" s="157"/>
      <c r="JQG24" s="157"/>
      <c r="JQH24" s="157"/>
      <c r="JQI24" s="157"/>
      <c r="JQJ24" s="157"/>
      <c r="JQK24" s="157"/>
      <c r="JQL24" s="157"/>
      <c r="JQM24" s="157"/>
      <c r="JQN24" s="157"/>
      <c r="JQO24" s="157"/>
      <c r="JQP24" s="157"/>
      <c r="JQQ24" s="157"/>
      <c r="JQR24" s="157"/>
      <c r="JQS24" s="157"/>
      <c r="JQT24" s="157"/>
      <c r="JQU24" s="157"/>
      <c r="JQV24" s="157"/>
      <c r="JQW24" s="157"/>
      <c r="JQX24" s="157"/>
      <c r="JQY24" s="157"/>
      <c r="JQZ24" s="157"/>
      <c r="JRA24" s="157"/>
      <c r="JRB24" s="157"/>
      <c r="JRC24" s="157"/>
      <c r="JRD24" s="157"/>
      <c r="JRE24" s="157"/>
      <c r="JRF24" s="157"/>
      <c r="JRG24" s="157"/>
      <c r="JRH24" s="157"/>
      <c r="JRI24" s="157"/>
      <c r="JRJ24" s="157"/>
      <c r="JRK24" s="157"/>
      <c r="JRL24" s="157"/>
      <c r="JRM24" s="157"/>
      <c r="JRN24" s="157"/>
      <c r="JRO24" s="157"/>
      <c r="JRP24" s="157"/>
      <c r="JRQ24" s="157"/>
      <c r="JRR24" s="157"/>
      <c r="JRS24" s="157"/>
      <c r="JRT24" s="157"/>
      <c r="JRU24" s="157"/>
      <c r="JRV24" s="157"/>
      <c r="JRW24" s="157"/>
      <c r="JRX24" s="157"/>
      <c r="JRY24" s="157"/>
      <c r="JRZ24" s="157"/>
      <c r="JSA24" s="157"/>
      <c r="JSB24" s="157"/>
      <c r="JSC24" s="157"/>
      <c r="JSD24" s="157"/>
      <c r="JSE24" s="157"/>
      <c r="JSF24" s="157"/>
      <c r="JSG24" s="157"/>
      <c r="JSH24" s="157"/>
      <c r="JSI24" s="157"/>
      <c r="JSJ24" s="157"/>
      <c r="JSK24" s="157"/>
      <c r="JSL24" s="157"/>
      <c r="JSM24" s="157"/>
      <c r="JSN24" s="157"/>
      <c r="JSO24" s="157"/>
      <c r="JSP24" s="157"/>
      <c r="JSQ24" s="157"/>
      <c r="JSR24" s="157"/>
      <c r="JSS24" s="157"/>
      <c r="JST24" s="157"/>
      <c r="JSU24" s="157"/>
      <c r="JSV24" s="157"/>
      <c r="JSW24" s="157"/>
      <c r="JSX24" s="157"/>
      <c r="JSY24" s="157"/>
      <c r="JSZ24" s="157"/>
      <c r="JTA24" s="157"/>
      <c r="JTB24" s="157"/>
      <c r="JTC24" s="157"/>
      <c r="JTD24" s="157"/>
      <c r="JTE24" s="157"/>
      <c r="JTF24" s="157"/>
      <c r="JTG24" s="157"/>
      <c r="JTH24" s="157"/>
      <c r="JTI24" s="157"/>
      <c r="JTJ24" s="157"/>
      <c r="JTK24" s="157"/>
      <c r="JTL24" s="157"/>
      <c r="JTM24" s="157"/>
      <c r="JTN24" s="157"/>
      <c r="JTO24" s="157"/>
      <c r="JTP24" s="157"/>
      <c r="JTQ24" s="157"/>
      <c r="JTR24" s="157"/>
      <c r="JTS24" s="157"/>
      <c r="JTT24" s="157"/>
      <c r="JTU24" s="157"/>
      <c r="JTV24" s="157"/>
      <c r="JTW24" s="157"/>
      <c r="JTX24" s="157"/>
      <c r="JTY24" s="157"/>
      <c r="JTZ24" s="157"/>
      <c r="JUA24" s="157"/>
      <c r="JUB24" s="157"/>
      <c r="JUC24" s="157"/>
      <c r="JUD24" s="157"/>
      <c r="JUE24" s="157"/>
      <c r="JUF24" s="157"/>
      <c r="JUG24" s="157"/>
      <c r="JUH24" s="157"/>
      <c r="JUI24" s="157"/>
      <c r="JUJ24" s="157"/>
      <c r="JUK24" s="157"/>
      <c r="JUL24" s="157"/>
      <c r="JUM24" s="157"/>
      <c r="JUN24" s="157"/>
      <c r="JUO24" s="157"/>
      <c r="JUP24" s="157"/>
      <c r="JUQ24" s="157"/>
      <c r="JUR24" s="157"/>
      <c r="JUS24" s="157"/>
      <c r="JUT24" s="157"/>
      <c r="JUU24" s="157"/>
      <c r="JUV24" s="157"/>
      <c r="JUW24" s="157"/>
      <c r="JUX24" s="157"/>
      <c r="JUY24" s="157"/>
      <c r="JUZ24" s="157"/>
      <c r="JVA24" s="157"/>
      <c r="JVB24" s="157"/>
      <c r="JVC24" s="157"/>
      <c r="JVD24" s="157"/>
      <c r="JVE24" s="157"/>
      <c r="JVF24" s="157"/>
      <c r="JVG24" s="157"/>
      <c r="JVH24" s="157"/>
      <c r="JVI24" s="157"/>
      <c r="JVJ24" s="157"/>
      <c r="JVK24" s="157"/>
      <c r="JVL24" s="157"/>
      <c r="JVM24" s="157"/>
      <c r="JVN24" s="157"/>
      <c r="JVO24" s="157"/>
      <c r="JVP24" s="157"/>
      <c r="JVQ24" s="157"/>
      <c r="JVR24" s="157"/>
      <c r="JVS24" s="157"/>
      <c r="JVT24" s="157"/>
      <c r="JVU24" s="157"/>
      <c r="JVV24" s="157"/>
      <c r="JVW24" s="157"/>
      <c r="JVX24" s="157"/>
      <c r="JVY24" s="157"/>
      <c r="JVZ24" s="157"/>
      <c r="JWA24" s="157"/>
      <c r="JWB24" s="157"/>
      <c r="JWC24" s="157"/>
      <c r="JWD24" s="157"/>
      <c r="JWE24" s="157"/>
      <c r="JWF24" s="157"/>
      <c r="JWG24" s="157"/>
      <c r="JWH24" s="157"/>
      <c r="JWI24" s="157"/>
      <c r="JWJ24" s="157"/>
      <c r="JWK24" s="157"/>
      <c r="JWL24" s="157"/>
      <c r="JWM24" s="157"/>
      <c r="JWN24" s="157"/>
      <c r="JWO24" s="157"/>
      <c r="JWP24" s="157"/>
      <c r="JWQ24" s="157"/>
      <c r="JWR24" s="157"/>
      <c r="JWS24" s="157"/>
      <c r="JWT24" s="157"/>
      <c r="JWU24" s="157"/>
      <c r="JWV24" s="157"/>
      <c r="JWW24" s="157"/>
      <c r="JWX24" s="157"/>
      <c r="JWY24" s="157"/>
      <c r="JWZ24" s="157"/>
      <c r="JXA24" s="157"/>
      <c r="JXB24" s="157"/>
      <c r="JXC24" s="157"/>
      <c r="JXD24" s="157"/>
      <c r="JXE24" s="157"/>
      <c r="JXF24" s="157"/>
      <c r="JXG24" s="157"/>
      <c r="JXH24" s="157"/>
      <c r="JXI24" s="157"/>
      <c r="JXJ24" s="157"/>
      <c r="JXK24" s="157"/>
      <c r="JXL24" s="157"/>
      <c r="JXM24" s="157"/>
      <c r="JXN24" s="157"/>
      <c r="JXO24" s="157"/>
      <c r="JXP24" s="157"/>
      <c r="JXQ24" s="157"/>
      <c r="JXR24" s="157"/>
      <c r="JXS24" s="157"/>
      <c r="JXT24" s="157"/>
      <c r="JXU24" s="157"/>
      <c r="JXV24" s="157"/>
      <c r="JXW24" s="157"/>
      <c r="JXX24" s="157"/>
      <c r="JXY24" s="157"/>
      <c r="JXZ24" s="157"/>
      <c r="JYA24" s="157"/>
      <c r="JYB24" s="157"/>
      <c r="JYC24" s="157"/>
      <c r="JYD24" s="157"/>
      <c r="JYE24" s="157"/>
      <c r="JYF24" s="157"/>
      <c r="JYG24" s="157"/>
      <c r="JYH24" s="157"/>
      <c r="JYI24" s="157"/>
      <c r="JYJ24" s="157"/>
      <c r="JYK24" s="157"/>
      <c r="JYL24" s="157"/>
      <c r="JYM24" s="157"/>
      <c r="JYN24" s="157"/>
      <c r="JYO24" s="157"/>
      <c r="JYP24" s="157"/>
      <c r="JYQ24" s="157"/>
      <c r="JYR24" s="157"/>
      <c r="JYS24" s="157"/>
      <c r="JYT24" s="157"/>
      <c r="JYU24" s="157"/>
      <c r="JYV24" s="157"/>
      <c r="JYW24" s="157"/>
      <c r="JYX24" s="157"/>
      <c r="JYY24" s="157"/>
      <c r="JYZ24" s="157"/>
      <c r="JZA24" s="157"/>
      <c r="JZB24" s="157"/>
      <c r="JZC24" s="157"/>
      <c r="JZD24" s="157"/>
      <c r="JZE24" s="157"/>
      <c r="JZF24" s="157"/>
      <c r="JZG24" s="157"/>
      <c r="JZH24" s="157"/>
      <c r="JZI24" s="157"/>
      <c r="JZJ24" s="157"/>
      <c r="JZK24" s="157"/>
      <c r="JZL24" s="157"/>
      <c r="JZM24" s="157"/>
      <c r="JZN24" s="157"/>
      <c r="JZO24" s="157"/>
      <c r="JZP24" s="157"/>
      <c r="JZQ24" s="157"/>
      <c r="JZR24" s="157"/>
      <c r="JZS24" s="157"/>
      <c r="JZT24" s="157"/>
      <c r="JZU24" s="157"/>
      <c r="JZV24" s="157"/>
      <c r="JZW24" s="157"/>
      <c r="JZX24" s="157"/>
      <c r="JZY24" s="157"/>
      <c r="JZZ24" s="157"/>
      <c r="KAA24" s="157"/>
      <c r="KAB24" s="157"/>
      <c r="KAC24" s="157"/>
      <c r="KAD24" s="157"/>
      <c r="KAE24" s="157"/>
      <c r="KAF24" s="157"/>
      <c r="KAG24" s="157"/>
      <c r="KAH24" s="157"/>
      <c r="KAI24" s="157"/>
      <c r="KAJ24" s="157"/>
      <c r="KAK24" s="157"/>
      <c r="KAL24" s="157"/>
      <c r="KAM24" s="157"/>
      <c r="KAN24" s="157"/>
      <c r="KAO24" s="157"/>
      <c r="KAP24" s="157"/>
      <c r="KAQ24" s="157"/>
      <c r="KAR24" s="157"/>
      <c r="KAS24" s="157"/>
      <c r="KAT24" s="157"/>
      <c r="KAU24" s="157"/>
      <c r="KAV24" s="157"/>
      <c r="KAW24" s="157"/>
      <c r="KAX24" s="157"/>
      <c r="KAY24" s="157"/>
      <c r="KAZ24" s="157"/>
      <c r="KBA24" s="157"/>
      <c r="KBB24" s="157"/>
      <c r="KBC24" s="157"/>
      <c r="KBD24" s="157"/>
      <c r="KBE24" s="157"/>
      <c r="KBF24" s="157"/>
      <c r="KBG24" s="157"/>
      <c r="KBH24" s="157"/>
      <c r="KBI24" s="157"/>
      <c r="KBJ24" s="157"/>
      <c r="KBK24" s="157"/>
      <c r="KBL24" s="157"/>
      <c r="KBM24" s="157"/>
      <c r="KBN24" s="157"/>
      <c r="KBO24" s="157"/>
      <c r="KBP24" s="157"/>
      <c r="KBQ24" s="157"/>
      <c r="KBR24" s="157"/>
      <c r="KBS24" s="157"/>
      <c r="KBT24" s="157"/>
      <c r="KBU24" s="157"/>
      <c r="KBV24" s="157"/>
      <c r="KBW24" s="157"/>
      <c r="KBX24" s="157"/>
      <c r="KBY24" s="157"/>
      <c r="KBZ24" s="157"/>
      <c r="KCA24" s="157"/>
      <c r="KCB24" s="157"/>
      <c r="KCC24" s="157"/>
      <c r="KCD24" s="157"/>
      <c r="KCE24" s="157"/>
      <c r="KCF24" s="157"/>
      <c r="KCG24" s="157"/>
      <c r="KCH24" s="157"/>
      <c r="KCI24" s="157"/>
      <c r="KCJ24" s="157"/>
      <c r="KCK24" s="157"/>
      <c r="KCL24" s="157"/>
      <c r="KCM24" s="157"/>
      <c r="KCN24" s="157"/>
      <c r="KCO24" s="157"/>
      <c r="KCP24" s="157"/>
      <c r="KCQ24" s="157"/>
      <c r="KCR24" s="157"/>
      <c r="KCS24" s="157"/>
      <c r="KCT24" s="157"/>
      <c r="KCU24" s="157"/>
      <c r="KCV24" s="157"/>
      <c r="KCW24" s="157"/>
      <c r="KCX24" s="157"/>
      <c r="KCY24" s="157"/>
      <c r="KCZ24" s="157"/>
      <c r="KDA24" s="157"/>
      <c r="KDB24" s="157"/>
      <c r="KDC24" s="157"/>
      <c r="KDD24" s="157"/>
      <c r="KDE24" s="157"/>
      <c r="KDF24" s="157"/>
      <c r="KDG24" s="157"/>
      <c r="KDH24" s="157"/>
      <c r="KDI24" s="157"/>
      <c r="KDJ24" s="157"/>
      <c r="KDK24" s="157"/>
      <c r="KDL24" s="157"/>
      <c r="KDM24" s="157"/>
      <c r="KDN24" s="157"/>
      <c r="KDO24" s="157"/>
      <c r="KDP24" s="157"/>
      <c r="KDQ24" s="157"/>
      <c r="KDR24" s="157"/>
      <c r="KDS24" s="157"/>
      <c r="KDT24" s="157"/>
      <c r="KDU24" s="157"/>
      <c r="KDV24" s="157"/>
      <c r="KDW24" s="157"/>
      <c r="KDX24" s="157"/>
      <c r="KDY24" s="157"/>
      <c r="KDZ24" s="157"/>
      <c r="KEA24" s="157"/>
      <c r="KEB24" s="157"/>
      <c r="KEC24" s="157"/>
      <c r="KED24" s="157"/>
      <c r="KEE24" s="157"/>
      <c r="KEF24" s="157"/>
      <c r="KEG24" s="157"/>
      <c r="KEH24" s="157"/>
      <c r="KEI24" s="157"/>
      <c r="KEJ24" s="157"/>
      <c r="KEK24" s="157"/>
      <c r="KEL24" s="157"/>
      <c r="KEM24" s="157"/>
      <c r="KEN24" s="157"/>
      <c r="KEO24" s="157"/>
      <c r="KEP24" s="157"/>
      <c r="KEQ24" s="157"/>
      <c r="KER24" s="157"/>
      <c r="KES24" s="157"/>
      <c r="KET24" s="157"/>
      <c r="KEU24" s="157"/>
      <c r="KEV24" s="157"/>
      <c r="KEW24" s="157"/>
      <c r="KEX24" s="157"/>
      <c r="KEY24" s="157"/>
      <c r="KEZ24" s="157"/>
      <c r="KFA24" s="157"/>
      <c r="KFB24" s="157"/>
      <c r="KFC24" s="157"/>
      <c r="KFD24" s="157"/>
      <c r="KFE24" s="157"/>
      <c r="KFF24" s="157"/>
      <c r="KFG24" s="157"/>
      <c r="KFH24" s="157"/>
      <c r="KFI24" s="157"/>
      <c r="KFJ24" s="157"/>
      <c r="KFK24" s="157"/>
      <c r="KFL24" s="157"/>
      <c r="KFM24" s="157"/>
      <c r="KFN24" s="157"/>
      <c r="KFO24" s="157"/>
      <c r="KFP24" s="157"/>
      <c r="KFQ24" s="157"/>
      <c r="KFR24" s="157"/>
      <c r="KFS24" s="157"/>
      <c r="KFT24" s="157"/>
      <c r="KFU24" s="157"/>
      <c r="KFV24" s="157"/>
      <c r="KFW24" s="157"/>
      <c r="KFX24" s="157"/>
      <c r="KFY24" s="157"/>
      <c r="KFZ24" s="157"/>
      <c r="KGA24" s="157"/>
      <c r="KGB24" s="157"/>
      <c r="KGC24" s="157"/>
      <c r="KGD24" s="157"/>
      <c r="KGE24" s="157"/>
      <c r="KGF24" s="157"/>
      <c r="KGG24" s="157"/>
      <c r="KGH24" s="157"/>
      <c r="KGI24" s="157"/>
      <c r="KGJ24" s="157"/>
      <c r="KGK24" s="157"/>
      <c r="KGL24" s="157"/>
      <c r="KGM24" s="157"/>
      <c r="KGN24" s="157"/>
      <c r="KGO24" s="157"/>
      <c r="KGP24" s="157"/>
      <c r="KGQ24" s="157"/>
      <c r="KGR24" s="157"/>
      <c r="KGS24" s="157"/>
      <c r="KGT24" s="157"/>
      <c r="KGU24" s="157"/>
      <c r="KGV24" s="157"/>
      <c r="KGW24" s="157"/>
      <c r="KGX24" s="157"/>
      <c r="KGY24" s="157"/>
      <c r="KGZ24" s="157"/>
      <c r="KHA24" s="157"/>
      <c r="KHB24" s="157"/>
      <c r="KHC24" s="157"/>
      <c r="KHD24" s="157"/>
      <c r="KHE24" s="157"/>
      <c r="KHF24" s="157"/>
      <c r="KHG24" s="157"/>
      <c r="KHH24" s="157"/>
      <c r="KHI24" s="157"/>
      <c r="KHJ24" s="157"/>
      <c r="KHK24" s="157"/>
      <c r="KHL24" s="157"/>
      <c r="KHM24" s="157"/>
      <c r="KHN24" s="157"/>
      <c r="KHO24" s="157"/>
      <c r="KHP24" s="157"/>
      <c r="KHQ24" s="157"/>
      <c r="KHR24" s="157"/>
      <c r="KHS24" s="157"/>
      <c r="KHT24" s="157"/>
      <c r="KHU24" s="157"/>
      <c r="KHV24" s="157"/>
      <c r="KHW24" s="157"/>
      <c r="KHX24" s="157"/>
      <c r="KHY24" s="157"/>
      <c r="KHZ24" s="157"/>
      <c r="KIA24" s="157"/>
      <c r="KIB24" s="157"/>
      <c r="KIC24" s="157"/>
      <c r="KID24" s="157"/>
      <c r="KIE24" s="157"/>
      <c r="KIF24" s="157"/>
      <c r="KIG24" s="157"/>
      <c r="KIH24" s="157"/>
      <c r="KII24" s="157"/>
      <c r="KIJ24" s="157"/>
      <c r="KIK24" s="157"/>
      <c r="KIL24" s="157"/>
      <c r="KIM24" s="157"/>
      <c r="KIN24" s="157"/>
      <c r="KIO24" s="157"/>
      <c r="KIP24" s="157"/>
      <c r="KIQ24" s="157"/>
      <c r="KIR24" s="157"/>
      <c r="KIS24" s="157"/>
      <c r="KIT24" s="157"/>
      <c r="KIU24" s="157"/>
      <c r="KIV24" s="157"/>
      <c r="KIW24" s="157"/>
      <c r="KIX24" s="157"/>
      <c r="KIY24" s="157"/>
      <c r="KIZ24" s="157"/>
      <c r="KJA24" s="157"/>
      <c r="KJB24" s="157"/>
      <c r="KJC24" s="157"/>
      <c r="KJD24" s="157"/>
      <c r="KJE24" s="157"/>
      <c r="KJF24" s="157"/>
      <c r="KJG24" s="157"/>
      <c r="KJH24" s="157"/>
      <c r="KJI24" s="157"/>
      <c r="KJJ24" s="157"/>
      <c r="KJK24" s="157"/>
      <c r="KJL24" s="157"/>
      <c r="KJM24" s="157"/>
      <c r="KJN24" s="157"/>
      <c r="KJO24" s="157"/>
      <c r="KJP24" s="157"/>
      <c r="KJQ24" s="157"/>
      <c r="KJR24" s="157"/>
      <c r="KJS24" s="157"/>
      <c r="KJT24" s="157"/>
      <c r="KJU24" s="157"/>
      <c r="KJV24" s="157"/>
      <c r="KJW24" s="157"/>
      <c r="KJX24" s="157"/>
      <c r="KJY24" s="157"/>
      <c r="KJZ24" s="157"/>
      <c r="KKA24" s="157"/>
      <c r="KKB24" s="157"/>
      <c r="KKC24" s="157"/>
      <c r="KKD24" s="157"/>
      <c r="KKE24" s="157"/>
      <c r="KKF24" s="157"/>
      <c r="KKG24" s="157"/>
      <c r="KKH24" s="157"/>
      <c r="KKI24" s="157"/>
      <c r="KKJ24" s="157"/>
      <c r="KKK24" s="157"/>
      <c r="KKL24" s="157"/>
      <c r="KKM24" s="157"/>
      <c r="KKN24" s="157"/>
      <c r="KKO24" s="157"/>
      <c r="KKP24" s="157"/>
      <c r="KKQ24" s="157"/>
      <c r="KKR24" s="157"/>
      <c r="KKS24" s="157"/>
      <c r="KKT24" s="157"/>
      <c r="KKU24" s="157"/>
      <c r="KKV24" s="157"/>
      <c r="KKW24" s="157"/>
      <c r="KKX24" s="157"/>
      <c r="KKY24" s="157"/>
      <c r="KKZ24" s="157"/>
      <c r="KLA24" s="157"/>
      <c r="KLB24" s="157"/>
      <c r="KLC24" s="157"/>
      <c r="KLD24" s="157"/>
      <c r="KLE24" s="157"/>
      <c r="KLF24" s="157"/>
      <c r="KLG24" s="157"/>
      <c r="KLH24" s="157"/>
      <c r="KLI24" s="157"/>
      <c r="KLJ24" s="157"/>
      <c r="KLK24" s="157"/>
      <c r="KLL24" s="157"/>
      <c r="KLM24" s="157"/>
      <c r="KLN24" s="157"/>
      <c r="KLO24" s="157"/>
      <c r="KLP24" s="157"/>
      <c r="KLQ24" s="157"/>
      <c r="KLR24" s="157"/>
      <c r="KLS24" s="157"/>
      <c r="KLT24" s="157"/>
      <c r="KLU24" s="157"/>
      <c r="KLV24" s="157"/>
      <c r="KLW24" s="157"/>
      <c r="KLX24" s="157"/>
      <c r="KLY24" s="157"/>
      <c r="KLZ24" s="157"/>
      <c r="KMA24" s="157"/>
      <c r="KMB24" s="157"/>
      <c r="KMC24" s="157"/>
      <c r="KMD24" s="157"/>
      <c r="KME24" s="157"/>
      <c r="KMF24" s="157"/>
      <c r="KMG24" s="157"/>
      <c r="KMH24" s="157"/>
      <c r="KMI24" s="157"/>
      <c r="KMJ24" s="157"/>
      <c r="KMK24" s="157"/>
      <c r="KML24" s="157"/>
      <c r="KMM24" s="157"/>
      <c r="KMN24" s="157"/>
      <c r="KMO24" s="157"/>
      <c r="KMP24" s="157"/>
      <c r="KMQ24" s="157"/>
      <c r="KMR24" s="157"/>
      <c r="KMS24" s="157"/>
      <c r="KMT24" s="157"/>
      <c r="KMU24" s="157"/>
      <c r="KMV24" s="157"/>
      <c r="KMW24" s="157"/>
      <c r="KMX24" s="157"/>
      <c r="KMY24" s="157"/>
      <c r="KMZ24" s="157"/>
      <c r="KNA24" s="157"/>
      <c r="KNB24" s="157"/>
      <c r="KNC24" s="157"/>
      <c r="KND24" s="157"/>
      <c r="KNE24" s="157"/>
      <c r="KNF24" s="157"/>
      <c r="KNG24" s="157"/>
      <c r="KNH24" s="157"/>
      <c r="KNI24" s="157"/>
      <c r="KNJ24" s="157"/>
      <c r="KNK24" s="157"/>
      <c r="KNL24" s="157"/>
      <c r="KNM24" s="157"/>
      <c r="KNN24" s="157"/>
      <c r="KNO24" s="157"/>
      <c r="KNP24" s="157"/>
      <c r="KNQ24" s="157"/>
      <c r="KNR24" s="157"/>
      <c r="KNS24" s="157"/>
      <c r="KNT24" s="157"/>
      <c r="KNU24" s="157"/>
      <c r="KNV24" s="157"/>
      <c r="KNW24" s="157"/>
      <c r="KNX24" s="157"/>
      <c r="KNY24" s="157"/>
      <c r="KNZ24" s="157"/>
      <c r="KOA24" s="157"/>
      <c r="KOB24" s="157"/>
      <c r="KOC24" s="157"/>
      <c r="KOD24" s="157"/>
      <c r="KOE24" s="157"/>
      <c r="KOF24" s="157"/>
      <c r="KOG24" s="157"/>
      <c r="KOH24" s="157"/>
      <c r="KOI24" s="157"/>
      <c r="KOJ24" s="157"/>
      <c r="KOK24" s="157"/>
      <c r="KOL24" s="157"/>
      <c r="KOM24" s="157"/>
      <c r="KON24" s="157"/>
      <c r="KOO24" s="157"/>
      <c r="KOP24" s="157"/>
      <c r="KOQ24" s="157"/>
      <c r="KOR24" s="157"/>
      <c r="KOS24" s="157"/>
      <c r="KOT24" s="157"/>
      <c r="KOU24" s="157"/>
      <c r="KOV24" s="157"/>
      <c r="KOW24" s="157"/>
      <c r="KOX24" s="157"/>
      <c r="KOY24" s="157"/>
      <c r="KOZ24" s="157"/>
      <c r="KPA24" s="157"/>
      <c r="KPB24" s="157"/>
      <c r="KPC24" s="157"/>
      <c r="KPD24" s="157"/>
      <c r="KPE24" s="157"/>
      <c r="KPF24" s="157"/>
      <c r="KPG24" s="157"/>
      <c r="KPH24" s="157"/>
      <c r="KPI24" s="157"/>
      <c r="KPJ24" s="157"/>
      <c r="KPK24" s="157"/>
      <c r="KPL24" s="157"/>
      <c r="KPM24" s="157"/>
      <c r="KPN24" s="157"/>
      <c r="KPO24" s="157"/>
      <c r="KPP24" s="157"/>
      <c r="KPQ24" s="157"/>
      <c r="KPR24" s="157"/>
      <c r="KPS24" s="157"/>
      <c r="KPT24" s="157"/>
      <c r="KPU24" s="157"/>
      <c r="KPV24" s="157"/>
      <c r="KPW24" s="157"/>
      <c r="KPX24" s="157"/>
      <c r="KPY24" s="157"/>
      <c r="KPZ24" s="157"/>
      <c r="KQA24" s="157"/>
      <c r="KQB24" s="157"/>
      <c r="KQC24" s="157"/>
      <c r="KQD24" s="157"/>
      <c r="KQE24" s="157"/>
      <c r="KQF24" s="157"/>
      <c r="KQG24" s="157"/>
      <c r="KQH24" s="157"/>
      <c r="KQI24" s="157"/>
      <c r="KQJ24" s="157"/>
      <c r="KQK24" s="157"/>
      <c r="KQL24" s="157"/>
      <c r="KQM24" s="157"/>
      <c r="KQN24" s="157"/>
      <c r="KQO24" s="157"/>
      <c r="KQP24" s="157"/>
      <c r="KQQ24" s="157"/>
      <c r="KQR24" s="157"/>
      <c r="KQS24" s="157"/>
      <c r="KQT24" s="157"/>
      <c r="KQU24" s="157"/>
      <c r="KQV24" s="157"/>
      <c r="KQW24" s="157"/>
      <c r="KQX24" s="157"/>
      <c r="KQY24" s="157"/>
      <c r="KQZ24" s="157"/>
      <c r="KRA24" s="157"/>
      <c r="KRB24" s="157"/>
      <c r="KRC24" s="157"/>
      <c r="KRD24" s="157"/>
      <c r="KRE24" s="157"/>
      <c r="KRF24" s="157"/>
      <c r="KRG24" s="157"/>
      <c r="KRH24" s="157"/>
      <c r="KRI24" s="157"/>
      <c r="KRJ24" s="157"/>
      <c r="KRK24" s="157"/>
      <c r="KRL24" s="157"/>
      <c r="KRM24" s="157"/>
      <c r="KRN24" s="157"/>
      <c r="KRO24" s="157"/>
      <c r="KRP24" s="157"/>
      <c r="KRQ24" s="157"/>
      <c r="KRR24" s="157"/>
      <c r="KRS24" s="157"/>
      <c r="KRT24" s="157"/>
      <c r="KRU24" s="157"/>
      <c r="KRV24" s="157"/>
      <c r="KRW24" s="157"/>
      <c r="KRX24" s="157"/>
      <c r="KRY24" s="157"/>
      <c r="KRZ24" s="157"/>
      <c r="KSA24" s="157"/>
      <c r="KSB24" s="157"/>
      <c r="KSC24" s="157"/>
      <c r="KSD24" s="157"/>
      <c r="KSE24" s="157"/>
      <c r="KSF24" s="157"/>
      <c r="KSG24" s="157"/>
      <c r="KSH24" s="157"/>
      <c r="KSI24" s="157"/>
      <c r="KSJ24" s="157"/>
      <c r="KSK24" s="157"/>
      <c r="KSL24" s="157"/>
      <c r="KSM24" s="157"/>
      <c r="KSN24" s="157"/>
      <c r="KSO24" s="157"/>
      <c r="KSP24" s="157"/>
      <c r="KSQ24" s="157"/>
      <c r="KSR24" s="157"/>
      <c r="KSS24" s="157"/>
      <c r="KST24" s="157"/>
      <c r="KSU24" s="157"/>
      <c r="KSV24" s="157"/>
      <c r="KSW24" s="157"/>
      <c r="KSX24" s="157"/>
      <c r="KSY24" s="157"/>
      <c r="KSZ24" s="157"/>
      <c r="KTA24" s="157"/>
      <c r="KTB24" s="157"/>
      <c r="KTC24" s="157"/>
      <c r="KTD24" s="157"/>
      <c r="KTE24" s="157"/>
      <c r="KTF24" s="157"/>
      <c r="KTG24" s="157"/>
      <c r="KTH24" s="157"/>
      <c r="KTI24" s="157"/>
      <c r="KTJ24" s="157"/>
      <c r="KTK24" s="157"/>
      <c r="KTL24" s="157"/>
      <c r="KTM24" s="157"/>
      <c r="KTN24" s="157"/>
      <c r="KTO24" s="157"/>
      <c r="KTP24" s="157"/>
      <c r="KTQ24" s="157"/>
      <c r="KTR24" s="157"/>
      <c r="KTS24" s="157"/>
      <c r="KTT24" s="157"/>
      <c r="KTU24" s="157"/>
      <c r="KTV24" s="157"/>
      <c r="KTW24" s="157"/>
      <c r="KTX24" s="157"/>
      <c r="KTY24" s="157"/>
      <c r="KTZ24" s="157"/>
      <c r="KUA24" s="157"/>
      <c r="KUB24" s="157"/>
      <c r="KUC24" s="157"/>
      <c r="KUD24" s="157"/>
      <c r="KUE24" s="157"/>
      <c r="KUF24" s="157"/>
      <c r="KUG24" s="157"/>
      <c r="KUH24" s="157"/>
      <c r="KUI24" s="157"/>
      <c r="KUJ24" s="157"/>
      <c r="KUK24" s="157"/>
      <c r="KUL24" s="157"/>
      <c r="KUM24" s="157"/>
      <c r="KUN24" s="157"/>
      <c r="KUO24" s="157"/>
      <c r="KUP24" s="157"/>
      <c r="KUQ24" s="157"/>
      <c r="KUR24" s="157"/>
      <c r="KUS24" s="157"/>
      <c r="KUT24" s="157"/>
      <c r="KUU24" s="157"/>
      <c r="KUV24" s="157"/>
      <c r="KUW24" s="157"/>
      <c r="KUX24" s="157"/>
      <c r="KUY24" s="157"/>
      <c r="KUZ24" s="157"/>
      <c r="KVA24" s="157"/>
      <c r="KVB24" s="157"/>
      <c r="KVC24" s="157"/>
      <c r="KVD24" s="157"/>
      <c r="KVE24" s="157"/>
      <c r="KVF24" s="157"/>
      <c r="KVG24" s="157"/>
      <c r="KVH24" s="157"/>
      <c r="KVI24" s="157"/>
      <c r="KVJ24" s="157"/>
      <c r="KVK24" s="157"/>
      <c r="KVL24" s="157"/>
      <c r="KVM24" s="157"/>
      <c r="KVN24" s="157"/>
      <c r="KVO24" s="157"/>
      <c r="KVP24" s="157"/>
      <c r="KVQ24" s="157"/>
      <c r="KVR24" s="157"/>
      <c r="KVS24" s="157"/>
      <c r="KVT24" s="157"/>
      <c r="KVU24" s="157"/>
      <c r="KVV24" s="157"/>
      <c r="KVW24" s="157"/>
      <c r="KVX24" s="157"/>
      <c r="KVY24" s="157"/>
      <c r="KVZ24" s="157"/>
      <c r="KWA24" s="157"/>
      <c r="KWB24" s="157"/>
      <c r="KWC24" s="157"/>
      <c r="KWD24" s="157"/>
      <c r="KWE24" s="157"/>
      <c r="KWF24" s="157"/>
      <c r="KWG24" s="157"/>
      <c r="KWH24" s="157"/>
      <c r="KWI24" s="157"/>
      <c r="KWJ24" s="157"/>
      <c r="KWK24" s="157"/>
      <c r="KWL24" s="157"/>
      <c r="KWM24" s="157"/>
      <c r="KWN24" s="157"/>
      <c r="KWO24" s="157"/>
      <c r="KWP24" s="157"/>
      <c r="KWQ24" s="157"/>
      <c r="KWR24" s="157"/>
      <c r="KWS24" s="157"/>
      <c r="KWT24" s="157"/>
      <c r="KWU24" s="157"/>
      <c r="KWV24" s="157"/>
      <c r="KWW24" s="157"/>
      <c r="KWX24" s="157"/>
      <c r="KWY24" s="157"/>
      <c r="KWZ24" s="157"/>
      <c r="KXA24" s="157"/>
      <c r="KXB24" s="157"/>
      <c r="KXC24" s="157"/>
      <c r="KXD24" s="157"/>
      <c r="KXE24" s="157"/>
      <c r="KXF24" s="157"/>
      <c r="KXG24" s="157"/>
      <c r="KXH24" s="157"/>
      <c r="KXI24" s="157"/>
      <c r="KXJ24" s="157"/>
      <c r="KXK24" s="157"/>
      <c r="KXL24" s="157"/>
      <c r="KXM24" s="157"/>
      <c r="KXN24" s="157"/>
      <c r="KXO24" s="157"/>
      <c r="KXP24" s="157"/>
      <c r="KXQ24" s="157"/>
      <c r="KXR24" s="157"/>
      <c r="KXS24" s="157"/>
      <c r="KXT24" s="157"/>
      <c r="KXU24" s="157"/>
      <c r="KXV24" s="157"/>
      <c r="KXW24" s="157"/>
      <c r="KXX24" s="157"/>
      <c r="KXY24" s="157"/>
      <c r="KXZ24" s="157"/>
      <c r="KYA24" s="157"/>
      <c r="KYB24" s="157"/>
      <c r="KYC24" s="157"/>
      <c r="KYD24" s="157"/>
      <c r="KYE24" s="157"/>
      <c r="KYF24" s="157"/>
      <c r="KYG24" s="157"/>
      <c r="KYH24" s="157"/>
      <c r="KYI24" s="157"/>
      <c r="KYJ24" s="157"/>
      <c r="KYK24" s="157"/>
      <c r="KYL24" s="157"/>
      <c r="KYM24" s="157"/>
      <c r="KYN24" s="157"/>
      <c r="KYO24" s="157"/>
      <c r="KYP24" s="157"/>
      <c r="KYQ24" s="157"/>
      <c r="KYR24" s="157"/>
      <c r="KYS24" s="157"/>
      <c r="KYT24" s="157"/>
      <c r="KYU24" s="157"/>
      <c r="KYV24" s="157"/>
      <c r="KYW24" s="157"/>
      <c r="KYX24" s="157"/>
      <c r="KYY24" s="157"/>
      <c r="KYZ24" s="157"/>
      <c r="KZA24" s="157"/>
      <c r="KZB24" s="157"/>
      <c r="KZC24" s="157"/>
      <c r="KZD24" s="157"/>
      <c r="KZE24" s="157"/>
      <c r="KZF24" s="157"/>
      <c r="KZG24" s="157"/>
      <c r="KZH24" s="157"/>
      <c r="KZI24" s="157"/>
      <c r="KZJ24" s="157"/>
      <c r="KZK24" s="157"/>
      <c r="KZL24" s="157"/>
      <c r="KZM24" s="157"/>
      <c r="KZN24" s="157"/>
      <c r="KZO24" s="157"/>
      <c r="KZP24" s="157"/>
      <c r="KZQ24" s="157"/>
      <c r="KZR24" s="157"/>
      <c r="KZS24" s="157"/>
      <c r="KZT24" s="157"/>
      <c r="KZU24" s="157"/>
      <c r="KZV24" s="157"/>
      <c r="KZW24" s="157"/>
      <c r="KZX24" s="157"/>
      <c r="KZY24" s="157"/>
      <c r="KZZ24" s="157"/>
      <c r="LAA24" s="157"/>
      <c r="LAB24" s="157"/>
      <c r="LAC24" s="157"/>
      <c r="LAD24" s="157"/>
      <c r="LAE24" s="157"/>
      <c r="LAF24" s="157"/>
      <c r="LAG24" s="157"/>
      <c r="LAH24" s="157"/>
      <c r="LAI24" s="157"/>
      <c r="LAJ24" s="157"/>
      <c r="LAK24" s="157"/>
      <c r="LAL24" s="157"/>
      <c r="LAM24" s="157"/>
      <c r="LAN24" s="157"/>
      <c r="LAO24" s="157"/>
      <c r="LAP24" s="157"/>
      <c r="LAQ24" s="157"/>
      <c r="LAR24" s="157"/>
      <c r="LAS24" s="157"/>
      <c r="LAT24" s="157"/>
      <c r="LAU24" s="157"/>
      <c r="LAV24" s="157"/>
      <c r="LAW24" s="157"/>
      <c r="LAX24" s="157"/>
      <c r="LAY24" s="157"/>
      <c r="LAZ24" s="157"/>
      <c r="LBA24" s="157"/>
      <c r="LBB24" s="157"/>
      <c r="LBC24" s="157"/>
      <c r="LBD24" s="157"/>
      <c r="LBE24" s="157"/>
      <c r="LBF24" s="157"/>
      <c r="LBG24" s="157"/>
      <c r="LBH24" s="157"/>
      <c r="LBI24" s="157"/>
      <c r="LBJ24" s="157"/>
      <c r="LBK24" s="157"/>
      <c r="LBL24" s="157"/>
      <c r="LBM24" s="157"/>
      <c r="LBN24" s="157"/>
      <c r="LBO24" s="157"/>
      <c r="LBP24" s="157"/>
      <c r="LBQ24" s="157"/>
      <c r="LBR24" s="157"/>
      <c r="LBS24" s="157"/>
      <c r="LBT24" s="157"/>
      <c r="LBU24" s="157"/>
      <c r="LBV24" s="157"/>
      <c r="LBW24" s="157"/>
      <c r="LBX24" s="157"/>
      <c r="LBY24" s="157"/>
      <c r="LBZ24" s="157"/>
      <c r="LCA24" s="157"/>
      <c r="LCB24" s="157"/>
      <c r="LCC24" s="157"/>
      <c r="LCD24" s="157"/>
      <c r="LCE24" s="157"/>
      <c r="LCF24" s="157"/>
      <c r="LCG24" s="157"/>
      <c r="LCH24" s="157"/>
      <c r="LCI24" s="157"/>
      <c r="LCJ24" s="157"/>
      <c r="LCK24" s="157"/>
      <c r="LCL24" s="157"/>
      <c r="LCM24" s="157"/>
      <c r="LCN24" s="157"/>
      <c r="LCO24" s="157"/>
      <c r="LCP24" s="157"/>
      <c r="LCQ24" s="157"/>
      <c r="LCR24" s="157"/>
      <c r="LCS24" s="157"/>
      <c r="LCT24" s="157"/>
      <c r="LCU24" s="157"/>
      <c r="LCV24" s="157"/>
      <c r="LCW24" s="157"/>
      <c r="LCX24" s="157"/>
      <c r="LCY24" s="157"/>
      <c r="LCZ24" s="157"/>
      <c r="LDA24" s="157"/>
      <c r="LDB24" s="157"/>
      <c r="LDC24" s="157"/>
      <c r="LDD24" s="157"/>
      <c r="LDE24" s="157"/>
      <c r="LDF24" s="157"/>
      <c r="LDG24" s="157"/>
      <c r="LDH24" s="157"/>
      <c r="LDI24" s="157"/>
      <c r="LDJ24" s="157"/>
      <c r="LDK24" s="157"/>
      <c r="LDL24" s="157"/>
      <c r="LDM24" s="157"/>
      <c r="LDN24" s="157"/>
      <c r="LDO24" s="157"/>
      <c r="LDP24" s="157"/>
      <c r="LDQ24" s="157"/>
      <c r="LDR24" s="157"/>
      <c r="LDS24" s="157"/>
      <c r="LDT24" s="157"/>
      <c r="LDU24" s="157"/>
      <c r="LDV24" s="157"/>
      <c r="LDW24" s="157"/>
      <c r="LDX24" s="157"/>
      <c r="LDY24" s="157"/>
      <c r="LDZ24" s="157"/>
      <c r="LEA24" s="157"/>
      <c r="LEB24" s="157"/>
      <c r="LEC24" s="157"/>
      <c r="LED24" s="157"/>
      <c r="LEE24" s="157"/>
      <c r="LEF24" s="157"/>
      <c r="LEG24" s="157"/>
      <c r="LEH24" s="157"/>
      <c r="LEI24" s="157"/>
      <c r="LEJ24" s="157"/>
      <c r="LEK24" s="157"/>
      <c r="LEL24" s="157"/>
      <c r="LEM24" s="157"/>
      <c r="LEN24" s="157"/>
      <c r="LEO24" s="157"/>
      <c r="LEP24" s="157"/>
      <c r="LEQ24" s="157"/>
      <c r="LER24" s="157"/>
      <c r="LES24" s="157"/>
      <c r="LET24" s="157"/>
      <c r="LEU24" s="157"/>
      <c r="LEV24" s="157"/>
      <c r="LEW24" s="157"/>
      <c r="LEX24" s="157"/>
      <c r="LEY24" s="157"/>
      <c r="LEZ24" s="157"/>
      <c r="LFA24" s="157"/>
      <c r="LFB24" s="157"/>
      <c r="LFC24" s="157"/>
      <c r="LFD24" s="157"/>
      <c r="LFE24" s="157"/>
      <c r="LFF24" s="157"/>
      <c r="LFG24" s="157"/>
      <c r="LFH24" s="157"/>
      <c r="LFI24" s="157"/>
      <c r="LFJ24" s="157"/>
      <c r="LFK24" s="157"/>
      <c r="LFL24" s="157"/>
      <c r="LFM24" s="157"/>
      <c r="LFN24" s="157"/>
      <c r="LFO24" s="157"/>
      <c r="LFP24" s="157"/>
      <c r="LFQ24" s="157"/>
      <c r="LFR24" s="157"/>
      <c r="LFS24" s="157"/>
      <c r="LFT24" s="157"/>
      <c r="LFU24" s="157"/>
      <c r="LFV24" s="157"/>
      <c r="LFW24" s="157"/>
      <c r="LFX24" s="157"/>
      <c r="LFY24" s="157"/>
      <c r="LFZ24" s="157"/>
      <c r="LGA24" s="157"/>
      <c r="LGB24" s="157"/>
      <c r="LGC24" s="157"/>
      <c r="LGD24" s="157"/>
      <c r="LGE24" s="157"/>
      <c r="LGF24" s="157"/>
      <c r="LGG24" s="157"/>
      <c r="LGH24" s="157"/>
      <c r="LGI24" s="157"/>
      <c r="LGJ24" s="157"/>
      <c r="LGK24" s="157"/>
      <c r="LGL24" s="157"/>
      <c r="LGM24" s="157"/>
      <c r="LGN24" s="157"/>
      <c r="LGO24" s="157"/>
      <c r="LGP24" s="157"/>
      <c r="LGQ24" s="157"/>
      <c r="LGR24" s="157"/>
      <c r="LGS24" s="157"/>
      <c r="LGT24" s="157"/>
      <c r="LGU24" s="157"/>
      <c r="LGV24" s="157"/>
      <c r="LGW24" s="157"/>
      <c r="LGX24" s="157"/>
      <c r="LGY24" s="157"/>
      <c r="LGZ24" s="157"/>
      <c r="LHA24" s="157"/>
      <c r="LHB24" s="157"/>
      <c r="LHC24" s="157"/>
      <c r="LHD24" s="157"/>
      <c r="LHE24" s="157"/>
      <c r="LHF24" s="157"/>
      <c r="LHG24" s="157"/>
      <c r="LHH24" s="157"/>
      <c r="LHI24" s="157"/>
      <c r="LHJ24" s="157"/>
      <c r="LHK24" s="157"/>
      <c r="LHL24" s="157"/>
      <c r="LHM24" s="157"/>
      <c r="LHN24" s="157"/>
      <c r="LHO24" s="157"/>
      <c r="LHP24" s="157"/>
      <c r="LHQ24" s="157"/>
      <c r="LHR24" s="157"/>
      <c r="LHS24" s="157"/>
      <c r="LHT24" s="157"/>
      <c r="LHU24" s="157"/>
      <c r="LHV24" s="157"/>
      <c r="LHW24" s="157"/>
      <c r="LHX24" s="157"/>
      <c r="LHY24" s="157"/>
      <c r="LHZ24" s="157"/>
      <c r="LIA24" s="157"/>
      <c r="LIB24" s="157"/>
      <c r="LIC24" s="157"/>
      <c r="LID24" s="157"/>
      <c r="LIE24" s="157"/>
      <c r="LIF24" s="157"/>
      <c r="LIG24" s="157"/>
      <c r="LIH24" s="157"/>
      <c r="LII24" s="157"/>
      <c r="LIJ24" s="157"/>
      <c r="LIK24" s="157"/>
      <c r="LIL24" s="157"/>
      <c r="LIM24" s="157"/>
      <c r="LIN24" s="157"/>
      <c r="LIO24" s="157"/>
      <c r="LIP24" s="157"/>
      <c r="LIQ24" s="157"/>
      <c r="LIR24" s="157"/>
      <c r="LIS24" s="157"/>
      <c r="LIT24" s="157"/>
      <c r="LIU24" s="157"/>
      <c r="LIV24" s="157"/>
      <c r="LIW24" s="157"/>
      <c r="LIX24" s="157"/>
      <c r="LIY24" s="157"/>
      <c r="LIZ24" s="157"/>
      <c r="LJA24" s="157"/>
      <c r="LJB24" s="157"/>
      <c r="LJC24" s="157"/>
      <c r="LJD24" s="157"/>
      <c r="LJE24" s="157"/>
      <c r="LJF24" s="157"/>
      <c r="LJG24" s="157"/>
      <c r="LJH24" s="157"/>
      <c r="LJI24" s="157"/>
      <c r="LJJ24" s="157"/>
      <c r="LJK24" s="157"/>
      <c r="LJL24" s="157"/>
      <c r="LJM24" s="157"/>
      <c r="LJN24" s="157"/>
      <c r="LJO24" s="157"/>
      <c r="LJP24" s="157"/>
      <c r="LJQ24" s="157"/>
      <c r="LJR24" s="157"/>
      <c r="LJS24" s="157"/>
      <c r="LJT24" s="157"/>
      <c r="LJU24" s="157"/>
      <c r="LJV24" s="157"/>
      <c r="LJW24" s="157"/>
      <c r="LJX24" s="157"/>
      <c r="LJY24" s="157"/>
      <c r="LJZ24" s="157"/>
      <c r="LKA24" s="157"/>
      <c r="LKB24" s="157"/>
      <c r="LKC24" s="157"/>
      <c r="LKD24" s="157"/>
      <c r="LKE24" s="157"/>
      <c r="LKF24" s="157"/>
      <c r="LKG24" s="157"/>
      <c r="LKH24" s="157"/>
      <c r="LKI24" s="157"/>
      <c r="LKJ24" s="157"/>
      <c r="LKK24" s="157"/>
      <c r="LKL24" s="157"/>
      <c r="LKM24" s="157"/>
      <c r="LKN24" s="157"/>
      <c r="LKO24" s="157"/>
      <c r="LKP24" s="157"/>
      <c r="LKQ24" s="157"/>
      <c r="LKR24" s="157"/>
      <c r="LKS24" s="157"/>
      <c r="LKT24" s="157"/>
      <c r="LKU24" s="157"/>
      <c r="LKV24" s="157"/>
      <c r="LKW24" s="157"/>
      <c r="LKX24" s="157"/>
      <c r="LKY24" s="157"/>
      <c r="LKZ24" s="157"/>
      <c r="LLA24" s="157"/>
      <c r="LLB24" s="157"/>
      <c r="LLC24" s="157"/>
      <c r="LLD24" s="157"/>
      <c r="LLE24" s="157"/>
      <c r="LLF24" s="157"/>
      <c r="LLG24" s="157"/>
      <c r="LLH24" s="157"/>
      <c r="LLI24" s="157"/>
      <c r="LLJ24" s="157"/>
      <c r="LLK24" s="157"/>
      <c r="LLL24" s="157"/>
      <c r="LLM24" s="157"/>
      <c r="LLN24" s="157"/>
      <c r="LLO24" s="157"/>
      <c r="LLP24" s="157"/>
      <c r="LLQ24" s="157"/>
      <c r="LLR24" s="157"/>
      <c r="LLS24" s="157"/>
      <c r="LLT24" s="157"/>
      <c r="LLU24" s="157"/>
      <c r="LLV24" s="157"/>
      <c r="LLW24" s="157"/>
      <c r="LLX24" s="157"/>
      <c r="LLY24" s="157"/>
      <c r="LLZ24" s="157"/>
      <c r="LMA24" s="157"/>
      <c r="LMB24" s="157"/>
      <c r="LMC24" s="157"/>
      <c r="LMD24" s="157"/>
      <c r="LME24" s="157"/>
      <c r="LMF24" s="157"/>
      <c r="LMG24" s="157"/>
      <c r="LMH24" s="157"/>
      <c r="LMI24" s="157"/>
      <c r="LMJ24" s="157"/>
      <c r="LMK24" s="157"/>
      <c r="LML24" s="157"/>
      <c r="LMM24" s="157"/>
      <c r="LMN24" s="157"/>
      <c r="LMO24" s="157"/>
      <c r="LMP24" s="157"/>
      <c r="LMQ24" s="157"/>
      <c r="LMR24" s="157"/>
      <c r="LMS24" s="157"/>
      <c r="LMT24" s="157"/>
      <c r="LMU24" s="157"/>
      <c r="LMV24" s="157"/>
      <c r="LMW24" s="157"/>
      <c r="LMX24" s="157"/>
      <c r="LMY24" s="157"/>
      <c r="LMZ24" s="157"/>
      <c r="LNA24" s="157"/>
      <c r="LNB24" s="157"/>
      <c r="LNC24" s="157"/>
      <c r="LND24" s="157"/>
      <c r="LNE24" s="157"/>
      <c r="LNF24" s="157"/>
      <c r="LNG24" s="157"/>
      <c r="LNH24" s="157"/>
      <c r="LNI24" s="157"/>
      <c r="LNJ24" s="157"/>
      <c r="LNK24" s="157"/>
      <c r="LNL24" s="157"/>
      <c r="LNM24" s="157"/>
      <c r="LNN24" s="157"/>
      <c r="LNO24" s="157"/>
      <c r="LNP24" s="157"/>
      <c r="LNQ24" s="157"/>
      <c r="LNR24" s="157"/>
      <c r="LNS24" s="157"/>
      <c r="LNT24" s="157"/>
      <c r="LNU24" s="157"/>
      <c r="LNV24" s="157"/>
      <c r="LNW24" s="157"/>
      <c r="LNX24" s="157"/>
      <c r="LNY24" s="157"/>
      <c r="LNZ24" s="157"/>
      <c r="LOA24" s="157"/>
      <c r="LOB24" s="157"/>
      <c r="LOC24" s="157"/>
      <c r="LOD24" s="157"/>
      <c r="LOE24" s="157"/>
      <c r="LOF24" s="157"/>
      <c r="LOG24" s="157"/>
      <c r="LOH24" s="157"/>
      <c r="LOI24" s="157"/>
      <c r="LOJ24" s="157"/>
      <c r="LOK24" s="157"/>
      <c r="LOL24" s="157"/>
      <c r="LOM24" s="157"/>
      <c r="LON24" s="157"/>
      <c r="LOO24" s="157"/>
      <c r="LOP24" s="157"/>
      <c r="LOQ24" s="157"/>
      <c r="LOR24" s="157"/>
      <c r="LOS24" s="157"/>
      <c r="LOT24" s="157"/>
      <c r="LOU24" s="157"/>
      <c r="LOV24" s="157"/>
      <c r="LOW24" s="157"/>
      <c r="LOX24" s="157"/>
      <c r="LOY24" s="157"/>
      <c r="LOZ24" s="157"/>
      <c r="LPA24" s="157"/>
      <c r="LPB24" s="157"/>
      <c r="LPC24" s="157"/>
      <c r="LPD24" s="157"/>
      <c r="LPE24" s="157"/>
      <c r="LPF24" s="157"/>
      <c r="LPG24" s="157"/>
      <c r="LPH24" s="157"/>
      <c r="LPI24" s="157"/>
      <c r="LPJ24" s="157"/>
      <c r="LPK24" s="157"/>
      <c r="LPL24" s="157"/>
      <c r="LPM24" s="157"/>
      <c r="LPN24" s="157"/>
      <c r="LPO24" s="157"/>
      <c r="LPP24" s="157"/>
      <c r="LPQ24" s="157"/>
      <c r="LPR24" s="157"/>
      <c r="LPS24" s="157"/>
      <c r="LPT24" s="157"/>
      <c r="LPU24" s="157"/>
      <c r="LPV24" s="157"/>
      <c r="LPW24" s="157"/>
      <c r="LPX24" s="157"/>
      <c r="LPY24" s="157"/>
      <c r="LPZ24" s="157"/>
      <c r="LQA24" s="157"/>
      <c r="LQB24" s="157"/>
      <c r="LQC24" s="157"/>
      <c r="LQD24" s="157"/>
      <c r="LQE24" s="157"/>
      <c r="LQF24" s="157"/>
      <c r="LQG24" s="157"/>
      <c r="LQH24" s="157"/>
      <c r="LQI24" s="157"/>
      <c r="LQJ24" s="157"/>
      <c r="LQK24" s="157"/>
      <c r="LQL24" s="157"/>
      <c r="LQM24" s="157"/>
      <c r="LQN24" s="157"/>
      <c r="LQO24" s="157"/>
      <c r="LQP24" s="157"/>
      <c r="LQQ24" s="157"/>
      <c r="LQR24" s="157"/>
      <c r="LQS24" s="157"/>
      <c r="LQT24" s="157"/>
      <c r="LQU24" s="157"/>
      <c r="LQV24" s="157"/>
      <c r="LQW24" s="157"/>
      <c r="LQX24" s="157"/>
      <c r="LQY24" s="157"/>
      <c r="LQZ24" s="157"/>
      <c r="LRA24" s="157"/>
      <c r="LRB24" s="157"/>
      <c r="LRC24" s="157"/>
      <c r="LRD24" s="157"/>
      <c r="LRE24" s="157"/>
      <c r="LRF24" s="157"/>
      <c r="LRG24" s="157"/>
      <c r="LRH24" s="157"/>
      <c r="LRI24" s="157"/>
      <c r="LRJ24" s="157"/>
      <c r="LRK24" s="157"/>
      <c r="LRL24" s="157"/>
      <c r="LRM24" s="157"/>
      <c r="LRN24" s="157"/>
      <c r="LRO24" s="157"/>
      <c r="LRP24" s="157"/>
      <c r="LRQ24" s="157"/>
      <c r="LRR24" s="157"/>
      <c r="LRS24" s="157"/>
      <c r="LRT24" s="157"/>
      <c r="LRU24" s="157"/>
      <c r="LRV24" s="157"/>
      <c r="LRW24" s="157"/>
      <c r="LRX24" s="157"/>
      <c r="LRY24" s="157"/>
      <c r="LRZ24" s="157"/>
      <c r="LSA24" s="157"/>
      <c r="LSB24" s="157"/>
      <c r="LSC24" s="157"/>
      <c r="LSD24" s="157"/>
      <c r="LSE24" s="157"/>
      <c r="LSF24" s="157"/>
      <c r="LSG24" s="157"/>
      <c r="LSH24" s="157"/>
      <c r="LSI24" s="157"/>
      <c r="LSJ24" s="157"/>
      <c r="LSK24" s="157"/>
      <c r="LSL24" s="157"/>
      <c r="LSM24" s="157"/>
      <c r="LSN24" s="157"/>
      <c r="LSO24" s="157"/>
      <c r="LSP24" s="157"/>
      <c r="LSQ24" s="157"/>
      <c r="LSR24" s="157"/>
      <c r="LSS24" s="157"/>
      <c r="LST24" s="157"/>
      <c r="LSU24" s="157"/>
      <c r="LSV24" s="157"/>
      <c r="LSW24" s="157"/>
      <c r="LSX24" s="157"/>
      <c r="LSY24" s="157"/>
      <c r="LSZ24" s="157"/>
      <c r="LTA24" s="157"/>
      <c r="LTB24" s="157"/>
      <c r="LTC24" s="157"/>
      <c r="LTD24" s="157"/>
      <c r="LTE24" s="157"/>
      <c r="LTF24" s="157"/>
      <c r="LTG24" s="157"/>
      <c r="LTH24" s="157"/>
      <c r="LTI24" s="157"/>
      <c r="LTJ24" s="157"/>
      <c r="LTK24" s="157"/>
      <c r="LTL24" s="157"/>
      <c r="LTM24" s="157"/>
      <c r="LTN24" s="157"/>
      <c r="LTO24" s="157"/>
      <c r="LTP24" s="157"/>
      <c r="LTQ24" s="157"/>
      <c r="LTR24" s="157"/>
      <c r="LTS24" s="157"/>
      <c r="LTT24" s="157"/>
      <c r="LTU24" s="157"/>
      <c r="LTV24" s="157"/>
      <c r="LTW24" s="157"/>
      <c r="LTX24" s="157"/>
      <c r="LTY24" s="157"/>
      <c r="LTZ24" s="157"/>
      <c r="LUA24" s="157"/>
      <c r="LUB24" s="157"/>
      <c r="LUC24" s="157"/>
      <c r="LUD24" s="157"/>
      <c r="LUE24" s="157"/>
      <c r="LUF24" s="157"/>
      <c r="LUG24" s="157"/>
      <c r="LUH24" s="157"/>
      <c r="LUI24" s="157"/>
      <c r="LUJ24" s="157"/>
      <c r="LUK24" s="157"/>
      <c r="LUL24" s="157"/>
      <c r="LUM24" s="157"/>
      <c r="LUN24" s="157"/>
      <c r="LUO24" s="157"/>
      <c r="LUP24" s="157"/>
      <c r="LUQ24" s="157"/>
      <c r="LUR24" s="157"/>
      <c r="LUS24" s="157"/>
      <c r="LUT24" s="157"/>
      <c r="LUU24" s="157"/>
      <c r="LUV24" s="157"/>
      <c r="LUW24" s="157"/>
      <c r="LUX24" s="157"/>
      <c r="LUY24" s="157"/>
      <c r="LUZ24" s="157"/>
      <c r="LVA24" s="157"/>
      <c r="LVB24" s="157"/>
      <c r="LVC24" s="157"/>
      <c r="LVD24" s="157"/>
      <c r="LVE24" s="157"/>
      <c r="LVF24" s="157"/>
      <c r="LVG24" s="157"/>
      <c r="LVH24" s="157"/>
      <c r="LVI24" s="157"/>
      <c r="LVJ24" s="157"/>
      <c r="LVK24" s="157"/>
      <c r="LVL24" s="157"/>
      <c r="LVM24" s="157"/>
      <c r="LVN24" s="157"/>
      <c r="LVO24" s="157"/>
      <c r="LVP24" s="157"/>
      <c r="LVQ24" s="157"/>
      <c r="LVR24" s="157"/>
      <c r="LVS24" s="157"/>
      <c r="LVT24" s="157"/>
      <c r="LVU24" s="157"/>
      <c r="LVV24" s="157"/>
      <c r="LVW24" s="157"/>
      <c r="LVX24" s="157"/>
      <c r="LVY24" s="157"/>
      <c r="LVZ24" s="157"/>
      <c r="LWA24" s="157"/>
      <c r="LWB24" s="157"/>
      <c r="LWC24" s="157"/>
      <c r="LWD24" s="157"/>
      <c r="LWE24" s="157"/>
      <c r="LWF24" s="157"/>
      <c r="LWG24" s="157"/>
      <c r="LWH24" s="157"/>
      <c r="LWI24" s="157"/>
      <c r="LWJ24" s="157"/>
      <c r="LWK24" s="157"/>
      <c r="LWL24" s="157"/>
      <c r="LWM24" s="157"/>
      <c r="LWN24" s="157"/>
      <c r="LWO24" s="157"/>
      <c r="LWP24" s="157"/>
      <c r="LWQ24" s="157"/>
      <c r="LWR24" s="157"/>
      <c r="LWS24" s="157"/>
      <c r="LWT24" s="157"/>
      <c r="LWU24" s="157"/>
      <c r="LWV24" s="157"/>
      <c r="LWW24" s="157"/>
      <c r="LWX24" s="157"/>
      <c r="LWY24" s="157"/>
      <c r="LWZ24" s="157"/>
      <c r="LXA24" s="157"/>
      <c r="LXB24" s="157"/>
      <c r="LXC24" s="157"/>
      <c r="LXD24" s="157"/>
      <c r="LXE24" s="157"/>
      <c r="LXF24" s="157"/>
      <c r="LXG24" s="157"/>
      <c r="LXH24" s="157"/>
      <c r="LXI24" s="157"/>
      <c r="LXJ24" s="157"/>
      <c r="LXK24" s="157"/>
      <c r="LXL24" s="157"/>
      <c r="LXM24" s="157"/>
      <c r="LXN24" s="157"/>
      <c r="LXO24" s="157"/>
      <c r="LXP24" s="157"/>
      <c r="LXQ24" s="157"/>
      <c r="LXR24" s="157"/>
      <c r="LXS24" s="157"/>
      <c r="LXT24" s="157"/>
      <c r="LXU24" s="157"/>
      <c r="LXV24" s="157"/>
      <c r="LXW24" s="157"/>
      <c r="LXX24" s="157"/>
      <c r="LXY24" s="157"/>
      <c r="LXZ24" s="157"/>
      <c r="LYA24" s="157"/>
      <c r="LYB24" s="157"/>
      <c r="LYC24" s="157"/>
      <c r="LYD24" s="157"/>
      <c r="LYE24" s="157"/>
      <c r="LYF24" s="157"/>
      <c r="LYG24" s="157"/>
      <c r="LYH24" s="157"/>
      <c r="LYI24" s="157"/>
      <c r="LYJ24" s="157"/>
      <c r="LYK24" s="157"/>
      <c r="LYL24" s="157"/>
      <c r="LYM24" s="157"/>
      <c r="LYN24" s="157"/>
      <c r="LYO24" s="157"/>
      <c r="LYP24" s="157"/>
      <c r="LYQ24" s="157"/>
      <c r="LYR24" s="157"/>
      <c r="LYS24" s="157"/>
      <c r="LYT24" s="157"/>
      <c r="LYU24" s="157"/>
      <c r="LYV24" s="157"/>
      <c r="LYW24" s="157"/>
      <c r="LYX24" s="157"/>
      <c r="LYY24" s="157"/>
      <c r="LYZ24" s="157"/>
      <c r="LZA24" s="157"/>
      <c r="LZB24" s="157"/>
      <c r="LZC24" s="157"/>
      <c r="LZD24" s="157"/>
      <c r="LZE24" s="157"/>
      <c r="LZF24" s="157"/>
      <c r="LZG24" s="157"/>
      <c r="LZH24" s="157"/>
      <c r="LZI24" s="157"/>
      <c r="LZJ24" s="157"/>
      <c r="LZK24" s="157"/>
      <c r="LZL24" s="157"/>
      <c r="LZM24" s="157"/>
      <c r="LZN24" s="157"/>
      <c r="LZO24" s="157"/>
      <c r="LZP24" s="157"/>
      <c r="LZQ24" s="157"/>
      <c r="LZR24" s="157"/>
      <c r="LZS24" s="157"/>
      <c r="LZT24" s="157"/>
      <c r="LZU24" s="157"/>
      <c r="LZV24" s="157"/>
      <c r="LZW24" s="157"/>
      <c r="LZX24" s="157"/>
      <c r="LZY24" s="157"/>
      <c r="LZZ24" s="157"/>
      <c r="MAA24" s="157"/>
      <c r="MAB24" s="157"/>
      <c r="MAC24" s="157"/>
      <c r="MAD24" s="157"/>
      <c r="MAE24" s="157"/>
      <c r="MAF24" s="157"/>
      <c r="MAG24" s="157"/>
      <c r="MAH24" s="157"/>
      <c r="MAI24" s="157"/>
      <c r="MAJ24" s="157"/>
      <c r="MAK24" s="157"/>
      <c r="MAL24" s="157"/>
      <c r="MAM24" s="157"/>
      <c r="MAN24" s="157"/>
      <c r="MAO24" s="157"/>
      <c r="MAP24" s="157"/>
      <c r="MAQ24" s="157"/>
      <c r="MAR24" s="157"/>
      <c r="MAS24" s="157"/>
      <c r="MAT24" s="157"/>
      <c r="MAU24" s="157"/>
      <c r="MAV24" s="157"/>
      <c r="MAW24" s="157"/>
      <c r="MAX24" s="157"/>
      <c r="MAY24" s="157"/>
      <c r="MAZ24" s="157"/>
      <c r="MBA24" s="157"/>
      <c r="MBB24" s="157"/>
      <c r="MBC24" s="157"/>
      <c r="MBD24" s="157"/>
      <c r="MBE24" s="157"/>
      <c r="MBF24" s="157"/>
      <c r="MBG24" s="157"/>
      <c r="MBH24" s="157"/>
      <c r="MBI24" s="157"/>
      <c r="MBJ24" s="157"/>
      <c r="MBK24" s="157"/>
      <c r="MBL24" s="157"/>
      <c r="MBM24" s="157"/>
      <c r="MBN24" s="157"/>
      <c r="MBO24" s="157"/>
      <c r="MBP24" s="157"/>
      <c r="MBQ24" s="157"/>
      <c r="MBR24" s="157"/>
      <c r="MBS24" s="157"/>
      <c r="MBT24" s="157"/>
      <c r="MBU24" s="157"/>
      <c r="MBV24" s="157"/>
      <c r="MBW24" s="157"/>
      <c r="MBX24" s="157"/>
      <c r="MBY24" s="157"/>
      <c r="MBZ24" s="157"/>
      <c r="MCA24" s="157"/>
      <c r="MCB24" s="157"/>
      <c r="MCC24" s="157"/>
      <c r="MCD24" s="157"/>
      <c r="MCE24" s="157"/>
      <c r="MCF24" s="157"/>
      <c r="MCG24" s="157"/>
      <c r="MCH24" s="157"/>
      <c r="MCI24" s="157"/>
      <c r="MCJ24" s="157"/>
      <c r="MCK24" s="157"/>
      <c r="MCL24" s="157"/>
      <c r="MCM24" s="157"/>
      <c r="MCN24" s="157"/>
      <c r="MCO24" s="157"/>
      <c r="MCP24" s="157"/>
      <c r="MCQ24" s="157"/>
      <c r="MCR24" s="157"/>
      <c r="MCS24" s="157"/>
      <c r="MCT24" s="157"/>
      <c r="MCU24" s="157"/>
      <c r="MCV24" s="157"/>
      <c r="MCW24" s="157"/>
      <c r="MCX24" s="157"/>
      <c r="MCY24" s="157"/>
      <c r="MCZ24" s="157"/>
      <c r="MDA24" s="157"/>
      <c r="MDB24" s="157"/>
      <c r="MDC24" s="157"/>
      <c r="MDD24" s="157"/>
      <c r="MDE24" s="157"/>
      <c r="MDF24" s="157"/>
      <c r="MDG24" s="157"/>
      <c r="MDH24" s="157"/>
      <c r="MDI24" s="157"/>
      <c r="MDJ24" s="157"/>
      <c r="MDK24" s="157"/>
      <c r="MDL24" s="157"/>
      <c r="MDM24" s="157"/>
      <c r="MDN24" s="157"/>
      <c r="MDO24" s="157"/>
      <c r="MDP24" s="157"/>
      <c r="MDQ24" s="157"/>
      <c r="MDR24" s="157"/>
      <c r="MDS24" s="157"/>
      <c r="MDT24" s="157"/>
      <c r="MDU24" s="157"/>
      <c r="MDV24" s="157"/>
      <c r="MDW24" s="157"/>
      <c r="MDX24" s="157"/>
      <c r="MDY24" s="157"/>
      <c r="MDZ24" s="157"/>
      <c r="MEA24" s="157"/>
      <c r="MEB24" s="157"/>
      <c r="MEC24" s="157"/>
      <c r="MED24" s="157"/>
      <c r="MEE24" s="157"/>
      <c r="MEF24" s="157"/>
      <c r="MEG24" s="157"/>
      <c r="MEH24" s="157"/>
      <c r="MEI24" s="157"/>
      <c r="MEJ24" s="157"/>
      <c r="MEK24" s="157"/>
      <c r="MEL24" s="157"/>
      <c r="MEM24" s="157"/>
      <c r="MEN24" s="157"/>
      <c r="MEO24" s="157"/>
      <c r="MEP24" s="157"/>
      <c r="MEQ24" s="157"/>
      <c r="MER24" s="157"/>
      <c r="MES24" s="157"/>
      <c r="MET24" s="157"/>
      <c r="MEU24" s="157"/>
      <c r="MEV24" s="157"/>
      <c r="MEW24" s="157"/>
      <c r="MEX24" s="157"/>
      <c r="MEY24" s="157"/>
      <c r="MEZ24" s="157"/>
      <c r="MFA24" s="157"/>
      <c r="MFB24" s="157"/>
      <c r="MFC24" s="157"/>
      <c r="MFD24" s="157"/>
      <c r="MFE24" s="157"/>
      <c r="MFF24" s="157"/>
      <c r="MFG24" s="157"/>
      <c r="MFH24" s="157"/>
      <c r="MFI24" s="157"/>
      <c r="MFJ24" s="157"/>
      <c r="MFK24" s="157"/>
      <c r="MFL24" s="157"/>
      <c r="MFM24" s="157"/>
      <c r="MFN24" s="157"/>
      <c r="MFO24" s="157"/>
      <c r="MFP24" s="157"/>
      <c r="MFQ24" s="157"/>
      <c r="MFR24" s="157"/>
      <c r="MFS24" s="157"/>
      <c r="MFT24" s="157"/>
      <c r="MFU24" s="157"/>
      <c r="MFV24" s="157"/>
      <c r="MFW24" s="157"/>
      <c r="MFX24" s="157"/>
      <c r="MFY24" s="157"/>
      <c r="MFZ24" s="157"/>
      <c r="MGA24" s="157"/>
      <c r="MGB24" s="157"/>
      <c r="MGC24" s="157"/>
      <c r="MGD24" s="157"/>
      <c r="MGE24" s="157"/>
      <c r="MGF24" s="157"/>
      <c r="MGG24" s="157"/>
      <c r="MGH24" s="157"/>
      <c r="MGI24" s="157"/>
      <c r="MGJ24" s="157"/>
      <c r="MGK24" s="157"/>
      <c r="MGL24" s="157"/>
      <c r="MGM24" s="157"/>
      <c r="MGN24" s="157"/>
      <c r="MGO24" s="157"/>
      <c r="MGP24" s="157"/>
      <c r="MGQ24" s="157"/>
      <c r="MGR24" s="157"/>
      <c r="MGS24" s="157"/>
      <c r="MGT24" s="157"/>
      <c r="MGU24" s="157"/>
      <c r="MGV24" s="157"/>
      <c r="MGW24" s="157"/>
      <c r="MGX24" s="157"/>
      <c r="MGY24" s="157"/>
      <c r="MGZ24" s="157"/>
      <c r="MHA24" s="157"/>
      <c r="MHB24" s="157"/>
      <c r="MHC24" s="157"/>
      <c r="MHD24" s="157"/>
      <c r="MHE24" s="157"/>
      <c r="MHF24" s="157"/>
      <c r="MHG24" s="157"/>
      <c r="MHH24" s="157"/>
      <c r="MHI24" s="157"/>
      <c r="MHJ24" s="157"/>
      <c r="MHK24" s="157"/>
      <c r="MHL24" s="157"/>
      <c r="MHM24" s="157"/>
      <c r="MHN24" s="157"/>
      <c r="MHO24" s="157"/>
      <c r="MHP24" s="157"/>
      <c r="MHQ24" s="157"/>
      <c r="MHR24" s="157"/>
      <c r="MHS24" s="157"/>
      <c r="MHT24" s="157"/>
      <c r="MHU24" s="157"/>
      <c r="MHV24" s="157"/>
      <c r="MHW24" s="157"/>
      <c r="MHX24" s="157"/>
      <c r="MHY24" s="157"/>
      <c r="MHZ24" s="157"/>
      <c r="MIA24" s="157"/>
      <c r="MIB24" s="157"/>
      <c r="MIC24" s="157"/>
      <c r="MID24" s="157"/>
      <c r="MIE24" s="157"/>
      <c r="MIF24" s="157"/>
      <c r="MIG24" s="157"/>
      <c r="MIH24" s="157"/>
      <c r="MII24" s="157"/>
      <c r="MIJ24" s="157"/>
      <c r="MIK24" s="157"/>
      <c r="MIL24" s="157"/>
      <c r="MIM24" s="157"/>
      <c r="MIN24" s="157"/>
      <c r="MIO24" s="157"/>
      <c r="MIP24" s="157"/>
      <c r="MIQ24" s="157"/>
      <c r="MIR24" s="157"/>
      <c r="MIS24" s="157"/>
      <c r="MIT24" s="157"/>
      <c r="MIU24" s="157"/>
      <c r="MIV24" s="157"/>
      <c r="MIW24" s="157"/>
      <c r="MIX24" s="157"/>
      <c r="MIY24" s="157"/>
      <c r="MIZ24" s="157"/>
      <c r="MJA24" s="157"/>
      <c r="MJB24" s="157"/>
      <c r="MJC24" s="157"/>
      <c r="MJD24" s="157"/>
      <c r="MJE24" s="157"/>
      <c r="MJF24" s="157"/>
      <c r="MJG24" s="157"/>
      <c r="MJH24" s="157"/>
      <c r="MJI24" s="157"/>
      <c r="MJJ24" s="157"/>
      <c r="MJK24" s="157"/>
      <c r="MJL24" s="157"/>
      <c r="MJM24" s="157"/>
      <c r="MJN24" s="157"/>
      <c r="MJO24" s="157"/>
      <c r="MJP24" s="157"/>
      <c r="MJQ24" s="157"/>
      <c r="MJR24" s="157"/>
      <c r="MJS24" s="157"/>
      <c r="MJT24" s="157"/>
      <c r="MJU24" s="157"/>
      <c r="MJV24" s="157"/>
      <c r="MJW24" s="157"/>
      <c r="MJX24" s="157"/>
      <c r="MJY24" s="157"/>
      <c r="MJZ24" s="157"/>
      <c r="MKA24" s="157"/>
      <c r="MKB24" s="157"/>
      <c r="MKC24" s="157"/>
      <c r="MKD24" s="157"/>
      <c r="MKE24" s="157"/>
      <c r="MKF24" s="157"/>
      <c r="MKG24" s="157"/>
      <c r="MKH24" s="157"/>
      <c r="MKI24" s="157"/>
      <c r="MKJ24" s="157"/>
      <c r="MKK24" s="157"/>
      <c r="MKL24" s="157"/>
      <c r="MKM24" s="157"/>
      <c r="MKN24" s="157"/>
      <c r="MKO24" s="157"/>
      <c r="MKP24" s="157"/>
      <c r="MKQ24" s="157"/>
      <c r="MKR24" s="157"/>
      <c r="MKS24" s="157"/>
      <c r="MKT24" s="157"/>
      <c r="MKU24" s="157"/>
      <c r="MKV24" s="157"/>
      <c r="MKW24" s="157"/>
      <c r="MKX24" s="157"/>
      <c r="MKY24" s="157"/>
      <c r="MKZ24" s="157"/>
      <c r="MLA24" s="157"/>
      <c r="MLB24" s="157"/>
      <c r="MLC24" s="157"/>
      <c r="MLD24" s="157"/>
      <c r="MLE24" s="157"/>
      <c r="MLF24" s="157"/>
      <c r="MLG24" s="157"/>
      <c r="MLH24" s="157"/>
      <c r="MLI24" s="157"/>
      <c r="MLJ24" s="157"/>
      <c r="MLK24" s="157"/>
      <c r="MLL24" s="157"/>
      <c r="MLM24" s="157"/>
      <c r="MLN24" s="157"/>
      <c r="MLO24" s="157"/>
      <c r="MLP24" s="157"/>
      <c r="MLQ24" s="157"/>
      <c r="MLR24" s="157"/>
      <c r="MLS24" s="157"/>
      <c r="MLT24" s="157"/>
      <c r="MLU24" s="157"/>
      <c r="MLV24" s="157"/>
      <c r="MLW24" s="157"/>
      <c r="MLX24" s="157"/>
      <c r="MLY24" s="157"/>
      <c r="MLZ24" s="157"/>
      <c r="MMA24" s="157"/>
      <c r="MMB24" s="157"/>
      <c r="MMC24" s="157"/>
      <c r="MMD24" s="157"/>
      <c r="MME24" s="157"/>
      <c r="MMF24" s="157"/>
      <c r="MMG24" s="157"/>
      <c r="MMH24" s="157"/>
      <c r="MMI24" s="157"/>
      <c r="MMJ24" s="157"/>
      <c r="MMK24" s="157"/>
      <c r="MML24" s="157"/>
      <c r="MMM24" s="157"/>
      <c r="MMN24" s="157"/>
      <c r="MMO24" s="157"/>
      <c r="MMP24" s="157"/>
      <c r="MMQ24" s="157"/>
      <c r="MMR24" s="157"/>
      <c r="MMS24" s="157"/>
      <c r="MMT24" s="157"/>
      <c r="MMU24" s="157"/>
      <c r="MMV24" s="157"/>
      <c r="MMW24" s="157"/>
      <c r="MMX24" s="157"/>
      <c r="MMY24" s="157"/>
      <c r="MMZ24" s="157"/>
      <c r="MNA24" s="157"/>
      <c r="MNB24" s="157"/>
      <c r="MNC24" s="157"/>
      <c r="MND24" s="157"/>
      <c r="MNE24" s="157"/>
      <c r="MNF24" s="157"/>
      <c r="MNG24" s="157"/>
      <c r="MNH24" s="157"/>
      <c r="MNI24" s="157"/>
      <c r="MNJ24" s="157"/>
      <c r="MNK24" s="157"/>
      <c r="MNL24" s="157"/>
      <c r="MNM24" s="157"/>
      <c r="MNN24" s="157"/>
      <c r="MNO24" s="157"/>
      <c r="MNP24" s="157"/>
      <c r="MNQ24" s="157"/>
      <c r="MNR24" s="157"/>
      <c r="MNS24" s="157"/>
      <c r="MNT24" s="157"/>
      <c r="MNU24" s="157"/>
      <c r="MNV24" s="157"/>
      <c r="MNW24" s="157"/>
      <c r="MNX24" s="157"/>
      <c r="MNY24" s="157"/>
      <c r="MNZ24" s="157"/>
      <c r="MOA24" s="157"/>
      <c r="MOB24" s="157"/>
      <c r="MOC24" s="157"/>
      <c r="MOD24" s="157"/>
      <c r="MOE24" s="157"/>
      <c r="MOF24" s="157"/>
      <c r="MOG24" s="157"/>
      <c r="MOH24" s="157"/>
      <c r="MOI24" s="157"/>
      <c r="MOJ24" s="157"/>
      <c r="MOK24" s="157"/>
      <c r="MOL24" s="157"/>
      <c r="MOM24" s="157"/>
      <c r="MON24" s="157"/>
      <c r="MOO24" s="157"/>
      <c r="MOP24" s="157"/>
      <c r="MOQ24" s="157"/>
      <c r="MOR24" s="157"/>
      <c r="MOS24" s="157"/>
      <c r="MOT24" s="157"/>
      <c r="MOU24" s="157"/>
      <c r="MOV24" s="157"/>
      <c r="MOW24" s="157"/>
      <c r="MOX24" s="157"/>
      <c r="MOY24" s="157"/>
      <c r="MOZ24" s="157"/>
      <c r="MPA24" s="157"/>
      <c r="MPB24" s="157"/>
      <c r="MPC24" s="157"/>
      <c r="MPD24" s="157"/>
      <c r="MPE24" s="157"/>
      <c r="MPF24" s="157"/>
      <c r="MPG24" s="157"/>
      <c r="MPH24" s="157"/>
      <c r="MPI24" s="157"/>
      <c r="MPJ24" s="157"/>
      <c r="MPK24" s="157"/>
      <c r="MPL24" s="157"/>
      <c r="MPM24" s="157"/>
      <c r="MPN24" s="157"/>
      <c r="MPO24" s="157"/>
      <c r="MPP24" s="157"/>
      <c r="MPQ24" s="157"/>
      <c r="MPR24" s="157"/>
      <c r="MPS24" s="157"/>
      <c r="MPT24" s="157"/>
      <c r="MPU24" s="157"/>
      <c r="MPV24" s="157"/>
      <c r="MPW24" s="157"/>
      <c r="MPX24" s="157"/>
      <c r="MPY24" s="157"/>
      <c r="MPZ24" s="157"/>
      <c r="MQA24" s="157"/>
      <c r="MQB24" s="157"/>
      <c r="MQC24" s="157"/>
      <c r="MQD24" s="157"/>
      <c r="MQE24" s="157"/>
      <c r="MQF24" s="157"/>
      <c r="MQG24" s="157"/>
      <c r="MQH24" s="157"/>
      <c r="MQI24" s="157"/>
      <c r="MQJ24" s="157"/>
      <c r="MQK24" s="157"/>
      <c r="MQL24" s="157"/>
      <c r="MQM24" s="157"/>
      <c r="MQN24" s="157"/>
      <c r="MQO24" s="157"/>
      <c r="MQP24" s="157"/>
      <c r="MQQ24" s="157"/>
      <c r="MQR24" s="157"/>
      <c r="MQS24" s="157"/>
      <c r="MQT24" s="157"/>
      <c r="MQU24" s="157"/>
      <c r="MQV24" s="157"/>
      <c r="MQW24" s="157"/>
      <c r="MQX24" s="157"/>
      <c r="MQY24" s="157"/>
      <c r="MQZ24" s="157"/>
      <c r="MRA24" s="157"/>
      <c r="MRB24" s="157"/>
      <c r="MRC24" s="157"/>
      <c r="MRD24" s="157"/>
      <c r="MRE24" s="157"/>
      <c r="MRF24" s="157"/>
      <c r="MRG24" s="157"/>
      <c r="MRH24" s="157"/>
      <c r="MRI24" s="157"/>
      <c r="MRJ24" s="157"/>
      <c r="MRK24" s="157"/>
      <c r="MRL24" s="157"/>
      <c r="MRM24" s="157"/>
      <c r="MRN24" s="157"/>
      <c r="MRO24" s="157"/>
      <c r="MRP24" s="157"/>
      <c r="MRQ24" s="157"/>
      <c r="MRR24" s="157"/>
      <c r="MRS24" s="157"/>
      <c r="MRT24" s="157"/>
      <c r="MRU24" s="157"/>
      <c r="MRV24" s="157"/>
      <c r="MRW24" s="157"/>
      <c r="MRX24" s="157"/>
      <c r="MRY24" s="157"/>
      <c r="MRZ24" s="157"/>
      <c r="MSA24" s="157"/>
      <c r="MSB24" s="157"/>
      <c r="MSC24" s="157"/>
      <c r="MSD24" s="157"/>
      <c r="MSE24" s="157"/>
      <c r="MSF24" s="157"/>
      <c r="MSG24" s="157"/>
      <c r="MSH24" s="157"/>
      <c r="MSI24" s="157"/>
      <c r="MSJ24" s="157"/>
      <c r="MSK24" s="157"/>
      <c r="MSL24" s="157"/>
      <c r="MSM24" s="157"/>
      <c r="MSN24" s="157"/>
      <c r="MSO24" s="157"/>
      <c r="MSP24" s="157"/>
      <c r="MSQ24" s="157"/>
      <c r="MSR24" s="157"/>
      <c r="MSS24" s="157"/>
      <c r="MST24" s="157"/>
      <c r="MSU24" s="157"/>
      <c r="MSV24" s="157"/>
      <c r="MSW24" s="157"/>
      <c r="MSX24" s="157"/>
      <c r="MSY24" s="157"/>
      <c r="MSZ24" s="157"/>
      <c r="MTA24" s="157"/>
      <c r="MTB24" s="157"/>
      <c r="MTC24" s="157"/>
      <c r="MTD24" s="157"/>
      <c r="MTE24" s="157"/>
      <c r="MTF24" s="157"/>
      <c r="MTG24" s="157"/>
      <c r="MTH24" s="157"/>
      <c r="MTI24" s="157"/>
      <c r="MTJ24" s="157"/>
      <c r="MTK24" s="157"/>
      <c r="MTL24" s="157"/>
      <c r="MTM24" s="157"/>
      <c r="MTN24" s="157"/>
      <c r="MTO24" s="157"/>
      <c r="MTP24" s="157"/>
      <c r="MTQ24" s="157"/>
      <c r="MTR24" s="157"/>
      <c r="MTS24" s="157"/>
      <c r="MTT24" s="157"/>
      <c r="MTU24" s="157"/>
      <c r="MTV24" s="157"/>
      <c r="MTW24" s="157"/>
      <c r="MTX24" s="157"/>
      <c r="MTY24" s="157"/>
      <c r="MTZ24" s="157"/>
      <c r="MUA24" s="157"/>
      <c r="MUB24" s="157"/>
      <c r="MUC24" s="157"/>
      <c r="MUD24" s="157"/>
      <c r="MUE24" s="157"/>
      <c r="MUF24" s="157"/>
      <c r="MUG24" s="157"/>
      <c r="MUH24" s="157"/>
      <c r="MUI24" s="157"/>
      <c r="MUJ24" s="157"/>
      <c r="MUK24" s="157"/>
      <c r="MUL24" s="157"/>
      <c r="MUM24" s="157"/>
      <c r="MUN24" s="157"/>
      <c r="MUO24" s="157"/>
      <c r="MUP24" s="157"/>
      <c r="MUQ24" s="157"/>
      <c r="MUR24" s="157"/>
      <c r="MUS24" s="157"/>
      <c r="MUT24" s="157"/>
      <c r="MUU24" s="157"/>
      <c r="MUV24" s="157"/>
      <c r="MUW24" s="157"/>
      <c r="MUX24" s="157"/>
      <c r="MUY24" s="157"/>
      <c r="MUZ24" s="157"/>
      <c r="MVA24" s="157"/>
      <c r="MVB24" s="157"/>
      <c r="MVC24" s="157"/>
      <c r="MVD24" s="157"/>
      <c r="MVE24" s="157"/>
      <c r="MVF24" s="157"/>
      <c r="MVG24" s="157"/>
      <c r="MVH24" s="157"/>
      <c r="MVI24" s="157"/>
      <c r="MVJ24" s="157"/>
      <c r="MVK24" s="157"/>
      <c r="MVL24" s="157"/>
      <c r="MVM24" s="157"/>
      <c r="MVN24" s="157"/>
      <c r="MVO24" s="157"/>
      <c r="MVP24" s="157"/>
      <c r="MVQ24" s="157"/>
      <c r="MVR24" s="157"/>
      <c r="MVS24" s="157"/>
      <c r="MVT24" s="157"/>
      <c r="MVU24" s="157"/>
      <c r="MVV24" s="157"/>
      <c r="MVW24" s="157"/>
      <c r="MVX24" s="157"/>
      <c r="MVY24" s="157"/>
      <c r="MVZ24" s="157"/>
      <c r="MWA24" s="157"/>
      <c r="MWB24" s="157"/>
      <c r="MWC24" s="157"/>
      <c r="MWD24" s="157"/>
      <c r="MWE24" s="157"/>
      <c r="MWF24" s="157"/>
      <c r="MWG24" s="157"/>
      <c r="MWH24" s="157"/>
      <c r="MWI24" s="157"/>
      <c r="MWJ24" s="157"/>
      <c r="MWK24" s="157"/>
      <c r="MWL24" s="157"/>
      <c r="MWM24" s="157"/>
      <c r="MWN24" s="157"/>
      <c r="MWO24" s="157"/>
      <c r="MWP24" s="157"/>
      <c r="MWQ24" s="157"/>
      <c r="MWR24" s="157"/>
      <c r="MWS24" s="157"/>
      <c r="MWT24" s="157"/>
      <c r="MWU24" s="157"/>
      <c r="MWV24" s="157"/>
      <c r="MWW24" s="157"/>
      <c r="MWX24" s="157"/>
      <c r="MWY24" s="157"/>
      <c r="MWZ24" s="157"/>
      <c r="MXA24" s="157"/>
      <c r="MXB24" s="157"/>
      <c r="MXC24" s="157"/>
      <c r="MXD24" s="157"/>
      <c r="MXE24" s="157"/>
      <c r="MXF24" s="157"/>
      <c r="MXG24" s="157"/>
      <c r="MXH24" s="157"/>
      <c r="MXI24" s="157"/>
      <c r="MXJ24" s="157"/>
      <c r="MXK24" s="157"/>
      <c r="MXL24" s="157"/>
      <c r="MXM24" s="157"/>
      <c r="MXN24" s="157"/>
      <c r="MXO24" s="157"/>
      <c r="MXP24" s="157"/>
      <c r="MXQ24" s="157"/>
      <c r="MXR24" s="157"/>
      <c r="MXS24" s="157"/>
      <c r="MXT24" s="157"/>
      <c r="MXU24" s="157"/>
      <c r="MXV24" s="157"/>
      <c r="MXW24" s="157"/>
      <c r="MXX24" s="157"/>
      <c r="MXY24" s="157"/>
      <c r="MXZ24" s="157"/>
      <c r="MYA24" s="157"/>
      <c r="MYB24" s="157"/>
      <c r="MYC24" s="157"/>
      <c r="MYD24" s="157"/>
      <c r="MYE24" s="157"/>
      <c r="MYF24" s="157"/>
      <c r="MYG24" s="157"/>
      <c r="MYH24" s="157"/>
      <c r="MYI24" s="157"/>
      <c r="MYJ24" s="157"/>
      <c r="MYK24" s="157"/>
      <c r="MYL24" s="157"/>
      <c r="MYM24" s="157"/>
      <c r="MYN24" s="157"/>
      <c r="MYO24" s="157"/>
      <c r="MYP24" s="157"/>
      <c r="MYQ24" s="157"/>
      <c r="MYR24" s="157"/>
      <c r="MYS24" s="157"/>
      <c r="MYT24" s="157"/>
      <c r="MYU24" s="157"/>
      <c r="MYV24" s="157"/>
      <c r="MYW24" s="157"/>
      <c r="MYX24" s="157"/>
      <c r="MYY24" s="157"/>
      <c r="MYZ24" s="157"/>
      <c r="MZA24" s="157"/>
      <c r="MZB24" s="157"/>
      <c r="MZC24" s="157"/>
      <c r="MZD24" s="157"/>
      <c r="MZE24" s="157"/>
      <c r="MZF24" s="157"/>
      <c r="MZG24" s="157"/>
      <c r="MZH24" s="157"/>
      <c r="MZI24" s="157"/>
      <c r="MZJ24" s="157"/>
      <c r="MZK24" s="157"/>
      <c r="MZL24" s="157"/>
      <c r="MZM24" s="157"/>
      <c r="MZN24" s="157"/>
      <c r="MZO24" s="157"/>
      <c r="MZP24" s="157"/>
      <c r="MZQ24" s="157"/>
      <c r="MZR24" s="157"/>
      <c r="MZS24" s="157"/>
      <c r="MZT24" s="157"/>
      <c r="MZU24" s="157"/>
      <c r="MZV24" s="157"/>
      <c r="MZW24" s="157"/>
      <c r="MZX24" s="157"/>
      <c r="MZY24" s="157"/>
      <c r="MZZ24" s="157"/>
      <c r="NAA24" s="157"/>
      <c r="NAB24" s="157"/>
      <c r="NAC24" s="157"/>
      <c r="NAD24" s="157"/>
      <c r="NAE24" s="157"/>
      <c r="NAF24" s="157"/>
      <c r="NAG24" s="157"/>
      <c r="NAH24" s="157"/>
      <c r="NAI24" s="157"/>
      <c r="NAJ24" s="157"/>
      <c r="NAK24" s="157"/>
      <c r="NAL24" s="157"/>
      <c r="NAM24" s="157"/>
      <c r="NAN24" s="157"/>
      <c r="NAO24" s="157"/>
      <c r="NAP24" s="157"/>
      <c r="NAQ24" s="157"/>
      <c r="NAR24" s="157"/>
      <c r="NAS24" s="157"/>
      <c r="NAT24" s="157"/>
      <c r="NAU24" s="157"/>
      <c r="NAV24" s="157"/>
      <c r="NAW24" s="157"/>
      <c r="NAX24" s="157"/>
      <c r="NAY24" s="157"/>
      <c r="NAZ24" s="157"/>
      <c r="NBA24" s="157"/>
      <c r="NBB24" s="157"/>
      <c r="NBC24" s="157"/>
      <c r="NBD24" s="157"/>
      <c r="NBE24" s="157"/>
      <c r="NBF24" s="157"/>
      <c r="NBG24" s="157"/>
      <c r="NBH24" s="157"/>
      <c r="NBI24" s="157"/>
      <c r="NBJ24" s="157"/>
      <c r="NBK24" s="157"/>
      <c r="NBL24" s="157"/>
      <c r="NBM24" s="157"/>
      <c r="NBN24" s="157"/>
      <c r="NBO24" s="157"/>
      <c r="NBP24" s="157"/>
      <c r="NBQ24" s="157"/>
      <c r="NBR24" s="157"/>
      <c r="NBS24" s="157"/>
      <c r="NBT24" s="157"/>
      <c r="NBU24" s="157"/>
      <c r="NBV24" s="157"/>
      <c r="NBW24" s="157"/>
      <c r="NBX24" s="157"/>
      <c r="NBY24" s="157"/>
      <c r="NBZ24" s="157"/>
      <c r="NCA24" s="157"/>
      <c r="NCB24" s="157"/>
      <c r="NCC24" s="157"/>
      <c r="NCD24" s="157"/>
      <c r="NCE24" s="157"/>
      <c r="NCF24" s="157"/>
      <c r="NCG24" s="157"/>
      <c r="NCH24" s="157"/>
      <c r="NCI24" s="157"/>
      <c r="NCJ24" s="157"/>
      <c r="NCK24" s="157"/>
      <c r="NCL24" s="157"/>
      <c r="NCM24" s="157"/>
      <c r="NCN24" s="157"/>
      <c r="NCO24" s="157"/>
      <c r="NCP24" s="157"/>
      <c r="NCQ24" s="157"/>
      <c r="NCR24" s="157"/>
      <c r="NCS24" s="157"/>
      <c r="NCT24" s="157"/>
      <c r="NCU24" s="157"/>
      <c r="NCV24" s="157"/>
      <c r="NCW24" s="157"/>
      <c r="NCX24" s="157"/>
      <c r="NCY24" s="157"/>
      <c r="NCZ24" s="157"/>
      <c r="NDA24" s="157"/>
      <c r="NDB24" s="157"/>
      <c r="NDC24" s="157"/>
      <c r="NDD24" s="157"/>
      <c r="NDE24" s="157"/>
      <c r="NDF24" s="157"/>
      <c r="NDG24" s="157"/>
      <c r="NDH24" s="157"/>
      <c r="NDI24" s="157"/>
      <c r="NDJ24" s="157"/>
      <c r="NDK24" s="157"/>
      <c r="NDL24" s="157"/>
      <c r="NDM24" s="157"/>
      <c r="NDN24" s="157"/>
      <c r="NDO24" s="157"/>
      <c r="NDP24" s="157"/>
      <c r="NDQ24" s="157"/>
      <c r="NDR24" s="157"/>
      <c r="NDS24" s="157"/>
      <c r="NDT24" s="157"/>
      <c r="NDU24" s="157"/>
      <c r="NDV24" s="157"/>
      <c r="NDW24" s="157"/>
      <c r="NDX24" s="157"/>
      <c r="NDY24" s="157"/>
      <c r="NDZ24" s="157"/>
      <c r="NEA24" s="157"/>
      <c r="NEB24" s="157"/>
      <c r="NEC24" s="157"/>
      <c r="NED24" s="157"/>
      <c r="NEE24" s="157"/>
      <c r="NEF24" s="157"/>
      <c r="NEG24" s="157"/>
      <c r="NEH24" s="157"/>
      <c r="NEI24" s="157"/>
      <c r="NEJ24" s="157"/>
      <c r="NEK24" s="157"/>
      <c r="NEL24" s="157"/>
      <c r="NEM24" s="157"/>
      <c r="NEN24" s="157"/>
      <c r="NEO24" s="157"/>
      <c r="NEP24" s="157"/>
      <c r="NEQ24" s="157"/>
      <c r="NER24" s="157"/>
      <c r="NES24" s="157"/>
      <c r="NET24" s="157"/>
      <c r="NEU24" s="157"/>
      <c r="NEV24" s="157"/>
      <c r="NEW24" s="157"/>
      <c r="NEX24" s="157"/>
      <c r="NEY24" s="157"/>
      <c r="NEZ24" s="157"/>
      <c r="NFA24" s="157"/>
      <c r="NFB24" s="157"/>
      <c r="NFC24" s="157"/>
      <c r="NFD24" s="157"/>
      <c r="NFE24" s="157"/>
      <c r="NFF24" s="157"/>
      <c r="NFG24" s="157"/>
      <c r="NFH24" s="157"/>
      <c r="NFI24" s="157"/>
      <c r="NFJ24" s="157"/>
      <c r="NFK24" s="157"/>
      <c r="NFL24" s="157"/>
      <c r="NFM24" s="157"/>
      <c r="NFN24" s="157"/>
      <c r="NFO24" s="157"/>
      <c r="NFP24" s="157"/>
      <c r="NFQ24" s="157"/>
      <c r="NFR24" s="157"/>
      <c r="NFS24" s="157"/>
      <c r="NFT24" s="157"/>
      <c r="NFU24" s="157"/>
      <c r="NFV24" s="157"/>
      <c r="NFW24" s="157"/>
      <c r="NFX24" s="157"/>
      <c r="NFY24" s="157"/>
      <c r="NFZ24" s="157"/>
      <c r="NGA24" s="157"/>
      <c r="NGB24" s="157"/>
      <c r="NGC24" s="157"/>
      <c r="NGD24" s="157"/>
      <c r="NGE24" s="157"/>
      <c r="NGF24" s="157"/>
      <c r="NGG24" s="157"/>
      <c r="NGH24" s="157"/>
      <c r="NGI24" s="157"/>
      <c r="NGJ24" s="157"/>
      <c r="NGK24" s="157"/>
      <c r="NGL24" s="157"/>
      <c r="NGM24" s="157"/>
      <c r="NGN24" s="157"/>
      <c r="NGO24" s="157"/>
      <c r="NGP24" s="157"/>
      <c r="NGQ24" s="157"/>
      <c r="NGR24" s="157"/>
      <c r="NGS24" s="157"/>
      <c r="NGT24" s="157"/>
      <c r="NGU24" s="157"/>
      <c r="NGV24" s="157"/>
      <c r="NGW24" s="157"/>
      <c r="NGX24" s="157"/>
      <c r="NGY24" s="157"/>
      <c r="NGZ24" s="157"/>
      <c r="NHA24" s="157"/>
      <c r="NHB24" s="157"/>
      <c r="NHC24" s="157"/>
      <c r="NHD24" s="157"/>
      <c r="NHE24" s="157"/>
      <c r="NHF24" s="157"/>
      <c r="NHG24" s="157"/>
      <c r="NHH24" s="157"/>
      <c r="NHI24" s="157"/>
      <c r="NHJ24" s="157"/>
      <c r="NHK24" s="157"/>
      <c r="NHL24" s="157"/>
      <c r="NHM24" s="157"/>
      <c r="NHN24" s="157"/>
      <c r="NHO24" s="157"/>
      <c r="NHP24" s="157"/>
      <c r="NHQ24" s="157"/>
      <c r="NHR24" s="157"/>
      <c r="NHS24" s="157"/>
      <c r="NHT24" s="157"/>
      <c r="NHU24" s="157"/>
      <c r="NHV24" s="157"/>
      <c r="NHW24" s="157"/>
      <c r="NHX24" s="157"/>
      <c r="NHY24" s="157"/>
      <c r="NHZ24" s="157"/>
      <c r="NIA24" s="157"/>
      <c r="NIB24" s="157"/>
      <c r="NIC24" s="157"/>
      <c r="NID24" s="157"/>
      <c r="NIE24" s="157"/>
      <c r="NIF24" s="157"/>
      <c r="NIG24" s="157"/>
      <c r="NIH24" s="157"/>
      <c r="NII24" s="157"/>
      <c r="NIJ24" s="157"/>
      <c r="NIK24" s="157"/>
      <c r="NIL24" s="157"/>
      <c r="NIM24" s="157"/>
      <c r="NIN24" s="157"/>
      <c r="NIO24" s="157"/>
      <c r="NIP24" s="157"/>
      <c r="NIQ24" s="157"/>
      <c r="NIR24" s="157"/>
      <c r="NIS24" s="157"/>
      <c r="NIT24" s="157"/>
      <c r="NIU24" s="157"/>
      <c r="NIV24" s="157"/>
      <c r="NIW24" s="157"/>
      <c r="NIX24" s="157"/>
      <c r="NIY24" s="157"/>
      <c r="NIZ24" s="157"/>
      <c r="NJA24" s="157"/>
      <c r="NJB24" s="157"/>
      <c r="NJC24" s="157"/>
      <c r="NJD24" s="157"/>
      <c r="NJE24" s="157"/>
      <c r="NJF24" s="157"/>
      <c r="NJG24" s="157"/>
      <c r="NJH24" s="157"/>
      <c r="NJI24" s="157"/>
      <c r="NJJ24" s="157"/>
      <c r="NJK24" s="157"/>
      <c r="NJL24" s="157"/>
      <c r="NJM24" s="157"/>
      <c r="NJN24" s="157"/>
      <c r="NJO24" s="157"/>
      <c r="NJP24" s="157"/>
      <c r="NJQ24" s="157"/>
      <c r="NJR24" s="157"/>
      <c r="NJS24" s="157"/>
      <c r="NJT24" s="157"/>
      <c r="NJU24" s="157"/>
      <c r="NJV24" s="157"/>
      <c r="NJW24" s="157"/>
      <c r="NJX24" s="157"/>
      <c r="NJY24" s="157"/>
      <c r="NJZ24" s="157"/>
      <c r="NKA24" s="157"/>
      <c r="NKB24" s="157"/>
      <c r="NKC24" s="157"/>
      <c r="NKD24" s="157"/>
      <c r="NKE24" s="157"/>
      <c r="NKF24" s="157"/>
      <c r="NKG24" s="157"/>
      <c r="NKH24" s="157"/>
      <c r="NKI24" s="157"/>
      <c r="NKJ24" s="157"/>
      <c r="NKK24" s="157"/>
      <c r="NKL24" s="157"/>
      <c r="NKM24" s="157"/>
      <c r="NKN24" s="157"/>
      <c r="NKO24" s="157"/>
      <c r="NKP24" s="157"/>
      <c r="NKQ24" s="157"/>
      <c r="NKR24" s="157"/>
      <c r="NKS24" s="157"/>
      <c r="NKT24" s="157"/>
      <c r="NKU24" s="157"/>
      <c r="NKV24" s="157"/>
      <c r="NKW24" s="157"/>
      <c r="NKX24" s="157"/>
      <c r="NKY24" s="157"/>
      <c r="NKZ24" s="157"/>
      <c r="NLA24" s="157"/>
      <c r="NLB24" s="157"/>
      <c r="NLC24" s="157"/>
      <c r="NLD24" s="157"/>
      <c r="NLE24" s="157"/>
      <c r="NLF24" s="157"/>
      <c r="NLG24" s="157"/>
      <c r="NLH24" s="157"/>
      <c r="NLI24" s="157"/>
      <c r="NLJ24" s="157"/>
      <c r="NLK24" s="157"/>
      <c r="NLL24" s="157"/>
      <c r="NLM24" s="157"/>
      <c r="NLN24" s="157"/>
      <c r="NLO24" s="157"/>
      <c r="NLP24" s="157"/>
      <c r="NLQ24" s="157"/>
      <c r="NLR24" s="157"/>
      <c r="NLS24" s="157"/>
      <c r="NLT24" s="157"/>
      <c r="NLU24" s="157"/>
      <c r="NLV24" s="157"/>
      <c r="NLW24" s="157"/>
      <c r="NLX24" s="157"/>
      <c r="NLY24" s="157"/>
      <c r="NLZ24" s="157"/>
      <c r="NMA24" s="157"/>
      <c r="NMB24" s="157"/>
      <c r="NMC24" s="157"/>
      <c r="NMD24" s="157"/>
      <c r="NME24" s="157"/>
      <c r="NMF24" s="157"/>
      <c r="NMG24" s="157"/>
      <c r="NMH24" s="157"/>
      <c r="NMI24" s="157"/>
      <c r="NMJ24" s="157"/>
      <c r="NMK24" s="157"/>
      <c r="NML24" s="157"/>
      <c r="NMM24" s="157"/>
      <c r="NMN24" s="157"/>
      <c r="NMO24" s="157"/>
      <c r="NMP24" s="157"/>
      <c r="NMQ24" s="157"/>
      <c r="NMR24" s="157"/>
      <c r="NMS24" s="157"/>
      <c r="NMT24" s="157"/>
      <c r="NMU24" s="157"/>
      <c r="NMV24" s="157"/>
      <c r="NMW24" s="157"/>
      <c r="NMX24" s="157"/>
      <c r="NMY24" s="157"/>
      <c r="NMZ24" s="157"/>
      <c r="NNA24" s="157"/>
      <c r="NNB24" s="157"/>
      <c r="NNC24" s="157"/>
      <c r="NND24" s="157"/>
      <c r="NNE24" s="157"/>
      <c r="NNF24" s="157"/>
      <c r="NNG24" s="157"/>
      <c r="NNH24" s="157"/>
      <c r="NNI24" s="157"/>
      <c r="NNJ24" s="157"/>
      <c r="NNK24" s="157"/>
      <c r="NNL24" s="157"/>
      <c r="NNM24" s="157"/>
      <c r="NNN24" s="157"/>
      <c r="NNO24" s="157"/>
      <c r="NNP24" s="157"/>
      <c r="NNQ24" s="157"/>
      <c r="NNR24" s="157"/>
      <c r="NNS24" s="157"/>
      <c r="NNT24" s="157"/>
      <c r="NNU24" s="157"/>
      <c r="NNV24" s="157"/>
      <c r="NNW24" s="157"/>
      <c r="NNX24" s="157"/>
      <c r="NNY24" s="157"/>
      <c r="NNZ24" s="157"/>
      <c r="NOA24" s="157"/>
      <c r="NOB24" s="157"/>
      <c r="NOC24" s="157"/>
      <c r="NOD24" s="157"/>
      <c r="NOE24" s="157"/>
      <c r="NOF24" s="157"/>
      <c r="NOG24" s="157"/>
      <c r="NOH24" s="157"/>
      <c r="NOI24" s="157"/>
      <c r="NOJ24" s="157"/>
      <c r="NOK24" s="157"/>
      <c r="NOL24" s="157"/>
      <c r="NOM24" s="157"/>
      <c r="NON24" s="157"/>
      <c r="NOO24" s="157"/>
      <c r="NOP24" s="157"/>
      <c r="NOQ24" s="157"/>
      <c r="NOR24" s="157"/>
      <c r="NOS24" s="157"/>
      <c r="NOT24" s="157"/>
      <c r="NOU24" s="157"/>
      <c r="NOV24" s="157"/>
      <c r="NOW24" s="157"/>
      <c r="NOX24" s="157"/>
      <c r="NOY24" s="157"/>
      <c r="NOZ24" s="157"/>
      <c r="NPA24" s="157"/>
      <c r="NPB24" s="157"/>
      <c r="NPC24" s="157"/>
      <c r="NPD24" s="157"/>
      <c r="NPE24" s="157"/>
      <c r="NPF24" s="157"/>
      <c r="NPG24" s="157"/>
      <c r="NPH24" s="157"/>
      <c r="NPI24" s="157"/>
      <c r="NPJ24" s="157"/>
      <c r="NPK24" s="157"/>
      <c r="NPL24" s="157"/>
      <c r="NPM24" s="157"/>
      <c r="NPN24" s="157"/>
      <c r="NPO24" s="157"/>
      <c r="NPP24" s="157"/>
      <c r="NPQ24" s="157"/>
      <c r="NPR24" s="157"/>
      <c r="NPS24" s="157"/>
      <c r="NPT24" s="157"/>
      <c r="NPU24" s="157"/>
      <c r="NPV24" s="157"/>
      <c r="NPW24" s="157"/>
      <c r="NPX24" s="157"/>
      <c r="NPY24" s="157"/>
      <c r="NPZ24" s="157"/>
      <c r="NQA24" s="157"/>
      <c r="NQB24" s="157"/>
      <c r="NQC24" s="157"/>
      <c r="NQD24" s="157"/>
      <c r="NQE24" s="157"/>
      <c r="NQF24" s="157"/>
      <c r="NQG24" s="157"/>
      <c r="NQH24" s="157"/>
      <c r="NQI24" s="157"/>
      <c r="NQJ24" s="157"/>
      <c r="NQK24" s="157"/>
      <c r="NQL24" s="157"/>
      <c r="NQM24" s="157"/>
      <c r="NQN24" s="157"/>
      <c r="NQO24" s="157"/>
      <c r="NQP24" s="157"/>
      <c r="NQQ24" s="157"/>
      <c r="NQR24" s="157"/>
      <c r="NQS24" s="157"/>
      <c r="NQT24" s="157"/>
      <c r="NQU24" s="157"/>
      <c r="NQV24" s="157"/>
      <c r="NQW24" s="157"/>
      <c r="NQX24" s="157"/>
      <c r="NQY24" s="157"/>
      <c r="NQZ24" s="157"/>
      <c r="NRA24" s="157"/>
      <c r="NRB24" s="157"/>
      <c r="NRC24" s="157"/>
      <c r="NRD24" s="157"/>
      <c r="NRE24" s="157"/>
      <c r="NRF24" s="157"/>
      <c r="NRG24" s="157"/>
      <c r="NRH24" s="157"/>
      <c r="NRI24" s="157"/>
      <c r="NRJ24" s="157"/>
      <c r="NRK24" s="157"/>
      <c r="NRL24" s="157"/>
      <c r="NRM24" s="157"/>
      <c r="NRN24" s="157"/>
      <c r="NRO24" s="157"/>
      <c r="NRP24" s="157"/>
      <c r="NRQ24" s="157"/>
      <c r="NRR24" s="157"/>
      <c r="NRS24" s="157"/>
      <c r="NRT24" s="157"/>
      <c r="NRU24" s="157"/>
      <c r="NRV24" s="157"/>
      <c r="NRW24" s="157"/>
      <c r="NRX24" s="157"/>
      <c r="NRY24" s="157"/>
      <c r="NRZ24" s="157"/>
      <c r="NSA24" s="157"/>
      <c r="NSB24" s="157"/>
      <c r="NSC24" s="157"/>
      <c r="NSD24" s="157"/>
      <c r="NSE24" s="157"/>
      <c r="NSF24" s="157"/>
      <c r="NSG24" s="157"/>
      <c r="NSH24" s="157"/>
      <c r="NSI24" s="157"/>
      <c r="NSJ24" s="157"/>
      <c r="NSK24" s="157"/>
      <c r="NSL24" s="157"/>
      <c r="NSM24" s="157"/>
      <c r="NSN24" s="157"/>
      <c r="NSO24" s="157"/>
      <c r="NSP24" s="157"/>
      <c r="NSQ24" s="157"/>
      <c r="NSR24" s="157"/>
      <c r="NSS24" s="157"/>
      <c r="NST24" s="157"/>
      <c r="NSU24" s="157"/>
      <c r="NSV24" s="157"/>
      <c r="NSW24" s="157"/>
      <c r="NSX24" s="157"/>
      <c r="NSY24" s="157"/>
      <c r="NSZ24" s="157"/>
      <c r="NTA24" s="157"/>
      <c r="NTB24" s="157"/>
      <c r="NTC24" s="157"/>
      <c r="NTD24" s="157"/>
      <c r="NTE24" s="157"/>
      <c r="NTF24" s="157"/>
      <c r="NTG24" s="157"/>
      <c r="NTH24" s="157"/>
      <c r="NTI24" s="157"/>
      <c r="NTJ24" s="157"/>
      <c r="NTK24" s="157"/>
      <c r="NTL24" s="157"/>
      <c r="NTM24" s="157"/>
      <c r="NTN24" s="157"/>
      <c r="NTO24" s="157"/>
      <c r="NTP24" s="157"/>
      <c r="NTQ24" s="157"/>
      <c r="NTR24" s="157"/>
      <c r="NTS24" s="157"/>
      <c r="NTT24" s="157"/>
      <c r="NTU24" s="157"/>
      <c r="NTV24" s="157"/>
      <c r="NTW24" s="157"/>
      <c r="NTX24" s="157"/>
      <c r="NTY24" s="157"/>
      <c r="NTZ24" s="157"/>
      <c r="NUA24" s="157"/>
      <c r="NUB24" s="157"/>
      <c r="NUC24" s="157"/>
      <c r="NUD24" s="157"/>
      <c r="NUE24" s="157"/>
      <c r="NUF24" s="157"/>
      <c r="NUG24" s="157"/>
      <c r="NUH24" s="157"/>
      <c r="NUI24" s="157"/>
      <c r="NUJ24" s="157"/>
      <c r="NUK24" s="157"/>
      <c r="NUL24" s="157"/>
      <c r="NUM24" s="157"/>
      <c r="NUN24" s="157"/>
      <c r="NUO24" s="157"/>
      <c r="NUP24" s="157"/>
      <c r="NUQ24" s="157"/>
      <c r="NUR24" s="157"/>
      <c r="NUS24" s="157"/>
      <c r="NUT24" s="157"/>
      <c r="NUU24" s="157"/>
      <c r="NUV24" s="157"/>
      <c r="NUW24" s="157"/>
      <c r="NUX24" s="157"/>
      <c r="NUY24" s="157"/>
      <c r="NUZ24" s="157"/>
      <c r="NVA24" s="157"/>
      <c r="NVB24" s="157"/>
      <c r="NVC24" s="157"/>
      <c r="NVD24" s="157"/>
      <c r="NVE24" s="157"/>
      <c r="NVF24" s="157"/>
      <c r="NVG24" s="157"/>
      <c r="NVH24" s="157"/>
      <c r="NVI24" s="157"/>
      <c r="NVJ24" s="157"/>
      <c r="NVK24" s="157"/>
      <c r="NVL24" s="157"/>
      <c r="NVM24" s="157"/>
      <c r="NVN24" s="157"/>
      <c r="NVO24" s="157"/>
      <c r="NVP24" s="157"/>
      <c r="NVQ24" s="157"/>
      <c r="NVR24" s="157"/>
      <c r="NVS24" s="157"/>
      <c r="NVT24" s="157"/>
      <c r="NVU24" s="157"/>
      <c r="NVV24" s="157"/>
      <c r="NVW24" s="157"/>
      <c r="NVX24" s="157"/>
      <c r="NVY24" s="157"/>
      <c r="NVZ24" s="157"/>
      <c r="NWA24" s="157"/>
      <c r="NWB24" s="157"/>
      <c r="NWC24" s="157"/>
      <c r="NWD24" s="157"/>
      <c r="NWE24" s="157"/>
      <c r="NWF24" s="157"/>
      <c r="NWG24" s="157"/>
      <c r="NWH24" s="157"/>
      <c r="NWI24" s="157"/>
      <c r="NWJ24" s="157"/>
      <c r="NWK24" s="157"/>
      <c r="NWL24" s="157"/>
      <c r="NWM24" s="157"/>
      <c r="NWN24" s="157"/>
      <c r="NWO24" s="157"/>
      <c r="NWP24" s="157"/>
      <c r="NWQ24" s="157"/>
      <c r="NWR24" s="157"/>
      <c r="NWS24" s="157"/>
      <c r="NWT24" s="157"/>
      <c r="NWU24" s="157"/>
      <c r="NWV24" s="157"/>
      <c r="NWW24" s="157"/>
      <c r="NWX24" s="157"/>
      <c r="NWY24" s="157"/>
      <c r="NWZ24" s="157"/>
      <c r="NXA24" s="157"/>
      <c r="NXB24" s="157"/>
      <c r="NXC24" s="157"/>
      <c r="NXD24" s="157"/>
      <c r="NXE24" s="157"/>
      <c r="NXF24" s="157"/>
      <c r="NXG24" s="157"/>
      <c r="NXH24" s="157"/>
      <c r="NXI24" s="157"/>
      <c r="NXJ24" s="157"/>
      <c r="NXK24" s="157"/>
      <c r="NXL24" s="157"/>
      <c r="NXM24" s="157"/>
      <c r="NXN24" s="157"/>
      <c r="NXO24" s="157"/>
      <c r="NXP24" s="157"/>
      <c r="NXQ24" s="157"/>
      <c r="NXR24" s="157"/>
      <c r="NXS24" s="157"/>
      <c r="NXT24" s="157"/>
      <c r="NXU24" s="157"/>
      <c r="NXV24" s="157"/>
      <c r="NXW24" s="157"/>
      <c r="NXX24" s="157"/>
      <c r="NXY24" s="157"/>
      <c r="NXZ24" s="157"/>
      <c r="NYA24" s="157"/>
      <c r="NYB24" s="157"/>
      <c r="NYC24" s="157"/>
      <c r="NYD24" s="157"/>
      <c r="NYE24" s="157"/>
      <c r="NYF24" s="157"/>
      <c r="NYG24" s="157"/>
      <c r="NYH24" s="157"/>
      <c r="NYI24" s="157"/>
      <c r="NYJ24" s="157"/>
      <c r="NYK24" s="157"/>
      <c r="NYL24" s="157"/>
      <c r="NYM24" s="157"/>
      <c r="NYN24" s="157"/>
      <c r="NYO24" s="157"/>
      <c r="NYP24" s="157"/>
      <c r="NYQ24" s="157"/>
      <c r="NYR24" s="157"/>
      <c r="NYS24" s="157"/>
      <c r="NYT24" s="157"/>
      <c r="NYU24" s="157"/>
      <c r="NYV24" s="157"/>
      <c r="NYW24" s="157"/>
      <c r="NYX24" s="157"/>
      <c r="NYY24" s="157"/>
      <c r="NYZ24" s="157"/>
      <c r="NZA24" s="157"/>
      <c r="NZB24" s="157"/>
      <c r="NZC24" s="157"/>
      <c r="NZD24" s="157"/>
      <c r="NZE24" s="157"/>
      <c r="NZF24" s="157"/>
      <c r="NZG24" s="157"/>
      <c r="NZH24" s="157"/>
      <c r="NZI24" s="157"/>
      <c r="NZJ24" s="157"/>
      <c r="NZK24" s="157"/>
      <c r="NZL24" s="157"/>
      <c r="NZM24" s="157"/>
      <c r="NZN24" s="157"/>
      <c r="NZO24" s="157"/>
      <c r="NZP24" s="157"/>
      <c r="NZQ24" s="157"/>
      <c r="NZR24" s="157"/>
      <c r="NZS24" s="157"/>
      <c r="NZT24" s="157"/>
      <c r="NZU24" s="157"/>
      <c r="NZV24" s="157"/>
      <c r="NZW24" s="157"/>
      <c r="NZX24" s="157"/>
      <c r="NZY24" s="157"/>
      <c r="NZZ24" s="157"/>
      <c r="OAA24" s="157"/>
      <c r="OAB24" s="157"/>
      <c r="OAC24" s="157"/>
      <c r="OAD24" s="157"/>
      <c r="OAE24" s="157"/>
      <c r="OAF24" s="157"/>
      <c r="OAG24" s="157"/>
      <c r="OAH24" s="157"/>
      <c r="OAI24" s="157"/>
      <c r="OAJ24" s="157"/>
      <c r="OAK24" s="157"/>
      <c r="OAL24" s="157"/>
      <c r="OAM24" s="157"/>
      <c r="OAN24" s="157"/>
      <c r="OAO24" s="157"/>
      <c r="OAP24" s="157"/>
      <c r="OAQ24" s="157"/>
      <c r="OAR24" s="157"/>
      <c r="OAS24" s="157"/>
      <c r="OAT24" s="157"/>
      <c r="OAU24" s="157"/>
      <c r="OAV24" s="157"/>
      <c r="OAW24" s="157"/>
      <c r="OAX24" s="157"/>
      <c r="OAY24" s="157"/>
      <c r="OAZ24" s="157"/>
      <c r="OBA24" s="157"/>
      <c r="OBB24" s="157"/>
      <c r="OBC24" s="157"/>
      <c r="OBD24" s="157"/>
      <c r="OBE24" s="157"/>
      <c r="OBF24" s="157"/>
      <c r="OBG24" s="157"/>
      <c r="OBH24" s="157"/>
      <c r="OBI24" s="157"/>
      <c r="OBJ24" s="157"/>
      <c r="OBK24" s="157"/>
      <c r="OBL24" s="157"/>
      <c r="OBM24" s="157"/>
      <c r="OBN24" s="157"/>
      <c r="OBO24" s="157"/>
      <c r="OBP24" s="157"/>
      <c r="OBQ24" s="157"/>
      <c r="OBR24" s="157"/>
      <c r="OBS24" s="157"/>
      <c r="OBT24" s="157"/>
      <c r="OBU24" s="157"/>
      <c r="OBV24" s="157"/>
      <c r="OBW24" s="157"/>
      <c r="OBX24" s="157"/>
      <c r="OBY24" s="157"/>
      <c r="OBZ24" s="157"/>
      <c r="OCA24" s="157"/>
      <c r="OCB24" s="157"/>
      <c r="OCC24" s="157"/>
      <c r="OCD24" s="157"/>
      <c r="OCE24" s="157"/>
      <c r="OCF24" s="157"/>
      <c r="OCG24" s="157"/>
      <c r="OCH24" s="157"/>
      <c r="OCI24" s="157"/>
      <c r="OCJ24" s="157"/>
      <c r="OCK24" s="157"/>
      <c r="OCL24" s="157"/>
      <c r="OCM24" s="157"/>
      <c r="OCN24" s="157"/>
      <c r="OCO24" s="157"/>
      <c r="OCP24" s="157"/>
      <c r="OCQ24" s="157"/>
      <c r="OCR24" s="157"/>
      <c r="OCS24" s="157"/>
      <c r="OCT24" s="157"/>
      <c r="OCU24" s="157"/>
      <c r="OCV24" s="157"/>
      <c r="OCW24" s="157"/>
      <c r="OCX24" s="157"/>
      <c r="OCY24" s="157"/>
      <c r="OCZ24" s="157"/>
      <c r="ODA24" s="157"/>
      <c r="ODB24" s="157"/>
      <c r="ODC24" s="157"/>
      <c r="ODD24" s="157"/>
      <c r="ODE24" s="157"/>
      <c r="ODF24" s="157"/>
      <c r="ODG24" s="157"/>
      <c r="ODH24" s="157"/>
      <c r="ODI24" s="157"/>
      <c r="ODJ24" s="157"/>
      <c r="ODK24" s="157"/>
      <c r="ODL24" s="157"/>
      <c r="ODM24" s="157"/>
      <c r="ODN24" s="157"/>
      <c r="ODO24" s="157"/>
      <c r="ODP24" s="157"/>
      <c r="ODQ24" s="157"/>
      <c r="ODR24" s="157"/>
      <c r="ODS24" s="157"/>
      <c r="ODT24" s="157"/>
      <c r="ODU24" s="157"/>
      <c r="ODV24" s="157"/>
      <c r="ODW24" s="157"/>
      <c r="ODX24" s="157"/>
      <c r="ODY24" s="157"/>
      <c r="ODZ24" s="157"/>
      <c r="OEA24" s="157"/>
      <c r="OEB24" s="157"/>
      <c r="OEC24" s="157"/>
      <c r="OED24" s="157"/>
      <c r="OEE24" s="157"/>
      <c r="OEF24" s="157"/>
      <c r="OEG24" s="157"/>
      <c r="OEH24" s="157"/>
      <c r="OEI24" s="157"/>
      <c r="OEJ24" s="157"/>
      <c r="OEK24" s="157"/>
      <c r="OEL24" s="157"/>
      <c r="OEM24" s="157"/>
      <c r="OEN24" s="157"/>
      <c r="OEO24" s="157"/>
      <c r="OEP24" s="157"/>
      <c r="OEQ24" s="157"/>
      <c r="OER24" s="157"/>
      <c r="OES24" s="157"/>
      <c r="OET24" s="157"/>
      <c r="OEU24" s="157"/>
      <c r="OEV24" s="157"/>
      <c r="OEW24" s="157"/>
      <c r="OEX24" s="157"/>
      <c r="OEY24" s="157"/>
      <c r="OEZ24" s="157"/>
      <c r="OFA24" s="157"/>
      <c r="OFB24" s="157"/>
      <c r="OFC24" s="157"/>
      <c r="OFD24" s="157"/>
      <c r="OFE24" s="157"/>
      <c r="OFF24" s="157"/>
      <c r="OFG24" s="157"/>
      <c r="OFH24" s="157"/>
      <c r="OFI24" s="157"/>
      <c r="OFJ24" s="157"/>
      <c r="OFK24" s="157"/>
      <c r="OFL24" s="157"/>
      <c r="OFM24" s="157"/>
      <c r="OFN24" s="157"/>
      <c r="OFO24" s="157"/>
      <c r="OFP24" s="157"/>
      <c r="OFQ24" s="157"/>
      <c r="OFR24" s="157"/>
      <c r="OFS24" s="157"/>
      <c r="OFT24" s="157"/>
      <c r="OFU24" s="157"/>
      <c r="OFV24" s="157"/>
      <c r="OFW24" s="157"/>
      <c r="OFX24" s="157"/>
      <c r="OFY24" s="157"/>
      <c r="OFZ24" s="157"/>
      <c r="OGA24" s="157"/>
      <c r="OGB24" s="157"/>
      <c r="OGC24" s="157"/>
      <c r="OGD24" s="157"/>
      <c r="OGE24" s="157"/>
      <c r="OGF24" s="157"/>
      <c r="OGG24" s="157"/>
      <c r="OGH24" s="157"/>
      <c r="OGI24" s="157"/>
      <c r="OGJ24" s="157"/>
      <c r="OGK24" s="157"/>
      <c r="OGL24" s="157"/>
      <c r="OGM24" s="157"/>
      <c r="OGN24" s="157"/>
      <c r="OGO24" s="157"/>
      <c r="OGP24" s="157"/>
      <c r="OGQ24" s="157"/>
      <c r="OGR24" s="157"/>
      <c r="OGS24" s="157"/>
      <c r="OGT24" s="157"/>
      <c r="OGU24" s="157"/>
      <c r="OGV24" s="157"/>
      <c r="OGW24" s="157"/>
      <c r="OGX24" s="157"/>
      <c r="OGY24" s="157"/>
      <c r="OGZ24" s="157"/>
      <c r="OHA24" s="157"/>
      <c r="OHB24" s="157"/>
      <c r="OHC24" s="157"/>
      <c r="OHD24" s="157"/>
      <c r="OHE24" s="157"/>
      <c r="OHF24" s="157"/>
      <c r="OHG24" s="157"/>
      <c r="OHH24" s="157"/>
      <c r="OHI24" s="157"/>
      <c r="OHJ24" s="157"/>
      <c r="OHK24" s="157"/>
      <c r="OHL24" s="157"/>
      <c r="OHM24" s="157"/>
      <c r="OHN24" s="157"/>
      <c r="OHO24" s="157"/>
      <c r="OHP24" s="157"/>
      <c r="OHQ24" s="157"/>
      <c r="OHR24" s="157"/>
      <c r="OHS24" s="157"/>
      <c r="OHT24" s="157"/>
      <c r="OHU24" s="157"/>
      <c r="OHV24" s="157"/>
      <c r="OHW24" s="157"/>
      <c r="OHX24" s="157"/>
      <c r="OHY24" s="157"/>
      <c r="OHZ24" s="157"/>
      <c r="OIA24" s="157"/>
      <c r="OIB24" s="157"/>
      <c r="OIC24" s="157"/>
      <c r="OID24" s="157"/>
      <c r="OIE24" s="157"/>
      <c r="OIF24" s="157"/>
      <c r="OIG24" s="157"/>
      <c r="OIH24" s="157"/>
      <c r="OII24" s="157"/>
      <c r="OIJ24" s="157"/>
      <c r="OIK24" s="157"/>
      <c r="OIL24" s="157"/>
      <c r="OIM24" s="157"/>
      <c r="OIN24" s="157"/>
      <c r="OIO24" s="157"/>
      <c r="OIP24" s="157"/>
      <c r="OIQ24" s="157"/>
      <c r="OIR24" s="157"/>
      <c r="OIS24" s="157"/>
      <c r="OIT24" s="157"/>
      <c r="OIU24" s="157"/>
      <c r="OIV24" s="157"/>
      <c r="OIW24" s="157"/>
      <c r="OIX24" s="157"/>
      <c r="OIY24" s="157"/>
      <c r="OIZ24" s="157"/>
      <c r="OJA24" s="157"/>
      <c r="OJB24" s="157"/>
      <c r="OJC24" s="157"/>
      <c r="OJD24" s="157"/>
      <c r="OJE24" s="157"/>
      <c r="OJF24" s="157"/>
      <c r="OJG24" s="157"/>
      <c r="OJH24" s="157"/>
      <c r="OJI24" s="157"/>
      <c r="OJJ24" s="157"/>
      <c r="OJK24" s="157"/>
      <c r="OJL24" s="157"/>
      <c r="OJM24" s="157"/>
      <c r="OJN24" s="157"/>
      <c r="OJO24" s="157"/>
      <c r="OJP24" s="157"/>
      <c r="OJQ24" s="157"/>
      <c r="OJR24" s="157"/>
      <c r="OJS24" s="157"/>
      <c r="OJT24" s="157"/>
      <c r="OJU24" s="157"/>
      <c r="OJV24" s="157"/>
      <c r="OJW24" s="157"/>
      <c r="OJX24" s="157"/>
      <c r="OJY24" s="157"/>
      <c r="OJZ24" s="157"/>
      <c r="OKA24" s="157"/>
      <c r="OKB24" s="157"/>
      <c r="OKC24" s="157"/>
      <c r="OKD24" s="157"/>
      <c r="OKE24" s="157"/>
      <c r="OKF24" s="157"/>
      <c r="OKG24" s="157"/>
      <c r="OKH24" s="157"/>
      <c r="OKI24" s="157"/>
      <c r="OKJ24" s="157"/>
      <c r="OKK24" s="157"/>
      <c r="OKL24" s="157"/>
      <c r="OKM24" s="157"/>
      <c r="OKN24" s="157"/>
      <c r="OKO24" s="157"/>
      <c r="OKP24" s="157"/>
      <c r="OKQ24" s="157"/>
      <c r="OKR24" s="157"/>
      <c r="OKS24" s="157"/>
      <c r="OKT24" s="157"/>
      <c r="OKU24" s="157"/>
      <c r="OKV24" s="157"/>
      <c r="OKW24" s="157"/>
      <c r="OKX24" s="157"/>
      <c r="OKY24" s="157"/>
      <c r="OKZ24" s="157"/>
      <c r="OLA24" s="157"/>
      <c r="OLB24" s="157"/>
      <c r="OLC24" s="157"/>
      <c r="OLD24" s="157"/>
      <c r="OLE24" s="157"/>
      <c r="OLF24" s="157"/>
      <c r="OLG24" s="157"/>
      <c r="OLH24" s="157"/>
      <c r="OLI24" s="157"/>
      <c r="OLJ24" s="157"/>
      <c r="OLK24" s="157"/>
      <c r="OLL24" s="157"/>
      <c r="OLM24" s="157"/>
      <c r="OLN24" s="157"/>
      <c r="OLO24" s="157"/>
      <c r="OLP24" s="157"/>
      <c r="OLQ24" s="157"/>
      <c r="OLR24" s="157"/>
      <c r="OLS24" s="157"/>
      <c r="OLT24" s="157"/>
      <c r="OLU24" s="157"/>
      <c r="OLV24" s="157"/>
      <c r="OLW24" s="157"/>
      <c r="OLX24" s="157"/>
      <c r="OLY24" s="157"/>
      <c r="OLZ24" s="157"/>
      <c r="OMA24" s="157"/>
      <c r="OMB24" s="157"/>
      <c r="OMC24" s="157"/>
      <c r="OMD24" s="157"/>
      <c r="OME24" s="157"/>
      <c r="OMF24" s="157"/>
      <c r="OMG24" s="157"/>
      <c r="OMH24" s="157"/>
      <c r="OMI24" s="157"/>
      <c r="OMJ24" s="157"/>
      <c r="OMK24" s="157"/>
      <c r="OML24" s="157"/>
      <c r="OMM24" s="157"/>
      <c r="OMN24" s="157"/>
      <c r="OMO24" s="157"/>
      <c r="OMP24" s="157"/>
      <c r="OMQ24" s="157"/>
      <c r="OMR24" s="157"/>
      <c r="OMS24" s="157"/>
      <c r="OMT24" s="157"/>
      <c r="OMU24" s="157"/>
      <c r="OMV24" s="157"/>
      <c r="OMW24" s="157"/>
      <c r="OMX24" s="157"/>
      <c r="OMY24" s="157"/>
      <c r="OMZ24" s="157"/>
      <c r="ONA24" s="157"/>
      <c r="ONB24" s="157"/>
      <c r="ONC24" s="157"/>
      <c r="OND24" s="157"/>
      <c r="ONE24" s="157"/>
      <c r="ONF24" s="157"/>
      <c r="ONG24" s="157"/>
      <c r="ONH24" s="157"/>
      <c r="ONI24" s="157"/>
      <c r="ONJ24" s="157"/>
      <c r="ONK24" s="157"/>
      <c r="ONL24" s="157"/>
      <c r="ONM24" s="157"/>
      <c r="ONN24" s="157"/>
      <c r="ONO24" s="157"/>
      <c r="ONP24" s="157"/>
      <c r="ONQ24" s="157"/>
      <c r="ONR24" s="157"/>
      <c r="ONS24" s="157"/>
      <c r="ONT24" s="157"/>
      <c r="ONU24" s="157"/>
      <c r="ONV24" s="157"/>
      <c r="ONW24" s="157"/>
      <c r="ONX24" s="157"/>
      <c r="ONY24" s="157"/>
      <c r="ONZ24" s="157"/>
      <c r="OOA24" s="157"/>
      <c r="OOB24" s="157"/>
      <c r="OOC24" s="157"/>
      <c r="OOD24" s="157"/>
      <c r="OOE24" s="157"/>
      <c r="OOF24" s="157"/>
      <c r="OOG24" s="157"/>
      <c r="OOH24" s="157"/>
      <c r="OOI24" s="157"/>
      <c r="OOJ24" s="157"/>
      <c r="OOK24" s="157"/>
      <c r="OOL24" s="157"/>
      <c r="OOM24" s="157"/>
      <c r="OON24" s="157"/>
      <c r="OOO24" s="157"/>
      <c r="OOP24" s="157"/>
      <c r="OOQ24" s="157"/>
      <c r="OOR24" s="157"/>
      <c r="OOS24" s="157"/>
      <c r="OOT24" s="157"/>
      <c r="OOU24" s="157"/>
      <c r="OOV24" s="157"/>
      <c r="OOW24" s="157"/>
      <c r="OOX24" s="157"/>
      <c r="OOY24" s="157"/>
      <c r="OOZ24" s="157"/>
      <c r="OPA24" s="157"/>
      <c r="OPB24" s="157"/>
      <c r="OPC24" s="157"/>
      <c r="OPD24" s="157"/>
      <c r="OPE24" s="157"/>
      <c r="OPF24" s="157"/>
      <c r="OPG24" s="157"/>
      <c r="OPH24" s="157"/>
      <c r="OPI24" s="157"/>
      <c r="OPJ24" s="157"/>
      <c r="OPK24" s="157"/>
      <c r="OPL24" s="157"/>
      <c r="OPM24" s="157"/>
      <c r="OPN24" s="157"/>
      <c r="OPO24" s="157"/>
      <c r="OPP24" s="157"/>
      <c r="OPQ24" s="157"/>
      <c r="OPR24" s="157"/>
      <c r="OPS24" s="157"/>
      <c r="OPT24" s="157"/>
      <c r="OPU24" s="157"/>
      <c r="OPV24" s="157"/>
      <c r="OPW24" s="157"/>
      <c r="OPX24" s="157"/>
      <c r="OPY24" s="157"/>
      <c r="OPZ24" s="157"/>
      <c r="OQA24" s="157"/>
      <c r="OQB24" s="157"/>
      <c r="OQC24" s="157"/>
      <c r="OQD24" s="157"/>
      <c r="OQE24" s="157"/>
      <c r="OQF24" s="157"/>
      <c r="OQG24" s="157"/>
      <c r="OQH24" s="157"/>
      <c r="OQI24" s="157"/>
      <c r="OQJ24" s="157"/>
      <c r="OQK24" s="157"/>
      <c r="OQL24" s="157"/>
      <c r="OQM24" s="157"/>
      <c r="OQN24" s="157"/>
      <c r="OQO24" s="157"/>
      <c r="OQP24" s="157"/>
      <c r="OQQ24" s="157"/>
      <c r="OQR24" s="157"/>
      <c r="OQS24" s="157"/>
      <c r="OQT24" s="157"/>
      <c r="OQU24" s="157"/>
      <c r="OQV24" s="157"/>
      <c r="OQW24" s="157"/>
      <c r="OQX24" s="157"/>
      <c r="OQY24" s="157"/>
      <c r="OQZ24" s="157"/>
      <c r="ORA24" s="157"/>
      <c r="ORB24" s="157"/>
      <c r="ORC24" s="157"/>
      <c r="ORD24" s="157"/>
      <c r="ORE24" s="157"/>
      <c r="ORF24" s="157"/>
      <c r="ORG24" s="157"/>
      <c r="ORH24" s="157"/>
      <c r="ORI24" s="157"/>
      <c r="ORJ24" s="157"/>
      <c r="ORK24" s="157"/>
      <c r="ORL24" s="157"/>
      <c r="ORM24" s="157"/>
      <c r="ORN24" s="157"/>
      <c r="ORO24" s="157"/>
      <c r="ORP24" s="157"/>
      <c r="ORQ24" s="157"/>
      <c r="ORR24" s="157"/>
      <c r="ORS24" s="157"/>
      <c r="ORT24" s="157"/>
      <c r="ORU24" s="157"/>
      <c r="ORV24" s="157"/>
      <c r="ORW24" s="157"/>
      <c r="ORX24" s="157"/>
      <c r="ORY24" s="157"/>
      <c r="ORZ24" s="157"/>
      <c r="OSA24" s="157"/>
      <c r="OSB24" s="157"/>
      <c r="OSC24" s="157"/>
      <c r="OSD24" s="157"/>
      <c r="OSE24" s="157"/>
      <c r="OSF24" s="157"/>
      <c r="OSG24" s="157"/>
      <c r="OSH24" s="157"/>
      <c r="OSI24" s="157"/>
      <c r="OSJ24" s="157"/>
      <c r="OSK24" s="157"/>
      <c r="OSL24" s="157"/>
      <c r="OSM24" s="157"/>
      <c r="OSN24" s="157"/>
      <c r="OSO24" s="157"/>
      <c r="OSP24" s="157"/>
      <c r="OSQ24" s="157"/>
      <c r="OSR24" s="157"/>
      <c r="OSS24" s="157"/>
      <c r="OST24" s="157"/>
      <c r="OSU24" s="157"/>
      <c r="OSV24" s="157"/>
      <c r="OSW24" s="157"/>
      <c r="OSX24" s="157"/>
      <c r="OSY24" s="157"/>
      <c r="OSZ24" s="157"/>
      <c r="OTA24" s="157"/>
      <c r="OTB24" s="157"/>
      <c r="OTC24" s="157"/>
      <c r="OTD24" s="157"/>
      <c r="OTE24" s="157"/>
      <c r="OTF24" s="157"/>
      <c r="OTG24" s="157"/>
      <c r="OTH24" s="157"/>
      <c r="OTI24" s="157"/>
      <c r="OTJ24" s="157"/>
      <c r="OTK24" s="157"/>
      <c r="OTL24" s="157"/>
      <c r="OTM24" s="157"/>
      <c r="OTN24" s="157"/>
      <c r="OTO24" s="157"/>
      <c r="OTP24" s="157"/>
      <c r="OTQ24" s="157"/>
      <c r="OTR24" s="157"/>
      <c r="OTS24" s="157"/>
      <c r="OTT24" s="157"/>
      <c r="OTU24" s="157"/>
      <c r="OTV24" s="157"/>
      <c r="OTW24" s="157"/>
      <c r="OTX24" s="157"/>
      <c r="OTY24" s="157"/>
      <c r="OTZ24" s="157"/>
      <c r="OUA24" s="157"/>
      <c r="OUB24" s="157"/>
      <c r="OUC24" s="157"/>
      <c r="OUD24" s="157"/>
      <c r="OUE24" s="157"/>
      <c r="OUF24" s="157"/>
      <c r="OUG24" s="157"/>
      <c r="OUH24" s="157"/>
      <c r="OUI24" s="157"/>
      <c r="OUJ24" s="157"/>
      <c r="OUK24" s="157"/>
      <c r="OUL24" s="157"/>
      <c r="OUM24" s="157"/>
      <c r="OUN24" s="157"/>
      <c r="OUO24" s="157"/>
      <c r="OUP24" s="157"/>
      <c r="OUQ24" s="157"/>
      <c r="OUR24" s="157"/>
      <c r="OUS24" s="157"/>
      <c r="OUT24" s="157"/>
      <c r="OUU24" s="157"/>
      <c r="OUV24" s="157"/>
      <c r="OUW24" s="157"/>
      <c r="OUX24" s="157"/>
      <c r="OUY24" s="157"/>
      <c r="OUZ24" s="157"/>
      <c r="OVA24" s="157"/>
      <c r="OVB24" s="157"/>
      <c r="OVC24" s="157"/>
      <c r="OVD24" s="157"/>
      <c r="OVE24" s="157"/>
      <c r="OVF24" s="157"/>
      <c r="OVG24" s="157"/>
      <c r="OVH24" s="157"/>
      <c r="OVI24" s="157"/>
      <c r="OVJ24" s="157"/>
      <c r="OVK24" s="157"/>
      <c r="OVL24" s="157"/>
      <c r="OVM24" s="157"/>
      <c r="OVN24" s="157"/>
      <c r="OVO24" s="157"/>
      <c r="OVP24" s="157"/>
      <c r="OVQ24" s="157"/>
      <c r="OVR24" s="157"/>
      <c r="OVS24" s="157"/>
      <c r="OVT24" s="157"/>
      <c r="OVU24" s="157"/>
      <c r="OVV24" s="157"/>
      <c r="OVW24" s="157"/>
      <c r="OVX24" s="157"/>
      <c r="OVY24" s="157"/>
      <c r="OVZ24" s="157"/>
      <c r="OWA24" s="157"/>
      <c r="OWB24" s="157"/>
      <c r="OWC24" s="157"/>
      <c r="OWD24" s="157"/>
      <c r="OWE24" s="157"/>
      <c r="OWF24" s="157"/>
      <c r="OWG24" s="157"/>
      <c r="OWH24" s="157"/>
      <c r="OWI24" s="157"/>
      <c r="OWJ24" s="157"/>
      <c r="OWK24" s="157"/>
      <c r="OWL24" s="157"/>
      <c r="OWM24" s="157"/>
      <c r="OWN24" s="157"/>
      <c r="OWO24" s="157"/>
      <c r="OWP24" s="157"/>
      <c r="OWQ24" s="157"/>
      <c r="OWR24" s="157"/>
      <c r="OWS24" s="157"/>
      <c r="OWT24" s="157"/>
      <c r="OWU24" s="157"/>
      <c r="OWV24" s="157"/>
      <c r="OWW24" s="157"/>
      <c r="OWX24" s="157"/>
      <c r="OWY24" s="157"/>
      <c r="OWZ24" s="157"/>
      <c r="OXA24" s="157"/>
      <c r="OXB24" s="157"/>
      <c r="OXC24" s="157"/>
      <c r="OXD24" s="157"/>
      <c r="OXE24" s="157"/>
      <c r="OXF24" s="157"/>
      <c r="OXG24" s="157"/>
      <c r="OXH24" s="157"/>
      <c r="OXI24" s="157"/>
      <c r="OXJ24" s="157"/>
      <c r="OXK24" s="157"/>
      <c r="OXL24" s="157"/>
      <c r="OXM24" s="157"/>
      <c r="OXN24" s="157"/>
      <c r="OXO24" s="157"/>
      <c r="OXP24" s="157"/>
      <c r="OXQ24" s="157"/>
      <c r="OXR24" s="157"/>
      <c r="OXS24" s="157"/>
      <c r="OXT24" s="157"/>
      <c r="OXU24" s="157"/>
      <c r="OXV24" s="157"/>
      <c r="OXW24" s="157"/>
      <c r="OXX24" s="157"/>
      <c r="OXY24" s="157"/>
      <c r="OXZ24" s="157"/>
      <c r="OYA24" s="157"/>
      <c r="OYB24" s="157"/>
      <c r="OYC24" s="157"/>
      <c r="OYD24" s="157"/>
      <c r="OYE24" s="157"/>
      <c r="OYF24" s="157"/>
      <c r="OYG24" s="157"/>
      <c r="OYH24" s="157"/>
      <c r="OYI24" s="157"/>
      <c r="OYJ24" s="157"/>
      <c r="OYK24" s="157"/>
      <c r="OYL24" s="157"/>
      <c r="OYM24" s="157"/>
      <c r="OYN24" s="157"/>
      <c r="OYO24" s="157"/>
      <c r="OYP24" s="157"/>
      <c r="OYQ24" s="157"/>
      <c r="OYR24" s="157"/>
      <c r="OYS24" s="157"/>
      <c r="OYT24" s="157"/>
      <c r="OYU24" s="157"/>
      <c r="OYV24" s="157"/>
      <c r="OYW24" s="157"/>
      <c r="OYX24" s="157"/>
      <c r="OYY24" s="157"/>
      <c r="OYZ24" s="157"/>
      <c r="OZA24" s="157"/>
      <c r="OZB24" s="157"/>
      <c r="OZC24" s="157"/>
      <c r="OZD24" s="157"/>
      <c r="OZE24" s="157"/>
      <c r="OZF24" s="157"/>
      <c r="OZG24" s="157"/>
      <c r="OZH24" s="157"/>
      <c r="OZI24" s="157"/>
      <c r="OZJ24" s="157"/>
      <c r="OZK24" s="157"/>
      <c r="OZL24" s="157"/>
      <c r="OZM24" s="157"/>
      <c r="OZN24" s="157"/>
      <c r="OZO24" s="157"/>
      <c r="OZP24" s="157"/>
      <c r="OZQ24" s="157"/>
      <c r="OZR24" s="157"/>
      <c r="OZS24" s="157"/>
      <c r="OZT24" s="157"/>
      <c r="OZU24" s="157"/>
      <c r="OZV24" s="157"/>
      <c r="OZW24" s="157"/>
      <c r="OZX24" s="157"/>
      <c r="OZY24" s="157"/>
      <c r="OZZ24" s="157"/>
      <c r="PAA24" s="157"/>
      <c r="PAB24" s="157"/>
      <c r="PAC24" s="157"/>
      <c r="PAD24" s="157"/>
      <c r="PAE24" s="157"/>
      <c r="PAF24" s="157"/>
      <c r="PAG24" s="157"/>
      <c r="PAH24" s="157"/>
      <c r="PAI24" s="157"/>
      <c r="PAJ24" s="157"/>
      <c r="PAK24" s="157"/>
      <c r="PAL24" s="157"/>
      <c r="PAM24" s="157"/>
      <c r="PAN24" s="157"/>
      <c r="PAO24" s="157"/>
      <c r="PAP24" s="157"/>
      <c r="PAQ24" s="157"/>
      <c r="PAR24" s="157"/>
      <c r="PAS24" s="157"/>
      <c r="PAT24" s="157"/>
      <c r="PAU24" s="157"/>
      <c r="PAV24" s="157"/>
      <c r="PAW24" s="157"/>
      <c r="PAX24" s="157"/>
      <c r="PAY24" s="157"/>
      <c r="PAZ24" s="157"/>
      <c r="PBA24" s="157"/>
      <c r="PBB24" s="157"/>
      <c r="PBC24" s="157"/>
      <c r="PBD24" s="157"/>
      <c r="PBE24" s="157"/>
      <c r="PBF24" s="157"/>
      <c r="PBG24" s="157"/>
      <c r="PBH24" s="157"/>
      <c r="PBI24" s="157"/>
      <c r="PBJ24" s="157"/>
      <c r="PBK24" s="157"/>
      <c r="PBL24" s="157"/>
      <c r="PBM24" s="157"/>
      <c r="PBN24" s="157"/>
      <c r="PBO24" s="157"/>
      <c r="PBP24" s="157"/>
      <c r="PBQ24" s="157"/>
      <c r="PBR24" s="157"/>
      <c r="PBS24" s="157"/>
      <c r="PBT24" s="157"/>
      <c r="PBU24" s="157"/>
      <c r="PBV24" s="157"/>
      <c r="PBW24" s="157"/>
      <c r="PBX24" s="157"/>
      <c r="PBY24" s="157"/>
      <c r="PBZ24" s="157"/>
      <c r="PCA24" s="157"/>
      <c r="PCB24" s="157"/>
      <c r="PCC24" s="157"/>
      <c r="PCD24" s="157"/>
      <c r="PCE24" s="157"/>
      <c r="PCF24" s="157"/>
      <c r="PCG24" s="157"/>
      <c r="PCH24" s="157"/>
      <c r="PCI24" s="157"/>
      <c r="PCJ24" s="157"/>
      <c r="PCK24" s="157"/>
      <c r="PCL24" s="157"/>
      <c r="PCM24" s="157"/>
      <c r="PCN24" s="157"/>
      <c r="PCO24" s="157"/>
      <c r="PCP24" s="157"/>
      <c r="PCQ24" s="157"/>
      <c r="PCR24" s="157"/>
      <c r="PCS24" s="157"/>
      <c r="PCT24" s="157"/>
      <c r="PCU24" s="157"/>
      <c r="PCV24" s="157"/>
      <c r="PCW24" s="157"/>
      <c r="PCX24" s="157"/>
      <c r="PCY24" s="157"/>
      <c r="PCZ24" s="157"/>
      <c r="PDA24" s="157"/>
      <c r="PDB24" s="157"/>
      <c r="PDC24" s="157"/>
      <c r="PDD24" s="157"/>
      <c r="PDE24" s="157"/>
      <c r="PDF24" s="157"/>
      <c r="PDG24" s="157"/>
      <c r="PDH24" s="157"/>
      <c r="PDI24" s="157"/>
      <c r="PDJ24" s="157"/>
      <c r="PDK24" s="157"/>
      <c r="PDL24" s="157"/>
      <c r="PDM24" s="157"/>
      <c r="PDN24" s="157"/>
      <c r="PDO24" s="157"/>
      <c r="PDP24" s="157"/>
      <c r="PDQ24" s="157"/>
      <c r="PDR24" s="157"/>
      <c r="PDS24" s="157"/>
      <c r="PDT24" s="157"/>
      <c r="PDU24" s="157"/>
      <c r="PDV24" s="157"/>
      <c r="PDW24" s="157"/>
      <c r="PDX24" s="157"/>
      <c r="PDY24" s="157"/>
      <c r="PDZ24" s="157"/>
      <c r="PEA24" s="157"/>
      <c r="PEB24" s="157"/>
      <c r="PEC24" s="157"/>
      <c r="PED24" s="157"/>
      <c r="PEE24" s="157"/>
      <c r="PEF24" s="157"/>
      <c r="PEG24" s="157"/>
      <c r="PEH24" s="157"/>
      <c r="PEI24" s="157"/>
      <c r="PEJ24" s="157"/>
      <c r="PEK24" s="157"/>
      <c r="PEL24" s="157"/>
      <c r="PEM24" s="157"/>
      <c r="PEN24" s="157"/>
      <c r="PEO24" s="157"/>
      <c r="PEP24" s="157"/>
      <c r="PEQ24" s="157"/>
      <c r="PER24" s="157"/>
      <c r="PES24" s="157"/>
      <c r="PET24" s="157"/>
      <c r="PEU24" s="157"/>
      <c r="PEV24" s="157"/>
      <c r="PEW24" s="157"/>
      <c r="PEX24" s="157"/>
      <c r="PEY24" s="157"/>
      <c r="PEZ24" s="157"/>
      <c r="PFA24" s="157"/>
      <c r="PFB24" s="157"/>
      <c r="PFC24" s="157"/>
      <c r="PFD24" s="157"/>
      <c r="PFE24" s="157"/>
      <c r="PFF24" s="157"/>
      <c r="PFG24" s="157"/>
      <c r="PFH24" s="157"/>
      <c r="PFI24" s="157"/>
      <c r="PFJ24" s="157"/>
      <c r="PFK24" s="157"/>
      <c r="PFL24" s="157"/>
      <c r="PFM24" s="157"/>
      <c r="PFN24" s="157"/>
      <c r="PFO24" s="157"/>
      <c r="PFP24" s="157"/>
      <c r="PFQ24" s="157"/>
      <c r="PFR24" s="157"/>
      <c r="PFS24" s="157"/>
      <c r="PFT24" s="157"/>
      <c r="PFU24" s="157"/>
      <c r="PFV24" s="157"/>
      <c r="PFW24" s="157"/>
      <c r="PFX24" s="157"/>
      <c r="PFY24" s="157"/>
      <c r="PFZ24" s="157"/>
      <c r="PGA24" s="157"/>
      <c r="PGB24" s="157"/>
      <c r="PGC24" s="157"/>
      <c r="PGD24" s="157"/>
      <c r="PGE24" s="157"/>
      <c r="PGF24" s="157"/>
      <c r="PGG24" s="157"/>
      <c r="PGH24" s="157"/>
      <c r="PGI24" s="157"/>
      <c r="PGJ24" s="157"/>
      <c r="PGK24" s="157"/>
      <c r="PGL24" s="157"/>
      <c r="PGM24" s="157"/>
      <c r="PGN24" s="157"/>
      <c r="PGO24" s="157"/>
      <c r="PGP24" s="157"/>
      <c r="PGQ24" s="157"/>
      <c r="PGR24" s="157"/>
      <c r="PGS24" s="157"/>
      <c r="PGT24" s="157"/>
      <c r="PGU24" s="157"/>
      <c r="PGV24" s="157"/>
      <c r="PGW24" s="157"/>
      <c r="PGX24" s="157"/>
      <c r="PGY24" s="157"/>
      <c r="PGZ24" s="157"/>
      <c r="PHA24" s="157"/>
      <c r="PHB24" s="157"/>
      <c r="PHC24" s="157"/>
      <c r="PHD24" s="157"/>
      <c r="PHE24" s="157"/>
      <c r="PHF24" s="157"/>
      <c r="PHG24" s="157"/>
      <c r="PHH24" s="157"/>
      <c r="PHI24" s="157"/>
      <c r="PHJ24" s="157"/>
      <c r="PHK24" s="157"/>
      <c r="PHL24" s="157"/>
      <c r="PHM24" s="157"/>
      <c r="PHN24" s="157"/>
      <c r="PHO24" s="157"/>
      <c r="PHP24" s="157"/>
      <c r="PHQ24" s="157"/>
      <c r="PHR24" s="157"/>
      <c r="PHS24" s="157"/>
      <c r="PHT24" s="157"/>
      <c r="PHU24" s="157"/>
      <c r="PHV24" s="157"/>
      <c r="PHW24" s="157"/>
      <c r="PHX24" s="157"/>
      <c r="PHY24" s="157"/>
      <c r="PHZ24" s="157"/>
      <c r="PIA24" s="157"/>
      <c r="PIB24" s="157"/>
      <c r="PIC24" s="157"/>
      <c r="PID24" s="157"/>
      <c r="PIE24" s="157"/>
      <c r="PIF24" s="157"/>
      <c r="PIG24" s="157"/>
      <c r="PIH24" s="157"/>
      <c r="PII24" s="157"/>
      <c r="PIJ24" s="157"/>
      <c r="PIK24" s="157"/>
      <c r="PIL24" s="157"/>
      <c r="PIM24" s="157"/>
      <c r="PIN24" s="157"/>
      <c r="PIO24" s="157"/>
      <c r="PIP24" s="157"/>
      <c r="PIQ24" s="157"/>
      <c r="PIR24" s="157"/>
      <c r="PIS24" s="157"/>
      <c r="PIT24" s="157"/>
      <c r="PIU24" s="157"/>
      <c r="PIV24" s="157"/>
      <c r="PIW24" s="157"/>
      <c r="PIX24" s="157"/>
      <c r="PIY24" s="157"/>
      <c r="PIZ24" s="157"/>
      <c r="PJA24" s="157"/>
      <c r="PJB24" s="157"/>
      <c r="PJC24" s="157"/>
      <c r="PJD24" s="157"/>
      <c r="PJE24" s="157"/>
      <c r="PJF24" s="157"/>
      <c r="PJG24" s="157"/>
      <c r="PJH24" s="157"/>
      <c r="PJI24" s="157"/>
      <c r="PJJ24" s="157"/>
      <c r="PJK24" s="157"/>
      <c r="PJL24" s="157"/>
      <c r="PJM24" s="157"/>
      <c r="PJN24" s="157"/>
      <c r="PJO24" s="157"/>
      <c r="PJP24" s="157"/>
      <c r="PJQ24" s="157"/>
      <c r="PJR24" s="157"/>
      <c r="PJS24" s="157"/>
      <c r="PJT24" s="157"/>
      <c r="PJU24" s="157"/>
      <c r="PJV24" s="157"/>
      <c r="PJW24" s="157"/>
      <c r="PJX24" s="157"/>
      <c r="PJY24" s="157"/>
      <c r="PJZ24" s="157"/>
      <c r="PKA24" s="157"/>
      <c r="PKB24" s="157"/>
      <c r="PKC24" s="157"/>
      <c r="PKD24" s="157"/>
      <c r="PKE24" s="157"/>
      <c r="PKF24" s="157"/>
      <c r="PKG24" s="157"/>
      <c r="PKH24" s="157"/>
      <c r="PKI24" s="157"/>
      <c r="PKJ24" s="157"/>
      <c r="PKK24" s="157"/>
      <c r="PKL24" s="157"/>
      <c r="PKM24" s="157"/>
      <c r="PKN24" s="157"/>
      <c r="PKO24" s="157"/>
      <c r="PKP24" s="157"/>
      <c r="PKQ24" s="157"/>
      <c r="PKR24" s="157"/>
      <c r="PKS24" s="157"/>
      <c r="PKT24" s="157"/>
      <c r="PKU24" s="157"/>
      <c r="PKV24" s="157"/>
      <c r="PKW24" s="157"/>
      <c r="PKX24" s="157"/>
      <c r="PKY24" s="157"/>
      <c r="PKZ24" s="157"/>
      <c r="PLA24" s="157"/>
      <c r="PLB24" s="157"/>
      <c r="PLC24" s="157"/>
      <c r="PLD24" s="157"/>
      <c r="PLE24" s="157"/>
      <c r="PLF24" s="157"/>
      <c r="PLG24" s="157"/>
      <c r="PLH24" s="157"/>
      <c r="PLI24" s="157"/>
      <c r="PLJ24" s="157"/>
      <c r="PLK24" s="157"/>
      <c r="PLL24" s="157"/>
      <c r="PLM24" s="157"/>
      <c r="PLN24" s="157"/>
      <c r="PLO24" s="157"/>
      <c r="PLP24" s="157"/>
      <c r="PLQ24" s="157"/>
      <c r="PLR24" s="157"/>
      <c r="PLS24" s="157"/>
      <c r="PLT24" s="157"/>
      <c r="PLU24" s="157"/>
      <c r="PLV24" s="157"/>
      <c r="PLW24" s="157"/>
      <c r="PLX24" s="157"/>
      <c r="PLY24" s="157"/>
      <c r="PLZ24" s="157"/>
      <c r="PMA24" s="157"/>
      <c r="PMB24" s="157"/>
      <c r="PMC24" s="157"/>
      <c r="PMD24" s="157"/>
      <c r="PME24" s="157"/>
      <c r="PMF24" s="157"/>
      <c r="PMG24" s="157"/>
      <c r="PMH24" s="157"/>
      <c r="PMI24" s="157"/>
      <c r="PMJ24" s="157"/>
      <c r="PMK24" s="157"/>
      <c r="PML24" s="157"/>
      <c r="PMM24" s="157"/>
      <c r="PMN24" s="157"/>
      <c r="PMO24" s="157"/>
      <c r="PMP24" s="157"/>
      <c r="PMQ24" s="157"/>
      <c r="PMR24" s="157"/>
      <c r="PMS24" s="157"/>
      <c r="PMT24" s="157"/>
      <c r="PMU24" s="157"/>
      <c r="PMV24" s="157"/>
      <c r="PMW24" s="157"/>
      <c r="PMX24" s="157"/>
      <c r="PMY24" s="157"/>
      <c r="PMZ24" s="157"/>
      <c r="PNA24" s="157"/>
      <c r="PNB24" s="157"/>
      <c r="PNC24" s="157"/>
      <c r="PND24" s="157"/>
      <c r="PNE24" s="157"/>
      <c r="PNF24" s="157"/>
      <c r="PNG24" s="157"/>
      <c r="PNH24" s="157"/>
      <c r="PNI24" s="157"/>
      <c r="PNJ24" s="157"/>
      <c r="PNK24" s="157"/>
      <c r="PNL24" s="157"/>
      <c r="PNM24" s="157"/>
      <c r="PNN24" s="157"/>
      <c r="PNO24" s="157"/>
      <c r="PNP24" s="157"/>
      <c r="PNQ24" s="157"/>
      <c r="PNR24" s="157"/>
      <c r="PNS24" s="157"/>
      <c r="PNT24" s="157"/>
      <c r="PNU24" s="157"/>
      <c r="PNV24" s="157"/>
      <c r="PNW24" s="157"/>
      <c r="PNX24" s="157"/>
      <c r="PNY24" s="157"/>
      <c r="PNZ24" s="157"/>
      <c r="POA24" s="157"/>
      <c r="POB24" s="157"/>
      <c r="POC24" s="157"/>
      <c r="POD24" s="157"/>
      <c r="POE24" s="157"/>
      <c r="POF24" s="157"/>
      <c r="POG24" s="157"/>
      <c r="POH24" s="157"/>
      <c r="POI24" s="157"/>
      <c r="POJ24" s="157"/>
      <c r="POK24" s="157"/>
      <c r="POL24" s="157"/>
      <c r="POM24" s="157"/>
      <c r="PON24" s="157"/>
      <c r="POO24" s="157"/>
      <c r="POP24" s="157"/>
      <c r="POQ24" s="157"/>
      <c r="POR24" s="157"/>
      <c r="POS24" s="157"/>
      <c r="POT24" s="157"/>
      <c r="POU24" s="157"/>
      <c r="POV24" s="157"/>
      <c r="POW24" s="157"/>
      <c r="POX24" s="157"/>
      <c r="POY24" s="157"/>
      <c r="POZ24" s="157"/>
      <c r="PPA24" s="157"/>
      <c r="PPB24" s="157"/>
      <c r="PPC24" s="157"/>
      <c r="PPD24" s="157"/>
      <c r="PPE24" s="157"/>
      <c r="PPF24" s="157"/>
      <c r="PPG24" s="157"/>
      <c r="PPH24" s="157"/>
      <c r="PPI24" s="157"/>
      <c r="PPJ24" s="157"/>
      <c r="PPK24" s="157"/>
      <c r="PPL24" s="157"/>
      <c r="PPM24" s="157"/>
      <c r="PPN24" s="157"/>
      <c r="PPO24" s="157"/>
      <c r="PPP24" s="157"/>
      <c r="PPQ24" s="157"/>
      <c r="PPR24" s="157"/>
      <c r="PPS24" s="157"/>
      <c r="PPT24" s="157"/>
      <c r="PPU24" s="157"/>
      <c r="PPV24" s="157"/>
      <c r="PPW24" s="157"/>
      <c r="PPX24" s="157"/>
      <c r="PPY24" s="157"/>
      <c r="PPZ24" s="157"/>
      <c r="PQA24" s="157"/>
      <c r="PQB24" s="157"/>
      <c r="PQC24" s="157"/>
      <c r="PQD24" s="157"/>
      <c r="PQE24" s="157"/>
      <c r="PQF24" s="157"/>
      <c r="PQG24" s="157"/>
      <c r="PQH24" s="157"/>
      <c r="PQI24" s="157"/>
      <c r="PQJ24" s="157"/>
      <c r="PQK24" s="157"/>
      <c r="PQL24" s="157"/>
      <c r="PQM24" s="157"/>
      <c r="PQN24" s="157"/>
      <c r="PQO24" s="157"/>
      <c r="PQP24" s="157"/>
      <c r="PQQ24" s="157"/>
      <c r="PQR24" s="157"/>
      <c r="PQS24" s="157"/>
      <c r="PQT24" s="157"/>
      <c r="PQU24" s="157"/>
      <c r="PQV24" s="157"/>
      <c r="PQW24" s="157"/>
      <c r="PQX24" s="157"/>
      <c r="PQY24" s="157"/>
      <c r="PQZ24" s="157"/>
      <c r="PRA24" s="157"/>
      <c r="PRB24" s="157"/>
      <c r="PRC24" s="157"/>
      <c r="PRD24" s="157"/>
      <c r="PRE24" s="157"/>
      <c r="PRF24" s="157"/>
      <c r="PRG24" s="157"/>
      <c r="PRH24" s="157"/>
      <c r="PRI24" s="157"/>
      <c r="PRJ24" s="157"/>
      <c r="PRK24" s="157"/>
      <c r="PRL24" s="157"/>
      <c r="PRM24" s="157"/>
      <c r="PRN24" s="157"/>
      <c r="PRO24" s="157"/>
      <c r="PRP24" s="157"/>
      <c r="PRQ24" s="157"/>
      <c r="PRR24" s="157"/>
      <c r="PRS24" s="157"/>
      <c r="PRT24" s="157"/>
      <c r="PRU24" s="157"/>
      <c r="PRV24" s="157"/>
      <c r="PRW24" s="157"/>
      <c r="PRX24" s="157"/>
      <c r="PRY24" s="157"/>
      <c r="PRZ24" s="157"/>
      <c r="PSA24" s="157"/>
      <c r="PSB24" s="157"/>
      <c r="PSC24" s="157"/>
      <c r="PSD24" s="157"/>
      <c r="PSE24" s="157"/>
      <c r="PSF24" s="157"/>
      <c r="PSG24" s="157"/>
      <c r="PSH24" s="157"/>
      <c r="PSI24" s="157"/>
      <c r="PSJ24" s="157"/>
      <c r="PSK24" s="157"/>
      <c r="PSL24" s="157"/>
      <c r="PSM24" s="157"/>
      <c r="PSN24" s="157"/>
      <c r="PSO24" s="157"/>
      <c r="PSP24" s="157"/>
      <c r="PSQ24" s="157"/>
      <c r="PSR24" s="157"/>
      <c r="PSS24" s="157"/>
      <c r="PST24" s="157"/>
      <c r="PSU24" s="157"/>
      <c r="PSV24" s="157"/>
      <c r="PSW24" s="157"/>
      <c r="PSX24" s="157"/>
      <c r="PSY24" s="157"/>
      <c r="PSZ24" s="157"/>
      <c r="PTA24" s="157"/>
      <c r="PTB24" s="157"/>
      <c r="PTC24" s="157"/>
      <c r="PTD24" s="157"/>
      <c r="PTE24" s="157"/>
      <c r="PTF24" s="157"/>
      <c r="PTG24" s="157"/>
      <c r="PTH24" s="157"/>
      <c r="PTI24" s="157"/>
      <c r="PTJ24" s="157"/>
      <c r="PTK24" s="157"/>
      <c r="PTL24" s="157"/>
      <c r="PTM24" s="157"/>
      <c r="PTN24" s="157"/>
      <c r="PTO24" s="157"/>
      <c r="PTP24" s="157"/>
      <c r="PTQ24" s="157"/>
      <c r="PTR24" s="157"/>
      <c r="PTS24" s="157"/>
      <c r="PTT24" s="157"/>
      <c r="PTU24" s="157"/>
      <c r="PTV24" s="157"/>
      <c r="PTW24" s="157"/>
      <c r="PTX24" s="157"/>
      <c r="PTY24" s="157"/>
      <c r="PTZ24" s="157"/>
      <c r="PUA24" s="157"/>
      <c r="PUB24" s="157"/>
      <c r="PUC24" s="157"/>
      <c r="PUD24" s="157"/>
      <c r="PUE24" s="157"/>
      <c r="PUF24" s="157"/>
      <c r="PUG24" s="157"/>
      <c r="PUH24" s="157"/>
      <c r="PUI24" s="157"/>
      <c r="PUJ24" s="157"/>
      <c r="PUK24" s="157"/>
      <c r="PUL24" s="157"/>
      <c r="PUM24" s="157"/>
      <c r="PUN24" s="157"/>
      <c r="PUO24" s="157"/>
      <c r="PUP24" s="157"/>
      <c r="PUQ24" s="157"/>
      <c r="PUR24" s="157"/>
      <c r="PUS24" s="157"/>
      <c r="PUT24" s="157"/>
      <c r="PUU24" s="157"/>
      <c r="PUV24" s="157"/>
      <c r="PUW24" s="157"/>
      <c r="PUX24" s="157"/>
      <c r="PUY24" s="157"/>
      <c r="PUZ24" s="157"/>
      <c r="PVA24" s="157"/>
      <c r="PVB24" s="157"/>
      <c r="PVC24" s="157"/>
      <c r="PVD24" s="157"/>
      <c r="PVE24" s="157"/>
      <c r="PVF24" s="157"/>
      <c r="PVG24" s="157"/>
      <c r="PVH24" s="157"/>
      <c r="PVI24" s="157"/>
      <c r="PVJ24" s="157"/>
      <c r="PVK24" s="157"/>
      <c r="PVL24" s="157"/>
      <c r="PVM24" s="157"/>
      <c r="PVN24" s="157"/>
      <c r="PVO24" s="157"/>
      <c r="PVP24" s="157"/>
      <c r="PVQ24" s="157"/>
      <c r="PVR24" s="157"/>
      <c r="PVS24" s="157"/>
      <c r="PVT24" s="157"/>
      <c r="PVU24" s="157"/>
      <c r="PVV24" s="157"/>
      <c r="PVW24" s="157"/>
      <c r="PVX24" s="157"/>
      <c r="PVY24" s="157"/>
      <c r="PVZ24" s="157"/>
      <c r="PWA24" s="157"/>
      <c r="PWB24" s="157"/>
      <c r="PWC24" s="157"/>
      <c r="PWD24" s="157"/>
      <c r="PWE24" s="157"/>
      <c r="PWF24" s="157"/>
      <c r="PWG24" s="157"/>
      <c r="PWH24" s="157"/>
      <c r="PWI24" s="157"/>
      <c r="PWJ24" s="157"/>
      <c r="PWK24" s="157"/>
      <c r="PWL24" s="157"/>
      <c r="PWM24" s="157"/>
      <c r="PWN24" s="157"/>
      <c r="PWO24" s="157"/>
      <c r="PWP24" s="157"/>
      <c r="PWQ24" s="157"/>
      <c r="PWR24" s="157"/>
      <c r="PWS24" s="157"/>
      <c r="PWT24" s="157"/>
      <c r="PWU24" s="157"/>
      <c r="PWV24" s="157"/>
      <c r="PWW24" s="157"/>
      <c r="PWX24" s="157"/>
      <c r="PWY24" s="157"/>
      <c r="PWZ24" s="157"/>
      <c r="PXA24" s="157"/>
      <c r="PXB24" s="157"/>
      <c r="PXC24" s="157"/>
      <c r="PXD24" s="157"/>
      <c r="PXE24" s="157"/>
      <c r="PXF24" s="157"/>
      <c r="PXG24" s="157"/>
      <c r="PXH24" s="157"/>
      <c r="PXI24" s="157"/>
      <c r="PXJ24" s="157"/>
      <c r="PXK24" s="157"/>
      <c r="PXL24" s="157"/>
      <c r="PXM24" s="157"/>
      <c r="PXN24" s="157"/>
      <c r="PXO24" s="157"/>
      <c r="PXP24" s="157"/>
      <c r="PXQ24" s="157"/>
      <c r="PXR24" s="157"/>
      <c r="PXS24" s="157"/>
      <c r="PXT24" s="157"/>
      <c r="PXU24" s="157"/>
      <c r="PXV24" s="157"/>
      <c r="PXW24" s="157"/>
      <c r="PXX24" s="157"/>
      <c r="PXY24" s="157"/>
      <c r="PXZ24" s="157"/>
      <c r="PYA24" s="157"/>
      <c r="PYB24" s="157"/>
      <c r="PYC24" s="157"/>
      <c r="PYD24" s="157"/>
      <c r="PYE24" s="157"/>
      <c r="PYF24" s="157"/>
      <c r="PYG24" s="157"/>
      <c r="PYH24" s="157"/>
      <c r="PYI24" s="157"/>
      <c r="PYJ24" s="157"/>
      <c r="PYK24" s="157"/>
      <c r="PYL24" s="157"/>
      <c r="PYM24" s="157"/>
      <c r="PYN24" s="157"/>
      <c r="PYO24" s="157"/>
      <c r="PYP24" s="157"/>
      <c r="PYQ24" s="157"/>
      <c r="PYR24" s="157"/>
      <c r="PYS24" s="157"/>
      <c r="PYT24" s="157"/>
      <c r="PYU24" s="157"/>
      <c r="PYV24" s="157"/>
      <c r="PYW24" s="157"/>
      <c r="PYX24" s="157"/>
      <c r="PYY24" s="157"/>
      <c r="PYZ24" s="157"/>
      <c r="PZA24" s="157"/>
      <c r="PZB24" s="157"/>
      <c r="PZC24" s="157"/>
      <c r="PZD24" s="157"/>
      <c r="PZE24" s="157"/>
      <c r="PZF24" s="157"/>
      <c r="PZG24" s="157"/>
      <c r="PZH24" s="157"/>
      <c r="PZI24" s="157"/>
      <c r="PZJ24" s="157"/>
      <c r="PZK24" s="157"/>
      <c r="PZL24" s="157"/>
      <c r="PZM24" s="157"/>
      <c r="PZN24" s="157"/>
      <c r="PZO24" s="157"/>
      <c r="PZP24" s="157"/>
      <c r="PZQ24" s="157"/>
      <c r="PZR24" s="157"/>
      <c r="PZS24" s="157"/>
      <c r="PZT24" s="157"/>
      <c r="PZU24" s="157"/>
      <c r="PZV24" s="157"/>
      <c r="PZW24" s="157"/>
      <c r="PZX24" s="157"/>
      <c r="PZY24" s="157"/>
      <c r="PZZ24" s="157"/>
      <c r="QAA24" s="157"/>
      <c r="QAB24" s="157"/>
      <c r="QAC24" s="157"/>
      <c r="QAD24" s="157"/>
      <c r="QAE24" s="157"/>
      <c r="QAF24" s="157"/>
      <c r="QAG24" s="157"/>
      <c r="QAH24" s="157"/>
      <c r="QAI24" s="157"/>
      <c r="QAJ24" s="157"/>
      <c r="QAK24" s="157"/>
      <c r="QAL24" s="157"/>
      <c r="QAM24" s="157"/>
      <c r="QAN24" s="157"/>
      <c r="QAO24" s="157"/>
      <c r="QAP24" s="157"/>
      <c r="QAQ24" s="157"/>
      <c r="QAR24" s="157"/>
      <c r="QAS24" s="157"/>
      <c r="QAT24" s="157"/>
      <c r="QAU24" s="157"/>
      <c r="QAV24" s="157"/>
      <c r="QAW24" s="157"/>
      <c r="QAX24" s="157"/>
      <c r="QAY24" s="157"/>
      <c r="QAZ24" s="157"/>
      <c r="QBA24" s="157"/>
      <c r="QBB24" s="157"/>
      <c r="QBC24" s="157"/>
      <c r="QBD24" s="157"/>
      <c r="QBE24" s="157"/>
      <c r="QBF24" s="157"/>
      <c r="QBG24" s="157"/>
      <c r="QBH24" s="157"/>
      <c r="QBI24" s="157"/>
      <c r="QBJ24" s="157"/>
      <c r="QBK24" s="157"/>
      <c r="QBL24" s="157"/>
      <c r="QBM24" s="157"/>
      <c r="QBN24" s="157"/>
      <c r="QBO24" s="157"/>
      <c r="QBP24" s="157"/>
      <c r="QBQ24" s="157"/>
      <c r="QBR24" s="157"/>
      <c r="QBS24" s="157"/>
      <c r="QBT24" s="157"/>
      <c r="QBU24" s="157"/>
      <c r="QBV24" s="157"/>
      <c r="QBW24" s="157"/>
      <c r="QBX24" s="157"/>
      <c r="QBY24" s="157"/>
      <c r="QBZ24" s="157"/>
      <c r="QCA24" s="157"/>
      <c r="QCB24" s="157"/>
      <c r="QCC24" s="157"/>
      <c r="QCD24" s="157"/>
      <c r="QCE24" s="157"/>
      <c r="QCF24" s="157"/>
      <c r="QCG24" s="157"/>
      <c r="QCH24" s="157"/>
      <c r="QCI24" s="157"/>
      <c r="QCJ24" s="157"/>
      <c r="QCK24" s="157"/>
      <c r="QCL24" s="157"/>
      <c r="QCM24" s="157"/>
      <c r="QCN24" s="157"/>
      <c r="QCO24" s="157"/>
      <c r="QCP24" s="157"/>
      <c r="QCQ24" s="157"/>
      <c r="QCR24" s="157"/>
      <c r="QCS24" s="157"/>
      <c r="QCT24" s="157"/>
      <c r="QCU24" s="157"/>
      <c r="QCV24" s="157"/>
      <c r="QCW24" s="157"/>
      <c r="QCX24" s="157"/>
      <c r="QCY24" s="157"/>
      <c r="QCZ24" s="157"/>
      <c r="QDA24" s="157"/>
      <c r="QDB24" s="157"/>
      <c r="QDC24" s="157"/>
      <c r="QDD24" s="157"/>
      <c r="QDE24" s="157"/>
      <c r="QDF24" s="157"/>
      <c r="QDG24" s="157"/>
      <c r="QDH24" s="157"/>
      <c r="QDI24" s="157"/>
      <c r="QDJ24" s="157"/>
      <c r="QDK24" s="157"/>
      <c r="QDL24" s="157"/>
      <c r="QDM24" s="157"/>
      <c r="QDN24" s="157"/>
      <c r="QDO24" s="157"/>
      <c r="QDP24" s="157"/>
      <c r="QDQ24" s="157"/>
      <c r="QDR24" s="157"/>
      <c r="QDS24" s="157"/>
      <c r="QDT24" s="157"/>
      <c r="QDU24" s="157"/>
      <c r="QDV24" s="157"/>
      <c r="QDW24" s="157"/>
      <c r="QDX24" s="157"/>
      <c r="QDY24" s="157"/>
      <c r="QDZ24" s="157"/>
      <c r="QEA24" s="157"/>
      <c r="QEB24" s="157"/>
      <c r="QEC24" s="157"/>
      <c r="QED24" s="157"/>
      <c r="QEE24" s="157"/>
      <c r="QEF24" s="157"/>
      <c r="QEG24" s="157"/>
      <c r="QEH24" s="157"/>
      <c r="QEI24" s="157"/>
      <c r="QEJ24" s="157"/>
      <c r="QEK24" s="157"/>
      <c r="QEL24" s="157"/>
      <c r="QEM24" s="157"/>
      <c r="QEN24" s="157"/>
      <c r="QEO24" s="157"/>
      <c r="QEP24" s="157"/>
      <c r="QEQ24" s="157"/>
      <c r="QER24" s="157"/>
      <c r="QES24" s="157"/>
      <c r="QET24" s="157"/>
      <c r="QEU24" s="157"/>
      <c r="QEV24" s="157"/>
      <c r="QEW24" s="157"/>
      <c r="QEX24" s="157"/>
      <c r="QEY24" s="157"/>
      <c r="QEZ24" s="157"/>
      <c r="QFA24" s="157"/>
      <c r="QFB24" s="157"/>
      <c r="QFC24" s="157"/>
      <c r="QFD24" s="157"/>
      <c r="QFE24" s="157"/>
      <c r="QFF24" s="157"/>
      <c r="QFG24" s="157"/>
      <c r="QFH24" s="157"/>
      <c r="QFI24" s="157"/>
      <c r="QFJ24" s="157"/>
      <c r="QFK24" s="157"/>
      <c r="QFL24" s="157"/>
      <c r="QFM24" s="157"/>
      <c r="QFN24" s="157"/>
      <c r="QFO24" s="157"/>
      <c r="QFP24" s="157"/>
      <c r="QFQ24" s="157"/>
      <c r="QFR24" s="157"/>
      <c r="QFS24" s="157"/>
      <c r="QFT24" s="157"/>
      <c r="QFU24" s="157"/>
      <c r="QFV24" s="157"/>
      <c r="QFW24" s="157"/>
      <c r="QFX24" s="157"/>
      <c r="QFY24" s="157"/>
      <c r="QFZ24" s="157"/>
      <c r="QGA24" s="157"/>
      <c r="QGB24" s="157"/>
      <c r="QGC24" s="157"/>
      <c r="QGD24" s="157"/>
      <c r="QGE24" s="157"/>
      <c r="QGF24" s="157"/>
      <c r="QGG24" s="157"/>
      <c r="QGH24" s="157"/>
      <c r="QGI24" s="157"/>
      <c r="QGJ24" s="157"/>
      <c r="QGK24" s="157"/>
      <c r="QGL24" s="157"/>
      <c r="QGM24" s="157"/>
      <c r="QGN24" s="157"/>
      <c r="QGO24" s="157"/>
      <c r="QGP24" s="157"/>
      <c r="QGQ24" s="157"/>
      <c r="QGR24" s="157"/>
      <c r="QGS24" s="157"/>
      <c r="QGT24" s="157"/>
      <c r="QGU24" s="157"/>
      <c r="QGV24" s="157"/>
      <c r="QGW24" s="157"/>
      <c r="QGX24" s="157"/>
      <c r="QGY24" s="157"/>
      <c r="QGZ24" s="157"/>
      <c r="QHA24" s="157"/>
      <c r="QHB24" s="157"/>
      <c r="QHC24" s="157"/>
      <c r="QHD24" s="157"/>
      <c r="QHE24" s="157"/>
      <c r="QHF24" s="157"/>
      <c r="QHG24" s="157"/>
      <c r="QHH24" s="157"/>
      <c r="QHI24" s="157"/>
      <c r="QHJ24" s="157"/>
      <c r="QHK24" s="157"/>
      <c r="QHL24" s="157"/>
      <c r="QHM24" s="157"/>
      <c r="QHN24" s="157"/>
      <c r="QHO24" s="157"/>
      <c r="QHP24" s="157"/>
      <c r="QHQ24" s="157"/>
      <c r="QHR24" s="157"/>
      <c r="QHS24" s="157"/>
      <c r="QHT24" s="157"/>
      <c r="QHU24" s="157"/>
      <c r="QHV24" s="157"/>
      <c r="QHW24" s="157"/>
      <c r="QHX24" s="157"/>
      <c r="QHY24" s="157"/>
      <c r="QHZ24" s="157"/>
      <c r="QIA24" s="157"/>
      <c r="QIB24" s="157"/>
      <c r="QIC24" s="157"/>
      <c r="QID24" s="157"/>
      <c r="QIE24" s="157"/>
      <c r="QIF24" s="157"/>
      <c r="QIG24" s="157"/>
      <c r="QIH24" s="157"/>
      <c r="QII24" s="157"/>
      <c r="QIJ24" s="157"/>
      <c r="QIK24" s="157"/>
      <c r="QIL24" s="157"/>
      <c r="QIM24" s="157"/>
      <c r="QIN24" s="157"/>
      <c r="QIO24" s="157"/>
      <c r="QIP24" s="157"/>
      <c r="QIQ24" s="157"/>
      <c r="QIR24" s="157"/>
      <c r="QIS24" s="157"/>
      <c r="QIT24" s="157"/>
      <c r="QIU24" s="157"/>
      <c r="QIV24" s="157"/>
      <c r="QIW24" s="157"/>
      <c r="QIX24" s="157"/>
      <c r="QIY24" s="157"/>
      <c r="QIZ24" s="157"/>
      <c r="QJA24" s="157"/>
      <c r="QJB24" s="157"/>
      <c r="QJC24" s="157"/>
      <c r="QJD24" s="157"/>
      <c r="QJE24" s="157"/>
      <c r="QJF24" s="157"/>
      <c r="QJG24" s="157"/>
      <c r="QJH24" s="157"/>
      <c r="QJI24" s="157"/>
      <c r="QJJ24" s="157"/>
      <c r="QJK24" s="157"/>
      <c r="QJL24" s="157"/>
      <c r="QJM24" s="157"/>
      <c r="QJN24" s="157"/>
      <c r="QJO24" s="157"/>
      <c r="QJP24" s="157"/>
      <c r="QJQ24" s="157"/>
      <c r="QJR24" s="157"/>
      <c r="QJS24" s="157"/>
      <c r="QJT24" s="157"/>
      <c r="QJU24" s="157"/>
      <c r="QJV24" s="157"/>
      <c r="QJW24" s="157"/>
      <c r="QJX24" s="157"/>
      <c r="QJY24" s="157"/>
      <c r="QJZ24" s="157"/>
      <c r="QKA24" s="157"/>
      <c r="QKB24" s="157"/>
      <c r="QKC24" s="157"/>
      <c r="QKD24" s="157"/>
      <c r="QKE24" s="157"/>
      <c r="QKF24" s="157"/>
      <c r="QKG24" s="157"/>
      <c r="QKH24" s="157"/>
      <c r="QKI24" s="157"/>
      <c r="QKJ24" s="157"/>
      <c r="QKK24" s="157"/>
      <c r="QKL24" s="157"/>
      <c r="QKM24" s="157"/>
      <c r="QKN24" s="157"/>
      <c r="QKO24" s="157"/>
      <c r="QKP24" s="157"/>
      <c r="QKQ24" s="157"/>
      <c r="QKR24" s="157"/>
      <c r="QKS24" s="157"/>
      <c r="QKT24" s="157"/>
      <c r="QKU24" s="157"/>
      <c r="QKV24" s="157"/>
      <c r="QKW24" s="157"/>
      <c r="QKX24" s="157"/>
      <c r="QKY24" s="157"/>
      <c r="QKZ24" s="157"/>
      <c r="QLA24" s="157"/>
      <c r="QLB24" s="157"/>
      <c r="QLC24" s="157"/>
      <c r="QLD24" s="157"/>
      <c r="QLE24" s="157"/>
      <c r="QLF24" s="157"/>
      <c r="QLG24" s="157"/>
      <c r="QLH24" s="157"/>
      <c r="QLI24" s="157"/>
      <c r="QLJ24" s="157"/>
      <c r="QLK24" s="157"/>
      <c r="QLL24" s="157"/>
      <c r="QLM24" s="157"/>
      <c r="QLN24" s="157"/>
      <c r="QLO24" s="157"/>
      <c r="QLP24" s="157"/>
      <c r="QLQ24" s="157"/>
      <c r="QLR24" s="157"/>
      <c r="QLS24" s="157"/>
      <c r="QLT24" s="157"/>
      <c r="QLU24" s="157"/>
      <c r="QLV24" s="157"/>
      <c r="QLW24" s="157"/>
      <c r="QLX24" s="157"/>
      <c r="QLY24" s="157"/>
      <c r="QLZ24" s="157"/>
      <c r="QMA24" s="157"/>
      <c r="QMB24" s="157"/>
      <c r="QMC24" s="157"/>
      <c r="QMD24" s="157"/>
      <c r="QME24" s="157"/>
      <c r="QMF24" s="157"/>
      <c r="QMG24" s="157"/>
      <c r="QMH24" s="157"/>
      <c r="QMI24" s="157"/>
      <c r="QMJ24" s="157"/>
      <c r="QMK24" s="157"/>
      <c r="QML24" s="157"/>
      <c r="QMM24" s="157"/>
      <c r="QMN24" s="157"/>
      <c r="QMO24" s="157"/>
      <c r="QMP24" s="157"/>
      <c r="QMQ24" s="157"/>
      <c r="QMR24" s="157"/>
      <c r="QMS24" s="157"/>
      <c r="QMT24" s="157"/>
      <c r="QMU24" s="157"/>
      <c r="QMV24" s="157"/>
      <c r="QMW24" s="157"/>
      <c r="QMX24" s="157"/>
      <c r="QMY24" s="157"/>
      <c r="QMZ24" s="157"/>
      <c r="QNA24" s="157"/>
      <c r="QNB24" s="157"/>
      <c r="QNC24" s="157"/>
      <c r="QND24" s="157"/>
      <c r="QNE24" s="157"/>
      <c r="QNF24" s="157"/>
      <c r="QNG24" s="157"/>
      <c r="QNH24" s="157"/>
      <c r="QNI24" s="157"/>
      <c r="QNJ24" s="157"/>
      <c r="QNK24" s="157"/>
      <c r="QNL24" s="157"/>
      <c r="QNM24" s="157"/>
      <c r="QNN24" s="157"/>
      <c r="QNO24" s="157"/>
      <c r="QNP24" s="157"/>
      <c r="QNQ24" s="157"/>
      <c r="QNR24" s="157"/>
      <c r="QNS24" s="157"/>
      <c r="QNT24" s="157"/>
      <c r="QNU24" s="157"/>
      <c r="QNV24" s="157"/>
      <c r="QNW24" s="157"/>
      <c r="QNX24" s="157"/>
      <c r="QNY24" s="157"/>
      <c r="QNZ24" s="157"/>
      <c r="QOA24" s="157"/>
      <c r="QOB24" s="157"/>
      <c r="QOC24" s="157"/>
      <c r="QOD24" s="157"/>
      <c r="QOE24" s="157"/>
      <c r="QOF24" s="157"/>
      <c r="QOG24" s="157"/>
      <c r="QOH24" s="157"/>
      <c r="QOI24" s="157"/>
      <c r="QOJ24" s="157"/>
      <c r="QOK24" s="157"/>
      <c r="QOL24" s="157"/>
      <c r="QOM24" s="157"/>
      <c r="QON24" s="157"/>
      <c r="QOO24" s="157"/>
      <c r="QOP24" s="157"/>
      <c r="QOQ24" s="157"/>
      <c r="QOR24" s="157"/>
      <c r="QOS24" s="157"/>
      <c r="QOT24" s="157"/>
      <c r="QOU24" s="157"/>
      <c r="QOV24" s="157"/>
      <c r="QOW24" s="157"/>
      <c r="QOX24" s="157"/>
      <c r="QOY24" s="157"/>
      <c r="QOZ24" s="157"/>
      <c r="QPA24" s="157"/>
      <c r="QPB24" s="157"/>
      <c r="QPC24" s="157"/>
      <c r="QPD24" s="157"/>
      <c r="QPE24" s="157"/>
      <c r="QPF24" s="157"/>
      <c r="QPG24" s="157"/>
      <c r="QPH24" s="157"/>
      <c r="QPI24" s="157"/>
      <c r="QPJ24" s="157"/>
      <c r="QPK24" s="157"/>
      <c r="QPL24" s="157"/>
      <c r="QPM24" s="157"/>
      <c r="QPN24" s="157"/>
      <c r="QPO24" s="157"/>
      <c r="QPP24" s="157"/>
      <c r="QPQ24" s="157"/>
      <c r="QPR24" s="157"/>
      <c r="QPS24" s="157"/>
      <c r="QPT24" s="157"/>
      <c r="QPU24" s="157"/>
      <c r="QPV24" s="157"/>
      <c r="QPW24" s="157"/>
      <c r="QPX24" s="157"/>
      <c r="QPY24" s="157"/>
      <c r="QPZ24" s="157"/>
      <c r="QQA24" s="157"/>
      <c r="QQB24" s="157"/>
      <c r="QQC24" s="157"/>
      <c r="QQD24" s="157"/>
      <c r="QQE24" s="157"/>
      <c r="QQF24" s="157"/>
      <c r="QQG24" s="157"/>
      <c r="QQH24" s="157"/>
      <c r="QQI24" s="157"/>
      <c r="QQJ24" s="157"/>
      <c r="QQK24" s="157"/>
      <c r="QQL24" s="157"/>
      <c r="QQM24" s="157"/>
      <c r="QQN24" s="157"/>
      <c r="QQO24" s="157"/>
      <c r="QQP24" s="157"/>
      <c r="QQQ24" s="157"/>
      <c r="QQR24" s="157"/>
      <c r="QQS24" s="157"/>
      <c r="QQT24" s="157"/>
      <c r="QQU24" s="157"/>
      <c r="QQV24" s="157"/>
      <c r="QQW24" s="157"/>
      <c r="QQX24" s="157"/>
      <c r="QQY24" s="157"/>
      <c r="QQZ24" s="157"/>
      <c r="QRA24" s="157"/>
      <c r="QRB24" s="157"/>
      <c r="QRC24" s="157"/>
      <c r="QRD24" s="157"/>
      <c r="QRE24" s="157"/>
      <c r="QRF24" s="157"/>
      <c r="QRG24" s="157"/>
      <c r="QRH24" s="157"/>
      <c r="QRI24" s="157"/>
      <c r="QRJ24" s="157"/>
      <c r="QRK24" s="157"/>
      <c r="QRL24" s="157"/>
      <c r="QRM24" s="157"/>
      <c r="QRN24" s="157"/>
      <c r="QRO24" s="157"/>
      <c r="QRP24" s="157"/>
      <c r="QRQ24" s="157"/>
      <c r="QRR24" s="157"/>
      <c r="QRS24" s="157"/>
      <c r="QRT24" s="157"/>
      <c r="QRU24" s="157"/>
      <c r="QRV24" s="157"/>
      <c r="QRW24" s="157"/>
      <c r="QRX24" s="157"/>
      <c r="QRY24" s="157"/>
      <c r="QRZ24" s="157"/>
      <c r="QSA24" s="157"/>
      <c r="QSB24" s="157"/>
      <c r="QSC24" s="157"/>
      <c r="QSD24" s="157"/>
      <c r="QSE24" s="157"/>
      <c r="QSF24" s="157"/>
      <c r="QSG24" s="157"/>
      <c r="QSH24" s="157"/>
      <c r="QSI24" s="157"/>
      <c r="QSJ24" s="157"/>
      <c r="QSK24" s="157"/>
      <c r="QSL24" s="157"/>
      <c r="QSM24" s="157"/>
      <c r="QSN24" s="157"/>
      <c r="QSO24" s="157"/>
      <c r="QSP24" s="157"/>
      <c r="QSQ24" s="157"/>
      <c r="QSR24" s="157"/>
      <c r="QSS24" s="157"/>
      <c r="QST24" s="157"/>
      <c r="QSU24" s="157"/>
      <c r="QSV24" s="157"/>
      <c r="QSW24" s="157"/>
      <c r="QSX24" s="157"/>
      <c r="QSY24" s="157"/>
      <c r="QSZ24" s="157"/>
      <c r="QTA24" s="157"/>
      <c r="QTB24" s="157"/>
      <c r="QTC24" s="157"/>
      <c r="QTD24" s="157"/>
      <c r="QTE24" s="157"/>
      <c r="QTF24" s="157"/>
      <c r="QTG24" s="157"/>
      <c r="QTH24" s="157"/>
      <c r="QTI24" s="157"/>
      <c r="QTJ24" s="157"/>
      <c r="QTK24" s="157"/>
      <c r="QTL24" s="157"/>
      <c r="QTM24" s="157"/>
      <c r="QTN24" s="157"/>
      <c r="QTO24" s="157"/>
      <c r="QTP24" s="157"/>
      <c r="QTQ24" s="157"/>
      <c r="QTR24" s="157"/>
      <c r="QTS24" s="157"/>
      <c r="QTT24" s="157"/>
      <c r="QTU24" s="157"/>
      <c r="QTV24" s="157"/>
      <c r="QTW24" s="157"/>
      <c r="QTX24" s="157"/>
      <c r="QTY24" s="157"/>
      <c r="QTZ24" s="157"/>
      <c r="QUA24" s="157"/>
      <c r="QUB24" s="157"/>
      <c r="QUC24" s="157"/>
      <c r="QUD24" s="157"/>
      <c r="QUE24" s="157"/>
      <c r="QUF24" s="157"/>
      <c r="QUG24" s="157"/>
      <c r="QUH24" s="157"/>
      <c r="QUI24" s="157"/>
      <c r="QUJ24" s="157"/>
      <c r="QUK24" s="157"/>
      <c r="QUL24" s="157"/>
      <c r="QUM24" s="157"/>
      <c r="QUN24" s="157"/>
      <c r="QUO24" s="157"/>
      <c r="QUP24" s="157"/>
      <c r="QUQ24" s="157"/>
      <c r="QUR24" s="157"/>
      <c r="QUS24" s="157"/>
      <c r="QUT24" s="157"/>
      <c r="QUU24" s="157"/>
      <c r="QUV24" s="157"/>
      <c r="QUW24" s="157"/>
      <c r="QUX24" s="157"/>
      <c r="QUY24" s="157"/>
      <c r="QUZ24" s="157"/>
      <c r="QVA24" s="157"/>
      <c r="QVB24" s="157"/>
      <c r="QVC24" s="157"/>
      <c r="QVD24" s="157"/>
      <c r="QVE24" s="157"/>
      <c r="QVF24" s="157"/>
      <c r="QVG24" s="157"/>
      <c r="QVH24" s="157"/>
      <c r="QVI24" s="157"/>
      <c r="QVJ24" s="157"/>
      <c r="QVK24" s="157"/>
      <c r="QVL24" s="157"/>
      <c r="QVM24" s="157"/>
      <c r="QVN24" s="157"/>
      <c r="QVO24" s="157"/>
      <c r="QVP24" s="157"/>
      <c r="QVQ24" s="157"/>
      <c r="QVR24" s="157"/>
      <c r="QVS24" s="157"/>
      <c r="QVT24" s="157"/>
      <c r="QVU24" s="157"/>
      <c r="QVV24" s="157"/>
      <c r="QVW24" s="157"/>
      <c r="QVX24" s="157"/>
      <c r="QVY24" s="157"/>
      <c r="QVZ24" s="157"/>
      <c r="QWA24" s="157"/>
      <c r="QWB24" s="157"/>
      <c r="QWC24" s="157"/>
      <c r="QWD24" s="157"/>
      <c r="QWE24" s="157"/>
      <c r="QWF24" s="157"/>
      <c r="QWG24" s="157"/>
      <c r="QWH24" s="157"/>
      <c r="QWI24" s="157"/>
      <c r="QWJ24" s="157"/>
      <c r="QWK24" s="157"/>
      <c r="QWL24" s="157"/>
      <c r="QWM24" s="157"/>
      <c r="QWN24" s="157"/>
      <c r="QWO24" s="157"/>
      <c r="QWP24" s="157"/>
      <c r="QWQ24" s="157"/>
      <c r="QWR24" s="157"/>
      <c r="QWS24" s="157"/>
      <c r="QWT24" s="157"/>
      <c r="QWU24" s="157"/>
      <c r="QWV24" s="157"/>
      <c r="QWW24" s="157"/>
      <c r="QWX24" s="157"/>
      <c r="QWY24" s="157"/>
      <c r="QWZ24" s="157"/>
      <c r="QXA24" s="157"/>
      <c r="QXB24" s="157"/>
      <c r="QXC24" s="157"/>
      <c r="QXD24" s="157"/>
      <c r="QXE24" s="157"/>
      <c r="QXF24" s="157"/>
      <c r="QXG24" s="157"/>
      <c r="QXH24" s="157"/>
      <c r="QXI24" s="157"/>
      <c r="QXJ24" s="157"/>
      <c r="QXK24" s="157"/>
      <c r="QXL24" s="157"/>
      <c r="QXM24" s="157"/>
      <c r="QXN24" s="157"/>
      <c r="QXO24" s="157"/>
      <c r="QXP24" s="157"/>
      <c r="QXQ24" s="157"/>
      <c r="QXR24" s="157"/>
      <c r="QXS24" s="157"/>
      <c r="QXT24" s="157"/>
      <c r="QXU24" s="157"/>
      <c r="QXV24" s="157"/>
      <c r="QXW24" s="157"/>
      <c r="QXX24" s="157"/>
      <c r="QXY24" s="157"/>
      <c r="QXZ24" s="157"/>
      <c r="QYA24" s="157"/>
      <c r="QYB24" s="157"/>
      <c r="QYC24" s="157"/>
      <c r="QYD24" s="157"/>
      <c r="QYE24" s="157"/>
      <c r="QYF24" s="157"/>
      <c r="QYG24" s="157"/>
      <c r="QYH24" s="157"/>
      <c r="QYI24" s="157"/>
      <c r="QYJ24" s="157"/>
      <c r="QYK24" s="157"/>
      <c r="QYL24" s="157"/>
      <c r="QYM24" s="157"/>
      <c r="QYN24" s="157"/>
      <c r="QYO24" s="157"/>
      <c r="QYP24" s="157"/>
      <c r="QYQ24" s="157"/>
      <c r="QYR24" s="157"/>
      <c r="QYS24" s="157"/>
      <c r="QYT24" s="157"/>
      <c r="QYU24" s="157"/>
      <c r="QYV24" s="157"/>
      <c r="QYW24" s="157"/>
      <c r="QYX24" s="157"/>
      <c r="QYY24" s="157"/>
      <c r="QYZ24" s="157"/>
      <c r="QZA24" s="157"/>
      <c r="QZB24" s="157"/>
      <c r="QZC24" s="157"/>
      <c r="QZD24" s="157"/>
      <c r="QZE24" s="157"/>
      <c r="QZF24" s="157"/>
      <c r="QZG24" s="157"/>
      <c r="QZH24" s="157"/>
      <c r="QZI24" s="157"/>
      <c r="QZJ24" s="157"/>
      <c r="QZK24" s="157"/>
      <c r="QZL24" s="157"/>
      <c r="QZM24" s="157"/>
      <c r="QZN24" s="157"/>
      <c r="QZO24" s="157"/>
      <c r="QZP24" s="157"/>
      <c r="QZQ24" s="157"/>
      <c r="QZR24" s="157"/>
      <c r="QZS24" s="157"/>
      <c r="QZT24" s="157"/>
      <c r="QZU24" s="157"/>
      <c r="QZV24" s="157"/>
      <c r="QZW24" s="157"/>
      <c r="QZX24" s="157"/>
      <c r="QZY24" s="157"/>
      <c r="QZZ24" s="157"/>
      <c r="RAA24" s="157"/>
      <c r="RAB24" s="157"/>
      <c r="RAC24" s="157"/>
      <c r="RAD24" s="157"/>
      <c r="RAE24" s="157"/>
      <c r="RAF24" s="157"/>
      <c r="RAG24" s="157"/>
      <c r="RAH24" s="157"/>
      <c r="RAI24" s="157"/>
      <c r="RAJ24" s="157"/>
      <c r="RAK24" s="157"/>
      <c r="RAL24" s="157"/>
      <c r="RAM24" s="157"/>
      <c r="RAN24" s="157"/>
      <c r="RAO24" s="157"/>
      <c r="RAP24" s="157"/>
      <c r="RAQ24" s="157"/>
      <c r="RAR24" s="157"/>
      <c r="RAS24" s="157"/>
      <c r="RAT24" s="157"/>
      <c r="RAU24" s="157"/>
      <c r="RAV24" s="157"/>
      <c r="RAW24" s="157"/>
      <c r="RAX24" s="157"/>
      <c r="RAY24" s="157"/>
      <c r="RAZ24" s="157"/>
      <c r="RBA24" s="157"/>
      <c r="RBB24" s="157"/>
      <c r="RBC24" s="157"/>
      <c r="RBD24" s="157"/>
      <c r="RBE24" s="157"/>
      <c r="RBF24" s="157"/>
      <c r="RBG24" s="157"/>
      <c r="RBH24" s="157"/>
      <c r="RBI24" s="157"/>
      <c r="RBJ24" s="157"/>
      <c r="RBK24" s="157"/>
      <c r="RBL24" s="157"/>
      <c r="RBM24" s="157"/>
      <c r="RBN24" s="157"/>
      <c r="RBO24" s="157"/>
      <c r="RBP24" s="157"/>
      <c r="RBQ24" s="157"/>
      <c r="RBR24" s="157"/>
      <c r="RBS24" s="157"/>
      <c r="RBT24" s="157"/>
      <c r="RBU24" s="157"/>
      <c r="RBV24" s="157"/>
      <c r="RBW24" s="157"/>
      <c r="RBX24" s="157"/>
      <c r="RBY24" s="157"/>
      <c r="RBZ24" s="157"/>
      <c r="RCA24" s="157"/>
      <c r="RCB24" s="157"/>
      <c r="RCC24" s="157"/>
      <c r="RCD24" s="157"/>
      <c r="RCE24" s="157"/>
      <c r="RCF24" s="157"/>
      <c r="RCG24" s="157"/>
      <c r="RCH24" s="157"/>
      <c r="RCI24" s="157"/>
      <c r="RCJ24" s="157"/>
      <c r="RCK24" s="157"/>
      <c r="RCL24" s="157"/>
      <c r="RCM24" s="157"/>
      <c r="RCN24" s="157"/>
      <c r="RCO24" s="157"/>
      <c r="RCP24" s="157"/>
      <c r="RCQ24" s="157"/>
      <c r="RCR24" s="157"/>
      <c r="RCS24" s="157"/>
      <c r="RCT24" s="157"/>
      <c r="RCU24" s="157"/>
      <c r="RCV24" s="157"/>
      <c r="RCW24" s="157"/>
      <c r="RCX24" s="157"/>
      <c r="RCY24" s="157"/>
      <c r="RCZ24" s="157"/>
      <c r="RDA24" s="157"/>
      <c r="RDB24" s="157"/>
      <c r="RDC24" s="157"/>
      <c r="RDD24" s="157"/>
      <c r="RDE24" s="157"/>
      <c r="RDF24" s="157"/>
      <c r="RDG24" s="157"/>
      <c r="RDH24" s="157"/>
      <c r="RDI24" s="157"/>
      <c r="RDJ24" s="157"/>
      <c r="RDK24" s="157"/>
      <c r="RDL24" s="157"/>
      <c r="RDM24" s="157"/>
      <c r="RDN24" s="157"/>
      <c r="RDO24" s="157"/>
      <c r="RDP24" s="157"/>
      <c r="RDQ24" s="157"/>
      <c r="RDR24" s="157"/>
      <c r="RDS24" s="157"/>
      <c r="RDT24" s="157"/>
      <c r="RDU24" s="157"/>
      <c r="RDV24" s="157"/>
      <c r="RDW24" s="157"/>
      <c r="RDX24" s="157"/>
      <c r="RDY24" s="157"/>
      <c r="RDZ24" s="157"/>
      <c r="REA24" s="157"/>
      <c r="REB24" s="157"/>
      <c r="REC24" s="157"/>
      <c r="RED24" s="157"/>
      <c r="REE24" s="157"/>
      <c r="REF24" s="157"/>
      <c r="REG24" s="157"/>
      <c r="REH24" s="157"/>
      <c r="REI24" s="157"/>
      <c r="REJ24" s="157"/>
      <c r="REK24" s="157"/>
      <c r="REL24" s="157"/>
      <c r="REM24" s="157"/>
      <c r="REN24" s="157"/>
      <c r="REO24" s="157"/>
      <c r="REP24" s="157"/>
      <c r="REQ24" s="157"/>
      <c r="RER24" s="157"/>
      <c r="RES24" s="157"/>
      <c r="RET24" s="157"/>
      <c r="REU24" s="157"/>
      <c r="REV24" s="157"/>
      <c r="REW24" s="157"/>
      <c r="REX24" s="157"/>
      <c r="REY24" s="157"/>
      <c r="REZ24" s="157"/>
      <c r="RFA24" s="157"/>
      <c r="RFB24" s="157"/>
      <c r="RFC24" s="157"/>
      <c r="RFD24" s="157"/>
      <c r="RFE24" s="157"/>
      <c r="RFF24" s="157"/>
      <c r="RFG24" s="157"/>
      <c r="RFH24" s="157"/>
      <c r="RFI24" s="157"/>
      <c r="RFJ24" s="157"/>
      <c r="RFK24" s="157"/>
      <c r="RFL24" s="157"/>
      <c r="RFM24" s="157"/>
      <c r="RFN24" s="157"/>
      <c r="RFO24" s="157"/>
      <c r="RFP24" s="157"/>
      <c r="RFQ24" s="157"/>
      <c r="RFR24" s="157"/>
      <c r="RFS24" s="157"/>
      <c r="RFT24" s="157"/>
      <c r="RFU24" s="157"/>
      <c r="RFV24" s="157"/>
      <c r="RFW24" s="157"/>
      <c r="RFX24" s="157"/>
      <c r="RFY24" s="157"/>
      <c r="RFZ24" s="157"/>
      <c r="RGA24" s="157"/>
      <c r="RGB24" s="157"/>
      <c r="RGC24" s="157"/>
      <c r="RGD24" s="157"/>
      <c r="RGE24" s="157"/>
      <c r="RGF24" s="157"/>
      <c r="RGG24" s="157"/>
      <c r="RGH24" s="157"/>
      <c r="RGI24" s="157"/>
      <c r="RGJ24" s="157"/>
      <c r="RGK24" s="157"/>
      <c r="RGL24" s="157"/>
      <c r="RGM24" s="157"/>
      <c r="RGN24" s="157"/>
      <c r="RGO24" s="157"/>
      <c r="RGP24" s="157"/>
      <c r="RGQ24" s="157"/>
      <c r="RGR24" s="157"/>
      <c r="RGS24" s="157"/>
      <c r="RGT24" s="157"/>
      <c r="RGU24" s="157"/>
      <c r="RGV24" s="157"/>
      <c r="RGW24" s="157"/>
      <c r="RGX24" s="157"/>
      <c r="RGY24" s="157"/>
      <c r="RGZ24" s="157"/>
      <c r="RHA24" s="157"/>
      <c r="RHB24" s="157"/>
      <c r="RHC24" s="157"/>
      <c r="RHD24" s="157"/>
      <c r="RHE24" s="157"/>
      <c r="RHF24" s="157"/>
      <c r="RHG24" s="157"/>
      <c r="RHH24" s="157"/>
      <c r="RHI24" s="157"/>
      <c r="RHJ24" s="157"/>
      <c r="RHK24" s="157"/>
      <c r="RHL24" s="157"/>
      <c r="RHM24" s="157"/>
      <c r="RHN24" s="157"/>
      <c r="RHO24" s="157"/>
      <c r="RHP24" s="157"/>
      <c r="RHQ24" s="157"/>
      <c r="RHR24" s="157"/>
      <c r="RHS24" s="157"/>
      <c r="RHT24" s="157"/>
      <c r="RHU24" s="157"/>
      <c r="RHV24" s="157"/>
      <c r="RHW24" s="157"/>
      <c r="RHX24" s="157"/>
      <c r="RHY24" s="157"/>
      <c r="RHZ24" s="157"/>
      <c r="RIA24" s="157"/>
      <c r="RIB24" s="157"/>
      <c r="RIC24" s="157"/>
      <c r="RID24" s="157"/>
      <c r="RIE24" s="157"/>
      <c r="RIF24" s="157"/>
      <c r="RIG24" s="157"/>
      <c r="RIH24" s="157"/>
      <c r="RII24" s="157"/>
      <c r="RIJ24" s="157"/>
      <c r="RIK24" s="157"/>
      <c r="RIL24" s="157"/>
      <c r="RIM24" s="157"/>
      <c r="RIN24" s="157"/>
      <c r="RIO24" s="157"/>
      <c r="RIP24" s="157"/>
      <c r="RIQ24" s="157"/>
      <c r="RIR24" s="157"/>
      <c r="RIS24" s="157"/>
      <c r="RIT24" s="157"/>
      <c r="RIU24" s="157"/>
      <c r="RIV24" s="157"/>
      <c r="RIW24" s="157"/>
      <c r="RIX24" s="157"/>
      <c r="RIY24" s="157"/>
      <c r="RIZ24" s="157"/>
      <c r="RJA24" s="157"/>
      <c r="RJB24" s="157"/>
      <c r="RJC24" s="157"/>
      <c r="RJD24" s="157"/>
      <c r="RJE24" s="157"/>
      <c r="RJF24" s="157"/>
      <c r="RJG24" s="157"/>
      <c r="RJH24" s="157"/>
      <c r="RJI24" s="157"/>
      <c r="RJJ24" s="157"/>
      <c r="RJK24" s="157"/>
      <c r="RJL24" s="157"/>
      <c r="RJM24" s="157"/>
      <c r="RJN24" s="157"/>
      <c r="RJO24" s="157"/>
      <c r="RJP24" s="157"/>
      <c r="RJQ24" s="157"/>
      <c r="RJR24" s="157"/>
      <c r="RJS24" s="157"/>
      <c r="RJT24" s="157"/>
      <c r="RJU24" s="157"/>
      <c r="RJV24" s="157"/>
      <c r="RJW24" s="157"/>
      <c r="RJX24" s="157"/>
      <c r="RJY24" s="157"/>
      <c r="RJZ24" s="157"/>
      <c r="RKA24" s="157"/>
      <c r="RKB24" s="157"/>
      <c r="RKC24" s="157"/>
      <c r="RKD24" s="157"/>
      <c r="RKE24" s="157"/>
      <c r="RKF24" s="157"/>
      <c r="RKG24" s="157"/>
      <c r="RKH24" s="157"/>
      <c r="RKI24" s="157"/>
      <c r="RKJ24" s="157"/>
      <c r="RKK24" s="157"/>
      <c r="RKL24" s="157"/>
      <c r="RKM24" s="157"/>
      <c r="RKN24" s="157"/>
      <c r="RKO24" s="157"/>
      <c r="RKP24" s="157"/>
      <c r="RKQ24" s="157"/>
      <c r="RKR24" s="157"/>
      <c r="RKS24" s="157"/>
      <c r="RKT24" s="157"/>
      <c r="RKU24" s="157"/>
      <c r="RKV24" s="157"/>
      <c r="RKW24" s="157"/>
      <c r="RKX24" s="157"/>
      <c r="RKY24" s="157"/>
      <c r="RKZ24" s="157"/>
      <c r="RLA24" s="157"/>
      <c r="RLB24" s="157"/>
      <c r="RLC24" s="157"/>
      <c r="RLD24" s="157"/>
      <c r="RLE24" s="157"/>
      <c r="RLF24" s="157"/>
      <c r="RLG24" s="157"/>
      <c r="RLH24" s="157"/>
      <c r="RLI24" s="157"/>
      <c r="RLJ24" s="157"/>
      <c r="RLK24" s="157"/>
      <c r="RLL24" s="157"/>
      <c r="RLM24" s="157"/>
      <c r="RLN24" s="157"/>
      <c r="RLO24" s="157"/>
      <c r="RLP24" s="157"/>
      <c r="RLQ24" s="157"/>
      <c r="RLR24" s="157"/>
      <c r="RLS24" s="157"/>
      <c r="RLT24" s="157"/>
      <c r="RLU24" s="157"/>
      <c r="RLV24" s="157"/>
      <c r="RLW24" s="157"/>
      <c r="RLX24" s="157"/>
      <c r="RLY24" s="157"/>
      <c r="RLZ24" s="157"/>
      <c r="RMA24" s="157"/>
      <c r="RMB24" s="157"/>
      <c r="RMC24" s="157"/>
      <c r="RMD24" s="157"/>
      <c r="RME24" s="157"/>
      <c r="RMF24" s="157"/>
      <c r="RMG24" s="157"/>
      <c r="RMH24" s="157"/>
      <c r="RMI24" s="157"/>
      <c r="RMJ24" s="157"/>
      <c r="RMK24" s="157"/>
      <c r="RML24" s="157"/>
      <c r="RMM24" s="157"/>
      <c r="RMN24" s="157"/>
      <c r="RMO24" s="157"/>
      <c r="RMP24" s="157"/>
      <c r="RMQ24" s="157"/>
      <c r="RMR24" s="157"/>
      <c r="RMS24" s="157"/>
      <c r="RMT24" s="157"/>
      <c r="RMU24" s="157"/>
      <c r="RMV24" s="157"/>
      <c r="RMW24" s="157"/>
      <c r="RMX24" s="157"/>
      <c r="RMY24" s="157"/>
      <c r="RMZ24" s="157"/>
      <c r="RNA24" s="157"/>
      <c r="RNB24" s="157"/>
      <c r="RNC24" s="157"/>
      <c r="RND24" s="157"/>
      <c r="RNE24" s="157"/>
      <c r="RNF24" s="157"/>
      <c r="RNG24" s="157"/>
      <c r="RNH24" s="157"/>
      <c r="RNI24" s="157"/>
      <c r="RNJ24" s="157"/>
      <c r="RNK24" s="157"/>
      <c r="RNL24" s="157"/>
      <c r="RNM24" s="157"/>
      <c r="RNN24" s="157"/>
      <c r="RNO24" s="157"/>
      <c r="RNP24" s="157"/>
      <c r="RNQ24" s="157"/>
      <c r="RNR24" s="157"/>
      <c r="RNS24" s="157"/>
      <c r="RNT24" s="157"/>
      <c r="RNU24" s="157"/>
      <c r="RNV24" s="157"/>
      <c r="RNW24" s="157"/>
      <c r="RNX24" s="157"/>
      <c r="RNY24" s="157"/>
      <c r="RNZ24" s="157"/>
      <c r="ROA24" s="157"/>
      <c r="ROB24" s="157"/>
      <c r="ROC24" s="157"/>
      <c r="ROD24" s="157"/>
      <c r="ROE24" s="157"/>
      <c r="ROF24" s="157"/>
      <c r="ROG24" s="157"/>
      <c r="ROH24" s="157"/>
      <c r="ROI24" s="157"/>
      <c r="ROJ24" s="157"/>
      <c r="ROK24" s="157"/>
      <c r="ROL24" s="157"/>
      <c r="ROM24" s="157"/>
      <c r="RON24" s="157"/>
      <c r="ROO24" s="157"/>
      <c r="ROP24" s="157"/>
      <c r="ROQ24" s="157"/>
      <c r="ROR24" s="157"/>
      <c r="ROS24" s="157"/>
      <c r="ROT24" s="157"/>
      <c r="ROU24" s="157"/>
      <c r="ROV24" s="157"/>
      <c r="ROW24" s="157"/>
      <c r="ROX24" s="157"/>
      <c r="ROY24" s="157"/>
      <c r="ROZ24" s="157"/>
      <c r="RPA24" s="157"/>
      <c r="RPB24" s="157"/>
      <c r="RPC24" s="157"/>
      <c r="RPD24" s="157"/>
      <c r="RPE24" s="157"/>
      <c r="RPF24" s="157"/>
      <c r="RPG24" s="157"/>
      <c r="RPH24" s="157"/>
      <c r="RPI24" s="157"/>
      <c r="RPJ24" s="157"/>
      <c r="RPK24" s="157"/>
      <c r="RPL24" s="157"/>
      <c r="RPM24" s="157"/>
      <c r="RPN24" s="157"/>
      <c r="RPO24" s="157"/>
      <c r="RPP24" s="157"/>
      <c r="RPQ24" s="157"/>
      <c r="RPR24" s="157"/>
      <c r="RPS24" s="157"/>
      <c r="RPT24" s="157"/>
      <c r="RPU24" s="157"/>
      <c r="RPV24" s="157"/>
      <c r="RPW24" s="157"/>
      <c r="RPX24" s="157"/>
      <c r="RPY24" s="157"/>
      <c r="RPZ24" s="157"/>
      <c r="RQA24" s="157"/>
      <c r="RQB24" s="157"/>
      <c r="RQC24" s="157"/>
      <c r="RQD24" s="157"/>
      <c r="RQE24" s="157"/>
      <c r="RQF24" s="157"/>
      <c r="RQG24" s="157"/>
      <c r="RQH24" s="157"/>
      <c r="RQI24" s="157"/>
      <c r="RQJ24" s="157"/>
      <c r="RQK24" s="157"/>
      <c r="RQL24" s="157"/>
      <c r="RQM24" s="157"/>
      <c r="RQN24" s="157"/>
      <c r="RQO24" s="157"/>
      <c r="RQP24" s="157"/>
      <c r="RQQ24" s="157"/>
      <c r="RQR24" s="157"/>
      <c r="RQS24" s="157"/>
      <c r="RQT24" s="157"/>
      <c r="RQU24" s="157"/>
      <c r="RQV24" s="157"/>
      <c r="RQW24" s="157"/>
      <c r="RQX24" s="157"/>
      <c r="RQY24" s="157"/>
      <c r="RQZ24" s="157"/>
      <c r="RRA24" s="157"/>
      <c r="RRB24" s="157"/>
      <c r="RRC24" s="157"/>
      <c r="RRD24" s="157"/>
      <c r="RRE24" s="157"/>
      <c r="RRF24" s="157"/>
      <c r="RRG24" s="157"/>
      <c r="RRH24" s="157"/>
      <c r="RRI24" s="157"/>
      <c r="RRJ24" s="157"/>
      <c r="RRK24" s="157"/>
      <c r="RRL24" s="157"/>
      <c r="RRM24" s="157"/>
      <c r="RRN24" s="157"/>
      <c r="RRO24" s="157"/>
      <c r="RRP24" s="157"/>
      <c r="RRQ24" s="157"/>
      <c r="RRR24" s="157"/>
      <c r="RRS24" s="157"/>
      <c r="RRT24" s="157"/>
      <c r="RRU24" s="157"/>
      <c r="RRV24" s="157"/>
      <c r="RRW24" s="157"/>
      <c r="RRX24" s="157"/>
      <c r="RRY24" s="157"/>
      <c r="RRZ24" s="157"/>
      <c r="RSA24" s="157"/>
      <c r="RSB24" s="157"/>
      <c r="RSC24" s="157"/>
      <c r="RSD24" s="157"/>
      <c r="RSE24" s="157"/>
      <c r="RSF24" s="157"/>
      <c r="RSG24" s="157"/>
      <c r="RSH24" s="157"/>
      <c r="RSI24" s="157"/>
      <c r="RSJ24" s="157"/>
      <c r="RSK24" s="157"/>
      <c r="RSL24" s="157"/>
      <c r="RSM24" s="157"/>
      <c r="RSN24" s="157"/>
      <c r="RSO24" s="157"/>
      <c r="RSP24" s="157"/>
      <c r="RSQ24" s="157"/>
      <c r="RSR24" s="157"/>
      <c r="RSS24" s="157"/>
      <c r="RST24" s="157"/>
      <c r="RSU24" s="157"/>
      <c r="RSV24" s="157"/>
      <c r="RSW24" s="157"/>
      <c r="RSX24" s="157"/>
      <c r="RSY24" s="157"/>
      <c r="RSZ24" s="157"/>
      <c r="RTA24" s="157"/>
      <c r="RTB24" s="157"/>
      <c r="RTC24" s="157"/>
      <c r="RTD24" s="157"/>
      <c r="RTE24" s="157"/>
      <c r="RTF24" s="157"/>
      <c r="RTG24" s="157"/>
      <c r="RTH24" s="157"/>
      <c r="RTI24" s="157"/>
      <c r="RTJ24" s="157"/>
      <c r="RTK24" s="157"/>
      <c r="RTL24" s="157"/>
      <c r="RTM24" s="157"/>
      <c r="RTN24" s="157"/>
      <c r="RTO24" s="157"/>
      <c r="RTP24" s="157"/>
      <c r="RTQ24" s="157"/>
      <c r="RTR24" s="157"/>
      <c r="RTS24" s="157"/>
      <c r="RTT24" s="157"/>
      <c r="RTU24" s="157"/>
      <c r="RTV24" s="157"/>
      <c r="RTW24" s="157"/>
      <c r="RTX24" s="157"/>
      <c r="RTY24" s="157"/>
      <c r="RTZ24" s="157"/>
      <c r="RUA24" s="157"/>
      <c r="RUB24" s="157"/>
      <c r="RUC24" s="157"/>
      <c r="RUD24" s="157"/>
      <c r="RUE24" s="157"/>
      <c r="RUF24" s="157"/>
      <c r="RUG24" s="157"/>
      <c r="RUH24" s="157"/>
      <c r="RUI24" s="157"/>
      <c r="RUJ24" s="157"/>
      <c r="RUK24" s="157"/>
      <c r="RUL24" s="157"/>
      <c r="RUM24" s="157"/>
      <c r="RUN24" s="157"/>
      <c r="RUO24" s="157"/>
      <c r="RUP24" s="157"/>
      <c r="RUQ24" s="157"/>
      <c r="RUR24" s="157"/>
      <c r="RUS24" s="157"/>
      <c r="RUT24" s="157"/>
      <c r="RUU24" s="157"/>
      <c r="RUV24" s="157"/>
      <c r="RUW24" s="157"/>
      <c r="RUX24" s="157"/>
      <c r="RUY24" s="157"/>
      <c r="RUZ24" s="157"/>
      <c r="RVA24" s="157"/>
      <c r="RVB24" s="157"/>
      <c r="RVC24" s="157"/>
      <c r="RVD24" s="157"/>
      <c r="RVE24" s="157"/>
      <c r="RVF24" s="157"/>
      <c r="RVG24" s="157"/>
      <c r="RVH24" s="157"/>
      <c r="RVI24" s="157"/>
      <c r="RVJ24" s="157"/>
      <c r="RVK24" s="157"/>
      <c r="RVL24" s="157"/>
      <c r="RVM24" s="157"/>
      <c r="RVN24" s="157"/>
      <c r="RVO24" s="157"/>
      <c r="RVP24" s="157"/>
      <c r="RVQ24" s="157"/>
      <c r="RVR24" s="157"/>
      <c r="RVS24" s="157"/>
      <c r="RVT24" s="157"/>
      <c r="RVU24" s="157"/>
      <c r="RVV24" s="157"/>
      <c r="RVW24" s="157"/>
      <c r="RVX24" s="157"/>
      <c r="RVY24" s="157"/>
      <c r="RVZ24" s="157"/>
      <c r="RWA24" s="157"/>
      <c r="RWB24" s="157"/>
      <c r="RWC24" s="157"/>
      <c r="RWD24" s="157"/>
      <c r="RWE24" s="157"/>
      <c r="RWF24" s="157"/>
      <c r="RWG24" s="157"/>
      <c r="RWH24" s="157"/>
      <c r="RWI24" s="157"/>
      <c r="RWJ24" s="157"/>
      <c r="RWK24" s="157"/>
      <c r="RWL24" s="157"/>
      <c r="RWM24" s="157"/>
      <c r="RWN24" s="157"/>
      <c r="RWO24" s="157"/>
      <c r="RWP24" s="157"/>
      <c r="RWQ24" s="157"/>
      <c r="RWR24" s="157"/>
      <c r="RWS24" s="157"/>
      <c r="RWT24" s="157"/>
      <c r="RWU24" s="157"/>
      <c r="RWV24" s="157"/>
      <c r="RWW24" s="157"/>
      <c r="RWX24" s="157"/>
      <c r="RWY24" s="157"/>
      <c r="RWZ24" s="157"/>
      <c r="RXA24" s="157"/>
      <c r="RXB24" s="157"/>
      <c r="RXC24" s="157"/>
      <c r="RXD24" s="157"/>
      <c r="RXE24" s="157"/>
      <c r="RXF24" s="157"/>
      <c r="RXG24" s="157"/>
      <c r="RXH24" s="157"/>
      <c r="RXI24" s="157"/>
      <c r="RXJ24" s="157"/>
      <c r="RXK24" s="157"/>
      <c r="RXL24" s="157"/>
      <c r="RXM24" s="157"/>
      <c r="RXN24" s="157"/>
      <c r="RXO24" s="157"/>
      <c r="RXP24" s="157"/>
      <c r="RXQ24" s="157"/>
      <c r="RXR24" s="157"/>
      <c r="RXS24" s="157"/>
      <c r="RXT24" s="157"/>
      <c r="RXU24" s="157"/>
      <c r="RXV24" s="157"/>
      <c r="RXW24" s="157"/>
      <c r="RXX24" s="157"/>
      <c r="RXY24" s="157"/>
      <c r="RXZ24" s="157"/>
      <c r="RYA24" s="157"/>
      <c r="RYB24" s="157"/>
      <c r="RYC24" s="157"/>
      <c r="RYD24" s="157"/>
      <c r="RYE24" s="157"/>
      <c r="RYF24" s="157"/>
      <c r="RYG24" s="157"/>
      <c r="RYH24" s="157"/>
      <c r="RYI24" s="157"/>
      <c r="RYJ24" s="157"/>
      <c r="RYK24" s="157"/>
      <c r="RYL24" s="157"/>
      <c r="RYM24" s="157"/>
      <c r="RYN24" s="157"/>
      <c r="RYO24" s="157"/>
      <c r="RYP24" s="157"/>
      <c r="RYQ24" s="157"/>
      <c r="RYR24" s="157"/>
      <c r="RYS24" s="157"/>
      <c r="RYT24" s="157"/>
      <c r="RYU24" s="157"/>
      <c r="RYV24" s="157"/>
      <c r="RYW24" s="157"/>
      <c r="RYX24" s="157"/>
      <c r="RYY24" s="157"/>
      <c r="RYZ24" s="157"/>
      <c r="RZA24" s="157"/>
      <c r="RZB24" s="157"/>
      <c r="RZC24" s="157"/>
      <c r="RZD24" s="157"/>
      <c r="RZE24" s="157"/>
      <c r="RZF24" s="157"/>
      <c r="RZG24" s="157"/>
      <c r="RZH24" s="157"/>
      <c r="RZI24" s="157"/>
      <c r="RZJ24" s="157"/>
      <c r="RZK24" s="157"/>
      <c r="RZL24" s="157"/>
      <c r="RZM24" s="157"/>
      <c r="RZN24" s="157"/>
      <c r="RZO24" s="157"/>
      <c r="RZP24" s="157"/>
      <c r="RZQ24" s="157"/>
      <c r="RZR24" s="157"/>
      <c r="RZS24" s="157"/>
      <c r="RZT24" s="157"/>
      <c r="RZU24" s="157"/>
      <c r="RZV24" s="157"/>
      <c r="RZW24" s="157"/>
      <c r="RZX24" s="157"/>
      <c r="RZY24" s="157"/>
      <c r="RZZ24" s="157"/>
      <c r="SAA24" s="157"/>
      <c r="SAB24" s="157"/>
      <c r="SAC24" s="157"/>
      <c r="SAD24" s="157"/>
      <c r="SAE24" s="157"/>
      <c r="SAF24" s="157"/>
      <c r="SAG24" s="157"/>
      <c r="SAH24" s="157"/>
      <c r="SAI24" s="157"/>
      <c r="SAJ24" s="157"/>
      <c r="SAK24" s="157"/>
      <c r="SAL24" s="157"/>
      <c r="SAM24" s="157"/>
      <c r="SAN24" s="157"/>
      <c r="SAO24" s="157"/>
      <c r="SAP24" s="157"/>
      <c r="SAQ24" s="157"/>
      <c r="SAR24" s="157"/>
      <c r="SAS24" s="157"/>
      <c r="SAT24" s="157"/>
      <c r="SAU24" s="157"/>
      <c r="SAV24" s="157"/>
      <c r="SAW24" s="157"/>
      <c r="SAX24" s="157"/>
      <c r="SAY24" s="157"/>
      <c r="SAZ24" s="157"/>
      <c r="SBA24" s="157"/>
      <c r="SBB24" s="157"/>
      <c r="SBC24" s="157"/>
      <c r="SBD24" s="157"/>
      <c r="SBE24" s="157"/>
      <c r="SBF24" s="157"/>
      <c r="SBG24" s="157"/>
      <c r="SBH24" s="157"/>
      <c r="SBI24" s="157"/>
      <c r="SBJ24" s="157"/>
      <c r="SBK24" s="157"/>
      <c r="SBL24" s="157"/>
      <c r="SBM24" s="157"/>
      <c r="SBN24" s="157"/>
      <c r="SBO24" s="157"/>
      <c r="SBP24" s="157"/>
      <c r="SBQ24" s="157"/>
      <c r="SBR24" s="157"/>
      <c r="SBS24" s="157"/>
      <c r="SBT24" s="157"/>
      <c r="SBU24" s="157"/>
      <c r="SBV24" s="157"/>
      <c r="SBW24" s="157"/>
      <c r="SBX24" s="157"/>
      <c r="SBY24" s="157"/>
      <c r="SBZ24" s="157"/>
      <c r="SCA24" s="157"/>
      <c r="SCB24" s="157"/>
      <c r="SCC24" s="157"/>
      <c r="SCD24" s="157"/>
      <c r="SCE24" s="157"/>
      <c r="SCF24" s="157"/>
      <c r="SCG24" s="157"/>
      <c r="SCH24" s="157"/>
      <c r="SCI24" s="157"/>
      <c r="SCJ24" s="157"/>
      <c r="SCK24" s="157"/>
      <c r="SCL24" s="157"/>
      <c r="SCM24" s="157"/>
      <c r="SCN24" s="157"/>
      <c r="SCO24" s="157"/>
      <c r="SCP24" s="157"/>
      <c r="SCQ24" s="157"/>
      <c r="SCR24" s="157"/>
      <c r="SCS24" s="157"/>
      <c r="SCT24" s="157"/>
      <c r="SCU24" s="157"/>
      <c r="SCV24" s="157"/>
      <c r="SCW24" s="157"/>
      <c r="SCX24" s="157"/>
      <c r="SCY24" s="157"/>
      <c r="SCZ24" s="157"/>
      <c r="SDA24" s="157"/>
      <c r="SDB24" s="157"/>
      <c r="SDC24" s="157"/>
      <c r="SDD24" s="157"/>
      <c r="SDE24" s="157"/>
      <c r="SDF24" s="157"/>
      <c r="SDG24" s="157"/>
      <c r="SDH24" s="157"/>
      <c r="SDI24" s="157"/>
      <c r="SDJ24" s="157"/>
      <c r="SDK24" s="157"/>
      <c r="SDL24" s="157"/>
      <c r="SDM24" s="157"/>
      <c r="SDN24" s="157"/>
      <c r="SDO24" s="157"/>
      <c r="SDP24" s="157"/>
      <c r="SDQ24" s="157"/>
      <c r="SDR24" s="157"/>
      <c r="SDS24" s="157"/>
      <c r="SDT24" s="157"/>
      <c r="SDU24" s="157"/>
      <c r="SDV24" s="157"/>
      <c r="SDW24" s="157"/>
      <c r="SDX24" s="157"/>
      <c r="SDY24" s="157"/>
      <c r="SDZ24" s="157"/>
      <c r="SEA24" s="157"/>
      <c r="SEB24" s="157"/>
      <c r="SEC24" s="157"/>
      <c r="SED24" s="157"/>
      <c r="SEE24" s="157"/>
      <c r="SEF24" s="157"/>
      <c r="SEG24" s="157"/>
      <c r="SEH24" s="157"/>
      <c r="SEI24" s="157"/>
      <c r="SEJ24" s="157"/>
      <c r="SEK24" s="157"/>
      <c r="SEL24" s="157"/>
      <c r="SEM24" s="157"/>
      <c r="SEN24" s="157"/>
      <c r="SEO24" s="157"/>
      <c r="SEP24" s="157"/>
      <c r="SEQ24" s="157"/>
      <c r="SER24" s="157"/>
      <c r="SES24" s="157"/>
      <c r="SET24" s="157"/>
      <c r="SEU24" s="157"/>
      <c r="SEV24" s="157"/>
      <c r="SEW24" s="157"/>
      <c r="SEX24" s="157"/>
      <c r="SEY24" s="157"/>
      <c r="SEZ24" s="157"/>
      <c r="SFA24" s="157"/>
      <c r="SFB24" s="157"/>
      <c r="SFC24" s="157"/>
      <c r="SFD24" s="157"/>
      <c r="SFE24" s="157"/>
      <c r="SFF24" s="157"/>
      <c r="SFG24" s="157"/>
      <c r="SFH24" s="157"/>
      <c r="SFI24" s="157"/>
      <c r="SFJ24" s="157"/>
      <c r="SFK24" s="157"/>
      <c r="SFL24" s="157"/>
      <c r="SFM24" s="157"/>
      <c r="SFN24" s="157"/>
      <c r="SFO24" s="157"/>
      <c r="SFP24" s="157"/>
      <c r="SFQ24" s="157"/>
      <c r="SFR24" s="157"/>
      <c r="SFS24" s="157"/>
      <c r="SFT24" s="157"/>
      <c r="SFU24" s="157"/>
      <c r="SFV24" s="157"/>
      <c r="SFW24" s="157"/>
      <c r="SFX24" s="157"/>
      <c r="SFY24" s="157"/>
      <c r="SFZ24" s="157"/>
      <c r="SGA24" s="157"/>
      <c r="SGB24" s="157"/>
      <c r="SGC24" s="157"/>
      <c r="SGD24" s="157"/>
      <c r="SGE24" s="157"/>
      <c r="SGF24" s="157"/>
      <c r="SGG24" s="157"/>
      <c r="SGH24" s="157"/>
      <c r="SGI24" s="157"/>
      <c r="SGJ24" s="157"/>
      <c r="SGK24" s="157"/>
      <c r="SGL24" s="157"/>
      <c r="SGM24" s="157"/>
      <c r="SGN24" s="157"/>
      <c r="SGO24" s="157"/>
      <c r="SGP24" s="157"/>
      <c r="SGQ24" s="157"/>
      <c r="SGR24" s="157"/>
      <c r="SGS24" s="157"/>
      <c r="SGT24" s="157"/>
      <c r="SGU24" s="157"/>
      <c r="SGV24" s="157"/>
      <c r="SGW24" s="157"/>
      <c r="SGX24" s="157"/>
      <c r="SGY24" s="157"/>
      <c r="SGZ24" s="157"/>
      <c r="SHA24" s="157"/>
      <c r="SHB24" s="157"/>
      <c r="SHC24" s="157"/>
      <c r="SHD24" s="157"/>
      <c r="SHE24" s="157"/>
      <c r="SHF24" s="157"/>
      <c r="SHG24" s="157"/>
      <c r="SHH24" s="157"/>
      <c r="SHI24" s="157"/>
      <c r="SHJ24" s="157"/>
      <c r="SHK24" s="157"/>
      <c r="SHL24" s="157"/>
      <c r="SHM24" s="157"/>
      <c r="SHN24" s="157"/>
      <c r="SHO24" s="157"/>
      <c r="SHP24" s="157"/>
      <c r="SHQ24" s="157"/>
      <c r="SHR24" s="157"/>
      <c r="SHS24" s="157"/>
      <c r="SHT24" s="157"/>
      <c r="SHU24" s="157"/>
      <c r="SHV24" s="157"/>
      <c r="SHW24" s="157"/>
      <c r="SHX24" s="157"/>
      <c r="SHY24" s="157"/>
      <c r="SHZ24" s="157"/>
      <c r="SIA24" s="157"/>
      <c r="SIB24" s="157"/>
      <c r="SIC24" s="157"/>
      <c r="SID24" s="157"/>
      <c r="SIE24" s="157"/>
      <c r="SIF24" s="157"/>
      <c r="SIG24" s="157"/>
      <c r="SIH24" s="157"/>
      <c r="SII24" s="157"/>
      <c r="SIJ24" s="157"/>
      <c r="SIK24" s="157"/>
      <c r="SIL24" s="157"/>
      <c r="SIM24" s="157"/>
      <c r="SIN24" s="157"/>
      <c r="SIO24" s="157"/>
      <c r="SIP24" s="157"/>
      <c r="SIQ24" s="157"/>
      <c r="SIR24" s="157"/>
      <c r="SIS24" s="157"/>
      <c r="SIT24" s="157"/>
      <c r="SIU24" s="157"/>
      <c r="SIV24" s="157"/>
      <c r="SIW24" s="157"/>
      <c r="SIX24" s="157"/>
      <c r="SIY24" s="157"/>
      <c r="SIZ24" s="157"/>
      <c r="SJA24" s="157"/>
      <c r="SJB24" s="157"/>
      <c r="SJC24" s="157"/>
      <c r="SJD24" s="157"/>
      <c r="SJE24" s="157"/>
      <c r="SJF24" s="157"/>
      <c r="SJG24" s="157"/>
      <c r="SJH24" s="157"/>
      <c r="SJI24" s="157"/>
      <c r="SJJ24" s="157"/>
      <c r="SJK24" s="157"/>
      <c r="SJL24" s="157"/>
      <c r="SJM24" s="157"/>
      <c r="SJN24" s="157"/>
      <c r="SJO24" s="157"/>
      <c r="SJP24" s="157"/>
      <c r="SJQ24" s="157"/>
      <c r="SJR24" s="157"/>
      <c r="SJS24" s="157"/>
      <c r="SJT24" s="157"/>
      <c r="SJU24" s="157"/>
      <c r="SJV24" s="157"/>
      <c r="SJW24" s="157"/>
      <c r="SJX24" s="157"/>
      <c r="SJY24" s="157"/>
      <c r="SJZ24" s="157"/>
      <c r="SKA24" s="157"/>
      <c r="SKB24" s="157"/>
      <c r="SKC24" s="157"/>
      <c r="SKD24" s="157"/>
      <c r="SKE24" s="157"/>
      <c r="SKF24" s="157"/>
      <c r="SKG24" s="157"/>
      <c r="SKH24" s="157"/>
      <c r="SKI24" s="157"/>
      <c r="SKJ24" s="157"/>
      <c r="SKK24" s="157"/>
      <c r="SKL24" s="157"/>
      <c r="SKM24" s="157"/>
      <c r="SKN24" s="157"/>
      <c r="SKO24" s="157"/>
      <c r="SKP24" s="157"/>
      <c r="SKQ24" s="157"/>
      <c r="SKR24" s="157"/>
      <c r="SKS24" s="157"/>
      <c r="SKT24" s="157"/>
      <c r="SKU24" s="157"/>
      <c r="SKV24" s="157"/>
      <c r="SKW24" s="157"/>
      <c r="SKX24" s="157"/>
      <c r="SKY24" s="157"/>
      <c r="SKZ24" s="157"/>
      <c r="SLA24" s="157"/>
      <c r="SLB24" s="157"/>
      <c r="SLC24" s="157"/>
      <c r="SLD24" s="157"/>
      <c r="SLE24" s="157"/>
      <c r="SLF24" s="157"/>
      <c r="SLG24" s="157"/>
      <c r="SLH24" s="157"/>
      <c r="SLI24" s="157"/>
      <c r="SLJ24" s="157"/>
      <c r="SLK24" s="157"/>
      <c r="SLL24" s="157"/>
      <c r="SLM24" s="157"/>
      <c r="SLN24" s="157"/>
      <c r="SLO24" s="157"/>
      <c r="SLP24" s="157"/>
      <c r="SLQ24" s="157"/>
      <c r="SLR24" s="157"/>
      <c r="SLS24" s="157"/>
      <c r="SLT24" s="157"/>
      <c r="SLU24" s="157"/>
      <c r="SLV24" s="157"/>
      <c r="SLW24" s="157"/>
      <c r="SLX24" s="157"/>
      <c r="SLY24" s="157"/>
      <c r="SLZ24" s="157"/>
      <c r="SMA24" s="157"/>
      <c r="SMB24" s="157"/>
      <c r="SMC24" s="157"/>
      <c r="SMD24" s="157"/>
      <c r="SME24" s="157"/>
      <c r="SMF24" s="157"/>
      <c r="SMG24" s="157"/>
      <c r="SMH24" s="157"/>
      <c r="SMI24" s="157"/>
      <c r="SMJ24" s="157"/>
      <c r="SMK24" s="157"/>
      <c r="SML24" s="157"/>
      <c r="SMM24" s="157"/>
      <c r="SMN24" s="157"/>
      <c r="SMO24" s="157"/>
      <c r="SMP24" s="157"/>
      <c r="SMQ24" s="157"/>
      <c r="SMR24" s="157"/>
      <c r="SMS24" s="157"/>
      <c r="SMT24" s="157"/>
      <c r="SMU24" s="157"/>
      <c r="SMV24" s="157"/>
      <c r="SMW24" s="157"/>
      <c r="SMX24" s="157"/>
      <c r="SMY24" s="157"/>
      <c r="SMZ24" s="157"/>
      <c r="SNA24" s="157"/>
      <c r="SNB24" s="157"/>
      <c r="SNC24" s="157"/>
      <c r="SND24" s="157"/>
      <c r="SNE24" s="157"/>
      <c r="SNF24" s="157"/>
      <c r="SNG24" s="157"/>
      <c r="SNH24" s="157"/>
      <c r="SNI24" s="157"/>
      <c r="SNJ24" s="157"/>
      <c r="SNK24" s="157"/>
      <c r="SNL24" s="157"/>
      <c r="SNM24" s="157"/>
      <c r="SNN24" s="157"/>
      <c r="SNO24" s="157"/>
      <c r="SNP24" s="157"/>
      <c r="SNQ24" s="157"/>
      <c r="SNR24" s="157"/>
      <c r="SNS24" s="157"/>
      <c r="SNT24" s="157"/>
      <c r="SNU24" s="157"/>
      <c r="SNV24" s="157"/>
      <c r="SNW24" s="157"/>
      <c r="SNX24" s="157"/>
      <c r="SNY24" s="157"/>
      <c r="SNZ24" s="157"/>
      <c r="SOA24" s="157"/>
      <c r="SOB24" s="157"/>
      <c r="SOC24" s="157"/>
      <c r="SOD24" s="157"/>
      <c r="SOE24" s="157"/>
      <c r="SOF24" s="157"/>
      <c r="SOG24" s="157"/>
      <c r="SOH24" s="157"/>
      <c r="SOI24" s="157"/>
      <c r="SOJ24" s="157"/>
      <c r="SOK24" s="157"/>
      <c r="SOL24" s="157"/>
      <c r="SOM24" s="157"/>
      <c r="SON24" s="157"/>
      <c r="SOO24" s="157"/>
      <c r="SOP24" s="157"/>
      <c r="SOQ24" s="157"/>
      <c r="SOR24" s="157"/>
      <c r="SOS24" s="157"/>
      <c r="SOT24" s="157"/>
      <c r="SOU24" s="157"/>
      <c r="SOV24" s="157"/>
      <c r="SOW24" s="157"/>
      <c r="SOX24" s="157"/>
      <c r="SOY24" s="157"/>
      <c r="SOZ24" s="157"/>
      <c r="SPA24" s="157"/>
      <c r="SPB24" s="157"/>
      <c r="SPC24" s="157"/>
      <c r="SPD24" s="157"/>
      <c r="SPE24" s="157"/>
      <c r="SPF24" s="157"/>
      <c r="SPG24" s="157"/>
      <c r="SPH24" s="157"/>
      <c r="SPI24" s="157"/>
      <c r="SPJ24" s="157"/>
      <c r="SPK24" s="157"/>
      <c r="SPL24" s="157"/>
      <c r="SPM24" s="157"/>
      <c r="SPN24" s="157"/>
      <c r="SPO24" s="157"/>
      <c r="SPP24" s="157"/>
      <c r="SPQ24" s="157"/>
      <c r="SPR24" s="157"/>
      <c r="SPS24" s="157"/>
      <c r="SPT24" s="157"/>
      <c r="SPU24" s="157"/>
      <c r="SPV24" s="157"/>
      <c r="SPW24" s="157"/>
      <c r="SPX24" s="157"/>
      <c r="SPY24" s="157"/>
      <c r="SPZ24" s="157"/>
      <c r="SQA24" s="157"/>
      <c r="SQB24" s="157"/>
      <c r="SQC24" s="157"/>
      <c r="SQD24" s="157"/>
      <c r="SQE24" s="157"/>
      <c r="SQF24" s="157"/>
      <c r="SQG24" s="157"/>
      <c r="SQH24" s="157"/>
      <c r="SQI24" s="157"/>
      <c r="SQJ24" s="157"/>
      <c r="SQK24" s="157"/>
      <c r="SQL24" s="157"/>
      <c r="SQM24" s="157"/>
      <c r="SQN24" s="157"/>
      <c r="SQO24" s="157"/>
      <c r="SQP24" s="157"/>
      <c r="SQQ24" s="157"/>
      <c r="SQR24" s="157"/>
      <c r="SQS24" s="157"/>
      <c r="SQT24" s="157"/>
      <c r="SQU24" s="157"/>
      <c r="SQV24" s="157"/>
      <c r="SQW24" s="157"/>
      <c r="SQX24" s="157"/>
      <c r="SQY24" s="157"/>
      <c r="SQZ24" s="157"/>
      <c r="SRA24" s="157"/>
      <c r="SRB24" s="157"/>
      <c r="SRC24" s="157"/>
      <c r="SRD24" s="157"/>
      <c r="SRE24" s="157"/>
      <c r="SRF24" s="157"/>
      <c r="SRG24" s="157"/>
      <c r="SRH24" s="157"/>
      <c r="SRI24" s="157"/>
      <c r="SRJ24" s="157"/>
      <c r="SRK24" s="157"/>
      <c r="SRL24" s="157"/>
      <c r="SRM24" s="157"/>
      <c r="SRN24" s="157"/>
      <c r="SRO24" s="157"/>
      <c r="SRP24" s="157"/>
      <c r="SRQ24" s="157"/>
      <c r="SRR24" s="157"/>
      <c r="SRS24" s="157"/>
      <c r="SRT24" s="157"/>
      <c r="SRU24" s="157"/>
      <c r="SRV24" s="157"/>
      <c r="SRW24" s="157"/>
      <c r="SRX24" s="157"/>
      <c r="SRY24" s="157"/>
      <c r="SRZ24" s="157"/>
      <c r="SSA24" s="157"/>
      <c r="SSB24" s="157"/>
      <c r="SSC24" s="157"/>
      <c r="SSD24" s="157"/>
      <c r="SSE24" s="157"/>
      <c r="SSF24" s="157"/>
      <c r="SSG24" s="157"/>
      <c r="SSH24" s="157"/>
      <c r="SSI24" s="157"/>
      <c r="SSJ24" s="157"/>
      <c r="SSK24" s="157"/>
      <c r="SSL24" s="157"/>
      <c r="SSM24" s="157"/>
      <c r="SSN24" s="157"/>
      <c r="SSO24" s="157"/>
      <c r="SSP24" s="157"/>
      <c r="SSQ24" s="157"/>
      <c r="SSR24" s="157"/>
      <c r="SSS24" s="157"/>
      <c r="SST24" s="157"/>
      <c r="SSU24" s="157"/>
      <c r="SSV24" s="157"/>
      <c r="SSW24" s="157"/>
      <c r="SSX24" s="157"/>
      <c r="SSY24" s="157"/>
      <c r="SSZ24" s="157"/>
      <c r="STA24" s="157"/>
      <c r="STB24" s="157"/>
      <c r="STC24" s="157"/>
      <c r="STD24" s="157"/>
      <c r="STE24" s="157"/>
      <c r="STF24" s="157"/>
      <c r="STG24" s="157"/>
      <c r="STH24" s="157"/>
      <c r="STI24" s="157"/>
      <c r="STJ24" s="157"/>
      <c r="STK24" s="157"/>
      <c r="STL24" s="157"/>
      <c r="STM24" s="157"/>
      <c r="STN24" s="157"/>
      <c r="STO24" s="157"/>
      <c r="STP24" s="157"/>
      <c r="STQ24" s="157"/>
      <c r="STR24" s="157"/>
      <c r="STS24" s="157"/>
      <c r="STT24" s="157"/>
      <c r="STU24" s="157"/>
      <c r="STV24" s="157"/>
      <c r="STW24" s="157"/>
      <c r="STX24" s="157"/>
      <c r="STY24" s="157"/>
      <c r="STZ24" s="157"/>
      <c r="SUA24" s="157"/>
      <c r="SUB24" s="157"/>
      <c r="SUC24" s="157"/>
      <c r="SUD24" s="157"/>
      <c r="SUE24" s="157"/>
      <c r="SUF24" s="157"/>
      <c r="SUG24" s="157"/>
      <c r="SUH24" s="157"/>
      <c r="SUI24" s="157"/>
      <c r="SUJ24" s="157"/>
      <c r="SUK24" s="157"/>
      <c r="SUL24" s="157"/>
      <c r="SUM24" s="157"/>
      <c r="SUN24" s="157"/>
      <c r="SUO24" s="157"/>
      <c r="SUP24" s="157"/>
      <c r="SUQ24" s="157"/>
      <c r="SUR24" s="157"/>
      <c r="SUS24" s="157"/>
      <c r="SUT24" s="157"/>
      <c r="SUU24" s="157"/>
      <c r="SUV24" s="157"/>
      <c r="SUW24" s="157"/>
      <c r="SUX24" s="157"/>
      <c r="SUY24" s="157"/>
      <c r="SUZ24" s="157"/>
      <c r="SVA24" s="157"/>
      <c r="SVB24" s="157"/>
      <c r="SVC24" s="157"/>
      <c r="SVD24" s="157"/>
      <c r="SVE24" s="157"/>
      <c r="SVF24" s="157"/>
      <c r="SVG24" s="157"/>
      <c r="SVH24" s="157"/>
      <c r="SVI24" s="157"/>
      <c r="SVJ24" s="157"/>
      <c r="SVK24" s="157"/>
      <c r="SVL24" s="157"/>
      <c r="SVM24" s="157"/>
      <c r="SVN24" s="157"/>
      <c r="SVO24" s="157"/>
      <c r="SVP24" s="157"/>
      <c r="SVQ24" s="157"/>
      <c r="SVR24" s="157"/>
      <c r="SVS24" s="157"/>
      <c r="SVT24" s="157"/>
      <c r="SVU24" s="157"/>
      <c r="SVV24" s="157"/>
      <c r="SVW24" s="157"/>
      <c r="SVX24" s="157"/>
      <c r="SVY24" s="157"/>
      <c r="SVZ24" s="157"/>
      <c r="SWA24" s="157"/>
      <c r="SWB24" s="157"/>
      <c r="SWC24" s="157"/>
      <c r="SWD24" s="157"/>
      <c r="SWE24" s="157"/>
      <c r="SWF24" s="157"/>
      <c r="SWG24" s="157"/>
      <c r="SWH24" s="157"/>
      <c r="SWI24" s="157"/>
      <c r="SWJ24" s="157"/>
      <c r="SWK24" s="157"/>
      <c r="SWL24" s="157"/>
      <c r="SWM24" s="157"/>
      <c r="SWN24" s="157"/>
      <c r="SWO24" s="157"/>
      <c r="SWP24" s="157"/>
      <c r="SWQ24" s="157"/>
      <c r="SWR24" s="157"/>
      <c r="SWS24" s="157"/>
      <c r="SWT24" s="157"/>
      <c r="SWU24" s="157"/>
      <c r="SWV24" s="157"/>
      <c r="SWW24" s="157"/>
      <c r="SWX24" s="157"/>
      <c r="SWY24" s="157"/>
      <c r="SWZ24" s="157"/>
      <c r="SXA24" s="157"/>
      <c r="SXB24" s="157"/>
      <c r="SXC24" s="157"/>
      <c r="SXD24" s="157"/>
      <c r="SXE24" s="157"/>
      <c r="SXF24" s="157"/>
      <c r="SXG24" s="157"/>
      <c r="SXH24" s="157"/>
      <c r="SXI24" s="157"/>
      <c r="SXJ24" s="157"/>
      <c r="SXK24" s="157"/>
      <c r="SXL24" s="157"/>
      <c r="SXM24" s="157"/>
      <c r="SXN24" s="157"/>
      <c r="SXO24" s="157"/>
      <c r="SXP24" s="157"/>
      <c r="SXQ24" s="157"/>
      <c r="SXR24" s="157"/>
      <c r="SXS24" s="157"/>
      <c r="SXT24" s="157"/>
      <c r="SXU24" s="157"/>
      <c r="SXV24" s="157"/>
      <c r="SXW24" s="157"/>
      <c r="SXX24" s="157"/>
      <c r="SXY24" s="157"/>
      <c r="SXZ24" s="157"/>
      <c r="SYA24" s="157"/>
      <c r="SYB24" s="157"/>
      <c r="SYC24" s="157"/>
      <c r="SYD24" s="157"/>
      <c r="SYE24" s="157"/>
      <c r="SYF24" s="157"/>
      <c r="SYG24" s="157"/>
      <c r="SYH24" s="157"/>
      <c r="SYI24" s="157"/>
      <c r="SYJ24" s="157"/>
      <c r="SYK24" s="157"/>
      <c r="SYL24" s="157"/>
      <c r="SYM24" s="157"/>
      <c r="SYN24" s="157"/>
      <c r="SYO24" s="157"/>
      <c r="SYP24" s="157"/>
      <c r="SYQ24" s="157"/>
      <c r="SYR24" s="157"/>
      <c r="SYS24" s="157"/>
      <c r="SYT24" s="157"/>
      <c r="SYU24" s="157"/>
      <c r="SYV24" s="157"/>
      <c r="SYW24" s="157"/>
      <c r="SYX24" s="157"/>
      <c r="SYY24" s="157"/>
      <c r="SYZ24" s="157"/>
      <c r="SZA24" s="157"/>
      <c r="SZB24" s="157"/>
      <c r="SZC24" s="157"/>
      <c r="SZD24" s="157"/>
      <c r="SZE24" s="157"/>
      <c r="SZF24" s="157"/>
      <c r="SZG24" s="157"/>
      <c r="SZH24" s="157"/>
      <c r="SZI24" s="157"/>
      <c r="SZJ24" s="157"/>
      <c r="SZK24" s="157"/>
      <c r="SZL24" s="157"/>
      <c r="SZM24" s="157"/>
      <c r="SZN24" s="157"/>
      <c r="SZO24" s="157"/>
      <c r="SZP24" s="157"/>
      <c r="SZQ24" s="157"/>
      <c r="SZR24" s="157"/>
      <c r="SZS24" s="157"/>
      <c r="SZT24" s="157"/>
      <c r="SZU24" s="157"/>
      <c r="SZV24" s="157"/>
      <c r="SZW24" s="157"/>
      <c r="SZX24" s="157"/>
      <c r="SZY24" s="157"/>
      <c r="SZZ24" s="157"/>
      <c r="TAA24" s="157"/>
      <c r="TAB24" s="157"/>
      <c r="TAC24" s="157"/>
      <c r="TAD24" s="157"/>
      <c r="TAE24" s="157"/>
      <c r="TAF24" s="157"/>
      <c r="TAG24" s="157"/>
      <c r="TAH24" s="157"/>
      <c r="TAI24" s="157"/>
      <c r="TAJ24" s="157"/>
      <c r="TAK24" s="157"/>
      <c r="TAL24" s="157"/>
      <c r="TAM24" s="157"/>
      <c r="TAN24" s="157"/>
      <c r="TAO24" s="157"/>
      <c r="TAP24" s="157"/>
      <c r="TAQ24" s="157"/>
      <c r="TAR24" s="157"/>
      <c r="TAS24" s="157"/>
      <c r="TAT24" s="157"/>
      <c r="TAU24" s="157"/>
      <c r="TAV24" s="157"/>
      <c r="TAW24" s="157"/>
      <c r="TAX24" s="157"/>
      <c r="TAY24" s="157"/>
      <c r="TAZ24" s="157"/>
      <c r="TBA24" s="157"/>
      <c r="TBB24" s="157"/>
      <c r="TBC24" s="157"/>
      <c r="TBD24" s="157"/>
      <c r="TBE24" s="157"/>
      <c r="TBF24" s="157"/>
      <c r="TBG24" s="157"/>
      <c r="TBH24" s="157"/>
      <c r="TBI24" s="157"/>
      <c r="TBJ24" s="157"/>
      <c r="TBK24" s="157"/>
      <c r="TBL24" s="157"/>
      <c r="TBM24" s="157"/>
      <c r="TBN24" s="157"/>
      <c r="TBO24" s="157"/>
      <c r="TBP24" s="157"/>
      <c r="TBQ24" s="157"/>
      <c r="TBR24" s="157"/>
      <c r="TBS24" s="157"/>
      <c r="TBT24" s="157"/>
      <c r="TBU24" s="157"/>
      <c r="TBV24" s="157"/>
      <c r="TBW24" s="157"/>
      <c r="TBX24" s="157"/>
      <c r="TBY24" s="157"/>
      <c r="TBZ24" s="157"/>
      <c r="TCA24" s="157"/>
      <c r="TCB24" s="157"/>
      <c r="TCC24" s="157"/>
      <c r="TCD24" s="157"/>
      <c r="TCE24" s="157"/>
      <c r="TCF24" s="157"/>
      <c r="TCG24" s="157"/>
      <c r="TCH24" s="157"/>
      <c r="TCI24" s="157"/>
      <c r="TCJ24" s="157"/>
      <c r="TCK24" s="157"/>
      <c r="TCL24" s="157"/>
      <c r="TCM24" s="157"/>
      <c r="TCN24" s="157"/>
      <c r="TCO24" s="157"/>
      <c r="TCP24" s="157"/>
      <c r="TCQ24" s="157"/>
      <c r="TCR24" s="157"/>
      <c r="TCS24" s="157"/>
      <c r="TCT24" s="157"/>
      <c r="TCU24" s="157"/>
      <c r="TCV24" s="157"/>
      <c r="TCW24" s="157"/>
      <c r="TCX24" s="157"/>
      <c r="TCY24" s="157"/>
      <c r="TCZ24" s="157"/>
      <c r="TDA24" s="157"/>
      <c r="TDB24" s="157"/>
      <c r="TDC24" s="157"/>
      <c r="TDD24" s="157"/>
      <c r="TDE24" s="157"/>
      <c r="TDF24" s="157"/>
      <c r="TDG24" s="157"/>
      <c r="TDH24" s="157"/>
      <c r="TDI24" s="157"/>
      <c r="TDJ24" s="157"/>
      <c r="TDK24" s="157"/>
      <c r="TDL24" s="157"/>
      <c r="TDM24" s="157"/>
      <c r="TDN24" s="157"/>
      <c r="TDO24" s="157"/>
      <c r="TDP24" s="157"/>
      <c r="TDQ24" s="157"/>
      <c r="TDR24" s="157"/>
      <c r="TDS24" s="157"/>
      <c r="TDT24" s="157"/>
      <c r="TDU24" s="157"/>
      <c r="TDV24" s="157"/>
      <c r="TDW24" s="157"/>
      <c r="TDX24" s="157"/>
      <c r="TDY24" s="157"/>
      <c r="TDZ24" s="157"/>
      <c r="TEA24" s="157"/>
      <c r="TEB24" s="157"/>
      <c r="TEC24" s="157"/>
      <c r="TED24" s="157"/>
      <c r="TEE24" s="157"/>
      <c r="TEF24" s="157"/>
      <c r="TEG24" s="157"/>
      <c r="TEH24" s="157"/>
      <c r="TEI24" s="157"/>
      <c r="TEJ24" s="157"/>
      <c r="TEK24" s="157"/>
      <c r="TEL24" s="157"/>
      <c r="TEM24" s="157"/>
      <c r="TEN24" s="157"/>
      <c r="TEO24" s="157"/>
      <c r="TEP24" s="157"/>
      <c r="TEQ24" s="157"/>
      <c r="TER24" s="157"/>
      <c r="TES24" s="157"/>
      <c r="TET24" s="157"/>
      <c r="TEU24" s="157"/>
      <c r="TEV24" s="157"/>
      <c r="TEW24" s="157"/>
      <c r="TEX24" s="157"/>
      <c r="TEY24" s="157"/>
      <c r="TEZ24" s="157"/>
      <c r="TFA24" s="157"/>
      <c r="TFB24" s="157"/>
      <c r="TFC24" s="157"/>
      <c r="TFD24" s="157"/>
      <c r="TFE24" s="157"/>
      <c r="TFF24" s="157"/>
      <c r="TFG24" s="157"/>
      <c r="TFH24" s="157"/>
      <c r="TFI24" s="157"/>
      <c r="TFJ24" s="157"/>
      <c r="TFK24" s="157"/>
      <c r="TFL24" s="157"/>
      <c r="TFM24" s="157"/>
      <c r="TFN24" s="157"/>
      <c r="TFO24" s="157"/>
      <c r="TFP24" s="157"/>
      <c r="TFQ24" s="157"/>
      <c r="TFR24" s="157"/>
      <c r="TFS24" s="157"/>
      <c r="TFT24" s="157"/>
      <c r="TFU24" s="157"/>
      <c r="TFV24" s="157"/>
      <c r="TFW24" s="157"/>
      <c r="TFX24" s="157"/>
      <c r="TFY24" s="157"/>
      <c r="TFZ24" s="157"/>
      <c r="TGA24" s="157"/>
      <c r="TGB24" s="157"/>
      <c r="TGC24" s="157"/>
      <c r="TGD24" s="157"/>
      <c r="TGE24" s="157"/>
      <c r="TGF24" s="157"/>
      <c r="TGG24" s="157"/>
      <c r="TGH24" s="157"/>
      <c r="TGI24" s="157"/>
      <c r="TGJ24" s="157"/>
      <c r="TGK24" s="157"/>
      <c r="TGL24" s="157"/>
      <c r="TGM24" s="157"/>
      <c r="TGN24" s="157"/>
      <c r="TGO24" s="157"/>
      <c r="TGP24" s="157"/>
      <c r="TGQ24" s="157"/>
      <c r="TGR24" s="157"/>
      <c r="TGS24" s="157"/>
      <c r="TGT24" s="157"/>
      <c r="TGU24" s="157"/>
      <c r="TGV24" s="157"/>
      <c r="TGW24" s="157"/>
      <c r="TGX24" s="157"/>
      <c r="TGY24" s="157"/>
      <c r="TGZ24" s="157"/>
      <c r="THA24" s="157"/>
      <c r="THB24" s="157"/>
      <c r="THC24" s="157"/>
      <c r="THD24" s="157"/>
      <c r="THE24" s="157"/>
      <c r="THF24" s="157"/>
      <c r="THG24" s="157"/>
      <c r="THH24" s="157"/>
      <c r="THI24" s="157"/>
      <c r="THJ24" s="157"/>
      <c r="THK24" s="157"/>
      <c r="THL24" s="157"/>
      <c r="THM24" s="157"/>
      <c r="THN24" s="157"/>
      <c r="THO24" s="157"/>
      <c r="THP24" s="157"/>
      <c r="THQ24" s="157"/>
      <c r="THR24" s="157"/>
      <c r="THS24" s="157"/>
      <c r="THT24" s="157"/>
      <c r="THU24" s="157"/>
      <c r="THV24" s="157"/>
      <c r="THW24" s="157"/>
      <c r="THX24" s="157"/>
      <c r="THY24" s="157"/>
      <c r="THZ24" s="157"/>
      <c r="TIA24" s="157"/>
      <c r="TIB24" s="157"/>
      <c r="TIC24" s="157"/>
      <c r="TID24" s="157"/>
      <c r="TIE24" s="157"/>
      <c r="TIF24" s="157"/>
      <c r="TIG24" s="157"/>
      <c r="TIH24" s="157"/>
      <c r="TII24" s="157"/>
      <c r="TIJ24" s="157"/>
      <c r="TIK24" s="157"/>
      <c r="TIL24" s="157"/>
      <c r="TIM24" s="157"/>
      <c r="TIN24" s="157"/>
      <c r="TIO24" s="157"/>
      <c r="TIP24" s="157"/>
      <c r="TIQ24" s="157"/>
      <c r="TIR24" s="157"/>
      <c r="TIS24" s="157"/>
      <c r="TIT24" s="157"/>
      <c r="TIU24" s="157"/>
      <c r="TIV24" s="157"/>
      <c r="TIW24" s="157"/>
      <c r="TIX24" s="157"/>
      <c r="TIY24" s="157"/>
      <c r="TIZ24" s="157"/>
      <c r="TJA24" s="157"/>
      <c r="TJB24" s="157"/>
      <c r="TJC24" s="157"/>
      <c r="TJD24" s="157"/>
      <c r="TJE24" s="157"/>
      <c r="TJF24" s="157"/>
      <c r="TJG24" s="157"/>
      <c r="TJH24" s="157"/>
      <c r="TJI24" s="157"/>
      <c r="TJJ24" s="157"/>
      <c r="TJK24" s="157"/>
      <c r="TJL24" s="157"/>
      <c r="TJM24" s="157"/>
      <c r="TJN24" s="157"/>
      <c r="TJO24" s="157"/>
      <c r="TJP24" s="157"/>
      <c r="TJQ24" s="157"/>
      <c r="TJR24" s="157"/>
      <c r="TJS24" s="157"/>
      <c r="TJT24" s="157"/>
      <c r="TJU24" s="157"/>
      <c r="TJV24" s="157"/>
      <c r="TJW24" s="157"/>
      <c r="TJX24" s="157"/>
      <c r="TJY24" s="157"/>
      <c r="TJZ24" s="157"/>
      <c r="TKA24" s="157"/>
      <c r="TKB24" s="157"/>
      <c r="TKC24" s="157"/>
      <c r="TKD24" s="157"/>
      <c r="TKE24" s="157"/>
      <c r="TKF24" s="157"/>
      <c r="TKG24" s="157"/>
      <c r="TKH24" s="157"/>
      <c r="TKI24" s="157"/>
      <c r="TKJ24" s="157"/>
      <c r="TKK24" s="157"/>
      <c r="TKL24" s="157"/>
      <c r="TKM24" s="157"/>
      <c r="TKN24" s="157"/>
      <c r="TKO24" s="157"/>
      <c r="TKP24" s="157"/>
      <c r="TKQ24" s="157"/>
      <c r="TKR24" s="157"/>
      <c r="TKS24" s="157"/>
      <c r="TKT24" s="157"/>
      <c r="TKU24" s="157"/>
      <c r="TKV24" s="157"/>
      <c r="TKW24" s="157"/>
      <c r="TKX24" s="157"/>
      <c r="TKY24" s="157"/>
      <c r="TKZ24" s="157"/>
      <c r="TLA24" s="157"/>
      <c r="TLB24" s="157"/>
      <c r="TLC24" s="157"/>
      <c r="TLD24" s="157"/>
      <c r="TLE24" s="157"/>
      <c r="TLF24" s="157"/>
      <c r="TLG24" s="157"/>
      <c r="TLH24" s="157"/>
      <c r="TLI24" s="157"/>
      <c r="TLJ24" s="157"/>
      <c r="TLK24" s="157"/>
      <c r="TLL24" s="157"/>
      <c r="TLM24" s="157"/>
      <c r="TLN24" s="157"/>
      <c r="TLO24" s="157"/>
      <c r="TLP24" s="157"/>
      <c r="TLQ24" s="157"/>
      <c r="TLR24" s="157"/>
      <c r="TLS24" s="157"/>
      <c r="TLT24" s="157"/>
      <c r="TLU24" s="157"/>
      <c r="TLV24" s="157"/>
      <c r="TLW24" s="157"/>
      <c r="TLX24" s="157"/>
      <c r="TLY24" s="157"/>
      <c r="TLZ24" s="157"/>
      <c r="TMA24" s="157"/>
      <c r="TMB24" s="157"/>
      <c r="TMC24" s="157"/>
      <c r="TMD24" s="157"/>
      <c r="TME24" s="157"/>
      <c r="TMF24" s="157"/>
      <c r="TMG24" s="157"/>
      <c r="TMH24" s="157"/>
      <c r="TMI24" s="157"/>
      <c r="TMJ24" s="157"/>
      <c r="TMK24" s="157"/>
      <c r="TML24" s="157"/>
      <c r="TMM24" s="157"/>
      <c r="TMN24" s="157"/>
      <c r="TMO24" s="157"/>
      <c r="TMP24" s="157"/>
      <c r="TMQ24" s="157"/>
      <c r="TMR24" s="157"/>
      <c r="TMS24" s="157"/>
      <c r="TMT24" s="157"/>
      <c r="TMU24" s="157"/>
      <c r="TMV24" s="157"/>
      <c r="TMW24" s="157"/>
      <c r="TMX24" s="157"/>
      <c r="TMY24" s="157"/>
      <c r="TMZ24" s="157"/>
      <c r="TNA24" s="157"/>
      <c r="TNB24" s="157"/>
      <c r="TNC24" s="157"/>
      <c r="TND24" s="157"/>
      <c r="TNE24" s="157"/>
      <c r="TNF24" s="157"/>
      <c r="TNG24" s="157"/>
      <c r="TNH24" s="157"/>
      <c r="TNI24" s="157"/>
      <c r="TNJ24" s="157"/>
      <c r="TNK24" s="157"/>
      <c r="TNL24" s="157"/>
      <c r="TNM24" s="157"/>
      <c r="TNN24" s="157"/>
      <c r="TNO24" s="157"/>
      <c r="TNP24" s="157"/>
      <c r="TNQ24" s="157"/>
      <c r="TNR24" s="157"/>
      <c r="TNS24" s="157"/>
      <c r="TNT24" s="157"/>
      <c r="TNU24" s="157"/>
      <c r="TNV24" s="157"/>
      <c r="TNW24" s="157"/>
      <c r="TNX24" s="157"/>
      <c r="TNY24" s="157"/>
      <c r="TNZ24" s="157"/>
      <c r="TOA24" s="157"/>
      <c r="TOB24" s="157"/>
      <c r="TOC24" s="157"/>
      <c r="TOD24" s="157"/>
      <c r="TOE24" s="157"/>
      <c r="TOF24" s="157"/>
      <c r="TOG24" s="157"/>
      <c r="TOH24" s="157"/>
      <c r="TOI24" s="157"/>
      <c r="TOJ24" s="157"/>
      <c r="TOK24" s="157"/>
      <c r="TOL24" s="157"/>
      <c r="TOM24" s="157"/>
      <c r="TON24" s="157"/>
      <c r="TOO24" s="157"/>
      <c r="TOP24" s="157"/>
      <c r="TOQ24" s="157"/>
      <c r="TOR24" s="157"/>
      <c r="TOS24" s="157"/>
      <c r="TOT24" s="157"/>
      <c r="TOU24" s="157"/>
      <c r="TOV24" s="157"/>
      <c r="TOW24" s="157"/>
      <c r="TOX24" s="157"/>
      <c r="TOY24" s="157"/>
      <c r="TOZ24" s="157"/>
      <c r="TPA24" s="157"/>
      <c r="TPB24" s="157"/>
      <c r="TPC24" s="157"/>
      <c r="TPD24" s="157"/>
      <c r="TPE24" s="157"/>
      <c r="TPF24" s="157"/>
      <c r="TPG24" s="157"/>
      <c r="TPH24" s="157"/>
      <c r="TPI24" s="157"/>
      <c r="TPJ24" s="157"/>
      <c r="TPK24" s="157"/>
      <c r="TPL24" s="157"/>
      <c r="TPM24" s="157"/>
      <c r="TPN24" s="157"/>
      <c r="TPO24" s="157"/>
      <c r="TPP24" s="157"/>
      <c r="TPQ24" s="157"/>
      <c r="TPR24" s="157"/>
      <c r="TPS24" s="157"/>
      <c r="TPT24" s="157"/>
      <c r="TPU24" s="157"/>
      <c r="TPV24" s="157"/>
      <c r="TPW24" s="157"/>
      <c r="TPX24" s="157"/>
      <c r="TPY24" s="157"/>
      <c r="TPZ24" s="157"/>
      <c r="TQA24" s="157"/>
      <c r="TQB24" s="157"/>
      <c r="TQC24" s="157"/>
      <c r="TQD24" s="157"/>
      <c r="TQE24" s="157"/>
      <c r="TQF24" s="157"/>
      <c r="TQG24" s="157"/>
      <c r="TQH24" s="157"/>
      <c r="TQI24" s="157"/>
      <c r="TQJ24" s="157"/>
      <c r="TQK24" s="157"/>
      <c r="TQL24" s="157"/>
      <c r="TQM24" s="157"/>
      <c r="TQN24" s="157"/>
      <c r="TQO24" s="157"/>
      <c r="TQP24" s="157"/>
      <c r="TQQ24" s="157"/>
      <c r="TQR24" s="157"/>
      <c r="TQS24" s="157"/>
      <c r="TQT24" s="157"/>
      <c r="TQU24" s="157"/>
      <c r="TQV24" s="157"/>
      <c r="TQW24" s="157"/>
      <c r="TQX24" s="157"/>
      <c r="TQY24" s="157"/>
      <c r="TQZ24" s="157"/>
      <c r="TRA24" s="157"/>
      <c r="TRB24" s="157"/>
      <c r="TRC24" s="157"/>
      <c r="TRD24" s="157"/>
      <c r="TRE24" s="157"/>
      <c r="TRF24" s="157"/>
      <c r="TRG24" s="157"/>
      <c r="TRH24" s="157"/>
      <c r="TRI24" s="157"/>
      <c r="TRJ24" s="157"/>
      <c r="TRK24" s="157"/>
      <c r="TRL24" s="157"/>
      <c r="TRM24" s="157"/>
      <c r="TRN24" s="157"/>
      <c r="TRO24" s="157"/>
      <c r="TRP24" s="157"/>
      <c r="TRQ24" s="157"/>
      <c r="TRR24" s="157"/>
      <c r="TRS24" s="157"/>
      <c r="TRT24" s="157"/>
      <c r="TRU24" s="157"/>
      <c r="TRV24" s="157"/>
      <c r="TRW24" s="157"/>
      <c r="TRX24" s="157"/>
      <c r="TRY24" s="157"/>
      <c r="TRZ24" s="157"/>
      <c r="TSA24" s="157"/>
      <c r="TSB24" s="157"/>
      <c r="TSC24" s="157"/>
      <c r="TSD24" s="157"/>
      <c r="TSE24" s="157"/>
      <c r="TSF24" s="157"/>
      <c r="TSG24" s="157"/>
      <c r="TSH24" s="157"/>
      <c r="TSI24" s="157"/>
      <c r="TSJ24" s="157"/>
      <c r="TSK24" s="157"/>
      <c r="TSL24" s="157"/>
      <c r="TSM24" s="157"/>
      <c r="TSN24" s="157"/>
      <c r="TSO24" s="157"/>
      <c r="TSP24" s="157"/>
      <c r="TSQ24" s="157"/>
      <c r="TSR24" s="157"/>
      <c r="TSS24" s="157"/>
      <c r="TST24" s="157"/>
      <c r="TSU24" s="157"/>
      <c r="TSV24" s="157"/>
      <c r="TSW24" s="157"/>
      <c r="TSX24" s="157"/>
      <c r="TSY24" s="157"/>
      <c r="TSZ24" s="157"/>
      <c r="TTA24" s="157"/>
      <c r="TTB24" s="157"/>
      <c r="TTC24" s="157"/>
      <c r="TTD24" s="157"/>
      <c r="TTE24" s="157"/>
      <c r="TTF24" s="157"/>
      <c r="TTG24" s="157"/>
      <c r="TTH24" s="157"/>
      <c r="TTI24" s="157"/>
      <c r="TTJ24" s="157"/>
      <c r="TTK24" s="157"/>
      <c r="TTL24" s="157"/>
      <c r="TTM24" s="157"/>
      <c r="TTN24" s="157"/>
      <c r="TTO24" s="157"/>
      <c r="TTP24" s="157"/>
      <c r="TTQ24" s="157"/>
      <c r="TTR24" s="157"/>
      <c r="TTS24" s="157"/>
      <c r="TTT24" s="157"/>
      <c r="TTU24" s="157"/>
      <c r="TTV24" s="157"/>
      <c r="TTW24" s="157"/>
      <c r="TTX24" s="157"/>
      <c r="TTY24" s="157"/>
      <c r="TTZ24" s="157"/>
      <c r="TUA24" s="157"/>
      <c r="TUB24" s="157"/>
      <c r="TUC24" s="157"/>
      <c r="TUD24" s="157"/>
      <c r="TUE24" s="157"/>
      <c r="TUF24" s="157"/>
      <c r="TUG24" s="157"/>
      <c r="TUH24" s="157"/>
      <c r="TUI24" s="157"/>
      <c r="TUJ24" s="157"/>
      <c r="TUK24" s="157"/>
      <c r="TUL24" s="157"/>
      <c r="TUM24" s="157"/>
      <c r="TUN24" s="157"/>
      <c r="TUO24" s="157"/>
      <c r="TUP24" s="157"/>
      <c r="TUQ24" s="157"/>
      <c r="TUR24" s="157"/>
      <c r="TUS24" s="157"/>
      <c r="TUT24" s="157"/>
      <c r="TUU24" s="157"/>
      <c r="TUV24" s="157"/>
      <c r="TUW24" s="157"/>
      <c r="TUX24" s="157"/>
      <c r="TUY24" s="157"/>
      <c r="TUZ24" s="157"/>
      <c r="TVA24" s="157"/>
      <c r="TVB24" s="157"/>
      <c r="TVC24" s="157"/>
      <c r="TVD24" s="157"/>
      <c r="TVE24" s="157"/>
      <c r="TVF24" s="157"/>
      <c r="TVG24" s="157"/>
      <c r="TVH24" s="157"/>
      <c r="TVI24" s="157"/>
      <c r="TVJ24" s="157"/>
      <c r="TVK24" s="157"/>
      <c r="TVL24" s="157"/>
      <c r="TVM24" s="157"/>
      <c r="TVN24" s="157"/>
      <c r="TVO24" s="157"/>
      <c r="TVP24" s="157"/>
      <c r="TVQ24" s="157"/>
      <c r="TVR24" s="157"/>
      <c r="TVS24" s="157"/>
      <c r="TVT24" s="157"/>
      <c r="TVU24" s="157"/>
      <c r="TVV24" s="157"/>
      <c r="TVW24" s="157"/>
      <c r="TVX24" s="157"/>
      <c r="TVY24" s="157"/>
      <c r="TVZ24" s="157"/>
      <c r="TWA24" s="157"/>
      <c r="TWB24" s="157"/>
      <c r="TWC24" s="157"/>
      <c r="TWD24" s="157"/>
      <c r="TWE24" s="157"/>
      <c r="TWF24" s="157"/>
      <c r="TWG24" s="157"/>
      <c r="TWH24" s="157"/>
      <c r="TWI24" s="157"/>
      <c r="TWJ24" s="157"/>
      <c r="TWK24" s="157"/>
      <c r="TWL24" s="157"/>
      <c r="TWM24" s="157"/>
      <c r="TWN24" s="157"/>
      <c r="TWO24" s="157"/>
      <c r="TWP24" s="157"/>
      <c r="TWQ24" s="157"/>
      <c r="TWR24" s="157"/>
      <c r="TWS24" s="157"/>
      <c r="TWT24" s="157"/>
      <c r="TWU24" s="157"/>
      <c r="TWV24" s="157"/>
      <c r="TWW24" s="157"/>
      <c r="TWX24" s="157"/>
      <c r="TWY24" s="157"/>
      <c r="TWZ24" s="157"/>
      <c r="TXA24" s="157"/>
      <c r="TXB24" s="157"/>
      <c r="TXC24" s="157"/>
      <c r="TXD24" s="157"/>
      <c r="TXE24" s="157"/>
      <c r="TXF24" s="157"/>
      <c r="TXG24" s="157"/>
      <c r="TXH24" s="157"/>
      <c r="TXI24" s="157"/>
      <c r="TXJ24" s="157"/>
      <c r="TXK24" s="157"/>
      <c r="TXL24" s="157"/>
      <c r="TXM24" s="157"/>
      <c r="TXN24" s="157"/>
      <c r="TXO24" s="157"/>
      <c r="TXP24" s="157"/>
      <c r="TXQ24" s="157"/>
      <c r="TXR24" s="157"/>
      <c r="TXS24" s="157"/>
      <c r="TXT24" s="157"/>
      <c r="TXU24" s="157"/>
      <c r="TXV24" s="157"/>
      <c r="TXW24" s="157"/>
      <c r="TXX24" s="157"/>
      <c r="TXY24" s="157"/>
      <c r="TXZ24" s="157"/>
      <c r="TYA24" s="157"/>
      <c r="TYB24" s="157"/>
      <c r="TYC24" s="157"/>
      <c r="TYD24" s="157"/>
      <c r="TYE24" s="157"/>
      <c r="TYF24" s="157"/>
      <c r="TYG24" s="157"/>
      <c r="TYH24" s="157"/>
      <c r="TYI24" s="157"/>
      <c r="TYJ24" s="157"/>
      <c r="TYK24" s="157"/>
      <c r="TYL24" s="157"/>
      <c r="TYM24" s="157"/>
      <c r="TYN24" s="157"/>
      <c r="TYO24" s="157"/>
      <c r="TYP24" s="157"/>
      <c r="TYQ24" s="157"/>
      <c r="TYR24" s="157"/>
      <c r="TYS24" s="157"/>
      <c r="TYT24" s="157"/>
      <c r="TYU24" s="157"/>
      <c r="TYV24" s="157"/>
      <c r="TYW24" s="157"/>
      <c r="TYX24" s="157"/>
      <c r="TYY24" s="157"/>
      <c r="TYZ24" s="157"/>
      <c r="TZA24" s="157"/>
      <c r="TZB24" s="157"/>
      <c r="TZC24" s="157"/>
      <c r="TZD24" s="157"/>
      <c r="TZE24" s="157"/>
      <c r="TZF24" s="157"/>
      <c r="TZG24" s="157"/>
      <c r="TZH24" s="157"/>
      <c r="TZI24" s="157"/>
      <c r="TZJ24" s="157"/>
      <c r="TZK24" s="157"/>
      <c r="TZL24" s="157"/>
      <c r="TZM24" s="157"/>
      <c r="TZN24" s="157"/>
      <c r="TZO24" s="157"/>
      <c r="TZP24" s="157"/>
      <c r="TZQ24" s="157"/>
      <c r="TZR24" s="157"/>
      <c r="TZS24" s="157"/>
      <c r="TZT24" s="157"/>
      <c r="TZU24" s="157"/>
      <c r="TZV24" s="157"/>
      <c r="TZW24" s="157"/>
      <c r="TZX24" s="157"/>
      <c r="TZY24" s="157"/>
      <c r="TZZ24" s="157"/>
      <c r="UAA24" s="157"/>
      <c r="UAB24" s="157"/>
      <c r="UAC24" s="157"/>
      <c r="UAD24" s="157"/>
      <c r="UAE24" s="157"/>
      <c r="UAF24" s="157"/>
      <c r="UAG24" s="157"/>
      <c r="UAH24" s="157"/>
      <c r="UAI24" s="157"/>
      <c r="UAJ24" s="157"/>
      <c r="UAK24" s="157"/>
      <c r="UAL24" s="157"/>
      <c r="UAM24" s="157"/>
      <c r="UAN24" s="157"/>
      <c r="UAO24" s="157"/>
      <c r="UAP24" s="157"/>
      <c r="UAQ24" s="157"/>
      <c r="UAR24" s="157"/>
      <c r="UAS24" s="157"/>
      <c r="UAT24" s="157"/>
      <c r="UAU24" s="157"/>
      <c r="UAV24" s="157"/>
      <c r="UAW24" s="157"/>
      <c r="UAX24" s="157"/>
      <c r="UAY24" s="157"/>
      <c r="UAZ24" s="157"/>
      <c r="UBA24" s="157"/>
      <c r="UBB24" s="157"/>
      <c r="UBC24" s="157"/>
      <c r="UBD24" s="157"/>
      <c r="UBE24" s="157"/>
      <c r="UBF24" s="157"/>
      <c r="UBG24" s="157"/>
      <c r="UBH24" s="157"/>
      <c r="UBI24" s="157"/>
      <c r="UBJ24" s="157"/>
      <c r="UBK24" s="157"/>
      <c r="UBL24" s="157"/>
      <c r="UBM24" s="157"/>
      <c r="UBN24" s="157"/>
      <c r="UBO24" s="157"/>
      <c r="UBP24" s="157"/>
      <c r="UBQ24" s="157"/>
      <c r="UBR24" s="157"/>
      <c r="UBS24" s="157"/>
      <c r="UBT24" s="157"/>
      <c r="UBU24" s="157"/>
      <c r="UBV24" s="157"/>
      <c r="UBW24" s="157"/>
      <c r="UBX24" s="157"/>
      <c r="UBY24" s="157"/>
      <c r="UBZ24" s="157"/>
      <c r="UCA24" s="157"/>
      <c r="UCB24" s="157"/>
      <c r="UCC24" s="157"/>
      <c r="UCD24" s="157"/>
      <c r="UCE24" s="157"/>
      <c r="UCF24" s="157"/>
      <c r="UCG24" s="157"/>
      <c r="UCH24" s="157"/>
      <c r="UCI24" s="157"/>
      <c r="UCJ24" s="157"/>
      <c r="UCK24" s="157"/>
      <c r="UCL24" s="157"/>
      <c r="UCM24" s="157"/>
      <c r="UCN24" s="157"/>
      <c r="UCO24" s="157"/>
      <c r="UCP24" s="157"/>
      <c r="UCQ24" s="157"/>
      <c r="UCR24" s="157"/>
      <c r="UCS24" s="157"/>
      <c r="UCT24" s="157"/>
      <c r="UCU24" s="157"/>
      <c r="UCV24" s="157"/>
      <c r="UCW24" s="157"/>
      <c r="UCX24" s="157"/>
      <c r="UCY24" s="157"/>
      <c r="UCZ24" s="157"/>
      <c r="UDA24" s="157"/>
      <c r="UDB24" s="157"/>
      <c r="UDC24" s="157"/>
      <c r="UDD24" s="157"/>
      <c r="UDE24" s="157"/>
      <c r="UDF24" s="157"/>
      <c r="UDG24" s="157"/>
      <c r="UDH24" s="157"/>
      <c r="UDI24" s="157"/>
      <c r="UDJ24" s="157"/>
      <c r="UDK24" s="157"/>
      <c r="UDL24" s="157"/>
      <c r="UDM24" s="157"/>
      <c r="UDN24" s="157"/>
      <c r="UDO24" s="157"/>
      <c r="UDP24" s="157"/>
      <c r="UDQ24" s="157"/>
      <c r="UDR24" s="157"/>
      <c r="UDS24" s="157"/>
      <c r="UDT24" s="157"/>
      <c r="UDU24" s="157"/>
      <c r="UDV24" s="157"/>
      <c r="UDW24" s="157"/>
      <c r="UDX24" s="157"/>
      <c r="UDY24" s="157"/>
      <c r="UDZ24" s="157"/>
      <c r="UEA24" s="157"/>
      <c r="UEB24" s="157"/>
      <c r="UEC24" s="157"/>
      <c r="UED24" s="157"/>
      <c r="UEE24" s="157"/>
      <c r="UEF24" s="157"/>
      <c r="UEG24" s="157"/>
      <c r="UEH24" s="157"/>
      <c r="UEI24" s="157"/>
      <c r="UEJ24" s="157"/>
      <c r="UEK24" s="157"/>
      <c r="UEL24" s="157"/>
      <c r="UEM24" s="157"/>
      <c r="UEN24" s="157"/>
      <c r="UEO24" s="157"/>
      <c r="UEP24" s="157"/>
      <c r="UEQ24" s="157"/>
      <c r="UER24" s="157"/>
      <c r="UES24" s="157"/>
      <c r="UET24" s="157"/>
      <c r="UEU24" s="157"/>
      <c r="UEV24" s="157"/>
      <c r="UEW24" s="157"/>
      <c r="UEX24" s="157"/>
      <c r="UEY24" s="157"/>
      <c r="UEZ24" s="157"/>
      <c r="UFA24" s="157"/>
      <c r="UFB24" s="157"/>
      <c r="UFC24" s="157"/>
      <c r="UFD24" s="157"/>
      <c r="UFE24" s="157"/>
      <c r="UFF24" s="157"/>
      <c r="UFG24" s="157"/>
      <c r="UFH24" s="157"/>
      <c r="UFI24" s="157"/>
      <c r="UFJ24" s="157"/>
      <c r="UFK24" s="157"/>
      <c r="UFL24" s="157"/>
      <c r="UFM24" s="157"/>
      <c r="UFN24" s="157"/>
      <c r="UFO24" s="157"/>
      <c r="UFP24" s="157"/>
      <c r="UFQ24" s="157"/>
      <c r="UFR24" s="157"/>
      <c r="UFS24" s="157"/>
      <c r="UFT24" s="157"/>
      <c r="UFU24" s="157"/>
      <c r="UFV24" s="157"/>
      <c r="UFW24" s="157"/>
      <c r="UFX24" s="157"/>
      <c r="UFY24" s="157"/>
      <c r="UFZ24" s="157"/>
      <c r="UGA24" s="157"/>
      <c r="UGB24" s="157"/>
      <c r="UGC24" s="157"/>
      <c r="UGD24" s="157"/>
      <c r="UGE24" s="157"/>
      <c r="UGF24" s="157"/>
      <c r="UGG24" s="157"/>
      <c r="UGH24" s="157"/>
      <c r="UGI24" s="157"/>
      <c r="UGJ24" s="157"/>
      <c r="UGK24" s="157"/>
      <c r="UGL24" s="157"/>
      <c r="UGM24" s="157"/>
      <c r="UGN24" s="157"/>
      <c r="UGO24" s="157"/>
      <c r="UGP24" s="157"/>
      <c r="UGQ24" s="157"/>
      <c r="UGR24" s="157"/>
      <c r="UGS24" s="157"/>
      <c r="UGT24" s="157"/>
      <c r="UGU24" s="157"/>
      <c r="UGV24" s="157"/>
      <c r="UGW24" s="157"/>
      <c r="UGX24" s="157"/>
      <c r="UGY24" s="157"/>
      <c r="UGZ24" s="157"/>
      <c r="UHA24" s="157"/>
      <c r="UHB24" s="157"/>
      <c r="UHC24" s="157"/>
      <c r="UHD24" s="157"/>
      <c r="UHE24" s="157"/>
      <c r="UHF24" s="157"/>
      <c r="UHG24" s="157"/>
      <c r="UHH24" s="157"/>
      <c r="UHI24" s="157"/>
      <c r="UHJ24" s="157"/>
      <c r="UHK24" s="157"/>
      <c r="UHL24" s="157"/>
      <c r="UHM24" s="157"/>
      <c r="UHN24" s="157"/>
      <c r="UHO24" s="157"/>
      <c r="UHP24" s="157"/>
      <c r="UHQ24" s="157"/>
      <c r="UHR24" s="157"/>
      <c r="UHS24" s="157"/>
      <c r="UHT24" s="157"/>
      <c r="UHU24" s="157"/>
      <c r="UHV24" s="157"/>
      <c r="UHW24" s="157"/>
      <c r="UHX24" s="157"/>
      <c r="UHY24" s="157"/>
      <c r="UHZ24" s="157"/>
      <c r="UIA24" s="157"/>
      <c r="UIB24" s="157"/>
      <c r="UIC24" s="157"/>
      <c r="UID24" s="157"/>
      <c r="UIE24" s="157"/>
      <c r="UIF24" s="157"/>
      <c r="UIG24" s="157"/>
      <c r="UIH24" s="157"/>
      <c r="UII24" s="157"/>
      <c r="UIJ24" s="157"/>
      <c r="UIK24" s="157"/>
      <c r="UIL24" s="157"/>
      <c r="UIM24" s="157"/>
      <c r="UIN24" s="157"/>
      <c r="UIO24" s="157"/>
      <c r="UIP24" s="157"/>
      <c r="UIQ24" s="157"/>
      <c r="UIR24" s="157"/>
      <c r="UIS24" s="157"/>
      <c r="UIT24" s="157"/>
      <c r="UIU24" s="157"/>
      <c r="UIV24" s="157"/>
      <c r="UIW24" s="157"/>
      <c r="UIX24" s="157"/>
      <c r="UIY24" s="157"/>
      <c r="UIZ24" s="157"/>
      <c r="UJA24" s="157"/>
      <c r="UJB24" s="157"/>
      <c r="UJC24" s="157"/>
      <c r="UJD24" s="157"/>
      <c r="UJE24" s="157"/>
      <c r="UJF24" s="157"/>
      <c r="UJG24" s="157"/>
      <c r="UJH24" s="157"/>
      <c r="UJI24" s="157"/>
      <c r="UJJ24" s="157"/>
      <c r="UJK24" s="157"/>
      <c r="UJL24" s="157"/>
      <c r="UJM24" s="157"/>
      <c r="UJN24" s="157"/>
      <c r="UJO24" s="157"/>
      <c r="UJP24" s="157"/>
      <c r="UJQ24" s="157"/>
      <c r="UJR24" s="157"/>
      <c r="UJS24" s="157"/>
      <c r="UJT24" s="157"/>
      <c r="UJU24" s="157"/>
      <c r="UJV24" s="157"/>
      <c r="UJW24" s="157"/>
      <c r="UJX24" s="157"/>
      <c r="UJY24" s="157"/>
      <c r="UJZ24" s="157"/>
      <c r="UKA24" s="157"/>
      <c r="UKB24" s="157"/>
      <c r="UKC24" s="157"/>
      <c r="UKD24" s="157"/>
      <c r="UKE24" s="157"/>
      <c r="UKF24" s="157"/>
      <c r="UKG24" s="157"/>
      <c r="UKH24" s="157"/>
      <c r="UKI24" s="157"/>
      <c r="UKJ24" s="157"/>
      <c r="UKK24" s="157"/>
      <c r="UKL24" s="157"/>
      <c r="UKM24" s="157"/>
      <c r="UKN24" s="157"/>
      <c r="UKO24" s="157"/>
      <c r="UKP24" s="157"/>
      <c r="UKQ24" s="157"/>
      <c r="UKR24" s="157"/>
      <c r="UKS24" s="157"/>
      <c r="UKT24" s="157"/>
      <c r="UKU24" s="157"/>
      <c r="UKV24" s="157"/>
      <c r="UKW24" s="157"/>
      <c r="UKX24" s="157"/>
      <c r="UKY24" s="157"/>
      <c r="UKZ24" s="157"/>
      <c r="ULA24" s="157"/>
      <c r="ULB24" s="157"/>
      <c r="ULC24" s="157"/>
      <c r="ULD24" s="157"/>
      <c r="ULE24" s="157"/>
      <c r="ULF24" s="157"/>
      <c r="ULG24" s="157"/>
      <c r="ULH24" s="157"/>
      <c r="ULI24" s="157"/>
      <c r="ULJ24" s="157"/>
      <c r="ULK24" s="157"/>
      <c r="ULL24" s="157"/>
      <c r="ULM24" s="157"/>
      <c r="ULN24" s="157"/>
      <c r="ULO24" s="157"/>
      <c r="ULP24" s="157"/>
      <c r="ULQ24" s="157"/>
      <c r="ULR24" s="157"/>
      <c r="ULS24" s="157"/>
      <c r="ULT24" s="157"/>
      <c r="ULU24" s="157"/>
      <c r="ULV24" s="157"/>
      <c r="ULW24" s="157"/>
      <c r="ULX24" s="157"/>
      <c r="ULY24" s="157"/>
      <c r="ULZ24" s="157"/>
      <c r="UMA24" s="157"/>
      <c r="UMB24" s="157"/>
      <c r="UMC24" s="157"/>
      <c r="UMD24" s="157"/>
      <c r="UME24" s="157"/>
      <c r="UMF24" s="157"/>
      <c r="UMG24" s="157"/>
      <c r="UMH24" s="157"/>
      <c r="UMI24" s="157"/>
      <c r="UMJ24" s="157"/>
      <c r="UMK24" s="157"/>
      <c r="UML24" s="157"/>
      <c r="UMM24" s="157"/>
      <c r="UMN24" s="157"/>
      <c r="UMO24" s="157"/>
      <c r="UMP24" s="157"/>
      <c r="UMQ24" s="157"/>
      <c r="UMR24" s="157"/>
      <c r="UMS24" s="157"/>
      <c r="UMT24" s="157"/>
      <c r="UMU24" s="157"/>
      <c r="UMV24" s="157"/>
      <c r="UMW24" s="157"/>
      <c r="UMX24" s="157"/>
      <c r="UMY24" s="157"/>
      <c r="UMZ24" s="157"/>
      <c r="UNA24" s="157"/>
      <c r="UNB24" s="157"/>
      <c r="UNC24" s="157"/>
      <c r="UND24" s="157"/>
      <c r="UNE24" s="157"/>
      <c r="UNF24" s="157"/>
      <c r="UNG24" s="157"/>
      <c r="UNH24" s="157"/>
      <c r="UNI24" s="157"/>
      <c r="UNJ24" s="157"/>
      <c r="UNK24" s="157"/>
      <c r="UNL24" s="157"/>
      <c r="UNM24" s="157"/>
      <c r="UNN24" s="157"/>
      <c r="UNO24" s="157"/>
      <c r="UNP24" s="157"/>
      <c r="UNQ24" s="157"/>
      <c r="UNR24" s="157"/>
      <c r="UNS24" s="157"/>
      <c r="UNT24" s="157"/>
      <c r="UNU24" s="157"/>
      <c r="UNV24" s="157"/>
      <c r="UNW24" s="157"/>
      <c r="UNX24" s="157"/>
      <c r="UNY24" s="157"/>
      <c r="UNZ24" s="157"/>
      <c r="UOA24" s="157"/>
      <c r="UOB24" s="157"/>
      <c r="UOC24" s="157"/>
      <c r="UOD24" s="157"/>
      <c r="UOE24" s="157"/>
      <c r="UOF24" s="157"/>
      <c r="UOG24" s="157"/>
      <c r="UOH24" s="157"/>
      <c r="UOI24" s="157"/>
      <c r="UOJ24" s="157"/>
      <c r="UOK24" s="157"/>
      <c r="UOL24" s="157"/>
      <c r="UOM24" s="157"/>
      <c r="UON24" s="157"/>
      <c r="UOO24" s="157"/>
      <c r="UOP24" s="157"/>
      <c r="UOQ24" s="157"/>
      <c r="UOR24" s="157"/>
      <c r="UOS24" s="157"/>
      <c r="UOT24" s="157"/>
      <c r="UOU24" s="157"/>
      <c r="UOV24" s="157"/>
      <c r="UOW24" s="157"/>
      <c r="UOX24" s="157"/>
      <c r="UOY24" s="157"/>
      <c r="UOZ24" s="157"/>
      <c r="UPA24" s="157"/>
      <c r="UPB24" s="157"/>
      <c r="UPC24" s="157"/>
      <c r="UPD24" s="157"/>
      <c r="UPE24" s="157"/>
      <c r="UPF24" s="157"/>
      <c r="UPG24" s="157"/>
      <c r="UPH24" s="157"/>
      <c r="UPI24" s="157"/>
      <c r="UPJ24" s="157"/>
      <c r="UPK24" s="157"/>
      <c r="UPL24" s="157"/>
      <c r="UPM24" s="157"/>
      <c r="UPN24" s="157"/>
      <c r="UPO24" s="157"/>
      <c r="UPP24" s="157"/>
      <c r="UPQ24" s="157"/>
      <c r="UPR24" s="157"/>
      <c r="UPS24" s="157"/>
      <c r="UPT24" s="157"/>
      <c r="UPU24" s="157"/>
      <c r="UPV24" s="157"/>
      <c r="UPW24" s="157"/>
      <c r="UPX24" s="157"/>
      <c r="UPY24" s="157"/>
      <c r="UPZ24" s="157"/>
      <c r="UQA24" s="157"/>
      <c r="UQB24" s="157"/>
      <c r="UQC24" s="157"/>
      <c r="UQD24" s="157"/>
      <c r="UQE24" s="157"/>
      <c r="UQF24" s="157"/>
      <c r="UQG24" s="157"/>
      <c r="UQH24" s="157"/>
      <c r="UQI24" s="157"/>
      <c r="UQJ24" s="157"/>
      <c r="UQK24" s="157"/>
      <c r="UQL24" s="157"/>
      <c r="UQM24" s="157"/>
      <c r="UQN24" s="157"/>
      <c r="UQO24" s="157"/>
      <c r="UQP24" s="157"/>
      <c r="UQQ24" s="157"/>
      <c r="UQR24" s="157"/>
      <c r="UQS24" s="157"/>
      <c r="UQT24" s="157"/>
      <c r="UQU24" s="157"/>
      <c r="UQV24" s="157"/>
      <c r="UQW24" s="157"/>
      <c r="UQX24" s="157"/>
      <c r="UQY24" s="157"/>
      <c r="UQZ24" s="157"/>
      <c r="URA24" s="157"/>
      <c r="URB24" s="157"/>
      <c r="URC24" s="157"/>
      <c r="URD24" s="157"/>
      <c r="URE24" s="157"/>
      <c r="URF24" s="157"/>
      <c r="URG24" s="157"/>
      <c r="URH24" s="157"/>
      <c r="URI24" s="157"/>
      <c r="URJ24" s="157"/>
      <c r="URK24" s="157"/>
      <c r="URL24" s="157"/>
      <c r="URM24" s="157"/>
      <c r="URN24" s="157"/>
      <c r="URO24" s="157"/>
      <c r="URP24" s="157"/>
      <c r="URQ24" s="157"/>
      <c r="URR24" s="157"/>
      <c r="URS24" s="157"/>
      <c r="URT24" s="157"/>
      <c r="URU24" s="157"/>
      <c r="URV24" s="157"/>
      <c r="URW24" s="157"/>
      <c r="URX24" s="157"/>
      <c r="URY24" s="157"/>
      <c r="URZ24" s="157"/>
      <c r="USA24" s="157"/>
      <c r="USB24" s="157"/>
      <c r="USC24" s="157"/>
      <c r="USD24" s="157"/>
      <c r="USE24" s="157"/>
      <c r="USF24" s="157"/>
      <c r="USG24" s="157"/>
      <c r="USH24" s="157"/>
      <c r="USI24" s="157"/>
      <c r="USJ24" s="157"/>
      <c r="USK24" s="157"/>
      <c r="USL24" s="157"/>
      <c r="USM24" s="157"/>
      <c r="USN24" s="157"/>
      <c r="USO24" s="157"/>
      <c r="USP24" s="157"/>
      <c r="USQ24" s="157"/>
      <c r="USR24" s="157"/>
      <c r="USS24" s="157"/>
      <c r="UST24" s="157"/>
      <c r="USU24" s="157"/>
      <c r="USV24" s="157"/>
      <c r="USW24" s="157"/>
      <c r="USX24" s="157"/>
      <c r="USY24" s="157"/>
      <c r="USZ24" s="157"/>
      <c r="UTA24" s="157"/>
      <c r="UTB24" s="157"/>
      <c r="UTC24" s="157"/>
      <c r="UTD24" s="157"/>
      <c r="UTE24" s="157"/>
      <c r="UTF24" s="157"/>
      <c r="UTG24" s="157"/>
      <c r="UTH24" s="157"/>
      <c r="UTI24" s="157"/>
      <c r="UTJ24" s="157"/>
      <c r="UTK24" s="157"/>
      <c r="UTL24" s="157"/>
      <c r="UTM24" s="157"/>
      <c r="UTN24" s="157"/>
      <c r="UTO24" s="157"/>
      <c r="UTP24" s="157"/>
      <c r="UTQ24" s="157"/>
      <c r="UTR24" s="157"/>
      <c r="UTS24" s="157"/>
      <c r="UTT24" s="157"/>
      <c r="UTU24" s="157"/>
      <c r="UTV24" s="157"/>
      <c r="UTW24" s="157"/>
      <c r="UTX24" s="157"/>
      <c r="UTY24" s="157"/>
      <c r="UTZ24" s="157"/>
      <c r="UUA24" s="157"/>
      <c r="UUB24" s="157"/>
      <c r="UUC24" s="157"/>
      <c r="UUD24" s="157"/>
      <c r="UUE24" s="157"/>
      <c r="UUF24" s="157"/>
      <c r="UUG24" s="157"/>
      <c r="UUH24" s="157"/>
      <c r="UUI24" s="157"/>
      <c r="UUJ24" s="157"/>
      <c r="UUK24" s="157"/>
      <c r="UUL24" s="157"/>
      <c r="UUM24" s="157"/>
      <c r="UUN24" s="157"/>
      <c r="UUO24" s="157"/>
      <c r="UUP24" s="157"/>
      <c r="UUQ24" s="157"/>
      <c r="UUR24" s="157"/>
      <c r="UUS24" s="157"/>
      <c r="UUT24" s="157"/>
      <c r="UUU24" s="157"/>
      <c r="UUV24" s="157"/>
      <c r="UUW24" s="157"/>
      <c r="UUX24" s="157"/>
      <c r="UUY24" s="157"/>
      <c r="UUZ24" s="157"/>
      <c r="UVA24" s="157"/>
      <c r="UVB24" s="157"/>
      <c r="UVC24" s="157"/>
      <c r="UVD24" s="157"/>
      <c r="UVE24" s="157"/>
      <c r="UVF24" s="157"/>
      <c r="UVG24" s="157"/>
      <c r="UVH24" s="157"/>
      <c r="UVI24" s="157"/>
      <c r="UVJ24" s="157"/>
      <c r="UVK24" s="157"/>
      <c r="UVL24" s="157"/>
      <c r="UVM24" s="157"/>
      <c r="UVN24" s="157"/>
      <c r="UVO24" s="157"/>
      <c r="UVP24" s="157"/>
      <c r="UVQ24" s="157"/>
      <c r="UVR24" s="157"/>
      <c r="UVS24" s="157"/>
      <c r="UVT24" s="157"/>
      <c r="UVU24" s="157"/>
      <c r="UVV24" s="157"/>
      <c r="UVW24" s="157"/>
      <c r="UVX24" s="157"/>
      <c r="UVY24" s="157"/>
      <c r="UVZ24" s="157"/>
      <c r="UWA24" s="157"/>
      <c r="UWB24" s="157"/>
      <c r="UWC24" s="157"/>
      <c r="UWD24" s="157"/>
      <c r="UWE24" s="157"/>
      <c r="UWF24" s="157"/>
      <c r="UWG24" s="157"/>
      <c r="UWH24" s="157"/>
      <c r="UWI24" s="157"/>
      <c r="UWJ24" s="157"/>
      <c r="UWK24" s="157"/>
      <c r="UWL24" s="157"/>
      <c r="UWM24" s="157"/>
      <c r="UWN24" s="157"/>
      <c r="UWO24" s="157"/>
      <c r="UWP24" s="157"/>
      <c r="UWQ24" s="157"/>
      <c r="UWR24" s="157"/>
      <c r="UWS24" s="157"/>
      <c r="UWT24" s="157"/>
      <c r="UWU24" s="157"/>
      <c r="UWV24" s="157"/>
      <c r="UWW24" s="157"/>
      <c r="UWX24" s="157"/>
      <c r="UWY24" s="157"/>
      <c r="UWZ24" s="157"/>
      <c r="UXA24" s="157"/>
      <c r="UXB24" s="157"/>
      <c r="UXC24" s="157"/>
      <c r="UXD24" s="157"/>
      <c r="UXE24" s="157"/>
      <c r="UXF24" s="157"/>
      <c r="UXG24" s="157"/>
      <c r="UXH24" s="157"/>
      <c r="UXI24" s="157"/>
      <c r="UXJ24" s="157"/>
      <c r="UXK24" s="157"/>
      <c r="UXL24" s="157"/>
      <c r="UXM24" s="157"/>
      <c r="UXN24" s="157"/>
      <c r="UXO24" s="157"/>
      <c r="UXP24" s="157"/>
      <c r="UXQ24" s="157"/>
      <c r="UXR24" s="157"/>
      <c r="UXS24" s="157"/>
      <c r="UXT24" s="157"/>
      <c r="UXU24" s="157"/>
      <c r="UXV24" s="157"/>
      <c r="UXW24" s="157"/>
      <c r="UXX24" s="157"/>
      <c r="UXY24" s="157"/>
      <c r="UXZ24" s="157"/>
      <c r="UYA24" s="157"/>
      <c r="UYB24" s="157"/>
      <c r="UYC24" s="157"/>
      <c r="UYD24" s="157"/>
      <c r="UYE24" s="157"/>
      <c r="UYF24" s="157"/>
      <c r="UYG24" s="157"/>
      <c r="UYH24" s="157"/>
      <c r="UYI24" s="157"/>
      <c r="UYJ24" s="157"/>
      <c r="UYK24" s="157"/>
      <c r="UYL24" s="157"/>
      <c r="UYM24" s="157"/>
      <c r="UYN24" s="157"/>
      <c r="UYO24" s="157"/>
      <c r="UYP24" s="157"/>
      <c r="UYQ24" s="157"/>
      <c r="UYR24" s="157"/>
      <c r="UYS24" s="157"/>
      <c r="UYT24" s="157"/>
      <c r="UYU24" s="157"/>
      <c r="UYV24" s="157"/>
      <c r="UYW24" s="157"/>
      <c r="UYX24" s="157"/>
      <c r="UYY24" s="157"/>
      <c r="UYZ24" s="157"/>
      <c r="UZA24" s="157"/>
      <c r="UZB24" s="157"/>
      <c r="UZC24" s="157"/>
      <c r="UZD24" s="157"/>
      <c r="UZE24" s="157"/>
      <c r="UZF24" s="157"/>
      <c r="UZG24" s="157"/>
      <c r="UZH24" s="157"/>
      <c r="UZI24" s="157"/>
      <c r="UZJ24" s="157"/>
      <c r="UZK24" s="157"/>
      <c r="UZL24" s="157"/>
      <c r="UZM24" s="157"/>
      <c r="UZN24" s="157"/>
      <c r="UZO24" s="157"/>
      <c r="UZP24" s="157"/>
      <c r="UZQ24" s="157"/>
      <c r="UZR24" s="157"/>
      <c r="UZS24" s="157"/>
      <c r="UZT24" s="157"/>
      <c r="UZU24" s="157"/>
      <c r="UZV24" s="157"/>
      <c r="UZW24" s="157"/>
      <c r="UZX24" s="157"/>
      <c r="UZY24" s="157"/>
      <c r="UZZ24" s="157"/>
      <c r="VAA24" s="157"/>
      <c r="VAB24" s="157"/>
      <c r="VAC24" s="157"/>
      <c r="VAD24" s="157"/>
      <c r="VAE24" s="157"/>
      <c r="VAF24" s="157"/>
      <c r="VAG24" s="157"/>
      <c r="VAH24" s="157"/>
      <c r="VAI24" s="157"/>
      <c r="VAJ24" s="157"/>
      <c r="VAK24" s="157"/>
      <c r="VAL24" s="157"/>
      <c r="VAM24" s="157"/>
      <c r="VAN24" s="157"/>
      <c r="VAO24" s="157"/>
      <c r="VAP24" s="157"/>
      <c r="VAQ24" s="157"/>
      <c r="VAR24" s="157"/>
      <c r="VAS24" s="157"/>
      <c r="VAT24" s="157"/>
      <c r="VAU24" s="157"/>
      <c r="VAV24" s="157"/>
      <c r="VAW24" s="157"/>
      <c r="VAX24" s="157"/>
      <c r="VAY24" s="157"/>
      <c r="VAZ24" s="157"/>
      <c r="VBA24" s="157"/>
      <c r="VBB24" s="157"/>
      <c r="VBC24" s="157"/>
      <c r="VBD24" s="157"/>
      <c r="VBE24" s="157"/>
      <c r="VBF24" s="157"/>
      <c r="VBG24" s="157"/>
      <c r="VBH24" s="157"/>
      <c r="VBI24" s="157"/>
      <c r="VBJ24" s="157"/>
      <c r="VBK24" s="157"/>
      <c r="VBL24" s="157"/>
      <c r="VBM24" s="157"/>
      <c r="VBN24" s="157"/>
      <c r="VBO24" s="157"/>
      <c r="VBP24" s="157"/>
      <c r="VBQ24" s="157"/>
      <c r="VBR24" s="157"/>
      <c r="VBS24" s="157"/>
      <c r="VBT24" s="157"/>
      <c r="VBU24" s="157"/>
      <c r="VBV24" s="157"/>
      <c r="VBW24" s="157"/>
      <c r="VBX24" s="157"/>
      <c r="VBY24" s="157"/>
      <c r="VBZ24" s="157"/>
      <c r="VCA24" s="157"/>
      <c r="VCB24" s="157"/>
      <c r="VCC24" s="157"/>
      <c r="VCD24" s="157"/>
      <c r="VCE24" s="157"/>
      <c r="VCF24" s="157"/>
      <c r="VCG24" s="157"/>
      <c r="VCH24" s="157"/>
      <c r="VCI24" s="157"/>
      <c r="VCJ24" s="157"/>
      <c r="VCK24" s="157"/>
      <c r="VCL24" s="157"/>
      <c r="VCM24" s="157"/>
      <c r="VCN24" s="157"/>
      <c r="VCO24" s="157"/>
      <c r="VCP24" s="157"/>
      <c r="VCQ24" s="157"/>
      <c r="VCR24" s="157"/>
      <c r="VCS24" s="157"/>
      <c r="VCT24" s="157"/>
      <c r="VCU24" s="157"/>
      <c r="VCV24" s="157"/>
      <c r="VCW24" s="157"/>
      <c r="VCX24" s="157"/>
      <c r="VCY24" s="157"/>
      <c r="VCZ24" s="157"/>
      <c r="VDA24" s="157"/>
      <c r="VDB24" s="157"/>
      <c r="VDC24" s="157"/>
      <c r="VDD24" s="157"/>
      <c r="VDE24" s="157"/>
      <c r="VDF24" s="157"/>
      <c r="VDG24" s="157"/>
      <c r="VDH24" s="157"/>
      <c r="VDI24" s="157"/>
      <c r="VDJ24" s="157"/>
      <c r="VDK24" s="157"/>
      <c r="VDL24" s="157"/>
      <c r="VDM24" s="157"/>
      <c r="VDN24" s="157"/>
      <c r="VDO24" s="157"/>
      <c r="VDP24" s="157"/>
      <c r="VDQ24" s="157"/>
      <c r="VDR24" s="157"/>
      <c r="VDS24" s="157"/>
      <c r="VDT24" s="157"/>
      <c r="VDU24" s="157"/>
      <c r="VDV24" s="157"/>
      <c r="VDW24" s="157"/>
      <c r="VDX24" s="157"/>
      <c r="VDY24" s="157"/>
      <c r="VDZ24" s="157"/>
      <c r="VEA24" s="157"/>
      <c r="VEB24" s="157"/>
      <c r="VEC24" s="157"/>
      <c r="VED24" s="157"/>
      <c r="VEE24" s="157"/>
      <c r="VEF24" s="157"/>
      <c r="VEG24" s="157"/>
      <c r="VEH24" s="157"/>
      <c r="VEI24" s="157"/>
      <c r="VEJ24" s="157"/>
      <c r="VEK24" s="157"/>
      <c r="VEL24" s="157"/>
      <c r="VEM24" s="157"/>
      <c r="VEN24" s="157"/>
      <c r="VEO24" s="157"/>
      <c r="VEP24" s="157"/>
      <c r="VEQ24" s="157"/>
      <c r="VER24" s="157"/>
      <c r="VES24" s="157"/>
      <c r="VET24" s="157"/>
      <c r="VEU24" s="157"/>
      <c r="VEV24" s="157"/>
      <c r="VEW24" s="157"/>
      <c r="VEX24" s="157"/>
      <c r="VEY24" s="157"/>
      <c r="VEZ24" s="157"/>
      <c r="VFA24" s="157"/>
      <c r="VFB24" s="157"/>
      <c r="VFC24" s="157"/>
      <c r="VFD24" s="157"/>
      <c r="VFE24" s="157"/>
      <c r="VFF24" s="157"/>
      <c r="VFG24" s="157"/>
      <c r="VFH24" s="157"/>
      <c r="VFI24" s="157"/>
      <c r="VFJ24" s="157"/>
      <c r="VFK24" s="157"/>
      <c r="VFL24" s="157"/>
      <c r="VFM24" s="157"/>
      <c r="VFN24" s="157"/>
      <c r="VFO24" s="157"/>
      <c r="VFP24" s="157"/>
      <c r="VFQ24" s="157"/>
      <c r="VFR24" s="157"/>
      <c r="VFS24" s="157"/>
      <c r="VFT24" s="157"/>
      <c r="VFU24" s="157"/>
      <c r="VFV24" s="157"/>
      <c r="VFW24" s="157"/>
      <c r="VFX24" s="157"/>
      <c r="VFY24" s="157"/>
      <c r="VFZ24" s="157"/>
      <c r="VGA24" s="157"/>
      <c r="VGB24" s="157"/>
      <c r="VGC24" s="157"/>
      <c r="VGD24" s="157"/>
      <c r="VGE24" s="157"/>
      <c r="VGF24" s="157"/>
      <c r="VGG24" s="157"/>
      <c r="VGH24" s="157"/>
      <c r="VGI24" s="157"/>
      <c r="VGJ24" s="157"/>
      <c r="VGK24" s="157"/>
      <c r="VGL24" s="157"/>
      <c r="VGM24" s="157"/>
      <c r="VGN24" s="157"/>
      <c r="VGO24" s="157"/>
      <c r="VGP24" s="157"/>
      <c r="VGQ24" s="157"/>
      <c r="VGR24" s="157"/>
      <c r="VGS24" s="157"/>
      <c r="VGT24" s="157"/>
      <c r="VGU24" s="157"/>
      <c r="VGV24" s="157"/>
      <c r="VGW24" s="157"/>
      <c r="VGX24" s="157"/>
      <c r="VGY24" s="157"/>
      <c r="VGZ24" s="157"/>
      <c r="VHA24" s="157"/>
      <c r="VHB24" s="157"/>
      <c r="VHC24" s="157"/>
      <c r="VHD24" s="157"/>
      <c r="VHE24" s="157"/>
      <c r="VHF24" s="157"/>
      <c r="VHG24" s="157"/>
      <c r="VHH24" s="157"/>
      <c r="VHI24" s="157"/>
      <c r="VHJ24" s="157"/>
      <c r="VHK24" s="157"/>
      <c r="VHL24" s="157"/>
      <c r="VHM24" s="157"/>
      <c r="VHN24" s="157"/>
      <c r="VHO24" s="157"/>
      <c r="VHP24" s="157"/>
      <c r="VHQ24" s="157"/>
      <c r="VHR24" s="157"/>
      <c r="VHS24" s="157"/>
      <c r="VHT24" s="157"/>
      <c r="VHU24" s="157"/>
      <c r="VHV24" s="157"/>
      <c r="VHW24" s="157"/>
      <c r="VHX24" s="157"/>
      <c r="VHY24" s="157"/>
      <c r="VHZ24" s="157"/>
      <c r="VIA24" s="157"/>
      <c r="VIB24" s="157"/>
      <c r="VIC24" s="157"/>
      <c r="VID24" s="157"/>
      <c r="VIE24" s="157"/>
      <c r="VIF24" s="157"/>
      <c r="VIG24" s="157"/>
      <c r="VIH24" s="157"/>
      <c r="VII24" s="157"/>
      <c r="VIJ24" s="157"/>
      <c r="VIK24" s="157"/>
      <c r="VIL24" s="157"/>
      <c r="VIM24" s="157"/>
      <c r="VIN24" s="157"/>
      <c r="VIO24" s="157"/>
      <c r="VIP24" s="157"/>
      <c r="VIQ24" s="157"/>
      <c r="VIR24" s="157"/>
      <c r="VIS24" s="157"/>
      <c r="VIT24" s="157"/>
      <c r="VIU24" s="157"/>
      <c r="VIV24" s="157"/>
      <c r="VIW24" s="157"/>
      <c r="VIX24" s="157"/>
      <c r="VIY24" s="157"/>
      <c r="VIZ24" s="157"/>
      <c r="VJA24" s="157"/>
      <c r="VJB24" s="157"/>
      <c r="VJC24" s="157"/>
      <c r="VJD24" s="157"/>
      <c r="VJE24" s="157"/>
      <c r="VJF24" s="157"/>
      <c r="VJG24" s="157"/>
      <c r="VJH24" s="157"/>
      <c r="VJI24" s="157"/>
      <c r="VJJ24" s="157"/>
      <c r="VJK24" s="157"/>
      <c r="VJL24" s="157"/>
      <c r="VJM24" s="157"/>
      <c r="VJN24" s="157"/>
      <c r="VJO24" s="157"/>
      <c r="VJP24" s="157"/>
      <c r="VJQ24" s="157"/>
      <c r="VJR24" s="157"/>
      <c r="VJS24" s="157"/>
      <c r="VJT24" s="157"/>
      <c r="VJU24" s="157"/>
      <c r="VJV24" s="157"/>
      <c r="VJW24" s="157"/>
      <c r="VJX24" s="157"/>
      <c r="VJY24" s="157"/>
      <c r="VJZ24" s="157"/>
      <c r="VKA24" s="157"/>
      <c r="VKB24" s="157"/>
      <c r="VKC24" s="157"/>
      <c r="VKD24" s="157"/>
      <c r="VKE24" s="157"/>
      <c r="VKF24" s="157"/>
      <c r="VKG24" s="157"/>
      <c r="VKH24" s="157"/>
      <c r="VKI24" s="157"/>
      <c r="VKJ24" s="157"/>
      <c r="VKK24" s="157"/>
      <c r="VKL24" s="157"/>
      <c r="VKM24" s="157"/>
      <c r="VKN24" s="157"/>
      <c r="VKO24" s="157"/>
      <c r="VKP24" s="157"/>
      <c r="VKQ24" s="157"/>
      <c r="VKR24" s="157"/>
      <c r="VKS24" s="157"/>
      <c r="VKT24" s="157"/>
      <c r="VKU24" s="157"/>
      <c r="VKV24" s="157"/>
      <c r="VKW24" s="157"/>
      <c r="VKX24" s="157"/>
      <c r="VKY24" s="157"/>
      <c r="VKZ24" s="157"/>
      <c r="VLA24" s="157"/>
      <c r="VLB24" s="157"/>
      <c r="VLC24" s="157"/>
      <c r="VLD24" s="157"/>
      <c r="VLE24" s="157"/>
      <c r="VLF24" s="157"/>
      <c r="VLG24" s="157"/>
      <c r="VLH24" s="157"/>
      <c r="VLI24" s="157"/>
      <c r="VLJ24" s="157"/>
      <c r="VLK24" s="157"/>
      <c r="VLL24" s="157"/>
      <c r="VLM24" s="157"/>
      <c r="VLN24" s="157"/>
      <c r="VLO24" s="157"/>
      <c r="VLP24" s="157"/>
      <c r="VLQ24" s="157"/>
      <c r="VLR24" s="157"/>
      <c r="VLS24" s="157"/>
      <c r="VLT24" s="157"/>
      <c r="VLU24" s="157"/>
      <c r="VLV24" s="157"/>
      <c r="VLW24" s="157"/>
      <c r="VLX24" s="157"/>
      <c r="VLY24" s="157"/>
      <c r="VLZ24" s="157"/>
      <c r="VMA24" s="157"/>
      <c r="VMB24" s="157"/>
      <c r="VMC24" s="157"/>
      <c r="VMD24" s="157"/>
      <c r="VME24" s="157"/>
      <c r="VMF24" s="157"/>
      <c r="VMG24" s="157"/>
      <c r="VMH24" s="157"/>
      <c r="VMI24" s="157"/>
      <c r="VMJ24" s="157"/>
      <c r="VMK24" s="157"/>
      <c r="VML24" s="157"/>
      <c r="VMM24" s="157"/>
      <c r="VMN24" s="157"/>
      <c r="VMO24" s="157"/>
      <c r="VMP24" s="157"/>
      <c r="VMQ24" s="157"/>
      <c r="VMR24" s="157"/>
      <c r="VMS24" s="157"/>
      <c r="VMT24" s="157"/>
      <c r="VMU24" s="157"/>
      <c r="VMV24" s="157"/>
      <c r="VMW24" s="157"/>
      <c r="VMX24" s="157"/>
      <c r="VMY24" s="157"/>
      <c r="VMZ24" s="157"/>
      <c r="VNA24" s="157"/>
      <c r="VNB24" s="157"/>
      <c r="VNC24" s="157"/>
      <c r="VND24" s="157"/>
      <c r="VNE24" s="157"/>
      <c r="VNF24" s="157"/>
      <c r="VNG24" s="157"/>
      <c r="VNH24" s="157"/>
      <c r="VNI24" s="157"/>
      <c r="VNJ24" s="157"/>
      <c r="VNK24" s="157"/>
      <c r="VNL24" s="157"/>
      <c r="VNM24" s="157"/>
      <c r="VNN24" s="157"/>
      <c r="VNO24" s="157"/>
      <c r="VNP24" s="157"/>
      <c r="VNQ24" s="157"/>
      <c r="VNR24" s="157"/>
      <c r="VNS24" s="157"/>
      <c r="VNT24" s="157"/>
      <c r="VNU24" s="157"/>
      <c r="VNV24" s="157"/>
      <c r="VNW24" s="157"/>
      <c r="VNX24" s="157"/>
      <c r="VNY24" s="157"/>
      <c r="VNZ24" s="157"/>
      <c r="VOA24" s="157"/>
      <c r="VOB24" s="157"/>
      <c r="VOC24" s="157"/>
      <c r="VOD24" s="157"/>
      <c r="VOE24" s="157"/>
      <c r="VOF24" s="157"/>
      <c r="VOG24" s="157"/>
      <c r="VOH24" s="157"/>
      <c r="VOI24" s="157"/>
      <c r="VOJ24" s="157"/>
      <c r="VOK24" s="157"/>
      <c r="VOL24" s="157"/>
      <c r="VOM24" s="157"/>
      <c r="VON24" s="157"/>
      <c r="VOO24" s="157"/>
      <c r="VOP24" s="157"/>
      <c r="VOQ24" s="157"/>
      <c r="VOR24" s="157"/>
      <c r="VOS24" s="157"/>
      <c r="VOT24" s="157"/>
      <c r="VOU24" s="157"/>
      <c r="VOV24" s="157"/>
      <c r="VOW24" s="157"/>
      <c r="VOX24" s="157"/>
      <c r="VOY24" s="157"/>
      <c r="VOZ24" s="157"/>
      <c r="VPA24" s="157"/>
      <c r="VPB24" s="157"/>
      <c r="VPC24" s="157"/>
      <c r="VPD24" s="157"/>
      <c r="VPE24" s="157"/>
      <c r="VPF24" s="157"/>
      <c r="VPG24" s="157"/>
      <c r="VPH24" s="157"/>
      <c r="VPI24" s="157"/>
      <c r="VPJ24" s="157"/>
      <c r="VPK24" s="157"/>
      <c r="VPL24" s="157"/>
      <c r="VPM24" s="157"/>
      <c r="VPN24" s="157"/>
      <c r="VPO24" s="157"/>
      <c r="VPP24" s="157"/>
      <c r="VPQ24" s="157"/>
      <c r="VPR24" s="157"/>
      <c r="VPS24" s="157"/>
      <c r="VPT24" s="157"/>
      <c r="VPU24" s="157"/>
      <c r="VPV24" s="157"/>
      <c r="VPW24" s="157"/>
      <c r="VPX24" s="157"/>
      <c r="VPY24" s="157"/>
      <c r="VPZ24" s="157"/>
      <c r="VQA24" s="157"/>
      <c r="VQB24" s="157"/>
      <c r="VQC24" s="157"/>
      <c r="VQD24" s="157"/>
      <c r="VQE24" s="157"/>
      <c r="VQF24" s="157"/>
      <c r="VQG24" s="157"/>
      <c r="VQH24" s="157"/>
      <c r="VQI24" s="157"/>
      <c r="VQJ24" s="157"/>
      <c r="VQK24" s="157"/>
      <c r="VQL24" s="157"/>
      <c r="VQM24" s="157"/>
      <c r="VQN24" s="157"/>
      <c r="VQO24" s="157"/>
      <c r="VQP24" s="157"/>
      <c r="VQQ24" s="157"/>
      <c r="VQR24" s="157"/>
      <c r="VQS24" s="157"/>
      <c r="VQT24" s="157"/>
      <c r="VQU24" s="157"/>
      <c r="VQV24" s="157"/>
      <c r="VQW24" s="157"/>
      <c r="VQX24" s="157"/>
      <c r="VQY24" s="157"/>
      <c r="VQZ24" s="157"/>
      <c r="VRA24" s="157"/>
      <c r="VRB24" s="157"/>
      <c r="VRC24" s="157"/>
      <c r="VRD24" s="157"/>
      <c r="VRE24" s="157"/>
      <c r="VRF24" s="157"/>
      <c r="VRG24" s="157"/>
      <c r="VRH24" s="157"/>
      <c r="VRI24" s="157"/>
      <c r="VRJ24" s="157"/>
      <c r="VRK24" s="157"/>
      <c r="VRL24" s="157"/>
      <c r="VRM24" s="157"/>
      <c r="VRN24" s="157"/>
      <c r="VRO24" s="157"/>
      <c r="VRP24" s="157"/>
      <c r="VRQ24" s="157"/>
      <c r="VRR24" s="157"/>
      <c r="VRS24" s="157"/>
      <c r="VRT24" s="157"/>
      <c r="VRU24" s="157"/>
      <c r="VRV24" s="157"/>
      <c r="VRW24" s="157"/>
      <c r="VRX24" s="157"/>
      <c r="VRY24" s="157"/>
      <c r="VRZ24" s="157"/>
      <c r="VSA24" s="157"/>
      <c r="VSB24" s="157"/>
      <c r="VSC24" s="157"/>
      <c r="VSD24" s="157"/>
      <c r="VSE24" s="157"/>
      <c r="VSF24" s="157"/>
      <c r="VSG24" s="157"/>
      <c r="VSH24" s="157"/>
      <c r="VSI24" s="157"/>
      <c r="VSJ24" s="157"/>
      <c r="VSK24" s="157"/>
      <c r="VSL24" s="157"/>
      <c r="VSM24" s="157"/>
      <c r="VSN24" s="157"/>
      <c r="VSO24" s="157"/>
      <c r="VSP24" s="157"/>
      <c r="VSQ24" s="157"/>
      <c r="VSR24" s="157"/>
      <c r="VSS24" s="157"/>
      <c r="VST24" s="157"/>
      <c r="VSU24" s="157"/>
      <c r="VSV24" s="157"/>
      <c r="VSW24" s="157"/>
      <c r="VSX24" s="157"/>
      <c r="VSY24" s="157"/>
      <c r="VSZ24" s="157"/>
      <c r="VTA24" s="157"/>
      <c r="VTB24" s="157"/>
      <c r="VTC24" s="157"/>
      <c r="VTD24" s="157"/>
      <c r="VTE24" s="157"/>
      <c r="VTF24" s="157"/>
      <c r="VTG24" s="157"/>
      <c r="VTH24" s="157"/>
      <c r="VTI24" s="157"/>
      <c r="VTJ24" s="157"/>
      <c r="VTK24" s="157"/>
      <c r="VTL24" s="157"/>
      <c r="VTM24" s="157"/>
      <c r="VTN24" s="157"/>
      <c r="VTO24" s="157"/>
      <c r="VTP24" s="157"/>
      <c r="VTQ24" s="157"/>
      <c r="VTR24" s="157"/>
      <c r="VTS24" s="157"/>
      <c r="VTT24" s="157"/>
      <c r="VTU24" s="157"/>
      <c r="VTV24" s="157"/>
      <c r="VTW24" s="157"/>
      <c r="VTX24" s="157"/>
      <c r="VTY24" s="157"/>
      <c r="VTZ24" s="157"/>
      <c r="VUA24" s="157"/>
      <c r="VUB24" s="157"/>
      <c r="VUC24" s="157"/>
      <c r="VUD24" s="157"/>
      <c r="VUE24" s="157"/>
      <c r="VUF24" s="157"/>
      <c r="VUG24" s="157"/>
      <c r="VUH24" s="157"/>
      <c r="VUI24" s="157"/>
      <c r="VUJ24" s="157"/>
      <c r="VUK24" s="157"/>
      <c r="VUL24" s="157"/>
      <c r="VUM24" s="157"/>
      <c r="VUN24" s="157"/>
      <c r="VUO24" s="157"/>
      <c r="VUP24" s="157"/>
      <c r="VUQ24" s="157"/>
      <c r="VUR24" s="157"/>
      <c r="VUS24" s="157"/>
      <c r="VUT24" s="157"/>
      <c r="VUU24" s="157"/>
      <c r="VUV24" s="157"/>
      <c r="VUW24" s="157"/>
      <c r="VUX24" s="157"/>
      <c r="VUY24" s="157"/>
      <c r="VUZ24" s="157"/>
      <c r="VVA24" s="157"/>
      <c r="VVB24" s="157"/>
      <c r="VVC24" s="157"/>
      <c r="VVD24" s="157"/>
      <c r="VVE24" s="157"/>
      <c r="VVF24" s="157"/>
      <c r="VVG24" s="157"/>
      <c r="VVH24" s="157"/>
      <c r="VVI24" s="157"/>
      <c r="VVJ24" s="157"/>
      <c r="VVK24" s="157"/>
      <c r="VVL24" s="157"/>
      <c r="VVM24" s="157"/>
      <c r="VVN24" s="157"/>
      <c r="VVO24" s="157"/>
      <c r="VVP24" s="157"/>
      <c r="VVQ24" s="157"/>
      <c r="VVR24" s="157"/>
      <c r="VVS24" s="157"/>
      <c r="VVT24" s="157"/>
      <c r="VVU24" s="157"/>
      <c r="VVV24" s="157"/>
      <c r="VVW24" s="157"/>
      <c r="VVX24" s="157"/>
      <c r="VVY24" s="157"/>
      <c r="VVZ24" s="157"/>
      <c r="VWA24" s="157"/>
      <c r="VWB24" s="157"/>
      <c r="VWC24" s="157"/>
      <c r="VWD24" s="157"/>
      <c r="VWE24" s="157"/>
      <c r="VWF24" s="157"/>
      <c r="VWG24" s="157"/>
      <c r="VWH24" s="157"/>
      <c r="VWI24" s="157"/>
      <c r="VWJ24" s="157"/>
      <c r="VWK24" s="157"/>
      <c r="VWL24" s="157"/>
      <c r="VWM24" s="157"/>
      <c r="VWN24" s="157"/>
      <c r="VWO24" s="157"/>
      <c r="VWP24" s="157"/>
      <c r="VWQ24" s="157"/>
      <c r="VWR24" s="157"/>
      <c r="VWS24" s="157"/>
      <c r="VWT24" s="157"/>
      <c r="VWU24" s="157"/>
      <c r="VWV24" s="157"/>
      <c r="VWW24" s="157"/>
      <c r="VWX24" s="157"/>
      <c r="VWY24" s="157"/>
      <c r="VWZ24" s="157"/>
      <c r="VXA24" s="157"/>
      <c r="VXB24" s="157"/>
      <c r="VXC24" s="157"/>
      <c r="VXD24" s="157"/>
      <c r="VXE24" s="157"/>
      <c r="VXF24" s="157"/>
      <c r="VXG24" s="157"/>
      <c r="VXH24" s="157"/>
      <c r="VXI24" s="157"/>
      <c r="VXJ24" s="157"/>
      <c r="VXK24" s="157"/>
      <c r="VXL24" s="157"/>
      <c r="VXM24" s="157"/>
      <c r="VXN24" s="157"/>
      <c r="VXO24" s="157"/>
      <c r="VXP24" s="157"/>
      <c r="VXQ24" s="157"/>
      <c r="VXR24" s="157"/>
      <c r="VXS24" s="157"/>
      <c r="VXT24" s="157"/>
      <c r="VXU24" s="157"/>
      <c r="VXV24" s="157"/>
      <c r="VXW24" s="157"/>
      <c r="VXX24" s="157"/>
      <c r="VXY24" s="157"/>
      <c r="VXZ24" s="157"/>
      <c r="VYA24" s="157"/>
      <c r="VYB24" s="157"/>
      <c r="VYC24" s="157"/>
      <c r="VYD24" s="157"/>
      <c r="VYE24" s="157"/>
      <c r="VYF24" s="157"/>
      <c r="VYG24" s="157"/>
      <c r="VYH24" s="157"/>
      <c r="VYI24" s="157"/>
      <c r="VYJ24" s="157"/>
      <c r="VYK24" s="157"/>
      <c r="VYL24" s="157"/>
      <c r="VYM24" s="157"/>
      <c r="VYN24" s="157"/>
      <c r="VYO24" s="157"/>
      <c r="VYP24" s="157"/>
      <c r="VYQ24" s="157"/>
      <c r="VYR24" s="157"/>
      <c r="VYS24" s="157"/>
      <c r="VYT24" s="157"/>
      <c r="VYU24" s="157"/>
      <c r="VYV24" s="157"/>
      <c r="VYW24" s="157"/>
      <c r="VYX24" s="157"/>
      <c r="VYY24" s="157"/>
      <c r="VYZ24" s="157"/>
      <c r="VZA24" s="157"/>
      <c r="VZB24" s="157"/>
      <c r="VZC24" s="157"/>
      <c r="VZD24" s="157"/>
      <c r="VZE24" s="157"/>
      <c r="VZF24" s="157"/>
      <c r="VZG24" s="157"/>
      <c r="VZH24" s="157"/>
      <c r="VZI24" s="157"/>
      <c r="VZJ24" s="157"/>
      <c r="VZK24" s="157"/>
      <c r="VZL24" s="157"/>
      <c r="VZM24" s="157"/>
      <c r="VZN24" s="157"/>
      <c r="VZO24" s="157"/>
      <c r="VZP24" s="157"/>
      <c r="VZQ24" s="157"/>
      <c r="VZR24" s="157"/>
      <c r="VZS24" s="157"/>
      <c r="VZT24" s="157"/>
      <c r="VZU24" s="157"/>
      <c r="VZV24" s="157"/>
      <c r="VZW24" s="157"/>
      <c r="VZX24" s="157"/>
      <c r="VZY24" s="157"/>
      <c r="VZZ24" s="157"/>
      <c r="WAA24" s="157"/>
      <c r="WAB24" s="157"/>
      <c r="WAC24" s="157"/>
      <c r="WAD24" s="157"/>
      <c r="WAE24" s="157"/>
      <c r="WAF24" s="157"/>
      <c r="WAG24" s="157"/>
      <c r="WAH24" s="157"/>
      <c r="WAI24" s="157"/>
      <c r="WAJ24" s="157"/>
      <c r="WAK24" s="157"/>
      <c r="WAL24" s="157"/>
      <c r="WAM24" s="157"/>
      <c r="WAN24" s="157"/>
      <c r="WAO24" s="157"/>
      <c r="WAP24" s="157"/>
      <c r="WAQ24" s="157"/>
      <c r="WAR24" s="157"/>
      <c r="WAS24" s="157"/>
      <c r="WAT24" s="157"/>
      <c r="WAU24" s="157"/>
      <c r="WAV24" s="157"/>
      <c r="WAW24" s="157"/>
      <c r="WAX24" s="157"/>
      <c r="WAY24" s="157"/>
      <c r="WAZ24" s="157"/>
      <c r="WBA24" s="157"/>
      <c r="WBB24" s="157"/>
      <c r="WBC24" s="157"/>
      <c r="WBD24" s="157"/>
      <c r="WBE24" s="157"/>
      <c r="WBF24" s="157"/>
      <c r="WBG24" s="157"/>
      <c r="WBH24" s="157"/>
      <c r="WBI24" s="157"/>
      <c r="WBJ24" s="157"/>
      <c r="WBK24" s="157"/>
      <c r="WBL24" s="157"/>
      <c r="WBM24" s="157"/>
      <c r="WBN24" s="157"/>
      <c r="WBO24" s="157"/>
      <c r="WBP24" s="157"/>
      <c r="WBQ24" s="157"/>
      <c r="WBR24" s="157"/>
      <c r="WBS24" s="157"/>
      <c r="WBT24" s="157"/>
      <c r="WBU24" s="157"/>
      <c r="WBV24" s="157"/>
      <c r="WBW24" s="157"/>
      <c r="WBX24" s="157"/>
      <c r="WBY24" s="157"/>
      <c r="WBZ24" s="157"/>
      <c r="WCA24" s="157"/>
      <c r="WCB24" s="157"/>
      <c r="WCC24" s="157"/>
      <c r="WCD24" s="157"/>
      <c r="WCE24" s="157"/>
      <c r="WCF24" s="157"/>
      <c r="WCG24" s="157"/>
      <c r="WCH24" s="157"/>
      <c r="WCI24" s="157"/>
      <c r="WCJ24" s="157"/>
      <c r="WCK24" s="157"/>
      <c r="WCL24" s="157"/>
      <c r="WCM24" s="157"/>
      <c r="WCN24" s="157"/>
      <c r="WCO24" s="157"/>
      <c r="WCP24" s="157"/>
      <c r="WCQ24" s="157"/>
      <c r="WCR24" s="157"/>
      <c r="WCS24" s="157"/>
      <c r="WCT24" s="157"/>
      <c r="WCU24" s="157"/>
      <c r="WCV24" s="157"/>
      <c r="WCW24" s="157"/>
      <c r="WCX24" s="157"/>
      <c r="WCY24" s="157"/>
      <c r="WCZ24" s="157"/>
      <c r="WDA24" s="157"/>
      <c r="WDB24" s="157"/>
      <c r="WDC24" s="157"/>
      <c r="WDD24" s="157"/>
      <c r="WDE24" s="157"/>
      <c r="WDF24" s="157"/>
      <c r="WDG24" s="157"/>
      <c r="WDH24" s="157"/>
      <c r="WDI24" s="157"/>
      <c r="WDJ24" s="157"/>
      <c r="WDK24" s="157"/>
      <c r="WDL24" s="157"/>
      <c r="WDM24" s="157"/>
      <c r="WDN24" s="157"/>
      <c r="WDO24" s="157"/>
      <c r="WDP24" s="157"/>
      <c r="WDQ24" s="157"/>
      <c r="WDR24" s="157"/>
      <c r="WDS24" s="157"/>
      <c r="WDT24" s="157"/>
      <c r="WDU24" s="157"/>
      <c r="WDV24" s="157"/>
      <c r="WDW24" s="157"/>
      <c r="WDX24" s="157"/>
      <c r="WDY24" s="157"/>
      <c r="WDZ24" s="157"/>
      <c r="WEA24" s="157"/>
      <c r="WEB24" s="157"/>
      <c r="WEC24" s="157"/>
      <c r="WED24" s="157"/>
      <c r="WEE24" s="157"/>
      <c r="WEF24" s="157"/>
      <c r="WEG24" s="157"/>
      <c r="WEH24" s="157"/>
      <c r="WEI24" s="157"/>
      <c r="WEJ24" s="157"/>
      <c r="WEK24" s="157"/>
      <c r="WEL24" s="157"/>
      <c r="WEM24" s="157"/>
      <c r="WEN24" s="157"/>
      <c r="WEO24" s="157"/>
      <c r="WEP24" s="157"/>
      <c r="WEQ24" s="157"/>
      <c r="WER24" s="157"/>
      <c r="WES24" s="157"/>
      <c r="WET24" s="157"/>
      <c r="WEU24" s="157"/>
      <c r="WEV24" s="157"/>
      <c r="WEW24" s="157"/>
      <c r="WEX24" s="157"/>
      <c r="WEY24" s="157"/>
      <c r="WEZ24" s="157"/>
      <c r="WFA24" s="157"/>
      <c r="WFB24" s="157"/>
      <c r="WFC24" s="157"/>
      <c r="WFD24" s="157"/>
      <c r="WFE24" s="157"/>
      <c r="WFF24" s="157"/>
      <c r="WFG24" s="157"/>
      <c r="WFH24" s="157"/>
      <c r="WFI24" s="157"/>
      <c r="WFJ24" s="157"/>
      <c r="WFK24" s="157"/>
      <c r="WFL24" s="157"/>
      <c r="WFM24" s="157"/>
      <c r="WFN24" s="157"/>
      <c r="WFO24" s="157"/>
      <c r="WFP24" s="157"/>
      <c r="WFQ24" s="157"/>
      <c r="WFR24" s="157"/>
      <c r="WFS24" s="157"/>
      <c r="WFT24" s="157"/>
      <c r="WFU24" s="157"/>
      <c r="WFV24" s="157"/>
      <c r="WFW24" s="157"/>
      <c r="WFX24" s="157"/>
      <c r="WFY24" s="157"/>
      <c r="WFZ24" s="157"/>
      <c r="WGA24" s="157"/>
      <c r="WGB24" s="157"/>
      <c r="WGC24" s="157"/>
      <c r="WGD24" s="157"/>
      <c r="WGE24" s="157"/>
      <c r="WGF24" s="157"/>
      <c r="WGG24" s="157"/>
      <c r="WGH24" s="157"/>
      <c r="WGI24" s="157"/>
      <c r="WGJ24" s="157"/>
      <c r="WGK24" s="157"/>
      <c r="WGL24" s="157"/>
      <c r="WGM24" s="157"/>
      <c r="WGN24" s="157"/>
      <c r="WGO24" s="157"/>
      <c r="WGP24" s="157"/>
      <c r="WGQ24" s="157"/>
      <c r="WGR24" s="157"/>
      <c r="WGS24" s="157"/>
      <c r="WGT24" s="157"/>
      <c r="WGU24" s="157"/>
      <c r="WGV24" s="157"/>
      <c r="WGW24" s="157"/>
      <c r="WGX24" s="157"/>
      <c r="WGY24" s="157"/>
      <c r="WGZ24" s="157"/>
      <c r="WHA24" s="157"/>
      <c r="WHB24" s="157"/>
      <c r="WHC24" s="157"/>
      <c r="WHD24" s="157"/>
      <c r="WHE24" s="157"/>
      <c r="WHF24" s="157"/>
      <c r="WHG24" s="157"/>
      <c r="WHH24" s="157"/>
      <c r="WHI24" s="157"/>
      <c r="WHJ24" s="157"/>
      <c r="WHK24" s="157"/>
      <c r="WHL24" s="157"/>
      <c r="WHM24" s="157"/>
      <c r="WHN24" s="157"/>
      <c r="WHO24" s="157"/>
      <c r="WHP24" s="157"/>
      <c r="WHQ24" s="157"/>
      <c r="WHR24" s="157"/>
      <c r="WHS24" s="157"/>
      <c r="WHT24" s="157"/>
      <c r="WHU24" s="157"/>
      <c r="WHV24" s="157"/>
      <c r="WHW24" s="157"/>
      <c r="WHX24" s="157"/>
      <c r="WHY24" s="157"/>
      <c r="WHZ24" s="157"/>
      <c r="WIA24" s="157"/>
      <c r="WIB24" s="157"/>
      <c r="WIC24" s="157"/>
      <c r="WID24" s="157"/>
      <c r="WIE24" s="157"/>
      <c r="WIF24" s="157"/>
      <c r="WIG24" s="157"/>
      <c r="WIH24" s="157"/>
      <c r="WII24" s="157"/>
      <c r="WIJ24" s="157"/>
      <c r="WIK24" s="157"/>
      <c r="WIL24" s="157"/>
      <c r="WIM24" s="157"/>
      <c r="WIN24" s="157"/>
      <c r="WIO24" s="157"/>
      <c r="WIP24" s="157"/>
      <c r="WIQ24" s="157"/>
      <c r="WIR24" s="157"/>
      <c r="WIS24" s="157"/>
      <c r="WIT24" s="157"/>
      <c r="WIU24" s="157"/>
      <c r="WIV24" s="157"/>
      <c r="WIW24" s="157"/>
      <c r="WIX24" s="157"/>
      <c r="WIY24" s="157"/>
      <c r="WIZ24" s="157"/>
      <c r="WJA24" s="157"/>
      <c r="WJB24" s="157"/>
      <c r="WJC24" s="157"/>
      <c r="WJD24" s="157"/>
      <c r="WJE24" s="157"/>
      <c r="WJF24" s="157"/>
      <c r="WJG24" s="157"/>
      <c r="WJH24" s="157"/>
      <c r="WJI24" s="157"/>
      <c r="WJJ24" s="157"/>
      <c r="WJK24" s="157"/>
      <c r="WJL24" s="157"/>
      <c r="WJM24" s="157"/>
      <c r="WJN24" s="157"/>
      <c r="WJO24" s="157"/>
      <c r="WJP24" s="157"/>
      <c r="WJQ24" s="157"/>
      <c r="WJR24" s="157"/>
      <c r="WJS24" s="157"/>
      <c r="WJT24" s="157"/>
      <c r="WJU24" s="157"/>
      <c r="WJV24" s="157"/>
      <c r="WJW24" s="157"/>
      <c r="WJX24" s="157"/>
      <c r="WJY24" s="157"/>
      <c r="WJZ24" s="157"/>
      <c r="WKA24" s="157"/>
      <c r="WKB24" s="157"/>
      <c r="WKC24" s="157"/>
      <c r="WKD24" s="157"/>
      <c r="WKE24" s="157"/>
      <c r="WKF24" s="157"/>
      <c r="WKG24" s="157"/>
      <c r="WKH24" s="157"/>
      <c r="WKI24" s="157"/>
      <c r="WKJ24" s="157"/>
      <c r="WKK24" s="157"/>
      <c r="WKL24" s="157"/>
      <c r="WKM24" s="157"/>
      <c r="WKN24" s="157"/>
      <c r="WKO24" s="157"/>
      <c r="WKP24" s="157"/>
      <c r="WKQ24" s="157"/>
      <c r="WKR24" s="157"/>
      <c r="WKS24" s="157"/>
      <c r="WKT24" s="157"/>
      <c r="WKU24" s="157"/>
      <c r="WKV24" s="157"/>
      <c r="WKW24" s="157"/>
      <c r="WKX24" s="157"/>
      <c r="WKY24" s="157"/>
      <c r="WKZ24" s="157"/>
      <c r="WLA24" s="157"/>
      <c r="WLB24" s="157"/>
      <c r="WLC24" s="157"/>
      <c r="WLD24" s="157"/>
      <c r="WLE24" s="157"/>
      <c r="WLF24" s="157"/>
      <c r="WLG24" s="157"/>
      <c r="WLH24" s="157"/>
      <c r="WLI24" s="157"/>
      <c r="WLJ24" s="157"/>
      <c r="WLK24" s="157"/>
      <c r="WLL24" s="157"/>
      <c r="WLM24" s="157"/>
      <c r="WLN24" s="157"/>
      <c r="WLO24" s="157"/>
      <c r="WLP24" s="157"/>
      <c r="WLQ24" s="157"/>
      <c r="WLR24" s="157"/>
      <c r="WLS24" s="157"/>
      <c r="WLT24" s="157"/>
      <c r="WLU24" s="157"/>
      <c r="WLV24" s="157"/>
      <c r="WLW24" s="157"/>
      <c r="WLX24" s="157"/>
      <c r="WLY24" s="157"/>
      <c r="WLZ24" s="157"/>
      <c r="WMA24" s="157"/>
      <c r="WMB24" s="157"/>
      <c r="WMC24" s="157"/>
      <c r="WMD24" s="157"/>
      <c r="WME24" s="157"/>
      <c r="WMF24" s="157"/>
      <c r="WMG24" s="157"/>
      <c r="WMH24" s="157"/>
      <c r="WMI24" s="157"/>
      <c r="WMJ24" s="157"/>
      <c r="WMK24" s="157"/>
      <c r="WML24" s="157"/>
      <c r="WMM24" s="157"/>
      <c r="WMN24" s="157"/>
      <c r="WMO24" s="157"/>
      <c r="WMP24" s="157"/>
      <c r="WMQ24" s="157"/>
      <c r="WMR24" s="157"/>
      <c r="WMS24" s="157"/>
      <c r="WMT24" s="157"/>
      <c r="WMU24" s="157"/>
      <c r="WMV24" s="157"/>
      <c r="WMW24" s="157"/>
      <c r="WMX24" s="157"/>
      <c r="WMY24" s="157"/>
      <c r="WMZ24" s="157"/>
      <c r="WNA24" s="157"/>
      <c r="WNB24" s="157"/>
      <c r="WNC24" s="157"/>
      <c r="WND24" s="157"/>
      <c r="WNE24" s="157"/>
      <c r="WNF24" s="157"/>
      <c r="WNG24" s="157"/>
      <c r="WNH24" s="157"/>
      <c r="WNI24" s="157"/>
      <c r="WNJ24" s="157"/>
      <c r="WNK24" s="157"/>
      <c r="WNL24" s="157"/>
      <c r="WNM24" s="157"/>
      <c r="WNN24" s="157"/>
      <c r="WNO24" s="157"/>
      <c r="WNP24" s="157"/>
      <c r="WNQ24" s="157"/>
      <c r="WNR24" s="157"/>
      <c r="WNS24" s="157"/>
      <c r="WNT24" s="157"/>
      <c r="WNU24" s="157"/>
      <c r="WNV24" s="157"/>
      <c r="WNW24" s="157"/>
      <c r="WNX24" s="157"/>
      <c r="WNY24" s="157"/>
      <c r="WNZ24" s="157"/>
      <c r="WOA24" s="157"/>
      <c r="WOB24" s="157"/>
      <c r="WOC24" s="157"/>
      <c r="WOD24" s="157"/>
      <c r="WOE24" s="157"/>
      <c r="WOF24" s="157"/>
      <c r="WOG24" s="157"/>
      <c r="WOH24" s="157"/>
      <c r="WOI24" s="157"/>
      <c r="WOJ24" s="157"/>
      <c r="WOK24" s="157"/>
      <c r="WOL24" s="157"/>
      <c r="WOM24" s="157"/>
      <c r="WON24" s="157"/>
      <c r="WOO24" s="157"/>
      <c r="WOP24" s="157"/>
      <c r="WOQ24" s="157"/>
      <c r="WOR24" s="157"/>
      <c r="WOS24" s="157"/>
      <c r="WOT24" s="157"/>
      <c r="WOU24" s="157"/>
      <c r="WOV24" s="157"/>
      <c r="WOW24" s="157"/>
      <c r="WOX24" s="157"/>
      <c r="WOY24" s="157"/>
      <c r="WOZ24" s="157"/>
      <c r="WPA24" s="157"/>
      <c r="WPB24" s="157"/>
      <c r="WPC24" s="157"/>
      <c r="WPD24" s="157"/>
      <c r="WPE24" s="157"/>
      <c r="WPF24" s="157"/>
      <c r="WPG24" s="157"/>
      <c r="WPH24" s="157"/>
      <c r="WPI24" s="157"/>
      <c r="WPJ24" s="157"/>
      <c r="WPK24" s="157"/>
      <c r="WPL24" s="157"/>
      <c r="WPM24" s="157"/>
      <c r="WPN24" s="157"/>
      <c r="WPO24" s="157"/>
      <c r="WPP24" s="157"/>
      <c r="WPQ24" s="157"/>
      <c r="WPR24" s="157"/>
      <c r="WPS24" s="157"/>
      <c r="WPT24" s="157"/>
      <c r="WPU24" s="157"/>
      <c r="WPV24" s="157"/>
      <c r="WPW24" s="157"/>
      <c r="WPX24" s="157"/>
      <c r="WPY24" s="157"/>
      <c r="WPZ24" s="157"/>
      <c r="WQA24" s="157"/>
      <c r="WQB24" s="157"/>
      <c r="WQC24" s="157"/>
      <c r="WQD24" s="157"/>
      <c r="WQE24" s="157"/>
      <c r="WQF24" s="157"/>
      <c r="WQG24" s="157"/>
      <c r="WQH24" s="157"/>
      <c r="WQI24" s="157"/>
      <c r="WQJ24" s="157"/>
      <c r="WQK24" s="157"/>
      <c r="WQL24" s="157"/>
      <c r="WQM24" s="157"/>
      <c r="WQN24" s="157"/>
      <c r="WQO24" s="157"/>
      <c r="WQP24" s="157"/>
      <c r="WQQ24" s="157"/>
      <c r="WQR24" s="157"/>
      <c r="WQS24" s="157"/>
      <c r="WQT24" s="157"/>
      <c r="WQU24" s="157"/>
      <c r="WQV24" s="157"/>
      <c r="WQW24" s="157"/>
      <c r="WQX24" s="157"/>
      <c r="WQY24" s="157"/>
      <c r="WQZ24" s="157"/>
      <c r="WRA24" s="157"/>
      <c r="WRB24" s="157"/>
      <c r="WRC24" s="157"/>
      <c r="WRD24" s="157"/>
      <c r="WRE24" s="157"/>
      <c r="WRF24" s="157"/>
      <c r="WRG24" s="157"/>
      <c r="WRH24" s="157"/>
      <c r="WRI24" s="157"/>
      <c r="WRJ24" s="157"/>
      <c r="WRK24" s="157"/>
      <c r="WRL24" s="157"/>
      <c r="WRM24" s="157"/>
      <c r="WRN24" s="157"/>
      <c r="WRO24" s="157"/>
      <c r="WRP24" s="157"/>
      <c r="WRQ24" s="157"/>
      <c r="WRR24" s="157"/>
      <c r="WRS24" s="157"/>
      <c r="WRT24" s="157"/>
      <c r="WRU24" s="157"/>
      <c r="WRV24" s="157"/>
      <c r="WRW24" s="157"/>
      <c r="WRX24" s="157"/>
      <c r="WRY24" s="157"/>
      <c r="WRZ24" s="157"/>
      <c r="WSA24" s="157"/>
      <c r="WSB24" s="157"/>
      <c r="WSC24" s="157"/>
      <c r="WSD24" s="157"/>
      <c r="WSE24" s="157"/>
      <c r="WSF24" s="157"/>
      <c r="WSG24" s="157"/>
      <c r="WSH24" s="157"/>
      <c r="WSI24" s="157"/>
      <c r="WSJ24" s="157"/>
      <c r="WSK24" s="157"/>
      <c r="WSL24" s="157"/>
      <c r="WSM24" s="157"/>
      <c r="WSN24" s="157"/>
      <c r="WSO24" s="157"/>
      <c r="WSP24" s="157"/>
      <c r="WSQ24" s="157"/>
      <c r="WSR24" s="157"/>
      <c r="WSS24" s="157"/>
      <c r="WST24" s="157"/>
      <c r="WSU24" s="157"/>
      <c r="WSV24" s="157"/>
      <c r="WSW24" s="157"/>
      <c r="WSX24" s="157"/>
      <c r="WSY24" s="157"/>
      <c r="WSZ24" s="157"/>
      <c r="WTA24" s="157"/>
      <c r="WTB24" s="157"/>
      <c r="WTC24" s="157"/>
      <c r="WTD24" s="157"/>
      <c r="WTE24" s="157"/>
      <c r="WTF24" s="157"/>
      <c r="WTG24" s="157"/>
      <c r="WTH24" s="157"/>
      <c r="WTI24" s="157"/>
      <c r="WTJ24" s="157"/>
      <c r="WTK24" s="157"/>
      <c r="WTL24" s="157"/>
      <c r="WTM24" s="157"/>
      <c r="WTN24" s="157"/>
      <c r="WTO24" s="157"/>
      <c r="WTP24" s="157"/>
      <c r="WTQ24" s="157"/>
      <c r="WTR24" s="157"/>
      <c r="WTS24" s="157"/>
      <c r="WTT24" s="157"/>
      <c r="WTU24" s="157"/>
      <c r="WTV24" s="157"/>
      <c r="WTW24" s="157"/>
      <c r="WTX24" s="157"/>
      <c r="WTY24" s="157"/>
      <c r="WTZ24" s="157"/>
      <c r="WUA24" s="157"/>
      <c r="WUB24" s="157"/>
      <c r="WUC24" s="157"/>
      <c r="WUD24" s="157"/>
      <c r="WUE24" s="157"/>
      <c r="WUF24" s="157"/>
      <c r="WUG24" s="157"/>
      <c r="WUH24" s="157"/>
      <c r="WUI24" s="157"/>
      <c r="WUJ24" s="157"/>
      <c r="WUK24" s="157"/>
      <c r="WUL24" s="157"/>
      <c r="WUM24" s="157"/>
      <c r="WUN24" s="157"/>
      <c r="WUO24" s="157"/>
      <c r="WUP24" s="157"/>
      <c r="WUQ24" s="157"/>
      <c r="WUR24" s="157"/>
      <c r="WUS24" s="157"/>
      <c r="WUT24" s="157"/>
      <c r="WUU24" s="157"/>
      <c r="WUV24" s="157"/>
      <c r="WUW24" s="157"/>
      <c r="WUX24" s="157"/>
      <c r="WUY24" s="157"/>
      <c r="WUZ24" s="157"/>
      <c r="WVA24" s="157"/>
      <c r="WVB24" s="157"/>
      <c r="WVC24" s="157"/>
      <c r="WVD24" s="157"/>
      <c r="WVE24" s="157"/>
      <c r="WVF24" s="157"/>
      <c r="WVG24" s="157"/>
      <c r="WVH24" s="157"/>
      <c r="WVI24" s="157"/>
      <c r="WVJ24" s="157"/>
      <c r="WVK24" s="157"/>
      <c r="WVL24" s="157"/>
      <c r="WVM24" s="157"/>
      <c r="WVN24" s="157"/>
      <c r="WVO24" s="157"/>
      <c r="WVP24" s="157"/>
      <c r="WVQ24" s="157"/>
      <c r="WVR24" s="157"/>
      <c r="WVS24" s="157"/>
      <c r="WVT24" s="157"/>
      <c r="WVU24" s="157"/>
      <c r="WVV24" s="157"/>
      <c r="WVW24" s="157"/>
      <c r="WVX24" s="157"/>
      <c r="WVY24" s="157"/>
      <c r="WVZ24" s="157"/>
      <c r="WWA24" s="157"/>
      <c r="WWB24" s="157"/>
      <c r="WWC24" s="157"/>
      <c r="WWD24" s="157"/>
      <c r="WWE24" s="157"/>
      <c r="WWF24" s="157"/>
      <c r="WWG24" s="157"/>
      <c r="WWH24" s="157"/>
      <c r="WWI24" s="157"/>
      <c r="WWJ24" s="157"/>
      <c r="WWK24" s="157"/>
      <c r="WWL24" s="157"/>
      <c r="WWM24" s="157"/>
      <c r="WWN24" s="157"/>
      <c r="WWO24" s="157"/>
      <c r="WWP24" s="157"/>
      <c r="WWQ24" s="157"/>
      <c r="WWR24" s="157"/>
      <c r="WWS24" s="157"/>
      <c r="WWT24" s="157"/>
      <c r="WWU24" s="157"/>
      <c r="WWV24" s="157"/>
      <c r="WWW24" s="157"/>
      <c r="WWX24" s="157"/>
      <c r="WWY24" s="157"/>
      <c r="WWZ24" s="157"/>
      <c r="WXA24" s="157"/>
      <c r="WXB24" s="157"/>
      <c r="WXC24" s="157"/>
      <c r="WXD24" s="157"/>
      <c r="WXE24" s="157"/>
      <c r="WXF24" s="157"/>
      <c r="WXG24" s="157"/>
      <c r="WXH24" s="157"/>
      <c r="WXI24" s="157"/>
      <c r="WXJ24" s="157"/>
      <c r="WXK24" s="157"/>
      <c r="WXL24" s="157"/>
      <c r="WXM24" s="157"/>
      <c r="WXN24" s="157"/>
      <c r="WXO24" s="157"/>
      <c r="WXP24" s="157"/>
      <c r="WXQ24" s="157"/>
      <c r="WXR24" s="157"/>
      <c r="WXS24" s="157"/>
      <c r="WXT24" s="157"/>
      <c r="WXU24" s="157"/>
      <c r="WXV24" s="157"/>
      <c r="WXW24" s="157"/>
      <c r="WXX24" s="157"/>
      <c r="WXY24" s="157"/>
      <c r="WXZ24" s="157"/>
      <c r="WYA24" s="157"/>
      <c r="WYB24" s="157"/>
      <c r="WYC24" s="157"/>
      <c r="WYD24" s="157"/>
      <c r="WYE24" s="157"/>
      <c r="WYF24" s="157"/>
      <c r="WYG24" s="157"/>
      <c r="WYH24" s="157"/>
      <c r="WYI24" s="157"/>
      <c r="WYJ24" s="157"/>
      <c r="WYK24" s="157"/>
      <c r="WYL24" s="157"/>
      <c r="WYM24" s="157"/>
      <c r="WYN24" s="157"/>
      <c r="WYO24" s="157"/>
      <c r="WYP24" s="157"/>
      <c r="WYQ24" s="157"/>
      <c r="WYR24" s="157"/>
      <c r="WYS24" s="157"/>
      <c r="WYT24" s="157"/>
      <c r="WYU24" s="157"/>
      <c r="WYV24" s="157"/>
      <c r="WYW24" s="157"/>
      <c r="WYX24" s="157"/>
      <c r="WYY24" s="157"/>
      <c r="WYZ24" s="157"/>
      <c r="WZA24" s="157"/>
      <c r="WZB24" s="157"/>
      <c r="WZC24" s="157"/>
      <c r="WZD24" s="157"/>
      <c r="WZE24" s="157"/>
      <c r="WZF24" s="157"/>
      <c r="WZG24" s="157"/>
      <c r="WZH24" s="157"/>
      <c r="WZI24" s="157"/>
      <c r="WZJ24" s="157"/>
      <c r="WZK24" s="157"/>
      <c r="WZL24" s="157"/>
      <c r="WZM24" s="157"/>
      <c r="WZN24" s="157"/>
      <c r="WZO24" s="157"/>
      <c r="WZP24" s="157"/>
      <c r="WZQ24" s="157"/>
      <c r="WZR24" s="157"/>
      <c r="WZS24" s="157"/>
      <c r="WZT24" s="157"/>
      <c r="WZU24" s="157"/>
      <c r="WZV24" s="157"/>
      <c r="WZW24" s="157"/>
      <c r="WZX24" s="157"/>
      <c r="WZY24" s="157"/>
      <c r="WZZ24" s="157"/>
      <c r="XAA24" s="157"/>
      <c r="XAB24" s="157"/>
      <c r="XAC24" s="157"/>
      <c r="XAD24" s="157"/>
      <c r="XAE24" s="157"/>
      <c r="XAF24" s="157"/>
      <c r="XAG24" s="157"/>
      <c r="XAH24" s="157"/>
      <c r="XAI24" s="157"/>
      <c r="XAJ24" s="157"/>
      <c r="XAK24" s="157"/>
      <c r="XAL24" s="157"/>
      <c r="XAM24" s="157"/>
      <c r="XAN24" s="157"/>
      <c r="XAO24" s="157"/>
      <c r="XAP24" s="157"/>
      <c r="XAQ24" s="157"/>
      <c r="XAR24" s="157"/>
      <c r="XAS24" s="157"/>
      <c r="XAT24" s="157"/>
      <c r="XAU24" s="157"/>
      <c r="XAV24" s="157"/>
      <c r="XAW24" s="157"/>
      <c r="XAX24" s="157"/>
      <c r="XAY24" s="157"/>
      <c r="XAZ24" s="157"/>
      <c r="XBA24" s="157"/>
      <c r="XBB24" s="157"/>
      <c r="XBC24" s="157"/>
      <c r="XBD24" s="157"/>
      <c r="XBE24" s="157"/>
      <c r="XBF24" s="157"/>
      <c r="XBG24" s="157"/>
      <c r="XBH24" s="157"/>
      <c r="XBI24" s="157"/>
      <c r="XBJ24" s="157"/>
      <c r="XBK24" s="157"/>
      <c r="XBL24" s="157"/>
      <c r="XBM24" s="157"/>
      <c r="XBN24" s="157"/>
      <c r="XBO24" s="157"/>
      <c r="XBP24" s="157"/>
      <c r="XBQ24" s="157"/>
      <c r="XBR24" s="157"/>
      <c r="XBS24" s="157"/>
      <c r="XBT24" s="157"/>
      <c r="XBU24" s="157"/>
      <c r="XBV24" s="157"/>
      <c r="XBW24" s="157"/>
      <c r="XBX24" s="157"/>
      <c r="XBY24" s="157"/>
      <c r="XBZ24" s="157"/>
      <c r="XCA24" s="157"/>
      <c r="XCB24" s="157"/>
      <c r="XCC24" s="157"/>
      <c r="XCD24" s="157"/>
      <c r="XCE24" s="157"/>
      <c r="XCF24" s="157"/>
      <c r="XCG24" s="157"/>
      <c r="XCH24" s="157"/>
      <c r="XCI24" s="157"/>
      <c r="XCJ24" s="157"/>
      <c r="XCK24" s="157"/>
      <c r="XCL24" s="157"/>
      <c r="XCM24" s="157"/>
      <c r="XCN24" s="157"/>
      <c r="XCO24" s="157"/>
      <c r="XCP24" s="157"/>
      <c r="XCQ24" s="157"/>
      <c r="XCR24" s="157"/>
      <c r="XCS24" s="157"/>
      <c r="XCT24" s="157"/>
      <c r="XCU24" s="157"/>
      <c r="XCV24" s="157"/>
      <c r="XCW24" s="157"/>
      <c r="XCX24" s="157"/>
      <c r="XCY24" s="157"/>
      <c r="XCZ24" s="157"/>
      <c r="XDA24" s="157"/>
      <c r="XDB24" s="157"/>
      <c r="XDC24" s="157"/>
      <c r="XDD24" s="157"/>
      <c r="XDE24" s="157"/>
      <c r="XDF24" s="157"/>
      <c r="XDG24" s="157"/>
      <c r="XDH24" s="157"/>
      <c r="XDI24" s="157"/>
      <c r="XDJ24" s="157"/>
      <c r="XDK24" s="157"/>
      <c r="XDL24" s="157"/>
      <c r="XDM24" s="157"/>
      <c r="XDN24" s="157"/>
      <c r="XDO24" s="157"/>
      <c r="XDP24" s="157"/>
      <c r="XDQ24" s="157"/>
      <c r="XDR24" s="157"/>
      <c r="XDS24" s="157"/>
      <c r="XDT24" s="157"/>
      <c r="XDU24" s="157"/>
      <c r="XDV24" s="157"/>
      <c r="XDW24" s="157"/>
      <c r="XDX24" s="157"/>
      <c r="XDY24" s="157"/>
      <c r="XDZ24" s="157"/>
      <c r="XEA24" s="157"/>
      <c r="XEB24" s="157"/>
      <c r="XEC24" s="157"/>
      <c r="XED24" s="157"/>
      <c r="XEE24" s="157"/>
      <c r="XEF24" s="157"/>
      <c r="XEG24" s="157"/>
      <c r="XEH24" s="157"/>
      <c r="XEI24" s="157"/>
      <c r="XEJ24" s="157"/>
      <c r="XEK24" s="157"/>
      <c r="XEL24" s="157"/>
      <c r="XEM24" s="157"/>
      <c r="XEN24" s="157"/>
      <c r="XEO24" s="157"/>
      <c r="XEP24" s="157"/>
      <c r="XEQ24" s="157"/>
      <c r="XER24" s="157"/>
      <c r="XES24" s="157"/>
      <c r="XET24" s="157"/>
      <c r="XEU24" s="157"/>
      <c r="XEV24" s="157"/>
      <c r="XEW24" s="157"/>
      <c r="XEX24" s="157"/>
      <c r="XEY24" s="157"/>
    </row>
    <row r="25" spans="1:16379" s="7" customFormat="1" x14ac:dyDescent="0.8">
      <c r="A25" s="288" t="s">
        <v>75</v>
      </c>
      <c r="B25" s="11">
        <v>-5608</v>
      </c>
      <c r="C25" s="11">
        <v>-3634</v>
      </c>
      <c r="D25" s="11">
        <v>-744</v>
      </c>
      <c r="E25" s="11">
        <v>5698</v>
      </c>
      <c r="F25" s="11">
        <v>2058</v>
      </c>
      <c r="G25" s="985">
        <v>-693</v>
      </c>
      <c r="H25" s="167">
        <f>'Balance Sheet '!H28-'Balance Sheet '!G28</f>
        <v>-5041.4217818767956</v>
      </c>
      <c r="I25" s="157">
        <f>'Balance Sheet '!I28-'Balance Sheet '!H28</f>
        <v>1210.906960479404</v>
      </c>
      <c r="J25" s="157">
        <f>'Balance Sheet '!J28-'Balance Sheet '!I28</f>
        <v>-562.85812601830185</v>
      </c>
      <c r="K25" s="157">
        <f>'Balance Sheet '!K28-'Balance Sheet '!J28</f>
        <v>229.59354091266869</v>
      </c>
      <c r="L25" s="157">
        <f>'Balance Sheet '!L28-'Balance Sheet '!K28</f>
        <v>-924.12973844756925</v>
      </c>
      <c r="M25" s="991">
        <f>'Balance Sheet '!M28-'Balance Sheet '!L28</f>
        <v>241.79013752228639</v>
      </c>
      <c r="N25" s="157">
        <f>'Balance Sheet '!N28-'Balance Sheet '!M28</f>
        <v>-2043.5948810887985</v>
      </c>
      <c r="O25" s="157">
        <f>'Balance Sheet '!O28-'Balance Sheet '!N28</f>
        <v>380.09590225333159</v>
      </c>
      <c r="P25" s="157">
        <f>'Balance Sheet '!P28-'Balance Sheet '!O28</f>
        <v>-1056.1868242229357</v>
      </c>
      <c r="Q25" s="157">
        <f>'Balance Sheet '!Q28-'Balance Sheet '!P28</f>
        <v>524.27962550262964</v>
      </c>
      <c r="R25" s="157">
        <f>'Balance Sheet '!R28-'Balance Sheet '!Q28</f>
        <v>-997.25535630653394</v>
      </c>
      <c r="S25" s="157">
        <f>'Balance Sheet '!S28-'Balance Sheet '!R28</f>
        <v>265.14978450925264</v>
      </c>
      <c r="T25" s="157">
        <f>'Balance Sheet '!T28-'Balance Sheet '!S28</f>
        <v>-692.04836481224447</v>
      </c>
      <c r="U25" s="157">
        <f>'Balance Sheet '!U28-'Balance Sheet '!T28</f>
        <v>194.28085640100835</v>
      </c>
      <c r="V25" s="157">
        <f>'Balance Sheet '!V28-'Balance Sheet '!U28</f>
        <v>-507.93342484867208</v>
      </c>
      <c r="W25" s="157">
        <f>'Balance Sheet '!W28-'Balance Sheet '!V28</f>
        <v>83.280464806748569</v>
      </c>
      <c r="X25" s="157">
        <f>'Balance Sheet '!X28-'Balance Sheet '!W28</f>
        <v>-388.57816495357292</v>
      </c>
      <c r="Y25" s="157">
        <f>'Balance Sheet '!Y28-'Balance Sheet '!X28</f>
        <v>-301.30215008469349</v>
      </c>
      <c r="Z25" s="157">
        <f>'Balance Sheet '!Z28-'Balance Sheet '!Y28</f>
        <v>-426.76655556482365</v>
      </c>
      <c r="AA25" s="157">
        <f>'Balance Sheet '!AA28-'Balance Sheet '!Z28</f>
        <v>-262.25912515369237</v>
      </c>
      <c r="AB25" s="157">
        <f>'Balance Sheet '!AB28-'Balance Sheet '!AA28</f>
        <v>-382.94857825606232</v>
      </c>
      <c r="AC25" s="157">
        <f>'Balance Sheet '!AC28-'Balance Sheet '!AB28</f>
        <v>-321.61390114960523</v>
      </c>
      <c r="AD25" s="157">
        <f>'Balance Sheet '!AD28-'Balance Sheet '!AC28</f>
        <v>-343.52513418845228</v>
      </c>
      <c r="AE25" s="157">
        <f>'Balance Sheet '!AE28-'Balance Sheet '!AD28</f>
        <v>-299.43596070265812</v>
      </c>
      <c r="AF25" s="157">
        <f>'Balance Sheet '!AF28-'Balance Sheet '!AE28</f>
        <v>-309.72731949312401</v>
      </c>
      <c r="AG25" s="157">
        <f>'Balance Sheet '!AG28-'Balance Sheet '!AF28</f>
        <v>-277.24890519611472</v>
      </c>
      <c r="AH25" s="157">
        <f>'Balance Sheet '!AH28-'Balance Sheet '!AG28</f>
        <v>-265.54096783544082</v>
      </c>
      <c r="AI25" s="157">
        <f>'Balance Sheet '!AI28-'Balance Sheet '!AH28</f>
        <v>-252.86662036003327</v>
      </c>
      <c r="AJ25" s="157">
        <f>'Balance Sheet '!AJ28-'Balance Sheet '!AI28</f>
        <v>-242.13381647300594</v>
      </c>
      <c r="AK25" s="157">
        <f>'Balance Sheet '!AK28-'Balance Sheet '!AJ28</f>
        <v>-230.80417502081764</v>
      </c>
      <c r="AL25" s="157">
        <f>'Balance Sheet '!AL28-'Balance Sheet '!AK28</f>
        <v>-220.92205116504556</v>
      </c>
      <c r="AM25" s="157">
        <f>'Balance Sheet '!AM28-'Balance Sheet '!AL28</f>
        <v>-210.75479671379162</v>
      </c>
      <c r="AN25" s="157">
        <f>'Balance Sheet '!AN28-'Balance Sheet '!AM28</f>
        <v>-201.68689301147697</v>
      </c>
      <c r="AO25" s="315">
        <f>'Balance Sheet '!AO28-'Balance Sheet '!AN28</f>
        <v>-192.53432545146643</v>
      </c>
    </row>
    <row r="26" spans="1:16379" s="7" customFormat="1" x14ac:dyDescent="0.8">
      <c r="A26" s="288" t="s">
        <v>21</v>
      </c>
      <c r="B26" s="11">
        <v>-578</v>
      </c>
      <c r="C26" s="11">
        <v>-602</v>
      </c>
      <c r="D26" s="11">
        <v>-626</v>
      </c>
      <c r="E26" s="11">
        <v>-907</v>
      </c>
      <c r="F26" s="11">
        <v>-1414</v>
      </c>
      <c r="G26" s="985">
        <v>-1153</v>
      </c>
      <c r="H26" s="167">
        <f>'Balance Sheet '!H32-'Balance Sheet '!G32</f>
        <v>-1439.1028312482904</v>
      </c>
      <c r="I26" s="157">
        <f>'Balance Sheet '!I32-'Balance Sheet '!H32</f>
        <v>1406.8146080971455</v>
      </c>
      <c r="J26" s="157">
        <f>'Balance Sheet '!J32-'Balance Sheet '!I32</f>
        <v>-237.56077384543823</v>
      </c>
      <c r="K26" s="157">
        <f>'Balance Sheet '!K32-'Balance Sheet '!J32</f>
        <v>506.70852231001663</v>
      </c>
      <c r="L26" s="157">
        <f>'Balance Sheet '!L32-'Balance Sheet '!K32</f>
        <v>-621.69026073549867</v>
      </c>
      <c r="M26" s="991">
        <f>'Balance Sheet '!M32-'Balance Sheet '!L32</f>
        <v>510.34494415527115</v>
      </c>
      <c r="N26" s="157">
        <f>'Balance Sheet '!N32-'Balance Sheet '!M32</f>
        <v>-1811.6514385368919</v>
      </c>
      <c r="O26" s="157">
        <f>'Balance Sheet '!O32-'Balance Sheet '!N32</f>
        <v>385.91802852642468</v>
      </c>
      <c r="P26" s="157">
        <f>'Balance Sheet '!P32-'Balance Sheet '!O32</f>
        <v>-1072.3649861608756</v>
      </c>
      <c r="Q26" s="157">
        <f>'Balance Sheet '!Q32-'Balance Sheet '!P32</f>
        <v>268.86838797779274</v>
      </c>
      <c r="R26" s="157">
        <f>'Balance Sheet '!R32-'Balance Sheet '!Q32</f>
        <v>-1081.3532911447091</v>
      </c>
      <c r="S26" s="157">
        <f>'Balance Sheet '!S32-'Balance Sheet '!R32</f>
        <v>178.53708352943795</v>
      </c>
      <c r="T26" s="157">
        <f>'Balance Sheet '!T32-'Balance Sheet '!S32</f>
        <v>-756.27957175120719</v>
      </c>
      <c r="U26" s="157">
        <f>'Balance Sheet '!U32-'Balance Sheet '!T32</f>
        <v>117.84388463881987</v>
      </c>
      <c r="V26" s="157">
        <f>'Balance Sheet '!V32-'Balance Sheet '!U32</f>
        <v>-559.57408162663705</v>
      </c>
      <c r="W26" s="157">
        <f>'Balance Sheet '!W32-'Balance Sheet '!V32</f>
        <v>18.194554949759549</v>
      </c>
      <c r="X26" s="157">
        <f>'Balance Sheet '!X32-'Balance Sheet '!W32</f>
        <v>-431.11759110733692</v>
      </c>
      <c r="Y26" s="157">
        <f>'Balance Sheet '!Y32-'Balance Sheet '!X32</f>
        <v>-341.26892307320486</v>
      </c>
      <c r="Z26" s="157">
        <f>'Balance Sheet '!Z32-'Balance Sheet '!Y32</f>
        <v>-406.84078068869894</v>
      </c>
      <c r="AA26" s="157">
        <f>'Balance Sheet '!AA32-'Balance Sheet '!Z32</f>
        <v>-324.33386068236359</v>
      </c>
      <c r="AB26" s="157">
        <f>'Balance Sheet '!AB32-'Balance Sheet '!AA32</f>
        <v>-362.53095263048453</v>
      </c>
      <c r="AC26" s="157">
        <f>'Balance Sheet '!AC32-'Balance Sheet '!AB32</f>
        <v>-304.46644950072186</v>
      </c>
      <c r="AD26" s="157">
        <f>'Balance Sheet '!AD32-'Balance Sheet '!AC32</f>
        <v>-325.20944382924608</v>
      </c>
      <c r="AE26" s="157">
        <f>'Balance Sheet '!AE32-'Balance Sheet '!AD32</f>
        <v>-283.47096777252591</v>
      </c>
      <c r="AF26" s="157">
        <f>'Balance Sheet '!AF32-'Balance Sheet '!AE32</f>
        <v>-293.21362336132734</v>
      </c>
      <c r="AG26" s="157">
        <f>'Balance Sheet '!AG32-'Balance Sheet '!AF32</f>
        <v>-262.46685697132489</v>
      </c>
      <c r="AH26" s="157">
        <f>'Balance Sheet '!AH32-'Balance Sheet '!AG32</f>
        <v>-251.38315037021312</v>
      </c>
      <c r="AI26" s="157">
        <f>'Balance Sheet '!AI32-'Balance Sheet '!AH32</f>
        <v>-239.38455963212073</v>
      </c>
      <c r="AJ26" s="157">
        <f>'Balance Sheet '!AJ32-'Balance Sheet '!AI32</f>
        <v>-229.2239954245706</v>
      </c>
      <c r="AK26" s="157">
        <f>'Balance Sheet '!AK32-'Balance Sheet '!AJ32</f>
        <v>-218.49841517218192</v>
      </c>
      <c r="AL26" s="157">
        <f>'Balance Sheet '!AL32-'Balance Sheet '!AK32</f>
        <v>-209.14317538578416</v>
      </c>
      <c r="AM26" s="157">
        <f>'Balance Sheet '!AM32-'Balance Sheet '!AL32</f>
        <v>-199.51800727931186</v>
      </c>
      <c r="AN26" s="157">
        <f>'Balance Sheet '!AN32-'Balance Sheet '!AM32</f>
        <v>-190.93357596340866</v>
      </c>
      <c r="AO26" s="315">
        <f>'Balance Sheet '!AO32-'Balance Sheet '!AN32</f>
        <v>-182.26899480304655</v>
      </c>
    </row>
    <row r="27" spans="1:16379" s="7" customFormat="1" ht="16.75" thickBot="1" x14ac:dyDescent="0.95">
      <c r="A27" s="958" t="s">
        <v>76</v>
      </c>
      <c r="B27" s="959">
        <f t="shared" ref="B27:AO27" si="0">B6+SUM(B7:B26)</f>
        <v>33867</v>
      </c>
      <c r="C27" s="959">
        <f t="shared" si="0"/>
        <v>44446</v>
      </c>
      <c r="D27" s="959">
        <f t="shared" si="0"/>
        <v>31637</v>
      </c>
      <c r="E27" s="959">
        <f t="shared" si="0"/>
        <v>19329</v>
      </c>
      <c r="F27" s="959">
        <f t="shared" si="0"/>
        <v>48194</v>
      </c>
      <c r="G27" s="992">
        <f t="shared" si="0"/>
        <v>29593</v>
      </c>
      <c r="H27" s="959">
        <f t="shared" si="0"/>
        <v>51805.003728965647</v>
      </c>
      <c r="I27" s="959">
        <f t="shared" si="0"/>
        <v>30986.596893577567</v>
      </c>
      <c r="J27" s="959">
        <f t="shared" si="0"/>
        <v>49665.016170898394</v>
      </c>
      <c r="K27" s="959">
        <f t="shared" si="0"/>
        <v>43100.347112995078</v>
      </c>
      <c r="L27" s="959">
        <f t="shared" si="0"/>
        <v>38398.028354147675</v>
      </c>
      <c r="M27" s="992">
        <f t="shared" si="0"/>
        <v>52944.604916856209</v>
      </c>
      <c r="N27" s="959">
        <f t="shared" si="0"/>
        <v>35330.609029958941</v>
      </c>
      <c r="O27" s="959">
        <f t="shared" si="0"/>
        <v>44922.048922803115</v>
      </c>
      <c r="P27" s="959">
        <f t="shared" si="0"/>
        <v>34887.794209749933</v>
      </c>
      <c r="Q27" s="959">
        <f t="shared" si="0"/>
        <v>37374.610730463341</v>
      </c>
      <c r="R27" s="959">
        <f t="shared" si="0"/>
        <v>32740.258843157957</v>
      </c>
      <c r="S27" s="959">
        <f t="shared" si="0"/>
        <v>36036.923674528109</v>
      </c>
      <c r="T27" s="959">
        <f t="shared" si="0"/>
        <v>31450.161164428857</v>
      </c>
      <c r="U27" s="959">
        <f t="shared" si="0"/>
        <v>32349.380134090821</v>
      </c>
      <c r="V27" s="959">
        <f t="shared" si="0"/>
        <v>28240.972880456939</v>
      </c>
      <c r="W27" s="959">
        <f t="shared" si="0"/>
        <v>28813.57645710653</v>
      </c>
      <c r="X27" s="959">
        <f t="shared" si="0"/>
        <v>25114.971850997135</v>
      </c>
      <c r="Y27" s="959">
        <f t="shared" si="0"/>
        <v>23644.209517459039</v>
      </c>
      <c r="Z27" s="959">
        <f t="shared" si="0"/>
        <v>22289.988549110953</v>
      </c>
      <c r="AA27" s="959">
        <f t="shared" si="0"/>
        <v>20732.300467737885</v>
      </c>
      <c r="AB27" s="959">
        <f t="shared" si="0"/>
        <v>19221.010711515766</v>
      </c>
      <c r="AC27" s="959">
        <f t="shared" si="0"/>
        <v>18148.027684211942</v>
      </c>
      <c r="AD27" s="959">
        <f t="shared" si="0"/>
        <v>17038.807185167549</v>
      </c>
      <c r="AE27" s="959">
        <f t="shared" si="0"/>
        <v>16204.801660934223</v>
      </c>
      <c r="AF27" s="959">
        <f t="shared" si="0"/>
        <v>15378.826527646252</v>
      </c>
      <c r="AG27" s="959">
        <f t="shared" si="0"/>
        <v>14719.031168857742</v>
      </c>
      <c r="AH27" s="959">
        <f t="shared" si="0"/>
        <v>14091.009723465988</v>
      </c>
      <c r="AI27" s="959">
        <f t="shared" si="0"/>
        <v>13575.031455570585</v>
      </c>
      <c r="AJ27" s="959">
        <f t="shared" si="0"/>
        <v>13192.154184994806</v>
      </c>
      <c r="AK27" s="959">
        <f t="shared" si="0"/>
        <v>12850.699432205447</v>
      </c>
      <c r="AL27" s="959">
        <f t="shared" si="0"/>
        <v>12522.467269199098</v>
      </c>
      <c r="AM27" s="959">
        <f t="shared" si="0"/>
        <v>12210.463478275593</v>
      </c>
      <c r="AN27" s="959">
        <f t="shared" si="0"/>
        <v>11910.921239781079</v>
      </c>
      <c r="AO27" s="960">
        <f t="shared" si="0"/>
        <v>11625.712852983299</v>
      </c>
    </row>
    <row r="28" spans="1:16379" x14ac:dyDescent="0.8">
      <c r="A28" s="951"/>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row>
    <row r="29" spans="1:16379" ht="19.25" thickBot="1" x14ac:dyDescent="1.05">
      <c r="A29" s="977" t="s">
        <v>78</v>
      </c>
      <c r="B29" s="11"/>
      <c r="C29" s="11"/>
      <c r="D29" s="11"/>
      <c r="E29" s="11"/>
      <c r="F29" s="11"/>
      <c r="G29" s="11"/>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row>
    <row r="30" spans="1:16379" x14ac:dyDescent="0.8">
      <c r="A30" s="953" t="s">
        <v>79</v>
      </c>
      <c r="B30" s="964">
        <v>220</v>
      </c>
      <c r="C30" s="964">
        <v>84</v>
      </c>
      <c r="D30" s="964">
        <v>195</v>
      </c>
      <c r="E30" s="964">
        <v>-23</v>
      </c>
      <c r="F30" s="964">
        <v>71</v>
      </c>
      <c r="G30" s="993">
        <v>88</v>
      </c>
      <c r="H30" s="964">
        <v>0</v>
      </c>
      <c r="I30" s="964">
        <v>0</v>
      </c>
      <c r="J30" s="964">
        <v>0</v>
      </c>
      <c r="K30" s="964">
        <v>0</v>
      </c>
      <c r="L30" s="964">
        <v>0</v>
      </c>
      <c r="M30" s="993">
        <v>0</v>
      </c>
      <c r="N30" s="964">
        <v>0</v>
      </c>
      <c r="O30" s="964">
        <v>0</v>
      </c>
      <c r="P30" s="964">
        <v>0</v>
      </c>
      <c r="Q30" s="964">
        <v>0</v>
      </c>
      <c r="R30" s="964">
        <v>0</v>
      </c>
      <c r="S30" s="964">
        <v>0</v>
      </c>
      <c r="T30" s="964">
        <v>0</v>
      </c>
      <c r="U30" s="964">
        <v>0</v>
      </c>
      <c r="V30" s="964">
        <v>0</v>
      </c>
      <c r="W30" s="964">
        <v>0</v>
      </c>
      <c r="X30" s="964">
        <v>0</v>
      </c>
      <c r="Y30" s="964">
        <v>0</v>
      </c>
      <c r="Z30" s="964">
        <v>0</v>
      </c>
      <c r="AA30" s="964">
        <v>0</v>
      </c>
      <c r="AB30" s="964">
        <v>0</v>
      </c>
      <c r="AC30" s="964">
        <v>0</v>
      </c>
      <c r="AD30" s="964">
        <v>0</v>
      </c>
      <c r="AE30" s="964">
        <v>0</v>
      </c>
      <c r="AF30" s="964">
        <v>0</v>
      </c>
      <c r="AG30" s="964">
        <v>0</v>
      </c>
      <c r="AH30" s="964">
        <v>0</v>
      </c>
      <c r="AI30" s="964">
        <v>0</v>
      </c>
      <c r="AJ30" s="964">
        <v>0</v>
      </c>
      <c r="AK30" s="964">
        <v>0</v>
      </c>
      <c r="AL30" s="964">
        <v>0</v>
      </c>
      <c r="AM30" s="964">
        <v>0</v>
      </c>
      <c r="AN30" s="964">
        <v>0</v>
      </c>
      <c r="AO30" s="965">
        <v>0</v>
      </c>
    </row>
    <row r="31" spans="1:16379" x14ac:dyDescent="0.8">
      <c r="A31" s="929" t="s">
        <v>101</v>
      </c>
      <c r="B31" s="966">
        <v>0</v>
      </c>
      <c r="C31" s="966">
        <v>0</v>
      </c>
      <c r="D31" s="966">
        <v>0</v>
      </c>
      <c r="E31" s="966">
        <v>-20000</v>
      </c>
      <c r="F31" s="966">
        <v>-2297</v>
      </c>
      <c r="G31" s="994">
        <v>-14571</v>
      </c>
      <c r="H31" s="967">
        <f>-'Intangibles Schedule'!I6-'Acquisition Schedule'!H23</f>
        <v>-11962.28456579</v>
      </c>
      <c r="I31" s="968">
        <f>-'Intangibles Schedule'!J6-'Acquisition Schedule'!I23</f>
        <v>-2618.8334677219877</v>
      </c>
      <c r="J31" s="968">
        <f>-'Intangibles Schedule'!K6-'Acquisition Schedule'!J23</f>
        <v>-15483.639286314337</v>
      </c>
      <c r="K31" s="968">
        <f>-'Intangibles Schedule'!L6-'Acquisition Schedule'!K23</f>
        <v>-1331.0715914432867</v>
      </c>
      <c r="L31" s="968">
        <f>-'Intangibles Schedule'!M6-'Acquisition Schedule'!L23</f>
        <v>-6405.2608612286967</v>
      </c>
      <c r="M31" s="999">
        <f>-'Intangibles Schedule'!N6-'Acquisition Schedule'!M23</f>
        <v>0</v>
      </c>
      <c r="N31" s="968">
        <f>-'Intangibles Schedule'!O6-'Acquisition Schedule'!N23</f>
        <v>-2352.7055516908354</v>
      </c>
      <c r="O31" s="968">
        <f>-'Intangibles Schedule'!P6-'Acquisition Schedule'!O23</f>
        <v>-2414.8052719660645</v>
      </c>
      <c r="P31" s="968">
        <f>-'Intangibles Schedule'!Q6-'Acquisition Schedule'!P23</f>
        <v>-2242.2464362780333</v>
      </c>
      <c r="Q31" s="968">
        <f>-'Intangibles Schedule'!R6-'Acquisition Schedule'!Q23</f>
        <v>-2285.5111983520587</v>
      </c>
      <c r="R31" s="968">
        <f>-'Intangibles Schedule'!S6-'Acquisition Schedule'!R23</f>
        <v>-2111.5060160723019</v>
      </c>
      <c r="S31" s="968">
        <f>-'Intangibles Schedule'!T6-'Acquisition Schedule'!S23</f>
        <v>-2140.2351816629016</v>
      </c>
      <c r="T31" s="968">
        <f>-'Intangibles Schedule'!U6-'Acquisition Schedule'!T23</f>
        <v>-2018.5390016866813</v>
      </c>
      <c r="U31" s="968">
        <f>-'Intangibles Schedule'!V6-'Acquisition Schedule'!U23</f>
        <v>-2037.5017651008707</v>
      </c>
      <c r="V31" s="968">
        <f>-'Intangibles Schedule'!W6-'Acquisition Schedule'!V23</f>
        <v>-1947.4583067142071</v>
      </c>
      <c r="W31" s="968">
        <f>-'Intangibles Schedule'!X6-'Acquisition Schedule'!W23</f>
        <v>-1950.3860703567261</v>
      </c>
      <c r="X31" s="968">
        <f>-'Intangibles Schedule'!Y6-'Acquisition Schedule'!X23</f>
        <v>-1881.0130951792707</v>
      </c>
      <c r="Y31" s="968">
        <f>-'Intangibles Schedule'!Z6-'Acquisition Schedule'!Y23</f>
        <v>-1826.0980533959262</v>
      </c>
      <c r="Z31" s="968">
        <f>-'Intangibles Schedule'!AA6-'Acquisition Schedule'!Z23</f>
        <v>-1760.6315635980957</v>
      </c>
      <c r="AA31" s="968">
        <f>-'Intangibles Schedule'!AB6-'Acquisition Schedule'!AA23</f>
        <v>-1708.4416151236342</v>
      </c>
      <c r="AB31" s="968">
        <f>-'Intangibles Schedule'!AC6-'Acquisition Schedule'!AB23</f>
        <v>-1650.1052092412024</v>
      </c>
      <c r="AC31" s="968">
        <f>-'Intangibles Schedule'!AD6-'Acquisition Schedule'!AC23</f>
        <v>-1601.1122108591837</v>
      </c>
      <c r="AD31" s="968">
        <f>-'Intangibles Schedule'!AE6-'Acquisition Schedule'!AD23</f>
        <v>-1548.7813685562924</v>
      </c>
      <c r="AE31" s="968">
        <f>-'Intangibles Schedule'!AF6-'Acquisition Schedule'!AE23</f>
        <v>-1503.1668429223414</v>
      </c>
      <c r="AF31" s="968">
        <f>-'Intangibles Schedule'!AG6-'Acquisition Schedule'!AF23</f>
        <v>-1455.9845849149835</v>
      </c>
      <c r="AG31" s="968">
        <f>-'Intangibles Schedule'!AH6-'Acquisition Schedule'!AG23</f>
        <v>-1413.7499205701386</v>
      </c>
      <c r="AH31" s="968">
        <f>-'Intangibles Schedule'!AI6-'Acquisition Schedule'!AH23</f>
        <v>-1373.2987828518417</v>
      </c>
      <c r="AI31" s="968">
        <f>-'Intangibles Schedule'!AJ6-'Acquisition Schedule'!AI23</f>
        <v>-1334.7783896789019</v>
      </c>
      <c r="AJ31" s="968">
        <f>-'Intangibles Schedule'!AK6-'Acquisition Schedule'!AJ23</f>
        <v>-1297.8929763423196</v>
      </c>
      <c r="AK31" s="968">
        <f>-'Intangibles Schedule'!AL6-'Acquisition Schedule'!AK23</f>
        <v>-1262.7334619900525</v>
      </c>
      <c r="AL31" s="968">
        <f>-'Intangibles Schedule'!AM6-'Acquisition Schedule'!AL23</f>
        <v>-1229.0793392777184</v>
      </c>
      <c r="AM31" s="968">
        <f>-'Intangibles Schedule'!AN6-'Acquisition Schedule'!AM23</f>
        <v>-1196.9740435255972</v>
      </c>
      <c r="AN31" s="968">
        <f>-'Intangibles Schedule'!AO6-'Acquisition Schedule'!AN23</f>
        <v>-1166.2501053262058</v>
      </c>
      <c r="AO31" s="969">
        <f>-'Intangibles Schedule'!AP6-'Acquisition Schedule'!AO23</f>
        <v>-1136.9204219337616</v>
      </c>
    </row>
    <row r="32" spans="1:16379" x14ac:dyDescent="0.8">
      <c r="A32" s="219" t="s">
        <v>80</v>
      </c>
      <c r="B32" s="966">
        <v>-561</v>
      </c>
      <c r="C32" s="966">
        <v>-1048</v>
      </c>
      <c r="D32" s="966">
        <v>-4538</v>
      </c>
      <c r="E32" s="966">
        <v>0</v>
      </c>
      <c r="F32" s="966">
        <v>-5887</v>
      </c>
      <c r="G32" s="994">
        <v>-629</v>
      </c>
      <c r="H32" s="970"/>
      <c r="I32" s="248"/>
      <c r="J32" s="248"/>
      <c r="K32" s="248"/>
      <c r="L32" s="248"/>
      <c r="M32" s="1000"/>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971"/>
    </row>
    <row r="33" spans="1:41" x14ac:dyDescent="0.8">
      <c r="A33" s="219" t="s">
        <v>81</v>
      </c>
      <c r="B33" s="966">
        <v>-8855</v>
      </c>
      <c r="C33" s="966">
        <v>-11842</v>
      </c>
      <c r="D33" s="966">
        <v>-7192</v>
      </c>
      <c r="E33" s="966">
        <v>-7623</v>
      </c>
      <c r="F33" s="966">
        <v>-7018</v>
      </c>
      <c r="G33" s="994">
        <v>-7110</v>
      </c>
      <c r="H33" s="972">
        <f>-'Fixed Asset Schedule'!L41</f>
        <v>-35182.399999999987</v>
      </c>
      <c r="I33" s="966">
        <f>-'Fixed Asset Schedule'!M41</f>
        <v>-10554.719999999994</v>
      </c>
      <c r="J33" s="966">
        <f>-'Fixed Asset Schedule'!N41</f>
        <v>-44329.823999999979</v>
      </c>
      <c r="K33" s="966">
        <f>-'Fixed Asset Schedule'!O41</f>
        <v>-10639.157760000038</v>
      </c>
      <c r="L33" s="966">
        <f>-'Fixed Asset Schedule'!P41</f>
        <v>-55323.620351999998</v>
      </c>
      <c r="M33" s="994">
        <f>-'Fixed Asset Schedule'!Q41</f>
        <v>-29874.754990080033</v>
      </c>
      <c r="N33" s="966">
        <f>-'Fixed Asset Schedule'!R41</f>
        <v>-29307.13464526847</v>
      </c>
      <c r="O33" s="966">
        <f>-'Fixed Asset Schedule'!S41</f>
        <v>-28512.911296381706</v>
      </c>
      <c r="P33" s="966">
        <f>-'Fixed Asset Schedule'!T41</f>
        <v>-27532.352276899099</v>
      </c>
      <c r="Q33" s="966">
        <f>-'Fixed Asset Schedule'!U41</f>
        <v>-26404.874918807778</v>
      </c>
      <c r="R33" s="966">
        <f>-'Fixed Asset Schedule'!V41</f>
        <v>-25167.650740099612</v>
      </c>
      <c r="S33" s="966">
        <f>-'Fixed Asset Schedule'!W41</f>
        <v>-23854.646599016894</v>
      </c>
      <c r="T33" s="966">
        <f>-'Fixed Asset Schedule'!X41</f>
        <v>-22496.046255816811</v>
      </c>
      <c r="U33" s="966">
        <f>-'Fixed Asset Schedule'!Y41</f>
        <v>-18771.54182607515</v>
      </c>
      <c r="V33" s="966">
        <f>-'Fixed Asset Schedule'!Z41</f>
        <v>-15534.387588045311</v>
      </c>
      <c r="W33" s="966">
        <f>-'Fixed Asset Schedule'!AA41</f>
        <v>-12769.886748021381</v>
      </c>
      <c r="X33" s="966">
        <f>-'Fixed Asset Schedule'!AB41</f>
        <v>-10441.067236054201</v>
      </c>
      <c r="Y33" s="966">
        <f>-'Fixed Asset Schedule'!AC41</f>
        <v>-8500.1307799635779</v>
      </c>
      <c r="Z33" s="966">
        <f>-'Fixed Asset Schedule'!AD41</f>
        <v>-6896.0238366029134</v>
      </c>
      <c r="AA33" s="966">
        <f>-'Fixed Asset Schedule'!AE41</f>
        <v>-33.990282251650569</v>
      </c>
      <c r="AB33" s="966">
        <f>-'Fixed Asset Schedule'!AF41</f>
        <v>-33.992151717180604</v>
      </c>
      <c r="AC33" s="966">
        <f>-'Fixed Asset Schedule'!AG41</f>
        <v>-33.994021285513554</v>
      </c>
      <c r="AD33" s="966">
        <f>-'Fixed Asset Schedule'!AH41</f>
        <v>-33.995890956768562</v>
      </c>
      <c r="AE33" s="966">
        <f>-'Fixed Asset Schedule'!AI41</f>
        <v>-33.997760730650953</v>
      </c>
      <c r="AF33" s="966">
        <f>-'Fixed Asset Schedule'!AJ41</f>
        <v>-33.999630607543622</v>
      </c>
      <c r="AG33" s="966">
        <f>-'Fixed Asset Schedule'!AK41</f>
        <v>-34.001500587239207</v>
      </c>
      <c r="AH33" s="966">
        <f>-'Fixed Asset Schedule'!AL41</f>
        <v>-34.003370669770447</v>
      </c>
      <c r="AI33" s="966">
        <f>-'Fixed Asset Schedule'!AM41</f>
        <v>-34.00524085516372</v>
      </c>
      <c r="AJ33" s="966">
        <f>-'Fixed Asset Schedule'!AN41</f>
        <v>-34.007111143449038</v>
      </c>
      <c r="AK33" s="966">
        <f>-'Fixed Asset Schedule'!AO41</f>
        <v>-34.008981534479972</v>
      </c>
      <c r="AL33" s="966">
        <f>-'Fixed Asset Schedule'!AP41</f>
        <v>-34.010852028520276</v>
      </c>
      <c r="AM33" s="966">
        <f>-'Fixed Asset Schedule'!AQ41</f>
        <v>-34.012722625395327</v>
      </c>
      <c r="AN33" s="966">
        <f>-'Fixed Asset Schedule'!AR41</f>
        <v>-34.014593325073292</v>
      </c>
      <c r="AO33" s="973">
        <f>-'Fixed Asset Schedule'!AS41</f>
        <v>-34.01646412770242</v>
      </c>
    </row>
    <row r="34" spans="1:41" x14ac:dyDescent="0.8">
      <c r="A34" s="219" t="s">
        <v>354</v>
      </c>
      <c r="B34" s="966">
        <v>255</v>
      </c>
      <c r="C34" s="966">
        <v>431</v>
      </c>
      <c r="D34" s="966">
        <v>453</v>
      </c>
      <c r="E34" s="966">
        <v>512</v>
      </c>
      <c r="F34" s="966">
        <v>54</v>
      </c>
      <c r="G34" s="994">
        <v>26</v>
      </c>
      <c r="H34" s="972">
        <f>'Balance Sheet '!G20</f>
        <v>13762</v>
      </c>
      <c r="I34" s="966">
        <v>0</v>
      </c>
      <c r="J34" s="966">
        <v>0</v>
      </c>
      <c r="K34" s="966">
        <v>0</v>
      </c>
      <c r="L34" s="966">
        <v>0</v>
      </c>
      <c r="M34" s="994">
        <v>0</v>
      </c>
      <c r="N34" s="966">
        <v>0</v>
      </c>
      <c r="O34" s="966">
        <v>0</v>
      </c>
      <c r="P34" s="966">
        <v>0</v>
      </c>
      <c r="Q34" s="966">
        <v>0</v>
      </c>
      <c r="R34" s="966">
        <v>0</v>
      </c>
      <c r="S34" s="966">
        <v>0</v>
      </c>
      <c r="T34" s="966">
        <v>0</v>
      </c>
      <c r="U34" s="966">
        <v>0</v>
      </c>
      <c r="V34" s="966">
        <v>0</v>
      </c>
      <c r="W34" s="966">
        <v>0</v>
      </c>
      <c r="X34" s="966">
        <v>0</v>
      </c>
      <c r="Y34" s="966">
        <v>0</v>
      </c>
      <c r="Z34" s="966">
        <v>0</v>
      </c>
      <c r="AA34" s="966">
        <v>0</v>
      </c>
      <c r="AB34" s="966">
        <v>0</v>
      </c>
      <c r="AC34" s="966">
        <v>0</v>
      </c>
      <c r="AD34" s="966">
        <v>0</v>
      </c>
      <c r="AE34" s="966">
        <v>0</v>
      </c>
      <c r="AF34" s="966">
        <v>0</v>
      </c>
      <c r="AG34" s="966">
        <v>0</v>
      </c>
      <c r="AH34" s="966">
        <v>0</v>
      </c>
      <c r="AI34" s="966">
        <v>0</v>
      </c>
      <c r="AJ34" s="966">
        <v>0</v>
      </c>
      <c r="AK34" s="966">
        <v>0</v>
      </c>
      <c r="AL34" s="966">
        <v>0</v>
      </c>
      <c r="AM34" s="966">
        <v>0</v>
      </c>
      <c r="AN34" s="966">
        <v>0</v>
      </c>
      <c r="AO34" s="973">
        <v>0</v>
      </c>
    </row>
    <row r="35" spans="1:41" ht="16.75" thickBot="1" x14ac:dyDescent="0.95">
      <c r="A35" s="1006" t="s">
        <v>82</v>
      </c>
      <c r="B35" s="1007">
        <f>SUM(B30:B34)</f>
        <v>-8941</v>
      </c>
      <c r="C35" s="1007">
        <f>SUM(C30:C34)</f>
        <v>-12375</v>
      </c>
      <c r="D35" s="1007">
        <f t="shared" ref="D35:AO35" si="1">SUM(D30:D34)</f>
        <v>-11082</v>
      </c>
      <c r="E35" s="1007">
        <f t="shared" si="1"/>
        <v>-27134</v>
      </c>
      <c r="F35" s="1007">
        <f t="shared" si="1"/>
        <v>-15077</v>
      </c>
      <c r="G35" s="1008">
        <f t="shared" si="1"/>
        <v>-22196</v>
      </c>
      <c r="H35" s="1007">
        <f t="shared" si="1"/>
        <v>-33382.684565789983</v>
      </c>
      <c r="I35" s="1007">
        <f t="shared" si="1"/>
        <v>-13173.553467721982</v>
      </c>
      <c r="J35" s="1007">
        <f t="shared" si="1"/>
        <v>-59813.46328631432</v>
      </c>
      <c r="K35" s="1007">
        <f t="shared" si="1"/>
        <v>-11970.229351443326</v>
      </c>
      <c r="L35" s="1007">
        <f t="shared" si="1"/>
        <v>-61728.881213228698</v>
      </c>
      <c r="M35" s="1008">
        <f t="shared" si="1"/>
        <v>-29874.754990080033</v>
      </c>
      <c r="N35" s="1007">
        <f t="shared" si="1"/>
        <v>-31659.840196959307</v>
      </c>
      <c r="O35" s="1007">
        <f t="shared" si="1"/>
        <v>-30927.716568347772</v>
      </c>
      <c r="P35" s="1007">
        <f t="shared" si="1"/>
        <v>-29774.598713177133</v>
      </c>
      <c r="Q35" s="1007">
        <f t="shared" si="1"/>
        <v>-28690.386117159836</v>
      </c>
      <c r="R35" s="1007">
        <f t="shared" si="1"/>
        <v>-27279.156756171913</v>
      </c>
      <c r="S35" s="1007">
        <f t="shared" si="1"/>
        <v>-25994.881780679796</v>
      </c>
      <c r="T35" s="1007">
        <f t="shared" si="1"/>
        <v>-24514.585257503491</v>
      </c>
      <c r="U35" s="1007">
        <f t="shared" si="1"/>
        <v>-20809.043591176021</v>
      </c>
      <c r="V35" s="1007">
        <f t="shared" si="1"/>
        <v>-17481.845894759517</v>
      </c>
      <c r="W35" s="1007">
        <f t="shared" si="1"/>
        <v>-14720.272818378107</v>
      </c>
      <c r="X35" s="1007">
        <f t="shared" si="1"/>
        <v>-12322.080331233472</v>
      </c>
      <c r="Y35" s="1007">
        <f t="shared" si="1"/>
        <v>-10326.228833359504</v>
      </c>
      <c r="Z35" s="1007">
        <f t="shared" si="1"/>
        <v>-8656.6554002010089</v>
      </c>
      <c r="AA35" s="1007">
        <f t="shared" si="1"/>
        <v>-1742.4318973752847</v>
      </c>
      <c r="AB35" s="1007">
        <f t="shared" si="1"/>
        <v>-1684.097360958383</v>
      </c>
      <c r="AC35" s="1007">
        <f t="shared" si="1"/>
        <v>-1635.1062321446973</v>
      </c>
      <c r="AD35" s="1007">
        <f t="shared" si="1"/>
        <v>-1582.7772595130609</v>
      </c>
      <c r="AE35" s="1007">
        <f t="shared" si="1"/>
        <v>-1537.1646036529924</v>
      </c>
      <c r="AF35" s="1007">
        <f t="shared" si="1"/>
        <v>-1489.9842155225272</v>
      </c>
      <c r="AG35" s="1007">
        <f t="shared" si="1"/>
        <v>-1447.7514211573778</v>
      </c>
      <c r="AH35" s="1007">
        <f t="shared" si="1"/>
        <v>-1407.3021535216121</v>
      </c>
      <c r="AI35" s="1007">
        <f t="shared" si="1"/>
        <v>-1368.7836305340657</v>
      </c>
      <c r="AJ35" s="1007">
        <f t="shared" si="1"/>
        <v>-1331.9000874857686</v>
      </c>
      <c r="AK35" s="1007">
        <f t="shared" si="1"/>
        <v>-1296.7424435245325</v>
      </c>
      <c r="AL35" s="1007">
        <f t="shared" si="1"/>
        <v>-1263.0901913062387</v>
      </c>
      <c r="AM35" s="1007">
        <f t="shared" si="1"/>
        <v>-1230.9867661509925</v>
      </c>
      <c r="AN35" s="1007">
        <f t="shared" si="1"/>
        <v>-1200.2646986512791</v>
      </c>
      <c r="AO35" s="1009">
        <f t="shared" si="1"/>
        <v>-1170.9368860614641</v>
      </c>
    </row>
    <row r="36" spans="1:41" x14ac:dyDescent="0.8">
      <c r="A36" s="1005"/>
      <c r="B36" s="10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004"/>
      <c r="AE36" s="1004"/>
      <c r="AF36" s="1004"/>
      <c r="AG36" s="1004"/>
      <c r="AH36" s="1004"/>
      <c r="AI36" s="1004"/>
      <c r="AJ36" s="1004"/>
      <c r="AK36" s="1004"/>
      <c r="AL36" s="1004"/>
      <c r="AM36" s="1004"/>
      <c r="AN36" s="1004"/>
      <c r="AO36" s="1004"/>
    </row>
    <row r="37" spans="1:41" x14ac:dyDescent="0.8">
      <c r="A37" s="1005"/>
      <c r="B37" s="1004"/>
      <c r="C37" s="1004"/>
      <c r="D37" s="1004"/>
      <c r="E37" s="1004"/>
      <c r="F37" s="1004"/>
      <c r="G37" s="1004"/>
      <c r="H37" s="1004"/>
      <c r="I37" s="1004"/>
      <c r="J37" s="1004"/>
      <c r="K37" s="1004"/>
      <c r="L37" s="1004"/>
      <c r="M37" s="1004"/>
      <c r="N37" s="1004"/>
      <c r="O37" s="1004"/>
      <c r="P37" s="1004"/>
      <c r="Q37" s="1004"/>
      <c r="R37" s="1004"/>
      <c r="S37" s="1004"/>
      <c r="T37" s="1004"/>
      <c r="U37" s="1004"/>
      <c r="V37" s="1004"/>
      <c r="W37" s="1004"/>
      <c r="X37" s="1004"/>
      <c r="Y37" s="1004"/>
      <c r="Z37" s="1004"/>
      <c r="AA37" s="1004"/>
      <c r="AB37" s="1004"/>
      <c r="AC37" s="1004"/>
      <c r="AD37" s="1004"/>
      <c r="AE37" s="1004"/>
      <c r="AF37" s="1004"/>
      <c r="AG37" s="1004"/>
      <c r="AH37" s="1004"/>
      <c r="AI37" s="1004"/>
      <c r="AJ37" s="1004"/>
      <c r="AK37" s="1004"/>
      <c r="AL37" s="1004"/>
      <c r="AM37" s="1004"/>
      <c r="AN37" s="1004"/>
      <c r="AO37" s="1004"/>
    </row>
    <row r="38" spans="1:41" ht="19.25" thickBot="1" x14ac:dyDescent="1.05">
      <c r="A38" s="946" t="s">
        <v>83</v>
      </c>
      <c r="B38" s="966"/>
      <c r="C38" s="966"/>
      <c r="D38" s="966"/>
      <c r="E38" s="966"/>
      <c r="F38" s="966"/>
      <c r="G38" s="966"/>
      <c r="H38" s="1017"/>
      <c r="I38" s="248"/>
      <c r="J38" s="248"/>
      <c r="K38" s="248"/>
      <c r="L38" s="248"/>
      <c r="M38" s="248"/>
      <c r="N38" s="1017"/>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row>
    <row r="39" spans="1:41" x14ac:dyDescent="0.8">
      <c r="A39" s="953" t="s">
        <v>84</v>
      </c>
      <c r="B39" s="964">
        <v>-3120</v>
      </c>
      <c r="C39" s="964">
        <v>-3222</v>
      </c>
      <c r="D39" s="964">
        <v>-2774</v>
      </c>
      <c r="E39" s="964">
        <v>-2570</v>
      </c>
      <c r="F39" s="964">
        <v>-2414</v>
      </c>
      <c r="G39" s="993">
        <v>-472</v>
      </c>
      <c r="H39" s="964">
        <v>0</v>
      </c>
      <c r="I39" s="964">
        <v>0</v>
      </c>
      <c r="J39" s="964">
        <v>0</v>
      </c>
      <c r="K39" s="964">
        <v>0</v>
      </c>
      <c r="L39" s="964">
        <v>0</v>
      </c>
      <c r="M39" s="993">
        <v>0</v>
      </c>
      <c r="N39" s="964">
        <v>0</v>
      </c>
      <c r="O39" s="964">
        <v>0</v>
      </c>
      <c r="P39" s="964">
        <v>0</v>
      </c>
      <c r="Q39" s="964">
        <v>0</v>
      </c>
      <c r="R39" s="964">
        <v>0</v>
      </c>
      <c r="S39" s="964">
        <v>0</v>
      </c>
      <c r="T39" s="964">
        <v>0</v>
      </c>
      <c r="U39" s="964">
        <v>0</v>
      </c>
      <c r="V39" s="964">
        <v>0</v>
      </c>
      <c r="W39" s="964">
        <v>0</v>
      </c>
      <c r="X39" s="964">
        <v>0</v>
      </c>
      <c r="Y39" s="964">
        <v>0</v>
      </c>
      <c r="Z39" s="964">
        <v>0</v>
      </c>
      <c r="AA39" s="964">
        <v>0</v>
      </c>
      <c r="AB39" s="964">
        <v>0</v>
      </c>
      <c r="AC39" s="964">
        <v>0</v>
      </c>
      <c r="AD39" s="964">
        <v>0</v>
      </c>
      <c r="AE39" s="964">
        <v>0</v>
      </c>
      <c r="AF39" s="964">
        <v>0</v>
      </c>
      <c r="AG39" s="964">
        <v>0</v>
      </c>
      <c r="AH39" s="964">
        <v>0</v>
      </c>
      <c r="AI39" s="964">
        <v>0</v>
      </c>
      <c r="AJ39" s="964">
        <v>0</v>
      </c>
      <c r="AK39" s="964">
        <v>0</v>
      </c>
      <c r="AL39" s="964">
        <v>0</v>
      </c>
      <c r="AM39" s="964">
        <v>0</v>
      </c>
      <c r="AN39" s="964">
        <v>0</v>
      </c>
      <c r="AO39" s="965">
        <v>0</v>
      </c>
    </row>
    <row r="40" spans="1:41" x14ac:dyDescent="0.8">
      <c r="A40" s="219" t="s">
        <v>85</v>
      </c>
      <c r="B40" s="966">
        <v>-8447</v>
      </c>
      <c r="C40" s="966">
        <v>-1374</v>
      </c>
      <c r="D40" s="966">
        <v>-1667</v>
      </c>
      <c r="E40" s="966">
        <v>-1000</v>
      </c>
      <c r="F40" s="966">
        <v>-1144</v>
      </c>
      <c r="G40" s="994">
        <v>-47606</v>
      </c>
      <c r="H40" s="304">
        <f>'Balance Sheet '!H26-'Balance Sheet '!G26+('Balance Sheet '!H31-'Balance Sheet '!G31)</f>
        <v>23083</v>
      </c>
      <c r="I40" s="341">
        <f>'Balance Sheet '!I26-'Balance Sheet '!H26+('Balance Sheet '!I31-'Balance Sheet '!H31)</f>
        <v>-57817.957112660733</v>
      </c>
      <c r="J40" s="341">
        <f>'Balance Sheet '!J26-'Balance Sheet '!I26+('Balance Sheet '!J31-'Balance Sheet '!I31)</f>
        <v>-642.19153712163097</v>
      </c>
      <c r="K40" s="341">
        <f>'Balance Sheet '!K26-'Balance Sheet '!J26+('Balance Sheet '!K31-'Balance Sheet '!J31)</f>
        <v>995.85642947509768</v>
      </c>
      <c r="L40" s="341">
        <f>'Balance Sheet '!L26-'Balance Sheet '!K26+('Balance Sheet '!L31-'Balance Sheet '!K31)</f>
        <v>-396.2387510247936</v>
      </c>
      <c r="M40" s="389">
        <f>'Balance Sheet '!M26-'Balance Sheet '!L26+('Balance Sheet '!M31-'Balance Sheet '!L31)</f>
        <v>3234.6703792085464</v>
      </c>
      <c r="N40" s="341">
        <f>'Balance Sheet '!N26-'Balance Sheet '!M26+('Balance Sheet '!N31-'Balance Sheet '!M31)</f>
        <v>-1777.8305666883098</v>
      </c>
      <c r="O40" s="341">
        <f>'Balance Sheet '!O26-'Balance Sheet '!N26+('Balance Sheet '!O31-'Balance Sheet '!N31)</f>
        <v>-2540.7127691380156</v>
      </c>
      <c r="P40" s="341">
        <f>'Balance Sheet '!P26-'Balance Sheet '!O26+('Balance Sheet '!P31-'Balance Sheet '!O31)</f>
        <v>-2733.1502076871693</v>
      </c>
      <c r="Q40" s="341">
        <f>'Balance Sheet '!Q26-'Balance Sheet '!P26+('Balance Sheet '!Q31-'Balance Sheet '!P31)</f>
        <v>-1589.7770835497649</v>
      </c>
      <c r="R40" s="341">
        <f>'Balance Sheet '!R26-'Balance Sheet '!Q26+('Balance Sheet '!R31-'Balance Sheet '!Q31)</f>
        <v>-1770.8049013369309</v>
      </c>
      <c r="S40" s="341">
        <f>'Balance Sheet '!S26-'Balance Sheet '!R26+('Balance Sheet '!S31-'Balance Sheet '!R31)</f>
        <v>-1784.7061250331608</v>
      </c>
      <c r="T40" s="341">
        <f>'Balance Sheet '!T26-'Balance Sheet '!S26+('Balance Sheet '!T31-'Balance Sheet '!S31)</f>
        <v>825.58837185288576</v>
      </c>
      <c r="U40" s="341">
        <f>'Balance Sheet '!U26-'Balance Sheet '!T26+('Balance Sheet '!U31-'Balance Sheet '!T31)</f>
        <v>-1765.4058250029411</v>
      </c>
      <c r="V40" s="341">
        <f>'Balance Sheet '!V26-'Balance Sheet '!U26+('Balance Sheet '!V31-'Balance Sheet '!U31)</f>
        <v>-1331.148326843977</v>
      </c>
      <c r="W40" s="341">
        <f>'Balance Sheet '!W26-'Balance Sheet '!V26+('Balance Sheet '!W31-'Balance Sheet '!V31)</f>
        <v>-1026.9255589900858</v>
      </c>
      <c r="X40" s="341">
        <f>'Balance Sheet '!X26-'Balance Sheet '!W26+('Balance Sheet '!X31-'Balance Sheet '!W31)</f>
        <v>-1181.0422278923725</v>
      </c>
      <c r="Y40" s="341">
        <f>'Balance Sheet '!Y26-'Balance Sheet '!X26+('Balance Sheet '!Y31-'Balance Sheet '!X31)</f>
        <v>-982.37268862415658</v>
      </c>
      <c r="Z40" s="341">
        <f>'Balance Sheet '!Z26-'Balance Sheet '!Y26+('Balance Sheet '!Z31-'Balance Sheet '!Y31)</f>
        <v>-1538.3153527423492</v>
      </c>
      <c r="AA40" s="341">
        <f>'Balance Sheet '!AA26-'Balance Sheet '!Z26+('Balance Sheet '!AA31-'Balance Sheet '!Z31)</f>
        <v>-1500.7690775695301</v>
      </c>
      <c r="AB40" s="341">
        <f>'Balance Sheet '!AB26-'Balance Sheet '!AA26+('Balance Sheet '!AB31-'Balance Sheet '!AA31)</f>
        <v>-1474.5774773703888</v>
      </c>
      <c r="AC40" s="341">
        <f>'Balance Sheet '!AC26-'Balance Sheet '!AB26+('Balance Sheet '!AC31-'Balance Sheet '!AB31)</f>
        <v>-1062.2983350141549</v>
      </c>
      <c r="AD40" s="341">
        <f>'Balance Sheet '!AD26-'Balance Sheet '!AC26+('Balance Sheet '!AD31-'Balance Sheet '!AC31)</f>
        <v>-1031.5715931426203</v>
      </c>
      <c r="AE40" s="341">
        <f>'Balance Sheet '!AE26-'Balance Sheet '!AD26+('Balance Sheet '!AE31-'Balance Sheet '!AD31)</f>
        <v>-973.85051631448732</v>
      </c>
      <c r="AF40" s="341">
        <f>'Balance Sheet '!AF26-'Balance Sheet '!AE26+('Balance Sheet '!AF31-'Balance Sheet '!AE31)</f>
        <v>-941.37911167940911</v>
      </c>
      <c r="AG40" s="341">
        <f>'Balance Sheet '!AG26-'Balance Sheet '!AF26+('Balance Sheet '!AG31-'Balance Sheet '!AF31)</f>
        <v>-891.89469181730237</v>
      </c>
      <c r="AH40" s="341">
        <f>'Balance Sheet '!AH26-'Balance Sheet '!AG26+('Balance Sheet '!AH31-'Balance Sheet '!AG31)</f>
        <v>-859.40994154314831</v>
      </c>
      <c r="AI40" s="341">
        <f>'Balance Sheet '!AI26-'Balance Sheet '!AH26+('Balance Sheet '!AI31-'Balance Sheet '!AH31)</f>
        <v>-794.7153452411585</v>
      </c>
      <c r="AJ40" s="341">
        <f>'Balance Sheet '!AJ26-'Balance Sheet '!AI26+('Balance Sheet '!AJ31-'Balance Sheet '!AI31)</f>
        <v>-759.01649219688625</v>
      </c>
      <c r="AK40" s="341">
        <f>'Balance Sheet '!AK26-'Balance Sheet '!AJ26+('Balance Sheet '!AK31-'Balance Sheet '!AJ31)</f>
        <v>-724.74536205915138</v>
      </c>
      <c r="AL40" s="341">
        <f>'Balance Sheet '!AL26-'Balance Sheet '!AK26+('Balance Sheet '!AL31-'Balance Sheet '!AK31)</f>
        <v>-692.44305736305614</v>
      </c>
      <c r="AM40" s="341">
        <f>'Balance Sheet '!AM26-'Balance Sheet '!AL26+('Balance Sheet '!AM31-'Balance Sheet '!AL31)</f>
        <v>-661.38625946124739</v>
      </c>
      <c r="AN40" s="341">
        <f>'Balance Sheet '!AN26-'Balance Sheet '!AM26+('Balance Sheet '!AN31-'Balance Sheet '!AM31)</f>
        <v>-632.03134811379277</v>
      </c>
      <c r="AO40" s="343">
        <f>'Balance Sheet '!AO26-'Balance Sheet '!AN26+('Balance Sheet '!AO31-'Balance Sheet '!AN31)</f>
        <v>-603.8685615323011</v>
      </c>
    </row>
    <row r="41" spans="1:41" x14ac:dyDescent="0.8">
      <c r="A41" s="219" t="s">
        <v>102</v>
      </c>
      <c r="B41" s="966"/>
      <c r="C41" s="966"/>
      <c r="D41" s="966"/>
      <c r="E41" s="966">
        <v>0</v>
      </c>
      <c r="F41" s="966">
        <v>-30000</v>
      </c>
      <c r="G41" s="994">
        <v>0</v>
      </c>
      <c r="H41" s="974">
        <v>0</v>
      </c>
      <c r="I41" s="974">
        <v>0</v>
      </c>
      <c r="J41" s="974">
        <v>0</v>
      </c>
      <c r="K41" s="974">
        <v>0</v>
      </c>
      <c r="L41" s="974">
        <v>0</v>
      </c>
      <c r="M41" s="1001">
        <v>0</v>
      </c>
      <c r="N41" s="974">
        <v>0</v>
      </c>
      <c r="O41" s="974">
        <v>0</v>
      </c>
      <c r="P41" s="974">
        <v>0</v>
      </c>
      <c r="Q41" s="974">
        <v>0</v>
      </c>
      <c r="R41" s="974">
        <v>0</v>
      </c>
      <c r="S41" s="974">
        <v>0</v>
      </c>
      <c r="T41" s="974">
        <v>0</v>
      </c>
      <c r="U41" s="974">
        <v>0</v>
      </c>
      <c r="V41" s="974">
        <v>0</v>
      </c>
      <c r="W41" s="974">
        <v>0</v>
      </c>
      <c r="X41" s="974">
        <v>0</v>
      </c>
      <c r="Y41" s="974">
        <v>0</v>
      </c>
      <c r="Z41" s="974">
        <v>0</v>
      </c>
      <c r="AA41" s="974">
        <v>0</v>
      </c>
      <c r="AB41" s="974">
        <v>0</v>
      </c>
      <c r="AC41" s="974">
        <v>0</v>
      </c>
      <c r="AD41" s="974">
        <v>0</v>
      </c>
      <c r="AE41" s="974">
        <v>0</v>
      </c>
      <c r="AF41" s="974">
        <v>0</v>
      </c>
      <c r="AG41" s="974">
        <v>0</v>
      </c>
      <c r="AH41" s="974">
        <v>0</v>
      </c>
      <c r="AI41" s="974">
        <v>0</v>
      </c>
      <c r="AJ41" s="974">
        <v>0</v>
      </c>
      <c r="AK41" s="974">
        <v>0</v>
      </c>
      <c r="AL41" s="974">
        <v>0</v>
      </c>
      <c r="AM41" s="974">
        <v>0</v>
      </c>
      <c r="AN41" s="974">
        <v>0</v>
      </c>
      <c r="AO41" s="975">
        <v>0</v>
      </c>
    </row>
    <row r="42" spans="1:41" x14ac:dyDescent="0.8">
      <c r="A42" s="219" t="s">
        <v>86</v>
      </c>
      <c r="B42" s="966">
        <v>0</v>
      </c>
      <c r="C42" s="966">
        <v>423</v>
      </c>
      <c r="D42" s="966">
        <v>0</v>
      </c>
      <c r="E42" s="966">
        <v>0</v>
      </c>
      <c r="F42" s="966">
        <v>30000</v>
      </c>
      <c r="G42" s="994">
        <v>82967</v>
      </c>
      <c r="H42" s="966">
        <v>0</v>
      </c>
      <c r="I42" s="966">
        <v>0</v>
      </c>
      <c r="J42" s="966">
        <v>0</v>
      </c>
      <c r="K42" s="966">
        <v>0</v>
      </c>
      <c r="L42" s="966">
        <v>0</v>
      </c>
      <c r="M42" s="994">
        <v>0</v>
      </c>
      <c r="N42" s="966">
        <v>0</v>
      </c>
      <c r="O42" s="966">
        <v>0</v>
      </c>
      <c r="P42" s="966">
        <v>0</v>
      </c>
      <c r="Q42" s="966">
        <v>0</v>
      </c>
      <c r="R42" s="966">
        <v>0</v>
      </c>
      <c r="S42" s="966">
        <v>0</v>
      </c>
      <c r="T42" s="966">
        <v>0</v>
      </c>
      <c r="U42" s="966">
        <v>0</v>
      </c>
      <c r="V42" s="966">
        <v>0</v>
      </c>
      <c r="W42" s="966">
        <v>0</v>
      </c>
      <c r="X42" s="966">
        <v>0</v>
      </c>
      <c r="Y42" s="966">
        <v>0</v>
      </c>
      <c r="Z42" s="966">
        <v>0</v>
      </c>
      <c r="AA42" s="966">
        <v>0</v>
      </c>
      <c r="AB42" s="966">
        <v>0</v>
      </c>
      <c r="AC42" s="966">
        <v>0</v>
      </c>
      <c r="AD42" s="966">
        <v>0</v>
      </c>
      <c r="AE42" s="966">
        <v>0</v>
      </c>
      <c r="AF42" s="966">
        <v>0</v>
      </c>
      <c r="AG42" s="966">
        <v>0</v>
      </c>
      <c r="AH42" s="966">
        <v>0</v>
      </c>
      <c r="AI42" s="966">
        <v>0</v>
      </c>
      <c r="AJ42" s="966">
        <v>0</v>
      </c>
      <c r="AK42" s="966">
        <v>0</v>
      </c>
      <c r="AL42" s="966">
        <v>0</v>
      </c>
      <c r="AM42" s="966">
        <v>0</v>
      </c>
      <c r="AN42" s="966">
        <v>0</v>
      </c>
      <c r="AO42" s="973">
        <v>0</v>
      </c>
    </row>
    <row r="43" spans="1:41" x14ac:dyDescent="0.8">
      <c r="A43" s="219" t="s">
        <v>68</v>
      </c>
      <c r="B43" s="966">
        <v>305</v>
      </c>
      <c r="C43" s="966">
        <v>663</v>
      </c>
      <c r="D43" s="966">
        <v>-38</v>
      </c>
      <c r="E43" s="966">
        <v>152</v>
      </c>
      <c r="F43" s="966">
        <v>105</v>
      </c>
      <c r="G43" s="994">
        <v>0</v>
      </c>
      <c r="H43" s="966">
        <v>0</v>
      </c>
      <c r="I43" s="966">
        <v>0</v>
      </c>
      <c r="J43" s="966">
        <v>0</v>
      </c>
      <c r="K43" s="966">
        <v>0</v>
      </c>
      <c r="L43" s="966">
        <v>0</v>
      </c>
      <c r="M43" s="994">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v>0</v>
      </c>
      <c r="AH43" s="966">
        <v>0</v>
      </c>
      <c r="AI43" s="966">
        <v>0</v>
      </c>
      <c r="AJ43" s="966">
        <v>0</v>
      </c>
      <c r="AK43" s="966">
        <v>0</v>
      </c>
      <c r="AL43" s="966">
        <v>0</v>
      </c>
      <c r="AM43" s="966">
        <v>0</v>
      </c>
      <c r="AN43" s="966">
        <v>0</v>
      </c>
      <c r="AO43" s="973">
        <v>0</v>
      </c>
    </row>
    <row r="44" spans="1:41" x14ac:dyDescent="0.8">
      <c r="A44" s="219" t="s">
        <v>87</v>
      </c>
      <c r="B44" s="966">
        <v>-4005</v>
      </c>
      <c r="C44" s="966">
        <v>-7576</v>
      </c>
      <c r="D44" s="966">
        <v>-6505</v>
      </c>
      <c r="E44" s="966">
        <v>-602</v>
      </c>
      <c r="F44" s="966">
        <v>0</v>
      </c>
      <c r="G44" s="994">
        <v>-8352</v>
      </c>
      <c r="H44" s="966">
        <v>0</v>
      </c>
      <c r="I44" s="966">
        <v>0</v>
      </c>
      <c r="J44" s="966">
        <v>0</v>
      </c>
      <c r="K44" s="966">
        <v>0</v>
      </c>
      <c r="L44" s="966">
        <v>0</v>
      </c>
      <c r="M44" s="994">
        <v>0</v>
      </c>
      <c r="N44" s="966">
        <v>0</v>
      </c>
      <c r="O44" s="966">
        <v>0</v>
      </c>
      <c r="P44" s="966">
        <v>0</v>
      </c>
      <c r="Q44" s="966">
        <v>0</v>
      </c>
      <c r="R44" s="966">
        <v>0</v>
      </c>
      <c r="S44" s="966">
        <v>0</v>
      </c>
      <c r="T44" s="966">
        <v>0</v>
      </c>
      <c r="U44" s="966">
        <v>0</v>
      </c>
      <c r="V44" s="966">
        <v>0</v>
      </c>
      <c r="W44" s="966">
        <v>0</v>
      </c>
      <c r="X44" s="966">
        <v>0</v>
      </c>
      <c r="Y44" s="966">
        <v>0</v>
      </c>
      <c r="Z44" s="966">
        <v>0</v>
      </c>
      <c r="AA44" s="966">
        <v>0</v>
      </c>
      <c r="AB44" s="966">
        <v>0</v>
      </c>
      <c r="AC44" s="966">
        <v>0</v>
      </c>
      <c r="AD44" s="966">
        <v>0</v>
      </c>
      <c r="AE44" s="966">
        <v>0</v>
      </c>
      <c r="AF44" s="966">
        <v>0</v>
      </c>
      <c r="AG44" s="966">
        <v>0</v>
      </c>
      <c r="AH44" s="966">
        <v>0</v>
      </c>
      <c r="AI44" s="966">
        <v>0</v>
      </c>
      <c r="AJ44" s="966">
        <v>0</v>
      </c>
      <c r="AK44" s="966">
        <v>0</v>
      </c>
      <c r="AL44" s="966">
        <v>0</v>
      </c>
      <c r="AM44" s="966">
        <v>0</v>
      </c>
      <c r="AN44" s="966">
        <v>0</v>
      </c>
      <c r="AO44" s="973">
        <v>0</v>
      </c>
    </row>
    <row r="45" spans="1:41" x14ac:dyDescent="0.8">
      <c r="A45" s="219" t="s">
        <v>88</v>
      </c>
      <c r="B45" s="966">
        <v>0</v>
      </c>
      <c r="C45" s="966">
        <v>0</v>
      </c>
      <c r="D45" s="966">
        <v>-1854</v>
      </c>
      <c r="E45" s="966">
        <v>-3744</v>
      </c>
      <c r="F45" s="966">
        <v>-4263</v>
      </c>
      <c r="G45" s="994">
        <v>-4896</v>
      </c>
      <c r="H45" s="966">
        <f>'FCF Statement'!H47</f>
        <v>-144793.97228897567</v>
      </c>
      <c r="I45" s="966">
        <f>'FCF Statement'!I47</f>
        <v>0</v>
      </c>
      <c r="J45" s="966">
        <f>'FCF Statement'!J47</f>
        <v>0</v>
      </c>
      <c r="K45" s="966">
        <f>'FCF Statement'!K47</f>
        <v>-30336.145614178895</v>
      </c>
      <c r="L45" s="966">
        <f>'FCF Statement'!L47</f>
        <v>0</v>
      </c>
      <c r="M45" s="994">
        <f>'FCF Statement'!M47</f>
        <v>-24501.84692497514</v>
      </c>
      <c r="N45" s="966">
        <f>'FCF Statement'!N47</f>
        <v>-8292.1705136765013</v>
      </c>
      <c r="O45" s="966">
        <f>'FCF Statement'!O47</f>
        <v>-10090.454993909858</v>
      </c>
      <c r="P45" s="966">
        <f>'FCF Statement'!P47</f>
        <v>-6167.9221698424226</v>
      </c>
      <c r="Q45" s="966">
        <f>'FCF Statement'!Q47</f>
        <v>-6144.7332403239016</v>
      </c>
      <c r="R45" s="966">
        <f>'FCF Statement'!R47</f>
        <v>-7509.9231381315803</v>
      </c>
      <c r="S45" s="966">
        <f>'FCF Statement'!S47</f>
        <v>-7626.6955485336875</v>
      </c>
      <c r="T45" s="966">
        <f>'FCF Statement'!T47</f>
        <v>-10432.543839231881</v>
      </c>
      <c r="U45" s="966">
        <f>'FCF Statement'!U47</f>
        <v>-9358.67493564916</v>
      </c>
      <c r="V45" s="966">
        <f>'FCF Statement'!V47</f>
        <v>-11404.542379536299</v>
      </c>
      <c r="W45" s="966">
        <f>'FCF Statement'!W47</f>
        <v>-13002.11009734158</v>
      </c>
      <c r="X45" s="966">
        <f>'FCF Statement'!X47</f>
        <v>-13134.67069820568</v>
      </c>
      <c r="Y45" s="966">
        <f>'FCF Statement'!Y47</f>
        <v>-13541.060132182945</v>
      </c>
      <c r="Z45" s="966">
        <f>'FCF Statement'!Z47</f>
        <v>-13532.087084412649</v>
      </c>
      <c r="AA45" s="966">
        <f>'FCF Statement'!AA47</f>
        <v>-18634.73250808613</v>
      </c>
      <c r="AB45" s="966">
        <f>'FCF Statement'!AB47</f>
        <v>-17342.891124264763</v>
      </c>
      <c r="AC45" s="966">
        <f>'FCF Statement'!AC47</f>
        <v>-16526.079179097396</v>
      </c>
      <c r="AD45" s="966">
        <f>'FCF Statement'!AD47</f>
        <v>-15573.184139160698</v>
      </c>
      <c r="AE45" s="966">
        <f>'FCF Statement'!AE47</f>
        <v>-14695.08100610224</v>
      </c>
      <c r="AF45" s="966">
        <f>'FCF Statement'!AF47</f>
        <v>-13983.171303044861</v>
      </c>
      <c r="AG45" s="966">
        <f>'FCF Statement'!AG47</f>
        <v>-13306.487443940636</v>
      </c>
      <c r="AH45" s="966">
        <f>'FCF Statement'!AH47</f>
        <v>-12712.249431973605</v>
      </c>
      <c r="AI45" s="966">
        <f>'FCF Statement'!AI47</f>
        <v>-12257.10208603062</v>
      </c>
      <c r="AJ45" s="966">
        <f>'FCF Statement'!AJ47</f>
        <v>-11910.917410261525</v>
      </c>
      <c r="AK45" s="966">
        <f>'FCF Statement'!AK47</f>
        <v>-11601.005844110552</v>
      </c>
      <c r="AL45" s="966">
        <f>'FCF Statement'!AL47</f>
        <v>-11305.683055678603</v>
      </c>
      <c r="AM45" s="966">
        <f>'FCF Statement'!AM47</f>
        <v>-11022.840847222111</v>
      </c>
      <c r="AN45" s="966">
        <f>'FCF Statement'!AN47</f>
        <v>-10753.053104709965</v>
      </c>
      <c r="AO45" s="973">
        <f>'FCF Statement'!AO47</f>
        <v>-10494.729723760263</v>
      </c>
    </row>
    <row r="46" spans="1:41" x14ac:dyDescent="0.8">
      <c r="A46" s="219" t="s">
        <v>407</v>
      </c>
      <c r="B46" s="966">
        <v>0</v>
      </c>
      <c r="C46" s="966">
        <v>0</v>
      </c>
      <c r="D46" s="966">
        <v>0</v>
      </c>
      <c r="E46" s="966">
        <v>0</v>
      </c>
      <c r="F46" s="966">
        <v>0</v>
      </c>
      <c r="G46" s="994">
        <v>0</v>
      </c>
      <c r="H46" s="966">
        <f>'FCF Statement'!H46</f>
        <v>0</v>
      </c>
      <c r="I46" s="966">
        <f>'FCF Statement'!I46</f>
        <v>44974.155128453654</v>
      </c>
      <c r="J46" s="966">
        <f>'FCF Statement'!J46</f>
        <v>9951.5111402780731</v>
      </c>
      <c r="K46" s="966">
        <f>'FCF Statement'!K46</f>
        <v>0</v>
      </c>
      <c r="L46" s="966">
        <f>'FCF Statement'!L46</f>
        <v>21531.117108750066</v>
      </c>
      <c r="M46" s="994">
        <f>'FCF Statement'!M46</f>
        <v>0</v>
      </c>
      <c r="N46" s="966">
        <f>'FCF Statement'!N46</f>
        <v>0</v>
      </c>
      <c r="O46" s="966">
        <f>'FCF Statement'!O46</f>
        <v>0</v>
      </c>
      <c r="P46" s="966">
        <f>'FCF Statement'!P46</f>
        <v>0</v>
      </c>
      <c r="Q46" s="966">
        <f>'FCF Statement'!Q46</f>
        <v>0</v>
      </c>
      <c r="R46" s="966">
        <f>'FCF Statement'!R46</f>
        <v>0</v>
      </c>
      <c r="S46" s="966">
        <f>'FCF Statement'!S46</f>
        <v>0</v>
      </c>
      <c r="T46" s="966">
        <f>'FCF Statement'!T46</f>
        <v>0</v>
      </c>
      <c r="U46" s="966">
        <f>'FCF Statement'!U46</f>
        <v>0</v>
      </c>
      <c r="V46" s="966">
        <f>'FCF Statement'!V46</f>
        <v>0</v>
      </c>
      <c r="W46" s="966">
        <f>'FCF Statement'!W46</f>
        <v>0</v>
      </c>
      <c r="X46" s="966">
        <f>'FCF Statement'!X46</f>
        <v>0</v>
      </c>
      <c r="Y46" s="966">
        <f>'FCF Statement'!Y46</f>
        <v>0</v>
      </c>
      <c r="Z46" s="966">
        <f>'FCF Statement'!Z46</f>
        <v>0</v>
      </c>
      <c r="AA46" s="966">
        <f>'FCF Statement'!AA46</f>
        <v>0</v>
      </c>
      <c r="AB46" s="966">
        <f>'FCF Statement'!AB46</f>
        <v>0</v>
      </c>
      <c r="AC46" s="966">
        <f>'FCF Statement'!AC46</f>
        <v>0</v>
      </c>
      <c r="AD46" s="966">
        <f>'FCF Statement'!AD46</f>
        <v>0</v>
      </c>
      <c r="AE46" s="966">
        <f>'FCF Statement'!AE46</f>
        <v>0</v>
      </c>
      <c r="AF46" s="966">
        <f>'FCF Statement'!AF46</f>
        <v>0</v>
      </c>
      <c r="AG46" s="966">
        <f>'FCF Statement'!AG46</f>
        <v>0</v>
      </c>
      <c r="AH46" s="966">
        <f>'FCF Statement'!AH46</f>
        <v>0</v>
      </c>
      <c r="AI46" s="966">
        <f>'FCF Statement'!AI46</f>
        <v>0</v>
      </c>
      <c r="AJ46" s="966">
        <f>'FCF Statement'!AJ46</f>
        <v>0</v>
      </c>
      <c r="AK46" s="966">
        <f>'FCF Statement'!AK46</f>
        <v>0</v>
      </c>
      <c r="AL46" s="966">
        <f>'FCF Statement'!AL46</f>
        <v>0</v>
      </c>
      <c r="AM46" s="966">
        <f>'FCF Statement'!AM46</f>
        <v>0</v>
      </c>
      <c r="AN46" s="966">
        <f>'FCF Statement'!AN46</f>
        <v>0</v>
      </c>
      <c r="AO46" s="973">
        <f>'FCF Statement'!AO46</f>
        <v>0</v>
      </c>
    </row>
    <row r="47" spans="1:41" x14ac:dyDescent="0.8">
      <c r="A47" s="219" t="s">
        <v>89</v>
      </c>
      <c r="B47" s="966">
        <v>3866</v>
      </c>
      <c r="C47" s="966">
        <v>3379</v>
      </c>
      <c r="D47" s="966">
        <v>1982</v>
      </c>
      <c r="E47" s="966">
        <v>4420</v>
      </c>
      <c r="F47" s="966">
        <v>2587</v>
      </c>
      <c r="G47" s="994">
        <v>4336</v>
      </c>
      <c r="H47" s="966">
        <v>0</v>
      </c>
      <c r="I47" s="966">
        <v>0</v>
      </c>
      <c r="J47" s="966">
        <v>0</v>
      </c>
      <c r="K47" s="966">
        <v>0</v>
      </c>
      <c r="L47" s="966">
        <v>0</v>
      </c>
      <c r="M47" s="994">
        <v>0</v>
      </c>
      <c r="N47" s="966">
        <v>0</v>
      </c>
      <c r="O47" s="966">
        <v>0</v>
      </c>
      <c r="P47" s="966">
        <v>0</v>
      </c>
      <c r="Q47" s="966">
        <v>0</v>
      </c>
      <c r="R47" s="966">
        <v>0</v>
      </c>
      <c r="S47" s="966">
        <v>0</v>
      </c>
      <c r="T47" s="966">
        <v>0</v>
      </c>
      <c r="U47" s="966">
        <v>0</v>
      </c>
      <c r="V47" s="966">
        <v>0</v>
      </c>
      <c r="W47" s="966">
        <v>0</v>
      </c>
      <c r="X47" s="966">
        <v>0</v>
      </c>
      <c r="Y47" s="966">
        <v>0</v>
      </c>
      <c r="Z47" s="966">
        <v>0</v>
      </c>
      <c r="AA47" s="966">
        <v>0</v>
      </c>
      <c r="AB47" s="966">
        <v>0</v>
      </c>
      <c r="AC47" s="966">
        <v>0</v>
      </c>
      <c r="AD47" s="966">
        <v>0</v>
      </c>
      <c r="AE47" s="966">
        <v>0</v>
      </c>
      <c r="AF47" s="966">
        <v>0</v>
      </c>
      <c r="AG47" s="966">
        <v>0</v>
      </c>
      <c r="AH47" s="966">
        <v>0</v>
      </c>
      <c r="AI47" s="966">
        <v>0</v>
      </c>
      <c r="AJ47" s="966">
        <v>0</v>
      </c>
      <c r="AK47" s="966">
        <v>0</v>
      </c>
      <c r="AL47" s="966">
        <v>0</v>
      </c>
      <c r="AM47" s="966">
        <v>0</v>
      </c>
      <c r="AN47" s="966">
        <v>0</v>
      </c>
      <c r="AO47" s="973">
        <v>0</v>
      </c>
    </row>
    <row r="48" spans="1:41" x14ac:dyDescent="0.8">
      <c r="A48" s="914" t="s">
        <v>90</v>
      </c>
      <c r="B48" s="978">
        <f>SUM(B39:B47)</f>
        <v>-11401</v>
      </c>
      <c r="C48" s="978">
        <f t="shared" ref="C48:AO48" si="2">SUM(C39:C47)</f>
        <v>-7707</v>
      </c>
      <c r="D48" s="978">
        <f t="shared" si="2"/>
        <v>-10856</v>
      </c>
      <c r="E48" s="978">
        <f t="shared" si="2"/>
        <v>-3344</v>
      </c>
      <c r="F48" s="978">
        <f t="shared" si="2"/>
        <v>-5129</v>
      </c>
      <c r="G48" s="995">
        <f t="shared" si="2"/>
        <v>25977</v>
      </c>
      <c r="H48" s="978">
        <f t="shared" si="2"/>
        <v>-121710.97228897567</v>
      </c>
      <c r="I48" s="978">
        <f t="shared" si="2"/>
        <v>-12843.801984207079</v>
      </c>
      <c r="J48" s="978">
        <f t="shared" si="2"/>
        <v>9309.3196031564421</v>
      </c>
      <c r="K48" s="978">
        <f t="shared" si="2"/>
        <v>-29340.289184703797</v>
      </c>
      <c r="L48" s="978">
        <f t="shared" si="2"/>
        <v>21134.878357725273</v>
      </c>
      <c r="M48" s="995">
        <f t="shared" si="2"/>
        <v>-21267.176545766593</v>
      </c>
      <c r="N48" s="978">
        <f t="shared" si="2"/>
        <v>-10070.001080364811</v>
      </c>
      <c r="O48" s="978">
        <f t="shared" si="2"/>
        <v>-12631.167763047873</v>
      </c>
      <c r="P48" s="978">
        <f t="shared" si="2"/>
        <v>-8901.0723775295919</v>
      </c>
      <c r="Q48" s="978">
        <f t="shared" si="2"/>
        <v>-7734.5103238736665</v>
      </c>
      <c r="R48" s="978">
        <f t="shared" si="2"/>
        <v>-9280.7280394685113</v>
      </c>
      <c r="S48" s="978">
        <f t="shared" si="2"/>
        <v>-9411.4016735668483</v>
      </c>
      <c r="T48" s="978">
        <f t="shared" si="2"/>
        <v>-9606.9554673789953</v>
      </c>
      <c r="U48" s="978">
        <f t="shared" si="2"/>
        <v>-11124.080760652101</v>
      </c>
      <c r="V48" s="978">
        <f t="shared" si="2"/>
        <v>-12735.690706380276</v>
      </c>
      <c r="W48" s="978">
        <f t="shared" si="2"/>
        <v>-14029.035656331665</v>
      </c>
      <c r="X48" s="978">
        <f t="shared" si="2"/>
        <v>-14315.712926098053</v>
      </c>
      <c r="Y48" s="978">
        <f t="shared" si="2"/>
        <v>-14523.432820807102</v>
      </c>
      <c r="Z48" s="978">
        <f t="shared" si="2"/>
        <v>-15070.402437154999</v>
      </c>
      <c r="AA48" s="978">
        <f t="shared" si="2"/>
        <v>-20135.50158565566</v>
      </c>
      <c r="AB48" s="978">
        <f t="shared" si="2"/>
        <v>-18817.468601635152</v>
      </c>
      <c r="AC48" s="978">
        <f t="shared" si="2"/>
        <v>-17588.377514111551</v>
      </c>
      <c r="AD48" s="978">
        <f t="shared" si="2"/>
        <v>-16604.755732303318</v>
      </c>
      <c r="AE48" s="978">
        <f t="shared" si="2"/>
        <v>-15668.931522416728</v>
      </c>
      <c r="AF48" s="978">
        <f t="shared" si="2"/>
        <v>-14924.55041472427</v>
      </c>
      <c r="AG48" s="978">
        <f t="shared" si="2"/>
        <v>-14198.382135757938</v>
      </c>
      <c r="AH48" s="978">
        <f t="shared" si="2"/>
        <v>-13571.659373516753</v>
      </c>
      <c r="AI48" s="978">
        <f t="shared" si="2"/>
        <v>-13051.817431271778</v>
      </c>
      <c r="AJ48" s="978">
        <f t="shared" si="2"/>
        <v>-12669.933902458411</v>
      </c>
      <c r="AK48" s="978">
        <f t="shared" si="2"/>
        <v>-12325.751206169703</v>
      </c>
      <c r="AL48" s="978">
        <f t="shared" si="2"/>
        <v>-11998.126113041659</v>
      </c>
      <c r="AM48" s="978">
        <f t="shared" si="2"/>
        <v>-11684.227106683358</v>
      </c>
      <c r="AN48" s="978">
        <f t="shared" si="2"/>
        <v>-11385.084452823758</v>
      </c>
      <c r="AO48" s="979">
        <f t="shared" si="2"/>
        <v>-11098.598285292564</v>
      </c>
    </row>
    <row r="49" spans="1:41" x14ac:dyDescent="0.8">
      <c r="A49" s="961" t="s">
        <v>91</v>
      </c>
      <c r="B49" s="976">
        <v>1357</v>
      </c>
      <c r="C49" s="966">
        <v>-1166</v>
      </c>
      <c r="D49" s="966">
        <v>-1187</v>
      </c>
      <c r="E49" s="966">
        <v>2471</v>
      </c>
      <c r="F49" s="966">
        <v>-5262</v>
      </c>
      <c r="G49" s="994">
        <v>1268</v>
      </c>
      <c r="H49" s="248"/>
      <c r="I49" s="248"/>
      <c r="J49" s="248"/>
      <c r="K49" s="248"/>
      <c r="L49" s="248"/>
      <c r="M49" s="1000"/>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c r="AK49" s="248"/>
      <c r="AL49" s="248"/>
      <c r="AM49" s="248"/>
      <c r="AN49" s="248"/>
      <c r="AO49" s="971"/>
    </row>
    <row r="50" spans="1:41" x14ac:dyDescent="0.8">
      <c r="A50" s="980" t="s">
        <v>92</v>
      </c>
      <c r="B50" s="981">
        <v>14882</v>
      </c>
      <c r="C50" s="982">
        <f>C52-C51</f>
        <v>23198</v>
      </c>
      <c r="D50" s="982">
        <f t="shared" ref="D50:G50" si="3">D52-D51</f>
        <v>8512</v>
      </c>
      <c r="E50" s="982">
        <f t="shared" si="3"/>
        <v>-8678</v>
      </c>
      <c r="F50" s="982">
        <f t="shared" si="3"/>
        <v>22726</v>
      </c>
      <c r="G50" s="996">
        <f t="shared" si="3"/>
        <v>34642</v>
      </c>
      <c r="H50" s="982">
        <f t="shared" ref="H50:AO50" si="4">H52-H51</f>
        <v>-103288.65312580002</v>
      </c>
      <c r="I50" s="982">
        <f t="shared" si="4"/>
        <v>4969.2414416485117</v>
      </c>
      <c r="J50" s="982">
        <f t="shared" si="4"/>
        <v>-839.12751225948159</v>
      </c>
      <c r="K50" s="982">
        <f t="shared" si="4"/>
        <v>1789.8285768479545</v>
      </c>
      <c r="L50" s="982">
        <f t="shared" si="4"/>
        <v>-2195.9745013557404</v>
      </c>
      <c r="M50" s="996">
        <f t="shared" si="4"/>
        <v>1802.6733810095757</v>
      </c>
      <c r="N50" s="982">
        <f t="shared" si="4"/>
        <v>-6399.2322473651802</v>
      </c>
      <c r="O50" s="982">
        <f t="shared" si="4"/>
        <v>1363.1645914074616</v>
      </c>
      <c r="P50" s="982">
        <f t="shared" si="4"/>
        <v>-3787.8768809567991</v>
      </c>
      <c r="Q50" s="982">
        <f t="shared" si="4"/>
        <v>949.71428942983766</v>
      </c>
      <c r="R50" s="982">
        <f t="shared" si="4"/>
        <v>-3819.6259524824563</v>
      </c>
      <c r="S50" s="982">
        <f t="shared" si="4"/>
        <v>630.64022028146428</v>
      </c>
      <c r="T50" s="982">
        <f t="shared" si="4"/>
        <v>-2671.3795604536281</v>
      </c>
      <c r="U50" s="982">
        <f t="shared" si="4"/>
        <v>416.25578226269863</v>
      </c>
      <c r="V50" s="982">
        <f t="shared" si="4"/>
        <v>-1976.5637206828542</v>
      </c>
      <c r="W50" s="982">
        <f t="shared" si="4"/>
        <v>64.267982396748266</v>
      </c>
      <c r="X50" s="982">
        <f t="shared" si="4"/>
        <v>-1522.8214063343985</v>
      </c>
      <c r="Y50" s="982">
        <f t="shared" si="4"/>
        <v>-1205.4521367075649</v>
      </c>
      <c r="Z50" s="982">
        <f t="shared" si="4"/>
        <v>-1437.069288245053</v>
      </c>
      <c r="AA50" s="982">
        <f t="shared" si="4"/>
        <v>-1145.6330152930532</v>
      </c>
      <c r="AB50" s="982">
        <f t="shared" si="4"/>
        <v>-1280.5552510777634</v>
      </c>
      <c r="AC50" s="982">
        <f t="shared" si="4"/>
        <v>-1075.4560620443081</v>
      </c>
      <c r="AD50" s="982">
        <f t="shared" si="4"/>
        <v>-1148.7258066488284</v>
      </c>
      <c r="AE50" s="982">
        <f t="shared" si="4"/>
        <v>-1001.2944651354992</v>
      </c>
      <c r="AF50" s="982">
        <f t="shared" si="4"/>
        <v>-1035.7081026005399</v>
      </c>
      <c r="AG50" s="982">
        <f t="shared" si="4"/>
        <v>-927.10238805757399</v>
      </c>
      <c r="AH50" s="982">
        <f t="shared" si="4"/>
        <v>-887.95180357238132</v>
      </c>
      <c r="AI50" s="982">
        <f t="shared" si="4"/>
        <v>-845.56960623526174</v>
      </c>
      <c r="AJ50" s="982">
        <f t="shared" si="4"/>
        <v>-809.67980494937001</v>
      </c>
      <c r="AK50" s="982">
        <f t="shared" si="4"/>
        <v>-771.79421748879395</v>
      </c>
      <c r="AL50" s="982">
        <f t="shared" si="4"/>
        <v>-738.74903514880134</v>
      </c>
      <c r="AM50" s="982">
        <f t="shared" si="4"/>
        <v>-704.75039455875958</v>
      </c>
      <c r="AN50" s="982">
        <f t="shared" si="4"/>
        <v>-674.42791169395787</v>
      </c>
      <c r="AO50" s="983">
        <f t="shared" si="4"/>
        <v>-643.8223183707305</v>
      </c>
    </row>
    <row r="51" spans="1:41" ht="16.75" thickBot="1" x14ac:dyDescent="0.95">
      <c r="A51" s="936" t="s">
        <v>93</v>
      </c>
      <c r="B51" s="1014">
        <v>60524</v>
      </c>
      <c r="C51" s="1014">
        <f>B52</f>
        <v>75406</v>
      </c>
      <c r="D51" s="1014">
        <f>C52</f>
        <v>98604</v>
      </c>
      <c r="E51" s="1014">
        <f t="shared" ref="E51:G51" si="5">D52</f>
        <v>107116</v>
      </c>
      <c r="F51" s="1014">
        <f t="shared" si="5"/>
        <v>98438</v>
      </c>
      <c r="G51" s="1015">
        <f t="shared" si="5"/>
        <v>121164</v>
      </c>
      <c r="H51" s="1014">
        <f>G52</f>
        <v>155806</v>
      </c>
      <c r="I51" s="1014">
        <f t="shared" ref="I51:AO51" si="6">H52</f>
        <v>52517.346874199982</v>
      </c>
      <c r="J51" s="1014">
        <f t="shared" si="6"/>
        <v>57486.588315848494</v>
      </c>
      <c r="K51" s="1014">
        <f t="shared" si="6"/>
        <v>56647.460803589012</v>
      </c>
      <c r="L51" s="1014">
        <f t="shared" si="6"/>
        <v>58437.289380436967</v>
      </c>
      <c r="M51" s="1015">
        <f t="shared" si="6"/>
        <v>56241.314879081227</v>
      </c>
      <c r="N51" s="1014">
        <f t="shared" si="6"/>
        <v>58043.988260090802</v>
      </c>
      <c r="O51" s="1014">
        <f t="shared" si="6"/>
        <v>51644.756012725622</v>
      </c>
      <c r="P51" s="1014">
        <f t="shared" si="6"/>
        <v>53007.920604133084</v>
      </c>
      <c r="Q51" s="1014">
        <f t="shared" si="6"/>
        <v>49220.043723176284</v>
      </c>
      <c r="R51" s="1014">
        <f t="shared" si="6"/>
        <v>50169.758012606122</v>
      </c>
      <c r="S51" s="1014">
        <f t="shared" si="6"/>
        <v>46350.132060123666</v>
      </c>
      <c r="T51" s="1014">
        <f t="shared" si="6"/>
        <v>46980.77228040513</v>
      </c>
      <c r="U51" s="1014">
        <f t="shared" si="6"/>
        <v>44309.392719951502</v>
      </c>
      <c r="V51" s="1014">
        <f t="shared" si="6"/>
        <v>44725.648502214201</v>
      </c>
      <c r="W51" s="1014">
        <f t="shared" si="6"/>
        <v>42749.084781531346</v>
      </c>
      <c r="X51" s="1014">
        <f t="shared" si="6"/>
        <v>42813.352763928095</v>
      </c>
      <c r="Y51" s="1014">
        <f t="shared" si="6"/>
        <v>41290.531357593696</v>
      </c>
      <c r="Z51" s="1014">
        <f t="shared" si="6"/>
        <v>40085.079220886131</v>
      </c>
      <c r="AA51" s="1014">
        <f t="shared" si="6"/>
        <v>38648.009932641078</v>
      </c>
      <c r="AB51" s="1014">
        <f t="shared" si="6"/>
        <v>37502.376917348025</v>
      </c>
      <c r="AC51" s="1014">
        <f t="shared" si="6"/>
        <v>36221.821666270262</v>
      </c>
      <c r="AD51" s="1014">
        <f t="shared" si="6"/>
        <v>35146.365604225954</v>
      </c>
      <c r="AE51" s="1014">
        <f t="shared" si="6"/>
        <v>33997.639797577125</v>
      </c>
      <c r="AF51" s="1014">
        <f t="shared" si="6"/>
        <v>32996.345332441626</v>
      </c>
      <c r="AG51" s="1014">
        <f t="shared" si="6"/>
        <v>31960.637229841086</v>
      </c>
      <c r="AH51" s="1014">
        <f t="shared" si="6"/>
        <v>31033.534841783512</v>
      </c>
      <c r="AI51" s="1014">
        <f t="shared" si="6"/>
        <v>30145.583038211131</v>
      </c>
      <c r="AJ51" s="1014">
        <f t="shared" si="6"/>
        <v>29300.013431975869</v>
      </c>
      <c r="AK51" s="1014">
        <f t="shared" si="6"/>
        <v>28490.333627026499</v>
      </c>
      <c r="AL51" s="1014">
        <f t="shared" si="6"/>
        <v>27718.539409537705</v>
      </c>
      <c r="AM51" s="1014">
        <f t="shared" si="6"/>
        <v>26979.790374388904</v>
      </c>
      <c r="AN51" s="1014">
        <f t="shared" si="6"/>
        <v>26275.039979830144</v>
      </c>
      <c r="AO51" s="1016">
        <f t="shared" si="6"/>
        <v>25600.612068136186</v>
      </c>
    </row>
    <row r="52" spans="1:41" ht="16.75" thickBot="1" x14ac:dyDescent="0.95">
      <c r="A52" s="1010" t="s">
        <v>94</v>
      </c>
      <c r="B52" s="1011">
        <f>SUM(B50:B51)</f>
        <v>75406</v>
      </c>
      <c r="C52" s="1011">
        <f>C51+C27+C35+C48+C49</f>
        <v>98604</v>
      </c>
      <c r="D52" s="1011">
        <f t="shared" ref="D52:G52" si="7">D51+D27+D35+D48+D49</f>
        <v>107116</v>
      </c>
      <c r="E52" s="1011">
        <f t="shared" si="7"/>
        <v>98438</v>
      </c>
      <c r="F52" s="1011">
        <f t="shared" si="7"/>
        <v>121164</v>
      </c>
      <c r="G52" s="1012">
        <f t="shared" si="7"/>
        <v>155806</v>
      </c>
      <c r="H52" s="1011">
        <f>H51+H27+H35+H48+H49</f>
        <v>52517.346874199982</v>
      </c>
      <c r="I52" s="1011">
        <f t="shared" ref="I52:AO52" si="8">I51+I27+I35+I48+I49</f>
        <v>57486.588315848494</v>
      </c>
      <c r="J52" s="1011">
        <f t="shared" si="8"/>
        <v>56647.460803589012</v>
      </c>
      <c r="K52" s="1011">
        <f t="shared" si="8"/>
        <v>58437.289380436967</v>
      </c>
      <c r="L52" s="1011">
        <f t="shared" si="8"/>
        <v>56241.314879081227</v>
      </c>
      <c r="M52" s="1012">
        <f t="shared" si="8"/>
        <v>58043.988260090802</v>
      </c>
      <c r="N52" s="1011">
        <f t="shared" si="8"/>
        <v>51644.756012725622</v>
      </c>
      <c r="O52" s="1011">
        <f t="shared" si="8"/>
        <v>53007.920604133084</v>
      </c>
      <c r="P52" s="1011">
        <f t="shared" si="8"/>
        <v>49220.043723176284</v>
      </c>
      <c r="Q52" s="1011">
        <f t="shared" si="8"/>
        <v>50169.758012606122</v>
      </c>
      <c r="R52" s="1011">
        <f t="shared" si="8"/>
        <v>46350.132060123666</v>
      </c>
      <c r="S52" s="1011">
        <f t="shared" si="8"/>
        <v>46980.77228040513</v>
      </c>
      <c r="T52" s="1011">
        <f t="shared" si="8"/>
        <v>44309.392719951502</v>
      </c>
      <c r="U52" s="1011">
        <f t="shared" si="8"/>
        <v>44725.648502214201</v>
      </c>
      <c r="V52" s="1011">
        <f t="shared" si="8"/>
        <v>42749.084781531346</v>
      </c>
      <c r="W52" s="1011">
        <f t="shared" si="8"/>
        <v>42813.352763928095</v>
      </c>
      <c r="X52" s="1011">
        <f t="shared" si="8"/>
        <v>41290.531357593696</v>
      </c>
      <c r="Y52" s="1011">
        <f t="shared" si="8"/>
        <v>40085.079220886131</v>
      </c>
      <c r="Z52" s="1011">
        <f t="shared" si="8"/>
        <v>38648.009932641078</v>
      </c>
      <c r="AA52" s="1011">
        <f t="shared" si="8"/>
        <v>37502.376917348025</v>
      </c>
      <c r="AB52" s="1011">
        <f t="shared" si="8"/>
        <v>36221.821666270262</v>
      </c>
      <c r="AC52" s="1011">
        <f t="shared" si="8"/>
        <v>35146.365604225954</v>
      </c>
      <c r="AD52" s="1011">
        <f t="shared" si="8"/>
        <v>33997.639797577125</v>
      </c>
      <c r="AE52" s="1011">
        <f t="shared" si="8"/>
        <v>32996.345332441626</v>
      </c>
      <c r="AF52" s="1011">
        <f t="shared" si="8"/>
        <v>31960.637229841086</v>
      </c>
      <c r="AG52" s="1011">
        <f t="shared" si="8"/>
        <v>31033.534841783512</v>
      </c>
      <c r="AH52" s="1011">
        <f t="shared" si="8"/>
        <v>30145.583038211131</v>
      </c>
      <c r="AI52" s="1011">
        <f t="shared" si="8"/>
        <v>29300.013431975869</v>
      </c>
      <c r="AJ52" s="1011">
        <f t="shared" si="8"/>
        <v>28490.333627026499</v>
      </c>
      <c r="AK52" s="1011">
        <f t="shared" si="8"/>
        <v>27718.539409537705</v>
      </c>
      <c r="AL52" s="1011">
        <f t="shared" si="8"/>
        <v>26979.790374388904</v>
      </c>
      <c r="AM52" s="1011">
        <f t="shared" si="8"/>
        <v>26275.039979830144</v>
      </c>
      <c r="AN52" s="1011">
        <f t="shared" si="8"/>
        <v>25600.612068136186</v>
      </c>
      <c r="AO52" s="1013">
        <f t="shared" si="8"/>
        <v>24956.789749765456</v>
      </c>
    </row>
    <row r="53" spans="1:41" x14ac:dyDescent="0.8">
      <c r="A53" s="3" t="s">
        <v>95</v>
      </c>
      <c r="B53" s="5"/>
      <c r="C53" s="5"/>
      <c r="D53" s="5"/>
      <c r="E53" s="5"/>
      <c r="F53" s="5"/>
      <c r="G53" s="5"/>
      <c r="I53" s="5"/>
      <c r="J53" s="5"/>
      <c r="K53" s="5"/>
      <c r="L53" s="5"/>
      <c r="M53" s="5"/>
    </row>
    <row r="54" spans="1:41" x14ac:dyDescent="0.8">
      <c r="A54" s="1" t="s">
        <v>96</v>
      </c>
      <c r="B54" s="5">
        <v>1045</v>
      </c>
      <c r="C54" s="5">
        <v>1129</v>
      </c>
      <c r="D54" s="5">
        <v>897</v>
      </c>
      <c r="E54" s="5">
        <v>801</v>
      </c>
      <c r="F54" s="5">
        <v>2172</v>
      </c>
      <c r="G54" s="5">
        <v>1992</v>
      </c>
    </row>
    <row r="55" spans="1:41" x14ac:dyDescent="0.8">
      <c r="A55" s="1" t="s">
        <v>97</v>
      </c>
      <c r="B55" s="5">
        <v>14238</v>
      </c>
      <c r="C55" s="5">
        <v>11329</v>
      </c>
      <c r="D55" s="5">
        <v>126</v>
      </c>
      <c r="E55" s="5">
        <v>4760</v>
      </c>
      <c r="F55" s="5">
        <v>1416</v>
      </c>
      <c r="G55" s="5">
        <v>5669</v>
      </c>
    </row>
    <row r="56" spans="1:41" x14ac:dyDescent="0.8">
      <c r="A56" s="3" t="s">
        <v>98</v>
      </c>
      <c r="B56" s="5"/>
      <c r="C56" s="5"/>
      <c r="D56" s="5"/>
      <c r="E56" s="5"/>
      <c r="F56" s="5"/>
      <c r="G56" s="5"/>
    </row>
    <row r="57" spans="1:41" x14ac:dyDescent="0.8">
      <c r="A57" s="1" t="s">
        <v>99</v>
      </c>
      <c r="B57" s="5">
        <v>4780</v>
      </c>
      <c r="C57" s="5">
        <v>5764</v>
      </c>
      <c r="D57" s="5">
        <v>0</v>
      </c>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row>
  </sheetData>
  <mergeCells count="3">
    <mergeCell ref="B1:G2"/>
    <mergeCell ref="H1:M2"/>
    <mergeCell ref="N1:AO2"/>
  </mergeCells>
  <hyperlinks>
    <hyperlink ref="A1" location="'Cover Page '!A1" display="Back to cover page"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AP54"/>
  <sheetViews>
    <sheetView showGridLines="0" zoomScale="85" zoomScaleNormal="85" zoomScalePageLayoutView="85" workbookViewId="0">
      <pane xSplit="1" ySplit="3" topLeftCell="B4" activePane="bottomRight" state="frozen"/>
      <selection activeCell="B1" sqref="B1:AO3"/>
      <selection pane="topRight" activeCell="B1" sqref="B1:AO3"/>
      <selection pane="bottomLeft" activeCell="B1" sqref="B1:AO3"/>
      <selection pane="bottomRight"/>
    </sheetView>
  </sheetViews>
  <sheetFormatPr defaultColWidth="8.83203125" defaultRowHeight="16" x14ac:dyDescent="0.8"/>
  <cols>
    <col min="1" max="1" width="80.1640625" bestFit="1" customWidth="1"/>
    <col min="2" max="7" width="5.1640625" style="132" bestFit="1" customWidth="1"/>
    <col min="8" max="8" width="13.1640625" style="132" bestFit="1" customWidth="1"/>
    <col min="9" max="9" width="12.1640625" style="132" bestFit="1" customWidth="1"/>
    <col min="10" max="10" width="11.1640625" bestFit="1" customWidth="1"/>
    <col min="11" max="41" width="12.1640625" bestFit="1" customWidth="1"/>
    <col min="42" max="42" width="16.6640625" bestFit="1" customWidth="1"/>
  </cols>
  <sheetData>
    <row r="1" spans="1:41" ht="18.5" x14ac:dyDescent="0.9">
      <c r="A1" s="1195" t="s">
        <v>533</v>
      </c>
      <c r="B1" s="1668" t="s">
        <v>445</v>
      </c>
      <c r="C1" s="1668"/>
      <c r="D1" s="1668"/>
      <c r="E1" s="1668"/>
      <c r="F1" s="1668"/>
      <c r="G1" s="1653"/>
      <c r="H1" s="1664"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41" x14ac:dyDescent="0.8">
      <c r="B2" s="1668"/>
      <c r="C2" s="1668"/>
      <c r="D2" s="1668"/>
      <c r="E2" s="1668"/>
      <c r="F2" s="1668"/>
      <c r="G2" s="1653"/>
      <c r="H2" s="1664"/>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41" ht="16.75" thickBot="1" x14ac:dyDescent="0.95">
      <c r="A3" s="244"/>
      <c r="B3" s="313">
        <v>2011</v>
      </c>
      <c r="C3" s="803">
        <v>2012</v>
      </c>
      <c r="D3" s="803">
        <v>2013</v>
      </c>
      <c r="E3" s="803">
        <v>2014</v>
      </c>
      <c r="F3" s="803">
        <v>2015</v>
      </c>
      <c r="G3" s="255">
        <v>2016</v>
      </c>
      <c r="H3" s="256">
        <v>2017</v>
      </c>
      <c r="I3" s="256">
        <v>2018</v>
      </c>
      <c r="J3" s="256">
        <v>2019</v>
      </c>
      <c r="K3" s="256">
        <v>2020</v>
      </c>
      <c r="L3" s="256">
        <v>2021</v>
      </c>
      <c r="M3" s="256">
        <v>2022</v>
      </c>
      <c r="N3" s="251">
        <v>2023</v>
      </c>
      <c r="O3" s="254">
        <v>2024</v>
      </c>
      <c r="P3" s="254">
        <v>2025</v>
      </c>
      <c r="Q3" s="254">
        <v>2026</v>
      </c>
      <c r="R3" s="254">
        <v>2027</v>
      </c>
      <c r="S3" s="254">
        <v>2028</v>
      </c>
      <c r="T3" s="254">
        <v>2029</v>
      </c>
      <c r="U3" s="254">
        <v>2030</v>
      </c>
      <c r="V3" s="254">
        <v>2031</v>
      </c>
      <c r="W3" s="254">
        <v>2032</v>
      </c>
      <c r="X3" s="254">
        <v>2033</v>
      </c>
      <c r="Y3" s="254">
        <v>2034</v>
      </c>
      <c r="Z3" s="254">
        <v>2035</v>
      </c>
      <c r="AA3" s="254">
        <v>2036</v>
      </c>
      <c r="AB3" s="254">
        <v>2037</v>
      </c>
      <c r="AC3" s="254">
        <v>2038</v>
      </c>
      <c r="AD3" s="254">
        <v>2039</v>
      </c>
      <c r="AE3" s="254">
        <v>2040</v>
      </c>
      <c r="AF3" s="254">
        <v>2041</v>
      </c>
      <c r="AG3" s="254">
        <v>2042</v>
      </c>
      <c r="AH3" s="254">
        <v>2043</v>
      </c>
      <c r="AI3" s="254">
        <v>2044</v>
      </c>
      <c r="AJ3" s="254">
        <v>2045</v>
      </c>
      <c r="AK3" s="254">
        <v>2046</v>
      </c>
      <c r="AL3" s="254">
        <v>2047</v>
      </c>
      <c r="AM3" s="254">
        <v>2048</v>
      </c>
      <c r="AN3" s="254">
        <v>2049</v>
      </c>
      <c r="AO3" s="254">
        <v>2050</v>
      </c>
    </row>
    <row r="4" spans="1:41" x14ac:dyDescent="0.8">
      <c r="A4" s="36" t="s">
        <v>333</v>
      </c>
      <c r="B4" s="664"/>
      <c r="C4" s="664"/>
      <c r="D4" s="664"/>
      <c r="E4" s="664"/>
      <c r="F4" s="664"/>
      <c r="G4" s="1142"/>
      <c r="H4" s="939">
        <f>'Income Statement '!H16</f>
        <v>18460.77509026503</v>
      </c>
      <c r="I4" s="939">
        <f>'Income Statement '!I16</f>
        <v>25902.524346885984</v>
      </c>
      <c r="J4" s="939">
        <f>'Income Statement '!J16</f>
        <v>20392.337141407494</v>
      </c>
      <c r="K4" s="939">
        <f>'Income Statement '!K16</f>
        <v>20756.095538348891</v>
      </c>
      <c r="L4" s="939">
        <f>'Income Statement '!L16</f>
        <v>13212.361701511225</v>
      </c>
      <c r="M4" s="1144">
        <f>'Income Statement '!M16</f>
        <v>20369.503163831017</v>
      </c>
      <c r="N4" s="939">
        <f>'Income Statement '!N16</f>
        <v>20150.249767723275</v>
      </c>
      <c r="O4" s="939">
        <f>'Income Statement '!O16</f>
        <v>18093.171488296764</v>
      </c>
      <c r="P4" s="939">
        <f>'Income Statement '!P16</f>
        <v>17362.577115057938</v>
      </c>
      <c r="Q4" s="939">
        <f>'Income Statement '!Q16</f>
        <v>13575.686759213204</v>
      </c>
      <c r="R4" s="939">
        <f>'Income Statement '!R16</f>
        <v>5932.4592235721939</v>
      </c>
      <c r="S4" s="939">
        <f>'Income Statement '!S16</f>
        <v>4076.8476819293719</v>
      </c>
      <c r="T4" s="939">
        <f>'Income Statement '!T16</f>
        <v>4163.8158052221115</v>
      </c>
      <c r="U4" s="939">
        <f>'Income Statement '!U16</f>
        <v>5349.9066595470795</v>
      </c>
      <c r="V4" s="939">
        <f>'Income Statement '!V16</f>
        <v>7771.8361647282291</v>
      </c>
      <c r="W4" s="939">
        <f>'Income Statement '!W16</f>
        <v>8816.0722116157413</v>
      </c>
      <c r="X4" s="939">
        <f>'Income Statement '!X16</f>
        <v>9013.9374894318316</v>
      </c>
      <c r="Y4" s="939">
        <f>'Income Statement '!Y16</f>
        <v>9531.6861115250067</v>
      </c>
      <c r="Z4" s="939">
        <f>'Income Statement '!Z16</f>
        <v>10574.846814938268</v>
      </c>
      <c r="AA4" s="939">
        <f>'Income Statement '!AA16</f>
        <v>11532.709309973237</v>
      </c>
      <c r="AB4" s="939">
        <f>'Income Statement '!AB16</f>
        <v>13179.59933906576</v>
      </c>
      <c r="AC4" s="939">
        <f>'Income Statement '!AC16</f>
        <v>14547.029903659837</v>
      </c>
      <c r="AD4" s="939">
        <f>'Income Statement '!AD16</f>
        <v>15517.215388820499</v>
      </c>
      <c r="AE4" s="939">
        <f>'Income Statement '!AE16</f>
        <v>16112.250795678745</v>
      </c>
      <c r="AF4" s="939">
        <f>'Income Statement '!AF16</f>
        <v>16467.063881074748</v>
      </c>
      <c r="AG4" s="939">
        <f>'Income Statement '!AG16</f>
        <v>16705.987848103236</v>
      </c>
      <c r="AH4" s="939">
        <f>'Income Statement '!AH16</f>
        <v>16817.705875559215</v>
      </c>
      <c r="AI4" s="939">
        <f>'Income Statement '!AI16</f>
        <v>16311.598107882332</v>
      </c>
      <c r="AJ4" s="939">
        <f>'Income Statement '!AJ16</f>
        <v>15826.781530321117</v>
      </c>
      <c r="AK4" s="939">
        <f>'Income Statement '!AK16</f>
        <v>15364.70167411671</v>
      </c>
      <c r="AL4" s="939">
        <f>'Income Statement '!AL16</f>
        <v>14922.25646366008</v>
      </c>
      <c r="AM4" s="939">
        <f>'Income Statement '!AM16</f>
        <v>14500.181852041242</v>
      </c>
      <c r="AN4" s="939">
        <f>'Income Statement '!AN16</f>
        <v>14096.244243144436</v>
      </c>
      <c r="AO4" s="940">
        <f>'Income Statement '!AO16</f>
        <v>13710.641026319034</v>
      </c>
    </row>
    <row r="5" spans="1:41" x14ac:dyDescent="0.8">
      <c r="A5" s="22" t="s">
        <v>334</v>
      </c>
      <c r="B5" s="186"/>
      <c r="C5" s="186"/>
      <c r="D5" s="186"/>
      <c r="E5" s="186"/>
      <c r="F5" s="186"/>
      <c r="G5" s="1136"/>
      <c r="H5" s="941">
        <f>-'NOL Schedule Unlevered'!D13+'NOL Schedule Unlevered'!D14</f>
        <v>-5478.672346700906</v>
      </c>
      <c r="I5" s="941">
        <f>-'NOL Schedule Unlevered'!E13+'NOL Schedule Unlevered'!E14</f>
        <v>-6464.3384621760833</v>
      </c>
      <c r="J5" s="941">
        <f>-'NOL Schedule Unlevered'!F13+'NOL Schedule Unlevered'!F14</f>
        <v>-4950.5403095034453</v>
      </c>
      <c r="K5" s="941">
        <f>-'NOL Schedule Unlevered'!G13+'NOL Schedule Unlevered'!G14</f>
        <v>-5382.1677468851358</v>
      </c>
      <c r="L5" s="941">
        <f>-'NOL Schedule Unlevered'!H13+'NOL Schedule Unlevered'!H14</f>
        <v>-4711.1254781424368</v>
      </c>
      <c r="M5" s="1145">
        <f>-'NOL Schedule Unlevered'!I13+'NOL Schedule Unlevered'!I14</f>
        <v>-6999.2955178848424</v>
      </c>
      <c r="N5" s="941">
        <f>-'NOL Schedule Unlevered'!J13+'NOL Schedule Unlevered'!J14</f>
        <v>-6247.0050003569959</v>
      </c>
      <c r="O5" s="941">
        <f>-'NOL Schedule Unlevered'!K13+'NOL Schedule Unlevered'!K14</f>
        <v>-5445.0611848079079</v>
      </c>
      <c r="P5" s="941">
        <f>-'NOL Schedule Unlevered'!L13+'NOL Schedule Unlevered'!L14</f>
        <v>-5366.6822223332219</v>
      </c>
      <c r="Q5" s="941">
        <f>-'NOL Schedule Unlevered'!M13+'NOL Schedule Unlevered'!M14</f>
        <v>-4093.9723781758771</v>
      </c>
      <c r="R5" s="941">
        <f>-'NOL Schedule Unlevered'!N13+'NOL Schedule Unlevered'!N14</f>
        <v>-1812.967846521369</v>
      </c>
      <c r="S5" s="941">
        <f>-'NOL Schedule Unlevered'!O13+'NOL Schedule Unlevered'!O14</f>
        <v>-1238.2252323344385</v>
      </c>
      <c r="T5" s="941">
        <f>-'NOL Schedule Unlevered'!P13+'NOL Schedule Unlevered'!P14</f>
        <v>-1264.2951248056286</v>
      </c>
      <c r="U5" s="941">
        <f>-'NOL Schedule Unlevered'!Q13+'NOL Schedule Unlevered'!Q14</f>
        <v>-1628.0916958083253</v>
      </c>
      <c r="V5" s="941">
        <f>-'NOL Schedule Unlevered'!R13+'NOL Schedule Unlevered'!R14</f>
        <v>-2361.8139946905885</v>
      </c>
      <c r="W5" s="941">
        <f>-'NOL Schedule Unlevered'!S13+'NOL Schedule Unlevered'!S14</f>
        <v>-2679.6597165265875</v>
      </c>
      <c r="X5" s="941">
        <f>-'NOL Schedule Unlevered'!T13+'NOL Schedule Unlevered'!T14</f>
        <v>-2740.7397410005474</v>
      </c>
      <c r="Y5" s="941">
        <f>-'NOL Schedule Unlevered'!U13+'NOL Schedule Unlevered'!U14</f>
        <v>-2897.3192559793383</v>
      </c>
      <c r="Z5" s="941">
        <f>-'NOL Schedule Unlevered'!V13+'NOL Schedule Unlevered'!V14</f>
        <v>-3214.663834202508</v>
      </c>
      <c r="AA5" s="941">
        <f>-'NOL Schedule Unlevered'!W13+'NOL Schedule Unlevered'!W14</f>
        <v>-3505.999141295008</v>
      </c>
      <c r="AB5" s="941">
        <f>-'NOL Schedule Unlevered'!X13+'NOL Schedule Unlevered'!X14</f>
        <v>-4006.4377132282075</v>
      </c>
      <c r="AC5" s="941">
        <f>-'NOL Schedule Unlevered'!Y13+'NOL Schedule Unlevered'!Y14</f>
        <v>-4422.2203041416224</v>
      </c>
      <c r="AD5" s="941">
        <f>-'NOL Schedule Unlevered'!Z13+'NOL Schedule Unlevered'!Z14</f>
        <v>-4717.1680910058767</v>
      </c>
      <c r="AE5" s="941">
        <f>-'NOL Schedule Unlevered'!AA13+'NOL Schedule Unlevered'!AA14</f>
        <v>-4898.0563473016973</v>
      </c>
      <c r="AF5" s="941">
        <f>-'NOL Schedule Unlevered'!AB13+'NOL Schedule Unlevered'!AB14</f>
        <v>-5005.9180301334773</v>
      </c>
      <c r="AG5" s="941">
        <f>-'NOL Schedule Unlevered'!AC13+'NOL Schedule Unlevered'!AC14</f>
        <v>-5078.5499093207254</v>
      </c>
      <c r="AH5" s="941">
        <f>-'NOL Schedule Unlevered'!AD13+'NOL Schedule Unlevered'!AD14</f>
        <v>-5112.5117189044959</v>
      </c>
      <c r="AI5" s="941">
        <f>-'NOL Schedule Unlevered'!AE13+'NOL Schedule Unlevered'!AE14</f>
        <v>-4958.6570901922059</v>
      </c>
      <c r="AJ5" s="941">
        <f>-'NOL Schedule Unlevered'!AF13+'NOL Schedule Unlevered'!AF14</f>
        <v>-4811.2748935572281</v>
      </c>
      <c r="AK5" s="941">
        <f>-'NOL Schedule Unlevered'!AG13+'NOL Schedule Unlevered'!AG14</f>
        <v>-4670.8045644056201</v>
      </c>
      <c r="AL5" s="941">
        <f>-'NOL Schedule Unlevered'!AH13+'NOL Schedule Unlevered'!AH14</f>
        <v>-4536.3030848239132</v>
      </c>
      <c r="AM5" s="941">
        <f>-'NOL Schedule Unlevered'!AI13+'NOL Schedule Unlevered'!AI14</f>
        <v>-4407.9941814502763</v>
      </c>
      <c r="AN5" s="941">
        <f>-'NOL Schedule Unlevered'!AJ13+'NOL Schedule Unlevered'!AJ14</f>
        <v>-4285.1988504775545</v>
      </c>
      <c r="AO5" s="942">
        <f>-'NOL Schedule Unlevered'!AK13+'NOL Schedule Unlevered'!AK14</f>
        <v>-4167.9770974361882</v>
      </c>
    </row>
    <row r="6" spans="1:41" s="170" customFormat="1" x14ac:dyDescent="0.8">
      <c r="A6" s="943" t="s">
        <v>335</v>
      </c>
      <c r="B6" s="174"/>
      <c r="C6" s="174"/>
      <c r="D6" s="174"/>
      <c r="E6" s="174"/>
      <c r="F6" s="174"/>
      <c r="G6" s="1143"/>
      <c r="H6" s="174">
        <f>H4+H5</f>
        <v>12982.102743564123</v>
      </c>
      <c r="I6" s="174">
        <f t="shared" ref="I6:AO6" si="0">I4+I5</f>
        <v>19438.185884709899</v>
      </c>
      <c r="J6" s="174">
        <f t="shared" si="0"/>
        <v>15441.796831904048</v>
      </c>
      <c r="K6" s="174">
        <f t="shared" si="0"/>
        <v>15373.927791463755</v>
      </c>
      <c r="L6" s="174">
        <f t="shared" si="0"/>
        <v>8501.2362233687891</v>
      </c>
      <c r="M6" s="1143">
        <f t="shared" si="0"/>
        <v>13370.207645946175</v>
      </c>
      <c r="N6" s="174">
        <f t="shared" si="0"/>
        <v>13903.244767366279</v>
      </c>
      <c r="O6" s="174">
        <f t="shared" si="0"/>
        <v>12648.110303488857</v>
      </c>
      <c r="P6" s="174">
        <f t="shared" si="0"/>
        <v>11995.894892724717</v>
      </c>
      <c r="Q6" s="174">
        <f t="shared" si="0"/>
        <v>9481.7143810373273</v>
      </c>
      <c r="R6" s="174">
        <f t="shared" si="0"/>
        <v>4119.4913770508247</v>
      </c>
      <c r="S6" s="174">
        <f t="shared" si="0"/>
        <v>2838.6224495949336</v>
      </c>
      <c r="T6" s="174">
        <f t="shared" si="0"/>
        <v>2899.5206804164827</v>
      </c>
      <c r="U6" s="174">
        <f t="shared" si="0"/>
        <v>3721.8149637387542</v>
      </c>
      <c r="V6" s="174">
        <f t="shared" si="0"/>
        <v>5410.0221700376405</v>
      </c>
      <c r="W6" s="174">
        <f t="shared" si="0"/>
        <v>6136.4124950891537</v>
      </c>
      <c r="X6" s="174">
        <f t="shared" si="0"/>
        <v>6273.1977484312847</v>
      </c>
      <c r="Y6" s="174">
        <f t="shared" si="0"/>
        <v>6634.3668555456679</v>
      </c>
      <c r="Z6" s="174">
        <f t="shared" si="0"/>
        <v>7360.1829807357599</v>
      </c>
      <c r="AA6" s="174">
        <f t="shared" si="0"/>
        <v>8026.7101686782298</v>
      </c>
      <c r="AB6" s="174">
        <f t="shared" si="0"/>
        <v>9173.1616258375525</v>
      </c>
      <c r="AC6" s="174">
        <f t="shared" si="0"/>
        <v>10124.809599518216</v>
      </c>
      <c r="AD6" s="174">
        <f t="shared" si="0"/>
        <v>10800.047297814623</v>
      </c>
      <c r="AE6" s="174">
        <f t="shared" si="0"/>
        <v>11214.194448377048</v>
      </c>
      <c r="AF6" s="174">
        <f t="shared" si="0"/>
        <v>11461.14585094127</v>
      </c>
      <c r="AG6" s="174">
        <f t="shared" si="0"/>
        <v>11627.43793878251</v>
      </c>
      <c r="AH6" s="174">
        <f t="shared" si="0"/>
        <v>11705.194156654719</v>
      </c>
      <c r="AI6" s="174">
        <f t="shared" si="0"/>
        <v>11352.941017690126</v>
      </c>
      <c r="AJ6" s="174">
        <f t="shared" si="0"/>
        <v>11015.50663676389</v>
      </c>
      <c r="AK6" s="174">
        <f t="shared" si="0"/>
        <v>10693.89710971109</v>
      </c>
      <c r="AL6" s="174">
        <f t="shared" si="0"/>
        <v>10385.953378836166</v>
      </c>
      <c r="AM6" s="174">
        <f t="shared" si="0"/>
        <v>10092.187670590965</v>
      </c>
      <c r="AN6" s="174">
        <f t="shared" si="0"/>
        <v>9811.0453926668815</v>
      </c>
      <c r="AO6" s="944">
        <f t="shared" si="0"/>
        <v>9542.6639288828446</v>
      </c>
    </row>
    <row r="7" spans="1:41" x14ac:dyDescent="0.8">
      <c r="A7" s="55"/>
      <c r="B7" s="186"/>
      <c r="C7" s="186"/>
      <c r="D7" s="186"/>
      <c r="E7" s="186"/>
      <c r="F7" s="186"/>
      <c r="G7" s="1136"/>
      <c r="H7" s="186"/>
      <c r="I7" s="186"/>
      <c r="J7" s="186"/>
      <c r="K7" s="186"/>
      <c r="L7" s="186"/>
      <c r="M7" s="113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668"/>
    </row>
    <row r="8" spans="1:41" x14ac:dyDescent="0.8">
      <c r="A8" s="55" t="s">
        <v>348</v>
      </c>
      <c r="B8" s="186"/>
      <c r="C8" s="186"/>
      <c r="D8" s="186"/>
      <c r="E8" s="186"/>
      <c r="F8" s="186"/>
      <c r="G8" s="1136"/>
      <c r="H8" s="186"/>
      <c r="I8" s="186"/>
      <c r="J8" s="186"/>
      <c r="K8" s="186"/>
      <c r="L8" s="186"/>
      <c r="M8" s="113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668"/>
    </row>
    <row r="9" spans="1:41" x14ac:dyDescent="0.8">
      <c r="A9" s="288" t="s">
        <v>62</v>
      </c>
      <c r="B9" s="186"/>
      <c r="C9" s="186"/>
      <c r="D9" s="186"/>
      <c r="E9" s="186"/>
      <c r="F9" s="186"/>
      <c r="G9" s="1136"/>
      <c r="H9" s="656">
        <f>SUM('Income Statement '!H10,'Income Statement '!H11)</f>
        <v>19438.472065510494</v>
      </c>
      <c r="I9" s="656">
        <f>SUM('Income Statement '!I10,'Income Statement '!I11)</f>
        <v>16673.541357853588</v>
      </c>
      <c r="J9" s="656">
        <f>SUM('Income Statement '!J10,'Income Statement '!J11)</f>
        <v>22335.114329460212</v>
      </c>
      <c r="K9" s="656">
        <f>SUM('Income Statement '!K10,'Income Statement '!K11)</f>
        <v>23809.102626438114</v>
      </c>
      <c r="L9" s="656">
        <f>SUM('Income Statement '!L10,'Income Statement '!L11)</f>
        <v>29850.609176589638</v>
      </c>
      <c r="M9" s="1141">
        <f>SUM('Income Statement '!M10,'Income Statement '!M11)</f>
        <v>26221.465601328131</v>
      </c>
      <c r="N9" s="656">
        <f>SUM('Income Statement '!N10,'Income Statement '!N11)</f>
        <v>24090.310857201028</v>
      </c>
      <c r="O9" s="656">
        <f>SUM('Income Statement '!O10,'Income Statement '!O11)</f>
        <v>27315.119810639302</v>
      </c>
      <c r="P9" s="656">
        <f>SUM('Income Statement '!P10,'Income Statement '!P11)</f>
        <v>24800.896902711662</v>
      </c>
      <c r="Q9" s="656">
        <f>SUM('Income Statement '!Q10,'Income Statement '!Q11)</f>
        <v>26267.635518792391</v>
      </c>
      <c r="R9" s="656">
        <f>SUM('Income Statement '!R10,'Income Statement '!R11)</f>
        <v>29820.188087704275</v>
      </c>
      <c r="S9" s="656">
        <f>SUM('Income Statement '!S10,'Income Statement '!S11)</f>
        <v>31137.434700878421</v>
      </c>
      <c r="T9" s="656">
        <f>SUM('Income Statement '!T10,'Income Statement '!T11)</f>
        <v>28124.125689296583</v>
      </c>
      <c r="U9" s="656">
        <f>SUM('Income Statement '!U10,'Income Statement '!U11)</f>
        <v>26349.976875196677</v>
      </c>
      <c r="V9" s="656">
        <f>SUM('Income Statement '!V10,'Income Statement '!V11)</f>
        <v>21713.129056519298</v>
      </c>
      <c r="W9" s="656">
        <f>SUM('Income Statement '!W10,'Income Statement '!W11)</f>
        <v>19934.55960928485</v>
      </c>
      <c r="X9" s="656">
        <f>SUM('Income Statement '!X10,'Income Statement '!X11)</f>
        <v>17996.980502918472</v>
      </c>
      <c r="Y9" s="656">
        <f>SUM('Income Statement '!Y10,'Income Statement '!Y11)</f>
        <v>16026.086950722234</v>
      </c>
      <c r="Z9" s="656">
        <f>SUM('Income Statement '!Z10,'Income Statement '!Z11)</f>
        <v>14066.667842496963</v>
      </c>
      <c r="AA9" s="656">
        <f>SUM('Income Statement '!AA10,'Income Statement '!AA11)</f>
        <v>11436.809772396206</v>
      </c>
      <c r="AB9" s="656">
        <f>SUM('Income Statement '!AB10,'Income Statement '!AB11)</f>
        <v>9005.6031027748886</v>
      </c>
      <c r="AC9" s="656">
        <f>SUM('Income Statement '!AC10,'Income Statement '!AC11)</f>
        <v>6979.4753949618853</v>
      </c>
      <c r="AD9" s="656">
        <f>SUM('Income Statement '!AD10,'Income Statement '!AD11)</f>
        <v>5305.7163897978826</v>
      </c>
      <c r="AE9" s="656">
        <f>SUM('Income Statement '!AE10,'Income Statement '!AE11)</f>
        <v>4097.406459709041</v>
      </c>
      <c r="AF9" s="656">
        <f>SUM('Income Statement '!AF10,'Income Statement '!AF11)</f>
        <v>3108.2411283506494</v>
      </c>
      <c r="AG9" s="656">
        <f>SUM('Income Statement '!AG10,'Income Statement '!AG11)</f>
        <v>2301.4839266252898</v>
      </c>
      <c r="AH9" s="656">
        <f>SUM('Income Statement '!AH10,'Income Statement '!AH11)</f>
        <v>1645.9116805065742</v>
      </c>
      <c r="AI9" s="656">
        <f>SUM('Income Statement '!AI10,'Income Statement '!AI11)</f>
        <v>1634.123549246227</v>
      </c>
      <c r="AJ9" s="656">
        <f>SUM('Income Statement '!AJ10,'Income Statement '!AJ11)</f>
        <v>1623.0260739093596</v>
      </c>
      <c r="AK9" s="656">
        <f>SUM('Income Statement '!AK10,'Income Statement '!AK11)</f>
        <v>1612.3961057380759</v>
      </c>
      <c r="AL9" s="656">
        <f>SUM('Income Statement '!AL10,'Income Statement '!AL11)</f>
        <v>1602.3710608471536</v>
      </c>
      <c r="AM9" s="656">
        <f>SUM('Income Statement '!AM10,'Income Statement '!AM11)</f>
        <v>1592.7989618641191</v>
      </c>
      <c r="AN9" s="656">
        <f>SUM('Income Statement '!AN10,'Income Statement '!AN11)</f>
        <v>1583.6618256193408</v>
      </c>
      <c r="AO9" s="683">
        <f>SUM('Income Statement '!AO10,'Income Statement '!AO11)</f>
        <v>1574.9356627346476</v>
      </c>
    </row>
    <row r="10" spans="1:41" x14ac:dyDescent="0.8">
      <c r="A10" s="288" t="s">
        <v>343</v>
      </c>
      <c r="B10" s="186"/>
      <c r="C10" s="186"/>
      <c r="D10" s="186"/>
      <c r="E10" s="186"/>
      <c r="F10" s="186"/>
      <c r="G10" s="1136"/>
      <c r="H10" s="656">
        <f>'Income Statement '!H12</f>
        <v>0</v>
      </c>
      <c r="I10" s="656">
        <f>'Income Statement '!I12</f>
        <v>0</v>
      </c>
      <c r="J10" s="656">
        <f>'Income Statement '!J12</f>
        <v>0</v>
      </c>
      <c r="K10" s="656">
        <f>'Income Statement '!K12</f>
        <v>0</v>
      </c>
      <c r="L10" s="656">
        <f>'Income Statement '!L12</f>
        <v>0</v>
      </c>
      <c r="M10" s="1141">
        <f>'Income Statement '!M12</f>
        <v>0</v>
      </c>
      <c r="N10" s="656">
        <f>'Income Statement '!N12</f>
        <v>0</v>
      </c>
      <c r="O10" s="656">
        <f>'Income Statement '!O12</f>
        <v>0</v>
      </c>
      <c r="P10" s="656">
        <f>'Income Statement '!P12</f>
        <v>0</v>
      </c>
      <c r="Q10" s="656">
        <f>'Income Statement '!Q12</f>
        <v>0</v>
      </c>
      <c r="R10" s="656">
        <f>'Income Statement '!R12</f>
        <v>0</v>
      </c>
      <c r="S10" s="656">
        <f>'Income Statement '!S12</f>
        <v>0</v>
      </c>
      <c r="T10" s="656">
        <f>'Income Statement '!T12</f>
        <v>0</v>
      </c>
      <c r="U10" s="656">
        <f>'Income Statement '!U12</f>
        <v>0</v>
      </c>
      <c r="V10" s="656">
        <f>'Income Statement '!V12</f>
        <v>0</v>
      </c>
      <c r="W10" s="656">
        <f>'Income Statement '!W12</f>
        <v>0</v>
      </c>
      <c r="X10" s="656">
        <f>'Income Statement '!X12</f>
        <v>0</v>
      </c>
      <c r="Y10" s="656">
        <f>'Income Statement '!Y12</f>
        <v>0</v>
      </c>
      <c r="Z10" s="656">
        <f>'Income Statement '!Z12</f>
        <v>0</v>
      </c>
      <c r="AA10" s="656">
        <f>'Income Statement '!AA12</f>
        <v>0</v>
      </c>
      <c r="AB10" s="656">
        <f>'Income Statement '!AB12</f>
        <v>0</v>
      </c>
      <c r="AC10" s="656">
        <f>'Income Statement '!AC12</f>
        <v>0</v>
      </c>
      <c r="AD10" s="656">
        <f>'Income Statement '!AD12</f>
        <v>0</v>
      </c>
      <c r="AE10" s="656">
        <f>'Income Statement '!AE12</f>
        <v>0</v>
      </c>
      <c r="AF10" s="656">
        <f>'Income Statement '!AF12</f>
        <v>0</v>
      </c>
      <c r="AG10" s="656">
        <f>'Income Statement '!AG12</f>
        <v>0</v>
      </c>
      <c r="AH10" s="656">
        <f>'Income Statement '!AH12</f>
        <v>0</v>
      </c>
      <c r="AI10" s="656">
        <f>'Income Statement '!AI12</f>
        <v>0</v>
      </c>
      <c r="AJ10" s="656">
        <f>'Income Statement '!AJ12</f>
        <v>0</v>
      </c>
      <c r="AK10" s="656">
        <f>'Income Statement '!AK12</f>
        <v>0</v>
      </c>
      <c r="AL10" s="656">
        <f>'Income Statement '!AL12</f>
        <v>0</v>
      </c>
      <c r="AM10" s="656">
        <f>'Income Statement '!AM12</f>
        <v>0</v>
      </c>
      <c r="AN10" s="656">
        <f>'Income Statement '!AN12</f>
        <v>0</v>
      </c>
      <c r="AO10" s="683">
        <f>'Income Statement '!AO12</f>
        <v>0</v>
      </c>
    </row>
    <row r="11" spans="1:41" x14ac:dyDescent="0.8">
      <c r="A11" s="288" t="s">
        <v>342</v>
      </c>
      <c r="B11" s="186"/>
      <c r="C11" s="186"/>
      <c r="D11" s="186"/>
      <c r="E11" s="186"/>
      <c r="F11" s="186"/>
      <c r="G11" s="1136"/>
      <c r="H11" s="656">
        <f>'Income Statement '!H13</f>
        <v>0</v>
      </c>
      <c r="I11" s="656">
        <f>'Income Statement '!I13</f>
        <v>0</v>
      </c>
      <c r="J11" s="656">
        <f>'Income Statement '!J13</f>
        <v>0</v>
      </c>
      <c r="K11" s="656">
        <f>'Income Statement '!K13</f>
        <v>0</v>
      </c>
      <c r="L11" s="656">
        <f>'Income Statement '!L13</f>
        <v>0</v>
      </c>
      <c r="M11" s="1141">
        <f>'Income Statement '!M13</f>
        <v>0</v>
      </c>
      <c r="N11" s="656">
        <f>'Income Statement '!N13</f>
        <v>0</v>
      </c>
      <c r="O11" s="656">
        <f>'Income Statement '!O13</f>
        <v>0</v>
      </c>
      <c r="P11" s="656">
        <f>'Income Statement '!P13</f>
        <v>0</v>
      </c>
      <c r="Q11" s="656">
        <f>'Income Statement '!Q13</f>
        <v>0</v>
      </c>
      <c r="R11" s="656">
        <f>'Income Statement '!R13</f>
        <v>0</v>
      </c>
      <c r="S11" s="656">
        <f>'Income Statement '!S13</f>
        <v>0</v>
      </c>
      <c r="T11" s="656">
        <f>'Income Statement '!T13</f>
        <v>0</v>
      </c>
      <c r="U11" s="656">
        <f>'Income Statement '!U13</f>
        <v>0</v>
      </c>
      <c r="V11" s="656">
        <f>'Income Statement '!V13</f>
        <v>0</v>
      </c>
      <c r="W11" s="656">
        <f>'Income Statement '!W13</f>
        <v>0</v>
      </c>
      <c r="X11" s="656">
        <f>'Income Statement '!X13</f>
        <v>0</v>
      </c>
      <c r="Y11" s="656">
        <f>'Income Statement '!Y13</f>
        <v>0</v>
      </c>
      <c r="Z11" s="656">
        <f>'Income Statement '!Z13</f>
        <v>0</v>
      </c>
      <c r="AA11" s="656">
        <f>'Income Statement '!AA13</f>
        <v>0</v>
      </c>
      <c r="AB11" s="656">
        <f>'Income Statement '!AB13</f>
        <v>0</v>
      </c>
      <c r="AC11" s="656">
        <f>'Income Statement '!AC13</f>
        <v>0</v>
      </c>
      <c r="AD11" s="656">
        <f>'Income Statement '!AD13</f>
        <v>0</v>
      </c>
      <c r="AE11" s="656">
        <f>'Income Statement '!AE13</f>
        <v>0</v>
      </c>
      <c r="AF11" s="656">
        <f>'Income Statement '!AF13</f>
        <v>0</v>
      </c>
      <c r="AG11" s="656">
        <f>'Income Statement '!AG13</f>
        <v>0</v>
      </c>
      <c r="AH11" s="656">
        <f>'Income Statement '!AH13</f>
        <v>0</v>
      </c>
      <c r="AI11" s="656">
        <f>'Income Statement '!AI13</f>
        <v>0</v>
      </c>
      <c r="AJ11" s="656">
        <f>'Income Statement '!AJ13</f>
        <v>0</v>
      </c>
      <c r="AK11" s="656">
        <f>'Income Statement '!AK13</f>
        <v>0</v>
      </c>
      <c r="AL11" s="656">
        <f>'Income Statement '!AL13</f>
        <v>0</v>
      </c>
      <c r="AM11" s="656">
        <f>'Income Statement '!AM13</f>
        <v>0</v>
      </c>
      <c r="AN11" s="656">
        <f>'Income Statement '!AN13</f>
        <v>0</v>
      </c>
      <c r="AO11" s="683">
        <f>'Income Statement '!AO13</f>
        <v>0</v>
      </c>
    </row>
    <row r="12" spans="1:41" x14ac:dyDescent="0.8">
      <c r="A12" s="288" t="s">
        <v>64</v>
      </c>
      <c r="B12" s="186"/>
      <c r="C12" s="186"/>
      <c r="D12" s="186"/>
      <c r="E12" s="186"/>
      <c r="F12" s="186"/>
      <c r="G12" s="1136"/>
      <c r="H12" s="656">
        <f>-'Acquisition Schedule'!H24</f>
        <v>25164</v>
      </c>
      <c r="I12" s="656">
        <f>-'Acquisition Schedule'!I24</f>
        <v>2781</v>
      </c>
      <c r="J12" s="656">
        <f>-'Acquisition Schedule'!J24</f>
        <v>14887</v>
      </c>
      <c r="K12" s="656">
        <f>-'Acquisition Schedule'!K24</f>
        <v>8752.8911456999995</v>
      </c>
      <c r="L12" s="656">
        <f>-'Acquisition Schedule'!L24</f>
        <v>1916.2196105282837</v>
      </c>
      <c r="M12" s="1141">
        <f>-'Acquisition Schedule'!M24</f>
        <v>11329.492160717808</v>
      </c>
      <c r="N12" s="656">
        <f>-'Acquisition Schedule'!N24</f>
        <v>973.95482300728304</v>
      </c>
      <c r="O12" s="656">
        <f>-'Acquisition Schedule'!O24</f>
        <v>4686.7762399234371</v>
      </c>
      <c r="P12" s="656">
        <f>-'Acquisition Schedule'!P24</f>
        <v>0</v>
      </c>
      <c r="Q12" s="656">
        <f>-'Acquisition Schedule'!Q24</f>
        <v>1721.4918670908551</v>
      </c>
      <c r="R12" s="656">
        <f>-'Acquisition Schedule'!R24</f>
        <v>1766.9306868044373</v>
      </c>
      <c r="S12" s="656">
        <f>-'Acquisition Schedule'!S24</f>
        <v>1640.668124105878</v>
      </c>
      <c r="T12" s="656">
        <f>-'Acquisition Schedule'!T24</f>
        <v>1672.3252670868721</v>
      </c>
      <c r="U12" s="656">
        <f>-'Acquisition Schedule'!U24</f>
        <v>1545.0044020041234</v>
      </c>
      <c r="V12" s="656">
        <f>-'Acquisition Schedule'!V24</f>
        <v>1566.0257426801718</v>
      </c>
      <c r="W12" s="656">
        <f>-'Acquisition Schedule'!W24</f>
        <v>1476.979757331718</v>
      </c>
      <c r="X12" s="656">
        <f>-'Acquisition Schedule'!X24</f>
        <v>1490.8549500738079</v>
      </c>
      <c r="Y12" s="656">
        <f>-'Acquisition Schedule'!Y24</f>
        <v>1424.9694927177125</v>
      </c>
      <c r="Z12" s="656">
        <f>-'Acquisition Schedule'!Z24</f>
        <v>1427.1117587976046</v>
      </c>
      <c r="AA12" s="656">
        <f>-'Acquisition Schedule'!AA24</f>
        <v>1376.351045253125</v>
      </c>
      <c r="AB12" s="656">
        <f>-'Acquisition Schedule'!AB24</f>
        <v>1336.1693073628728</v>
      </c>
      <c r="AC12" s="656">
        <f>-'Acquisition Schedule'!AC24</f>
        <v>1288.2669977547041</v>
      </c>
      <c r="AD12" s="656">
        <f>-'Acquisition Schedule'!AD24</f>
        <v>1250.0792305782688</v>
      </c>
      <c r="AE12" s="656">
        <f>-'Acquisition Schedule'!AE24</f>
        <v>1207.3940555423433</v>
      </c>
      <c r="AF12" s="656">
        <f>-'Acquisition Schedule'!AF24</f>
        <v>1171.5455201408661</v>
      </c>
      <c r="AG12" s="656">
        <f>-'Acquisition Schedule'!AG24</f>
        <v>1133.2546599192383</v>
      </c>
      <c r="AH12" s="656">
        <f>-'Acquisition Schedule'!AH24</f>
        <v>1099.8781777480547</v>
      </c>
      <c r="AI12" s="656">
        <f>-'Acquisition Schedule'!AI24</f>
        <v>1065.3545743280367</v>
      </c>
      <c r="AJ12" s="656">
        <f>-'Acquisition Schedule'!AJ24</f>
        <v>1034.4511613927843</v>
      </c>
      <c r="AK12" s="656">
        <f>-'Acquisition Schedule'!AK24</f>
        <v>1004.8527679403719</v>
      </c>
      <c r="AL12" s="656">
        <f>-'Acquisition Schedule'!AL24</f>
        <v>976.66711439919663</v>
      </c>
      <c r="AM12" s="656">
        <f>-'Acquisition Schedule'!AM24</f>
        <v>949.67778756755092</v>
      </c>
      <c r="AN12" s="656">
        <f>-'Acquisition Schedule'!AN24</f>
        <v>923.95131365125792</v>
      </c>
      <c r="AO12" s="683">
        <f>-'Acquisition Schedule'!AO24</f>
        <v>899.32634581296475</v>
      </c>
    </row>
    <row r="13" spans="1:41" x14ac:dyDescent="0.8">
      <c r="A13" s="288" t="s">
        <v>65</v>
      </c>
      <c r="B13" s="186"/>
      <c r="C13" s="186"/>
      <c r="D13" s="186"/>
      <c r="E13" s="186"/>
      <c r="F13" s="186"/>
      <c r="G13" s="1136"/>
      <c r="H13" s="656">
        <v>0</v>
      </c>
      <c r="I13" s="656">
        <v>0</v>
      </c>
      <c r="J13" s="656">
        <v>0</v>
      </c>
      <c r="K13" s="656">
        <v>0</v>
      </c>
      <c r="L13" s="656">
        <v>0</v>
      </c>
      <c r="M13" s="1141">
        <v>0</v>
      </c>
      <c r="N13" s="656">
        <v>0</v>
      </c>
      <c r="O13" s="656">
        <v>0</v>
      </c>
      <c r="P13" s="656">
        <v>0</v>
      </c>
      <c r="Q13" s="656">
        <v>0</v>
      </c>
      <c r="R13" s="656">
        <v>0</v>
      </c>
      <c r="S13" s="656">
        <v>0</v>
      </c>
      <c r="T13" s="656">
        <v>0</v>
      </c>
      <c r="U13" s="656">
        <v>0</v>
      </c>
      <c r="V13" s="656">
        <v>0</v>
      </c>
      <c r="W13" s="656">
        <v>0</v>
      </c>
      <c r="X13" s="656">
        <v>0</v>
      </c>
      <c r="Y13" s="656">
        <v>0</v>
      </c>
      <c r="Z13" s="656">
        <v>0</v>
      </c>
      <c r="AA13" s="656">
        <v>0</v>
      </c>
      <c r="AB13" s="656">
        <v>0</v>
      </c>
      <c r="AC13" s="656">
        <v>0</v>
      </c>
      <c r="AD13" s="656">
        <v>0</v>
      </c>
      <c r="AE13" s="656">
        <v>0</v>
      </c>
      <c r="AF13" s="656">
        <v>0</v>
      </c>
      <c r="AG13" s="656">
        <v>0</v>
      </c>
      <c r="AH13" s="656">
        <v>0</v>
      </c>
      <c r="AI13" s="656">
        <v>0</v>
      </c>
      <c r="AJ13" s="656">
        <v>0</v>
      </c>
      <c r="AK13" s="656">
        <v>0</v>
      </c>
      <c r="AL13" s="656">
        <v>0</v>
      </c>
      <c r="AM13" s="656">
        <v>0</v>
      </c>
      <c r="AN13" s="656">
        <v>0</v>
      </c>
      <c r="AO13" s="683">
        <v>0</v>
      </c>
    </row>
    <row r="14" spans="1:41" x14ac:dyDescent="0.8">
      <c r="A14" s="288" t="s">
        <v>66</v>
      </c>
      <c r="B14" s="186"/>
      <c r="C14" s="186"/>
      <c r="D14" s="186"/>
      <c r="E14" s="186"/>
      <c r="F14" s="186"/>
      <c r="G14" s="1136"/>
      <c r="H14" s="656">
        <v>0</v>
      </c>
      <c r="I14" s="656">
        <v>0</v>
      </c>
      <c r="J14" s="656">
        <v>0</v>
      </c>
      <c r="K14" s="656">
        <v>0</v>
      </c>
      <c r="L14" s="656">
        <v>0</v>
      </c>
      <c r="M14" s="1141">
        <v>0</v>
      </c>
      <c r="N14" s="656">
        <v>0</v>
      </c>
      <c r="O14" s="656">
        <v>0</v>
      </c>
      <c r="P14" s="656">
        <v>0</v>
      </c>
      <c r="Q14" s="656">
        <v>0</v>
      </c>
      <c r="R14" s="656">
        <v>0</v>
      </c>
      <c r="S14" s="656">
        <v>0</v>
      </c>
      <c r="T14" s="656">
        <v>0</v>
      </c>
      <c r="U14" s="656">
        <v>0</v>
      </c>
      <c r="V14" s="656">
        <v>0</v>
      </c>
      <c r="W14" s="656">
        <v>0</v>
      </c>
      <c r="X14" s="656">
        <v>0</v>
      </c>
      <c r="Y14" s="656">
        <v>0</v>
      </c>
      <c r="Z14" s="656">
        <v>0</v>
      </c>
      <c r="AA14" s="656">
        <v>0</v>
      </c>
      <c r="AB14" s="656">
        <v>0</v>
      </c>
      <c r="AC14" s="656">
        <v>0</v>
      </c>
      <c r="AD14" s="656">
        <v>0</v>
      </c>
      <c r="AE14" s="656">
        <v>0</v>
      </c>
      <c r="AF14" s="656">
        <v>0</v>
      </c>
      <c r="AG14" s="656">
        <v>0</v>
      </c>
      <c r="AH14" s="656">
        <v>0</v>
      </c>
      <c r="AI14" s="656">
        <v>0</v>
      </c>
      <c r="AJ14" s="656">
        <v>0</v>
      </c>
      <c r="AK14" s="656">
        <v>0</v>
      </c>
      <c r="AL14" s="656">
        <v>0</v>
      </c>
      <c r="AM14" s="656">
        <v>0</v>
      </c>
      <c r="AN14" s="656">
        <v>0</v>
      </c>
      <c r="AO14" s="683">
        <v>0</v>
      </c>
    </row>
    <row r="15" spans="1:41" x14ac:dyDescent="0.8">
      <c r="A15" s="288" t="s">
        <v>67</v>
      </c>
      <c r="B15" s="186"/>
      <c r="C15" s="186"/>
      <c r="D15" s="186"/>
      <c r="E15" s="186"/>
      <c r="F15" s="186"/>
      <c r="G15" s="1136"/>
      <c r="H15" s="656">
        <v>0</v>
      </c>
      <c r="I15" s="656">
        <v>0</v>
      </c>
      <c r="J15" s="656">
        <v>0</v>
      </c>
      <c r="K15" s="656">
        <v>0</v>
      </c>
      <c r="L15" s="656">
        <v>0</v>
      </c>
      <c r="M15" s="1141">
        <v>0</v>
      </c>
      <c r="N15" s="656">
        <v>0</v>
      </c>
      <c r="O15" s="656">
        <v>0</v>
      </c>
      <c r="P15" s="656">
        <v>0</v>
      </c>
      <c r="Q15" s="656">
        <v>0</v>
      </c>
      <c r="R15" s="656">
        <v>0</v>
      </c>
      <c r="S15" s="656">
        <v>0</v>
      </c>
      <c r="T15" s="656">
        <v>0</v>
      </c>
      <c r="U15" s="656">
        <v>0</v>
      </c>
      <c r="V15" s="656">
        <v>0</v>
      </c>
      <c r="W15" s="656">
        <v>0</v>
      </c>
      <c r="X15" s="656">
        <v>0</v>
      </c>
      <c r="Y15" s="656">
        <v>0</v>
      </c>
      <c r="Z15" s="656">
        <v>0</v>
      </c>
      <c r="AA15" s="656">
        <v>0</v>
      </c>
      <c r="AB15" s="656">
        <v>0</v>
      </c>
      <c r="AC15" s="656">
        <v>0</v>
      </c>
      <c r="AD15" s="656">
        <v>0</v>
      </c>
      <c r="AE15" s="656">
        <v>0</v>
      </c>
      <c r="AF15" s="656">
        <v>0</v>
      </c>
      <c r="AG15" s="656">
        <v>0</v>
      </c>
      <c r="AH15" s="656">
        <v>0</v>
      </c>
      <c r="AI15" s="656">
        <v>0</v>
      </c>
      <c r="AJ15" s="656">
        <v>0</v>
      </c>
      <c r="AK15" s="656">
        <v>0</v>
      </c>
      <c r="AL15" s="656">
        <v>0</v>
      </c>
      <c r="AM15" s="656">
        <v>0</v>
      </c>
      <c r="AN15" s="656">
        <v>0</v>
      </c>
      <c r="AO15" s="683">
        <v>0</v>
      </c>
    </row>
    <row r="16" spans="1:41" x14ac:dyDescent="0.8">
      <c r="A16" s="288" t="s">
        <v>9</v>
      </c>
      <c r="B16" s="186"/>
      <c r="C16" s="186"/>
      <c r="D16" s="186"/>
      <c r="E16" s="186"/>
      <c r="F16" s="186"/>
      <c r="G16" s="1136"/>
      <c r="H16" s="656">
        <f>'Income Taxes'!I19</f>
        <v>2302.9950376583038</v>
      </c>
      <c r="I16" s="656">
        <f>'Income Taxes'!J19</f>
        <v>2425.5524892822577</v>
      </c>
      <c r="J16" s="656">
        <f>'Income Taxes'!K19</f>
        <v>-869.3956620691315</v>
      </c>
      <c r="K16" s="656">
        <f>'Income Taxes'!L19</f>
        <v>-648.71391680142551</v>
      </c>
      <c r="L16" s="656">
        <f>'Income Taxes'!M19</f>
        <v>1177.921638114447</v>
      </c>
      <c r="M16" s="1141">
        <f>'Income Taxes'!N19</f>
        <v>5088.4359435949518</v>
      </c>
      <c r="N16" s="656">
        <f>'Income Taxes'!O19</f>
        <v>1734.0026915521739</v>
      </c>
      <c r="O16" s="656">
        <f>'Income Taxes'!P19</f>
        <v>-790.33922168580102</v>
      </c>
      <c r="P16" s="656">
        <f>'Income Taxes'!Q19</f>
        <v>1314.0364503630499</v>
      </c>
      <c r="Q16" s="656">
        <f>'Income Taxes'!R19</f>
        <v>-424.32112804595636</v>
      </c>
      <c r="R16" s="656">
        <f>'Income Taxes'!S19</f>
        <v>129.80558592140369</v>
      </c>
      <c r="S16" s="656">
        <f>'Income Taxes'!T19</f>
        <v>-316.48797924385872</v>
      </c>
      <c r="T16" s="656">
        <f>'Income Taxes'!U19</f>
        <v>1062.8180390698399</v>
      </c>
      <c r="U16" s="656">
        <f>'Income Taxes'!V19</f>
        <v>312.78784163493765</v>
      </c>
      <c r="V16" s="656">
        <f>'Income Taxes'!W19</f>
        <v>1311.4910407129028</v>
      </c>
      <c r="W16" s="656">
        <f>'Income Taxes'!X19</f>
        <v>357.37968643852946</v>
      </c>
      <c r="X16" s="656">
        <f>'Income Taxes'!Y19</f>
        <v>705.08247570535605</v>
      </c>
      <c r="Y16" s="656">
        <f>'Income Taxes'!Z19</f>
        <v>642.47411172399916</v>
      </c>
      <c r="Z16" s="656">
        <f>'Income Taxes'!AA19</f>
        <v>708.69710016015779</v>
      </c>
      <c r="AA16" s="656">
        <f>'Income Taxes'!AB19</f>
        <v>772.78168851187002</v>
      </c>
      <c r="AB16" s="656">
        <f>'Income Taxes'!AC19</f>
        <v>765.49086638357221</v>
      </c>
      <c r="AC16" s="656">
        <f>'Income Taxes'!AD19</f>
        <v>633.74248517569322</v>
      </c>
      <c r="AD16" s="656">
        <f>'Income Taxes'!AE19</f>
        <v>580.132940505433</v>
      </c>
      <c r="AE16" s="656">
        <f>'Income Taxes'!AF19</f>
        <v>460.67001552251713</v>
      </c>
      <c r="AF16" s="656">
        <f>'Income Taxes'!AG19</f>
        <v>424.66698333142449</v>
      </c>
      <c r="AG16" s="656">
        <f>'Income Taxes'!AH19</f>
        <v>366.90912802070306</v>
      </c>
      <c r="AH16" s="656">
        <f>'Income Taxes'!AI19</f>
        <v>329.3440772169115</v>
      </c>
      <c r="AI16" s="656">
        <f>'Income Taxes'!AJ19</f>
        <v>196.422016310652</v>
      </c>
      <c r="AJ16" s="656">
        <f>'Income Taxes'!AK19</f>
        <v>187.97995339800946</v>
      </c>
      <c r="AK16" s="656">
        <f>'Income Taxes'!AL19</f>
        <v>179.23758478315995</v>
      </c>
      <c r="AL16" s="656">
        <f>'Income Taxes'!AM19</f>
        <v>171.49037380027767</v>
      </c>
      <c r="AM16" s="656">
        <f>'Income Taxes'!AN19</f>
        <v>163.62803675055784</v>
      </c>
      <c r="AN16" s="656">
        <f>'Income Taxes'!AO19</f>
        <v>156.55197271348425</v>
      </c>
      <c r="AO16" s="683">
        <f>'Income Taxes'!AP19</f>
        <v>149.46648856885895</v>
      </c>
    </row>
    <row r="17" spans="1:41" x14ac:dyDescent="0.8">
      <c r="A17" s="288" t="s">
        <v>68</v>
      </c>
      <c r="B17" s="186"/>
      <c r="C17" s="186"/>
      <c r="D17" s="186"/>
      <c r="E17" s="186"/>
      <c r="F17" s="186"/>
      <c r="G17" s="1136"/>
      <c r="H17" s="656">
        <v>0</v>
      </c>
      <c r="I17" s="656">
        <v>0</v>
      </c>
      <c r="J17" s="656">
        <v>0</v>
      </c>
      <c r="K17" s="656">
        <v>0</v>
      </c>
      <c r="L17" s="656">
        <v>0</v>
      </c>
      <c r="M17" s="1141">
        <v>0</v>
      </c>
      <c r="N17" s="656">
        <v>0</v>
      </c>
      <c r="O17" s="656">
        <v>0</v>
      </c>
      <c r="P17" s="656">
        <v>0</v>
      </c>
      <c r="Q17" s="656">
        <v>0</v>
      </c>
      <c r="R17" s="656">
        <v>0</v>
      </c>
      <c r="S17" s="656">
        <v>0</v>
      </c>
      <c r="T17" s="656">
        <v>0</v>
      </c>
      <c r="U17" s="656">
        <v>0</v>
      </c>
      <c r="V17" s="656">
        <v>0</v>
      </c>
      <c r="W17" s="656">
        <v>0</v>
      </c>
      <c r="X17" s="656">
        <v>0</v>
      </c>
      <c r="Y17" s="656">
        <v>0</v>
      </c>
      <c r="Z17" s="656">
        <v>0</v>
      </c>
      <c r="AA17" s="656">
        <v>0</v>
      </c>
      <c r="AB17" s="656">
        <v>0</v>
      </c>
      <c r="AC17" s="656">
        <v>0</v>
      </c>
      <c r="AD17" s="656">
        <v>0</v>
      </c>
      <c r="AE17" s="656">
        <v>0</v>
      </c>
      <c r="AF17" s="656">
        <v>0</v>
      </c>
      <c r="AG17" s="656">
        <v>0</v>
      </c>
      <c r="AH17" s="656">
        <v>0</v>
      </c>
      <c r="AI17" s="656">
        <v>0</v>
      </c>
      <c r="AJ17" s="656">
        <v>0</v>
      </c>
      <c r="AK17" s="656">
        <v>0</v>
      </c>
      <c r="AL17" s="656">
        <v>0</v>
      </c>
      <c r="AM17" s="656">
        <v>0</v>
      </c>
      <c r="AN17" s="656">
        <v>0</v>
      </c>
      <c r="AO17" s="683">
        <v>0</v>
      </c>
    </row>
    <row r="18" spans="1:41" x14ac:dyDescent="0.8">
      <c r="A18" s="288" t="s">
        <v>69</v>
      </c>
      <c r="B18" s="186"/>
      <c r="C18" s="186"/>
      <c r="D18" s="186"/>
      <c r="E18" s="186"/>
      <c r="F18" s="186"/>
      <c r="G18" s="1136"/>
      <c r="H18" s="656">
        <v>0</v>
      </c>
      <c r="I18" s="656">
        <v>0</v>
      </c>
      <c r="J18" s="656">
        <v>0</v>
      </c>
      <c r="K18" s="656">
        <v>0</v>
      </c>
      <c r="L18" s="656">
        <v>0</v>
      </c>
      <c r="M18" s="1141">
        <v>0</v>
      </c>
      <c r="N18" s="656">
        <v>0</v>
      </c>
      <c r="O18" s="656">
        <v>0</v>
      </c>
      <c r="P18" s="656">
        <v>0</v>
      </c>
      <c r="Q18" s="656">
        <v>0</v>
      </c>
      <c r="R18" s="656">
        <v>0</v>
      </c>
      <c r="S18" s="656">
        <v>0</v>
      </c>
      <c r="T18" s="656">
        <v>0</v>
      </c>
      <c r="U18" s="656">
        <v>0</v>
      </c>
      <c r="V18" s="656">
        <v>0</v>
      </c>
      <c r="W18" s="656">
        <v>0</v>
      </c>
      <c r="X18" s="656">
        <v>0</v>
      </c>
      <c r="Y18" s="656">
        <v>0</v>
      </c>
      <c r="Z18" s="656">
        <v>0</v>
      </c>
      <c r="AA18" s="656">
        <v>0</v>
      </c>
      <c r="AB18" s="656">
        <v>0</v>
      </c>
      <c r="AC18" s="656">
        <v>0</v>
      </c>
      <c r="AD18" s="656">
        <v>0</v>
      </c>
      <c r="AE18" s="656">
        <v>0</v>
      </c>
      <c r="AF18" s="656">
        <v>0</v>
      </c>
      <c r="AG18" s="656">
        <v>0</v>
      </c>
      <c r="AH18" s="656">
        <v>0</v>
      </c>
      <c r="AI18" s="656">
        <v>0</v>
      </c>
      <c r="AJ18" s="656">
        <v>0</v>
      </c>
      <c r="AK18" s="656">
        <v>0</v>
      </c>
      <c r="AL18" s="656">
        <v>0</v>
      </c>
      <c r="AM18" s="656">
        <v>0</v>
      </c>
      <c r="AN18" s="656">
        <v>0</v>
      </c>
      <c r="AO18" s="683">
        <v>0</v>
      </c>
    </row>
    <row r="19" spans="1:41" x14ac:dyDescent="0.8">
      <c r="A19" s="288" t="s">
        <v>70</v>
      </c>
      <c r="B19" s="186"/>
      <c r="C19" s="186"/>
      <c r="D19" s="186"/>
      <c r="E19" s="186"/>
      <c r="F19" s="186"/>
      <c r="G19" s="1136"/>
      <c r="H19" s="656">
        <v>0</v>
      </c>
      <c r="I19" s="656">
        <v>0</v>
      </c>
      <c r="J19" s="656">
        <v>0</v>
      </c>
      <c r="K19" s="656">
        <v>0</v>
      </c>
      <c r="L19" s="656">
        <v>0</v>
      </c>
      <c r="M19" s="1141">
        <v>0</v>
      </c>
      <c r="N19" s="656">
        <v>0</v>
      </c>
      <c r="O19" s="656">
        <v>0</v>
      </c>
      <c r="P19" s="656">
        <v>0</v>
      </c>
      <c r="Q19" s="656">
        <v>0</v>
      </c>
      <c r="R19" s="656">
        <v>0</v>
      </c>
      <c r="S19" s="656">
        <v>0</v>
      </c>
      <c r="T19" s="656">
        <v>0</v>
      </c>
      <c r="U19" s="656">
        <v>0</v>
      </c>
      <c r="V19" s="656">
        <v>0</v>
      </c>
      <c r="W19" s="656">
        <v>0</v>
      </c>
      <c r="X19" s="656">
        <v>0</v>
      </c>
      <c r="Y19" s="656">
        <v>0</v>
      </c>
      <c r="Z19" s="656">
        <v>0</v>
      </c>
      <c r="AA19" s="656">
        <v>0</v>
      </c>
      <c r="AB19" s="656">
        <v>0</v>
      </c>
      <c r="AC19" s="656">
        <v>0</v>
      </c>
      <c r="AD19" s="656">
        <v>0</v>
      </c>
      <c r="AE19" s="656">
        <v>0</v>
      </c>
      <c r="AF19" s="656">
        <v>0</v>
      </c>
      <c r="AG19" s="656">
        <v>0</v>
      </c>
      <c r="AH19" s="656">
        <v>0</v>
      </c>
      <c r="AI19" s="656">
        <v>0</v>
      </c>
      <c r="AJ19" s="656">
        <v>0</v>
      </c>
      <c r="AK19" s="656">
        <v>0</v>
      </c>
      <c r="AL19" s="656">
        <v>0</v>
      </c>
      <c r="AM19" s="656">
        <v>0</v>
      </c>
      <c r="AN19" s="656">
        <v>0</v>
      </c>
      <c r="AO19" s="683">
        <v>0</v>
      </c>
    </row>
    <row r="20" spans="1:41" x14ac:dyDescent="0.8">
      <c r="A20" s="288" t="s">
        <v>100</v>
      </c>
      <c r="B20" s="186"/>
      <c r="C20" s="186"/>
      <c r="D20" s="186"/>
      <c r="E20" s="186"/>
      <c r="F20" s="186"/>
      <c r="G20" s="1136"/>
      <c r="H20" s="656">
        <v>0</v>
      </c>
      <c r="I20" s="656">
        <v>0</v>
      </c>
      <c r="J20" s="656">
        <v>0</v>
      </c>
      <c r="K20" s="656">
        <v>0</v>
      </c>
      <c r="L20" s="656">
        <v>0</v>
      </c>
      <c r="M20" s="1141">
        <v>0</v>
      </c>
      <c r="N20" s="656">
        <v>0</v>
      </c>
      <c r="O20" s="656">
        <v>0</v>
      </c>
      <c r="P20" s="656">
        <v>0</v>
      </c>
      <c r="Q20" s="656">
        <v>0</v>
      </c>
      <c r="R20" s="656">
        <v>0</v>
      </c>
      <c r="S20" s="656">
        <v>0</v>
      </c>
      <c r="T20" s="656">
        <v>0</v>
      </c>
      <c r="U20" s="656">
        <v>0</v>
      </c>
      <c r="V20" s="656">
        <v>0</v>
      </c>
      <c r="W20" s="656">
        <v>0</v>
      </c>
      <c r="X20" s="656">
        <v>0</v>
      </c>
      <c r="Y20" s="656">
        <v>0</v>
      </c>
      <c r="Z20" s="656">
        <v>0</v>
      </c>
      <c r="AA20" s="656">
        <v>0</v>
      </c>
      <c r="AB20" s="656">
        <v>0</v>
      </c>
      <c r="AC20" s="656">
        <v>0</v>
      </c>
      <c r="AD20" s="656">
        <v>0</v>
      </c>
      <c r="AE20" s="656">
        <v>0</v>
      </c>
      <c r="AF20" s="656">
        <v>0</v>
      </c>
      <c r="AG20" s="656">
        <v>0</v>
      </c>
      <c r="AH20" s="656">
        <v>0</v>
      </c>
      <c r="AI20" s="656">
        <v>0</v>
      </c>
      <c r="AJ20" s="656">
        <v>0</v>
      </c>
      <c r="AK20" s="656">
        <v>0</v>
      </c>
      <c r="AL20" s="656">
        <v>0</v>
      </c>
      <c r="AM20" s="656">
        <v>0</v>
      </c>
      <c r="AN20" s="656">
        <v>0</v>
      </c>
      <c r="AO20" s="683">
        <v>0</v>
      </c>
    </row>
    <row r="21" spans="1:41" x14ac:dyDescent="0.8">
      <c r="A21" s="288" t="s">
        <v>71</v>
      </c>
      <c r="B21" s="186"/>
      <c r="C21" s="186"/>
      <c r="D21" s="186"/>
      <c r="E21" s="186"/>
      <c r="F21" s="186"/>
      <c r="G21" s="1136"/>
      <c r="H21" s="656">
        <v>0</v>
      </c>
      <c r="I21" s="656">
        <v>0</v>
      </c>
      <c r="J21" s="656">
        <v>0</v>
      </c>
      <c r="K21" s="656">
        <v>0</v>
      </c>
      <c r="L21" s="656">
        <v>0</v>
      </c>
      <c r="M21" s="1141">
        <v>0</v>
      </c>
      <c r="N21" s="656">
        <v>0</v>
      </c>
      <c r="O21" s="656">
        <v>0</v>
      </c>
      <c r="P21" s="656">
        <v>0</v>
      </c>
      <c r="Q21" s="656">
        <v>0</v>
      </c>
      <c r="R21" s="656">
        <v>0</v>
      </c>
      <c r="S21" s="656">
        <v>0</v>
      </c>
      <c r="T21" s="656">
        <v>0</v>
      </c>
      <c r="U21" s="656">
        <v>0</v>
      </c>
      <c r="V21" s="656">
        <v>0</v>
      </c>
      <c r="W21" s="656">
        <v>0</v>
      </c>
      <c r="X21" s="656">
        <v>0</v>
      </c>
      <c r="Y21" s="656">
        <v>0</v>
      </c>
      <c r="Z21" s="656">
        <v>0</v>
      </c>
      <c r="AA21" s="656">
        <v>0</v>
      </c>
      <c r="AB21" s="656">
        <v>0</v>
      </c>
      <c r="AC21" s="656">
        <v>0</v>
      </c>
      <c r="AD21" s="656">
        <v>0</v>
      </c>
      <c r="AE21" s="656">
        <v>0</v>
      </c>
      <c r="AF21" s="656">
        <v>0</v>
      </c>
      <c r="AG21" s="656">
        <v>0</v>
      </c>
      <c r="AH21" s="656">
        <v>0</v>
      </c>
      <c r="AI21" s="656">
        <v>0</v>
      </c>
      <c r="AJ21" s="656">
        <v>0</v>
      </c>
      <c r="AK21" s="656">
        <v>0</v>
      </c>
      <c r="AL21" s="656">
        <v>0</v>
      </c>
      <c r="AM21" s="656">
        <v>0</v>
      </c>
      <c r="AN21" s="656">
        <v>0</v>
      </c>
      <c r="AO21" s="683">
        <v>0</v>
      </c>
    </row>
    <row r="22" spans="1:41" x14ac:dyDescent="0.8">
      <c r="A22" s="55" t="s">
        <v>345</v>
      </c>
      <c r="B22" s="186"/>
      <c r="C22" s="186"/>
      <c r="D22" s="186"/>
      <c r="E22" s="186"/>
      <c r="F22" s="186"/>
      <c r="G22" s="1136"/>
      <c r="H22" s="656"/>
      <c r="I22" s="656"/>
      <c r="J22" s="656"/>
      <c r="K22" s="656"/>
      <c r="L22" s="656"/>
      <c r="M22" s="1141"/>
      <c r="N22" s="656"/>
      <c r="O22" s="656"/>
      <c r="P22" s="656"/>
      <c r="Q22" s="656"/>
      <c r="R22" s="656"/>
      <c r="S22" s="656"/>
      <c r="T22" s="656"/>
      <c r="U22" s="656"/>
      <c r="V22" s="656"/>
      <c r="W22" s="656"/>
      <c r="X22" s="656"/>
      <c r="Y22" s="656"/>
      <c r="Z22" s="656"/>
      <c r="AA22" s="656"/>
      <c r="AB22" s="656"/>
      <c r="AC22" s="656"/>
      <c r="AD22" s="656"/>
      <c r="AE22" s="656"/>
      <c r="AF22" s="656"/>
      <c r="AG22" s="656"/>
      <c r="AH22" s="656"/>
      <c r="AI22" s="656"/>
      <c r="AJ22" s="656"/>
      <c r="AK22" s="656"/>
      <c r="AL22" s="656"/>
      <c r="AM22" s="656"/>
      <c r="AN22" s="656"/>
      <c r="AO22" s="683"/>
    </row>
    <row r="23" spans="1:41" x14ac:dyDescent="0.8">
      <c r="A23" s="288" t="s">
        <v>73</v>
      </c>
      <c r="B23" s="186"/>
      <c r="C23" s="186"/>
      <c r="D23" s="186"/>
      <c r="E23" s="186"/>
      <c r="F23" s="186"/>
      <c r="G23" s="1136"/>
      <c r="H23" s="656">
        <f>-('Balance Sheet '!H11-'Balance Sheet '!G11)</f>
        <v>0</v>
      </c>
      <c r="I23" s="656">
        <f>-('Balance Sheet '!I11-'Balance Sheet '!H11)</f>
        <v>-3972.3273796926806</v>
      </c>
      <c r="J23" s="656">
        <f>-('Balance Sheet '!J11-'Balance Sheet '!I11)</f>
        <v>0</v>
      </c>
      <c r="K23" s="656">
        <f>-('Balance Sheet '!K11-'Balance Sheet '!J11)</f>
        <v>-701.40611876305047</v>
      </c>
      <c r="L23" s="656">
        <f>-('Balance Sheet '!L11-'Balance Sheet '!K11)</f>
        <v>0</v>
      </c>
      <c r="M23" s="1141">
        <f>-('Balance Sheet '!M11-'Balance Sheet '!L11)</f>
        <v>290.16882656649977</v>
      </c>
      <c r="N23" s="656">
        <f>-('Balance Sheet '!N11-'Balance Sheet '!M11)</f>
        <v>0</v>
      </c>
      <c r="O23" s="656">
        <f>-('Balance Sheet '!O11-'Balance Sheet '!N11)</f>
        <v>3715.4988039510208</v>
      </c>
      <c r="P23" s="656">
        <f>-('Balance Sheet '!P11-'Balance Sheet '!O11)</f>
        <v>0</v>
      </c>
      <c r="Q23" s="656">
        <f>-('Balance Sheet '!Q11-'Balance Sheet '!P11)</f>
        <v>2093.9332897487766</v>
      </c>
      <c r="R23" s="656">
        <f>-('Balance Sheet '!R11-'Balance Sheet '!Q11)</f>
        <v>0</v>
      </c>
      <c r="S23" s="656">
        <f>-('Balance Sheet '!S11-'Balance Sheet '!R11)</f>
        <v>2352.762806868297</v>
      </c>
      <c r="T23" s="656">
        <f>-('Balance Sheet '!T11-'Balance Sheet '!S11)</f>
        <v>0</v>
      </c>
      <c r="U23" s="656">
        <f>-('Balance Sheet '!U11-'Balance Sheet '!T11)</f>
        <v>1663.7802096875239</v>
      </c>
      <c r="V23" s="656">
        <f>-('Balance Sheet '!V11-'Balance Sheet '!U11)</f>
        <v>0</v>
      </c>
      <c r="W23" s="656">
        <f>-('Balance Sheet '!W11-'Balance Sheet '!V11)</f>
        <v>1410.8493002466312</v>
      </c>
      <c r="X23" s="656">
        <f>-('Balance Sheet '!X11-'Balance Sheet '!W11)</f>
        <v>0</v>
      </c>
      <c r="Y23" s="656">
        <f>-('Balance Sheet '!Y11-'Balance Sheet '!X11)</f>
        <v>0</v>
      </c>
      <c r="Z23" s="656">
        <f>-('Balance Sheet '!Z11-'Balance Sheet '!Y11)</f>
        <v>0</v>
      </c>
      <c r="AA23" s="656">
        <f>-('Balance Sheet '!AA11-'Balance Sheet '!Z11)</f>
        <v>0</v>
      </c>
      <c r="AB23" s="656">
        <f>-('Balance Sheet '!AB11-'Balance Sheet '!AA11)</f>
        <v>0</v>
      </c>
      <c r="AC23" s="656">
        <f>-('Balance Sheet '!AC11-'Balance Sheet '!AB11)</f>
        <v>0</v>
      </c>
      <c r="AD23" s="656">
        <f>-('Balance Sheet '!AD11-'Balance Sheet '!AC11)</f>
        <v>0</v>
      </c>
      <c r="AE23" s="656">
        <f>-('Balance Sheet '!AE11-'Balance Sheet '!AD11)</f>
        <v>0</v>
      </c>
      <c r="AF23" s="656">
        <f>-('Balance Sheet '!AF11-'Balance Sheet '!AE11)</f>
        <v>0</v>
      </c>
      <c r="AG23" s="656">
        <f>-('Balance Sheet '!AG11-'Balance Sheet '!AF11)</f>
        <v>0</v>
      </c>
      <c r="AH23" s="656">
        <f>-('Balance Sheet '!AH11-'Balance Sheet '!AG11)</f>
        <v>0</v>
      </c>
      <c r="AI23" s="656">
        <f>-('Balance Sheet '!AI11-'Balance Sheet '!AH11)</f>
        <v>0</v>
      </c>
      <c r="AJ23" s="656">
        <f>-('Balance Sheet '!AJ11-'Balance Sheet '!AI11)</f>
        <v>0</v>
      </c>
      <c r="AK23" s="656">
        <f>-('Balance Sheet '!AK11-'Balance Sheet '!AJ11)</f>
        <v>0</v>
      </c>
      <c r="AL23" s="656">
        <f>-('Balance Sheet '!AL11-'Balance Sheet '!AK11)</f>
        <v>0</v>
      </c>
      <c r="AM23" s="656">
        <f>-('Balance Sheet '!AM11-'Balance Sheet '!AL11)</f>
        <v>0</v>
      </c>
      <c r="AN23" s="656">
        <f>-('Balance Sheet '!AN11-'Balance Sheet '!AM11)</f>
        <v>0</v>
      </c>
      <c r="AO23" s="683">
        <f>-('Balance Sheet '!AO11-'Balance Sheet '!AN11)</f>
        <v>0</v>
      </c>
    </row>
    <row r="24" spans="1:41" x14ac:dyDescent="0.8">
      <c r="A24" s="288" t="s">
        <v>74</v>
      </c>
      <c r="B24" s="186"/>
      <c r="C24" s="186"/>
      <c r="D24" s="186"/>
      <c r="E24" s="186"/>
      <c r="F24" s="186"/>
      <c r="G24" s="1136"/>
      <c r="H24" s="656">
        <f>-('Balance Sheet '!H12-'Balance Sheet '!G12)</f>
        <v>0</v>
      </c>
      <c r="I24" s="656">
        <f>-('Balance Sheet '!I12-'Balance Sheet '!H12)</f>
        <v>-8478.4159261521418</v>
      </c>
      <c r="J24" s="656">
        <f>-('Balance Sheet '!J12-'Balance Sheet '!I12)</f>
        <v>0</v>
      </c>
      <c r="K24" s="656">
        <f>-('Balance Sheet '!K12-'Balance Sheet '!J12)</f>
        <v>-3099.0040580916975</v>
      </c>
      <c r="L24" s="656">
        <f>-('Balance Sheet '!L12-'Balance Sheet '!K12)</f>
        <v>0</v>
      </c>
      <c r="M24" s="1141">
        <f>-('Balance Sheet '!M12-'Balance Sheet '!L12)</f>
        <v>-3243.1150098553335</v>
      </c>
      <c r="N24" s="656">
        <f>-('Balance Sheet '!N12-'Balance Sheet '!M12)</f>
        <v>0</v>
      </c>
      <c r="O24" s="656">
        <f>-('Balance Sheet '!O12-'Balance Sheet '!N12)</f>
        <v>-2756.2881416860619</v>
      </c>
      <c r="P24" s="656">
        <f>-('Balance Sheet '!P12-'Balance Sheet '!O12)</f>
        <v>0</v>
      </c>
      <c r="Q24" s="656">
        <f>-('Balance Sheet '!Q12-'Balance Sheet '!P12)</f>
        <v>-2068.0834795149858</v>
      </c>
      <c r="R24" s="656">
        <f>-('Balance Sheet '!R12-'Balance Sheet '!Q12)</f>
        <v>0</v>
      </c>
      <c r="S24" s="656">
        <f>-('Balance Sheet '!S12-'Balance Sheet '!R12)</f>
        <v>-1486.4413858413754</v>
      </c>
      <c r="T24" s="656">
        <f>-('Balance Sheet '!T12-'Balance Sheet '!S12)</f>
        <v>0</v>
      </c>
      <c r="U24" s="656">
        <f>-('Balance Sheet '!U12-'Balance Sheet '!T12)</f>
        <v>-1040.2812152645929</v>
      </c>
      <c r="V24" s="656">
        <f>-('Balance Sheet '!V12-'Balance Sheet '!U12)</f>
        <v>0</v>
      </c>
      <c r="W24" s="656">
        <f>-('Balance Sheet '!W12-'Balance Sheet '!V12)</f>
        <v>-168.04088806996879</v>
      </c>
      <c r="X24" s="656">
        <f>-('Balance Sheet '!X12-'Balance Sheet '!W12)</f>
        <v>0</v>
      </c>
      <c r="Y24" s="656">
        <f>-('Balance Sheet '!Y12-'Balance Sheet '!X12)</f>
        <v>0</v>
      </c>
      <c r="Z24" s="656">
        <f>-('Balance Sheet '!Z12-'Balance Sheet '!Y12)</f>
        <v>0</v>
      </c>
      <c r="AA24" s="656">
        <f>-('Balance Sheet '!AA12-'Balance Sheet '!Z12)</f>
        <v>0</v>
      </c>
      <c r="AB24" s="656">
        <f>-('Balance Sheet '!AB12-'Balance Sheet '!AA12)</f>
        <v>0</v>
      </c>
      <c r="AC24" s="656">
        <f>-('Balance Sheet '!AC12-'Balance Sheet '!AB12)</f>
        <v>0</v>
      </c>
      <c r="AD24" s="656">
        <f>-('Balance Sheet '!AD12-'Balance Sheet '!AC12)</f>
        <v>0</v>
      </c>
      <c r="AE24" s="656">
        <f>-('Balance Sheet '!AE12-'Balance Sheet '!AD12)</f>
        <v>0</v>
      </c>
      <c r="AF24" s="656">
        <f>-('Balance Sheet '!AF12-'Balance Sheet '!AE12)</f>
        <v>0</v>
      </c>
      <c r="AG24" s="656">
        <f>-('Balance Sheet '!AG12-'Balance Sheet '!AF12)</f>
        <v>0</v>
      </c>
      <c r="AH24" s="656">
        <f>-('Balance Sheet '!AH12-'Balance Sheet '!AG12)</f>
        <v>0</v>
      </c>
      <c r="AI24" s="656">
        <f>-('Balance Sheet '!AI12-'Balance Sheet '!AH12)</f>
        <v>0</v>
      </c>
      <c r="AJ24" s="656">
        <f>-('Balance Sheet '!AJ12-'Balance Sheet '!AI12)</f>
        <v>0</v>
      </c>
      <c r="AK24" s="656">
        <f>-('Balance Sheet '!AK12-'Balance Sheet '!AJ12)</f>
        <v>0</v>
      </c>
      <c r="AL24" s="656">
        <f>-('Balance Sheet '!AL12-'Balance Sheet '!AK12)</f>
        <v>0</v>
      </c>
      <c r="AM24" s="656">
        <f>-('Balance Sheet '!AM12-'Balance Sheet '!AL12)</f>
        <v>0</v>
      </c>
      <c r="AN24" s="656">
        <f>-('Balance Sheet '!AN12-'Balance Sheet '!AM12)</f>
        <v>0</v>
      </c>
      <c r="AO24" s="683">
        <f>-('Balance Sheet '!AO12-'Balance Sheet '!AN12)</f>
        <v>0</v>
      </c>
    </row>
    <row r="25" spans="1:41" x14ac:dyDescent="0.8">
      <c r="A25" s="288" t="s">
        <v>5</v>
      </c>
      <c r="B25" s="186"/>
      <c r="C25" s="186"/>
      <c r="D25" s="186"/>
      <c r="E25" s="186"/>
      <c r="F25" s="186"/>
      <c r="G25" s="1136"/>
      <c r="H25" s="656">
        <f>-('Balance Sheet '!H13-'Balance Sheet '!G13)</f>
        <v>-490.23950957324723</v>
      </c>
      <c r="I25" s="656">
        <f>-('Balance Sheet '!I13-'Balance Sheet '!H13)</f>
        <v>-735.47162984309125</v>
      </c>
      <c r="J25" s="656">
        <f>-('Balance Sheet '!J13-'Balance Sheet '!I13)</f>
        <v>-224.18367154589032</v>
      </c>
      <c r="K25" s="656">
        <f>-('Balance Sheet '!K13-'Balance Sheet '!J13)</f>
        <v>-509.37596508449951</v>
      </c>
      <c r="L25" s="656">
        <f>-('Balance Sheet '!L13-'Balance Sheet '!K13)</f>
        <v>-104.82654061166886</v>
      </c>
      <c r="M25" s="1141">
        <f>-('Balance Sheet '!M13-'Balance Sheet '!L13)</f>
        <v>-200.87598473162234</v>
      </c>
      <c r="N25" s="656">
        <f>-('Balance Sheet '!N13-'Balance Sheet '!M13)</f>
        <v>713.08096783229666</v>
      </c>
      <c r="O25" s="656">
        <f>-('Balance Sheet '!O13-'Balance Sheet '!N13)</f>
        <v>-151.90052315350567</v>
      </c>
      <c r="P25" s="656">
        <f>-('Balance Sheet '!P13-'Balance Sheet '!O13)</f>
        <v>422.09171473880724</v>
      </c>
      <c r="Q25" s="656">
        <f>-('Balance Sheet '!Q13-'Balance Sheet '!P13)</f>
        <v>-105.82881797259597</v>
      </c>
      <c r="R25" s="656">
        <f>-('Balance Sheet '!R13-'Balance Sheet '!Q13)</f>
        <v>425.62958581086059</v>
      </c>
      <c r="S25" s="656">
        <f>-('Balance Sheet '!S13-'Balance Sheet '!R13)</f>
        <v>-70.273670535621932</v>
      </c>
      <c r="T25" s="656">
        <f>-('Balance Sheet '!T13-'Balance Sheet '!S13)</f>
        <v>297.67788521818511</v>
      </c>
      <c r="U25" s="656">
        <f>-('Balance Sheet '!U13-'Balance Sheet '!T13)</f>
        <v>-46.38432621411539</v>
      </c>
      <c r="V25" s="656">
        <f>-('Balance Sheet '!V13-'Balance Sheet '!U13)</f>
        <v>220.25297980192317</v>
      </c>
      <c r="W25" s="656">
        <f>-('Balance Sheet '!W13-'Balance Sheet '!V13)</f>
        <v>-7.1615270889687963</v>
      </c>
      <c r="X25" s="656">
        <f>-('Balance Sheet '!X13-'Balance Sheet '!W13)</f>
        <v>169.69144426845378</v>
      </c>
      <c r="Y25" s="656">
        <f>-('Balance Sheet '!Y13-'Balance Sheet '!X13)</f>
        <v>134.32626650999646</v>
      </c>
      <c r="Z25" s="656">
        <f>-('Balance Sheet '!Z13-'Balance Sheet '!Y13)</f>
        <v>160.13589119628978</v>
      </c>
      <c r="AA25" s="656">
        <f>-('Balance Sheet '!AA13-'Balance Sheet '!Z13)</f>
        <v>127.66048609380778</v>
      </c>
      <c r="AB25" s="656">
        <f>-('Balance Sheet '!AB13-'Balance Sheet '!AA13)</f>
        <v>142.6951769373959</v>
      </c>
      <c r="AC25" s="656">
        <f>-('Balance Sheet '!AC13-'Balance Sheet '!AB13)</f>
        <v>119.8405089765929</v>
      </c>
      <c r="AD25" s="656">
        <f>-('Balance Sheet '!AD13-'Balance Sheet '!AC13)</f>
        <v>128.00512285147261</v>
      </c>
      <c r="AE25" s="656">
        <f>-('Balance Sheet '!AE13-'Balance Sheet '!AD13)</f>
        <v>111.57651397602149</v>
      </c>
      <c r="AF25" s="656">
        <f>-('Balance Sheet '!AF13-'Balance Sheet '!AE13)</f>
        <v>115.41130367603637</v>
      </c>
      <c r="AG25" s="656">
        <f>-('Balance Sheet '!AG13-'Balance Sheet '!AF13)</f>
        <v>103.30912250105075</v>
      </c>
      <c r="AH25" s="656">
        <f>-('Balance Sheet '!AH13-'Balance Sheet '!AG13)</f>
        <v>98.946484047446575</v>
      </c>
      <c r="AI25" s="656">
        <f>-('Balance Sheet '!AI13-'Balance Sheet '!AH13)</f>
        <v>94.223739641904103</v>
      </c>
      <c r="AJ25" s="656">
        <f>-('Balance Sheet '!AJ13-'Balance Sheet '!AI13)</f>
        <v>90.224457658227493</v>
      </c>
      <c r="AK25" s="656">
        <f>-('Balance Sheet '!AK13-'Balance Sheet '!AJ13)</f>
        <v>86.002780693086152</v>
      </c>
      <c r="AL25" s="656">
        <f>-('Balance Sheet '!AL13-'Balance Sheet '!AK13)</f>
        <v>82.320481052392097</v>
      </c>
      <c r="AM25" s="656">
        <f>-('Balance Sheet '!AM13-'Balance Sheet '!AL13)</f>
        <v>78.531935395697928</v>
      </c>
      <c r="AN25" s="656">
        <f>-('Balance Sheet '!AN13-'Balance Sheet '!AM13)</f>
        <v>75.153032334755153</v>
      </c>
      <c r="AO25" s="683">
        <f>-('Balance Sheet '!AO13-'Balance Sheet '!AN13)</f>
        <v>71.742581633111058</v>
      </c>
    </row>
    <row r="26" spans="1:41" x14ac:dyDescent="0.8">
      <c r="A26" s="288" t="s">
        <v>10</v>
      </c>
      <c r="B26" s="186"/>
      <c r="C26" s="186"/>
      <c r="D26" s="186"/>
      <c r="E26" s="186"/>
      <c r="F26" s="186"/>
      <c r="G26" s="1136"/>
      <c r="H26" s="656">
        <v>0</v>
      </c>
      <c r="I26" s="656">
        <v>0</v>
      </c>
      <c r="J26" s="656">
        <v>0</v>
      </c>
      <c r="K26" s="656">
        <v>0</v>
      </c>
      <c r="L26" s="656">
        <v>0</v>
      </c>
      <c r="M26" s="1141">
        <v>0</v>
      </c>
      <c r="N26" s="656">
        <v>0</v>
      </c>
      <c r="O26" s="656">
        <v>0</v>
      </c>
      <c r="P26" s="656">
        <v>0</v>
      </c>
      <c r="Q26" s="656">
        <v>0</v>
      </c>
      <c r="R26" s="656">
        <v>0</v>
      </c>
      <c r="S26" s="656">
        <v>0</v>
      </c>
      <c r="T26" s="656">
        <v>0</v>
      </c>
      <c r="U26" s="656">
        <v>0</v>
      </c>
      <c r="V26" s="656">
        <v>0</v>
      </c>
      <c r="W26" s="656">
        <v>0</v>
      </c>
      <c r="X26" s="656">
        <v>0</v>
      </c>
      <c r="Y26" s="656">
        <v>0</v>
      </c>
      <c r="Z26" s="656">
        <v>0</v>
      </c>
      <c r="AA26" s="656">
        <v>0</v>
      </c>
      <c r="AB26" s="656">
        <v>0</v>
      </c>
      <c r="AC26" s="656">
        <v>0</v>
      </c>
      <c r="AD26" s="656">
        <v>0</v>
      </c>
      <c r="AE26" s="656">
        <v>0</v>
      </c>
      <c r="AF26" s="656">
        <v>0</v>
      </c>
      <c r="AG26" s="656">
        <v>0</v>
      </c>
      <c r="AH26" s="656">
        <v>0</v>
      </c>
      <c r="AI26" s="656">
        <v>0</v>
      </c>
      <c r="AJ26" s="656">
        <v>0</v>
      </c>
      <c r="AK26" s="656">
        <v>0</v>
      </c>
      <c r="AL26" s="656">
        <v>0</v>
      </c>
      <c r="AM26" s="656">
        <v>0</v>
      </c>
      <c r="AN26" s="656">
        <v>0</v>
      </c>
      <c r="AO26" s="683">
        <v>0</v>
      </c>
    </row>
    <row r="27" spans="1:41" x14ac:dyDescent="0.8">
      <c r="A27" s="288" t="s">
        <v>17</v>
      </c>
      <c r="B27" s="186"/>
      <c r="C27" s="186"/>
      <c r="D27" s="186"/>
      <c r="E27" s="186"/>
      <c r="F27" s="186"/>
      <c r="G27" s="1136"/>
      <c r="H27" s="656">
        <f>'Balance Sheet '!H27-'Balance Sheet '!G27</f>
        <v>207.50657401019816</v>
      </c>
      <c r="I27" s="656">
        <f>'Balance Sheet '!I27-'Balance Sheet '!H27</f>
        <v>866.22871408824176</v>
      </c>
      <c r="J27" s="656">
        <f>'Balance Sheet '!J27-'Balance Sheet '!I27</f>
        <v>-402.6435445725092</v>
      </c>
      <c r="K27" s="656">
        <f>'Balance Sheet '!K27-'Balance Sheet '!J27</f>
        <v>164.24095673627016</v>
      </c>
      <c r="L27" s="656">
        <f>'Balance Sheet '!L27-'Balance Sheet '!K27</f>
        <v>-661.08110789058082</v>
      </c>
      <c r="M27" s="1141">
        <f>'Balance Sheet '!M27-'Balance Sheet '!L27</f>
        <v>172.96585678409792</v>
      </c>
      <c r="N27" s="656">
        <f>'Balance Sheet '!N27-'Balance Sheet '!M27</f>
        <v>-1461.8964327878839</v>
      </c>
      <c r="O27" s="656">
        <f>'Balance Sheet '!O27-'Balance Sheet '!N27</f>
        <v>271.9036188451355</v>
      </c>
      <c r="P27" s="656">
        <f>'Balance Sheet '!P27-'Balance Sheet '!O27</f>
        <v>-755.54884433182451</v>
      </c>
      <c r="Q27" s="656">
        <f>'Balance Sheet '!Q27-'Balance Sheet '!P27</f>
        <v>375.04620969558709</v>
      </c>
      <c r="R27" s="656">
        <f>'Balance Sheet '!R27-'Balance Sheet '!Q27</f>
        <v>-713.39190631872771</v>
      </c>
      <c r="S27" s="656">
        <f>'Balance Sheet '!S27-'Balance Sheet '!R27</f>
        <v>189.67630410291349</v>
      </c>
      <c r="T27" s="656">
        <f>'Balance Sheet '!T27-'Balance Sheet '!S27</f>
        <v>-495.06046682632586</v>
      </c>
      <c r="U27" s="656">
        <f>'Balance Sheet '!U27-'Balance Sheet '!T27</f>
        <v>138.97984065231685</v>
      </c>
      <c r="V27" s="656">
        <f>'Balance Sheet '!V27-'Balance Sheet '!U27</f>
        <v>-363.35286839453693</v>
      </c>
      <c r="W27" s="656">
        <f>'Balance Sheet '!W27-'Balance Sheet '!V27</f>
        <v>59.575122030564671</v>
      </c>
      <c r="X27" s="656">
        <f>'Balance Sheet '!X27-'Balance Sheet '!W27</f>
        <v>-277.97145043847377</v>
      </c>
      <c r="Y27" s="656">
        <f>'Balance Sheet '!Y27-'Balance Sheet '!X27</f>
        <v>-215.53809048760741</v>
      </c>
      <c r="Z27" s="656">
        <f>'Balance Sheet '!Z27-'Balance Sheet '!Y27</f>
        <v>-305.28971812700547</v>
      </c>
      <c r="AA27" s="656">
        <f>'Balance Sheet '!AA27-'Balance Sheet '!Z27</f>
        <v>-187.60845560739835</v>
      </c>
      <c r="AB27" s="656">
        <f>'Balance Sheet '!AB27-'Balance Sheet '!AA27</f>
        <v>-273.94429574782407</v>
      </c>
      <c r="AC27" s="656">
        <f>'Balance Sheet '!AC27-'Balance Sheet '!AB27</f>
        <v>-230.06820929944115</v>
      </c>
      <c r="AD27" s="656">
        <f>'Balance Sheet '!AD27-'Balance Sheet '!AC27</f>
        <v>-245.74252602135857</v>
      </c>
      <c r="AE27" s="656">
        <f>'Balance Sheet '!AE27-'Balance Sheet '!AD27</f>
        <v>-214.20310201912707</v>
      </c>
      <c r="AF27" s="656">
        <f>'Balance Sheet '!AF27-'Balance Sheet '!AE27</f>
        <v>-221.56508009195568</v>
      </c>
      <c r="AG27" s="656">
        <f>'Balance Sheet '!AG27-'Balance Sheet '!AF27</f>
        <v>-198.33147423260471</v>
      </c>
      <c r="AH27" s="656">
        <f>'Balance Sheet '!AH27-'Balance Sheet '!AG27</f>
        <v>-189.95613916925231</v>
      </c>
      <c r="AI27" s="656">
        <f>'Balance Sheet '!AI27-'Balance Sheet '!AH27</f>
        <v>-180.88947750667103</v>
      </c>
      <c r="AJ27" s="656">
        <f>'Balance Sheet '!AJ27-'Balance Sheet '!AI27</f>
        <v>-173.21170934359088</v>
      </c>
      <c r="AK27" s="656">
        <f>'Balance Sheet '!AK27-'Balance Sheet '!AJ27</f>
        <v>-165.10699026399834</v>
      </c>
      <c r="AL27" s="656">
        <f>'Balance Sheet '!AL27-'Balance Sheet '!AK27</f>
        <v>-158.03776057135565</v>
      </c>
      <c r="AM27" s="656">
        <f>'Balance Sheet '!AM27-'Balance Sheet '!AL27</f>
        <v>-150.76456119555314</v>
      </c>
      <c r="AN27" s="656">
        <f>'Balance Sheet '!AN27-'Balance Sheet '!AM27</f>
        <v>-144.27778820646563</v>
      </c>
      <c r="AO27" s="683">
        <f>'Balance Sheet '!AO27-'Balance Sheet '!AN27</f>
        <v>-137.73045047791584</v>
      </c>
    </row>
    <row r="28" spans="1:41" x14ac:dyDescent="0.8">
      <c r="A28" s="288" t="s">
        <v>75</v>
      </c>
      <c r="B28" s="186"/>
      <c r="C28" s="186"/>
      <c r="D28" s="186"/>
      <c r="E28" s="186"/>
      <c r="F28" s="186"/>
      <c r="G28" s="1136"/>
      <c r="H28" s="656">
        <f>'Balance Sheet '!H28-'Balance Sheet '!G28</f>
        <v>-5041.4217818767956</v>
      </c>
      <c r="I28" s="656">
        <f>'Balance Sheet '!I28-'Balance Sheet '!H28</f>
        <v>1210.906960479404</v>
      </c>
      <c r="J28" s="656">
        <f>'Balance Sheet '!J28-'Balance Sheet '!I28</f>
        <v>-562.85812601830185</v>
      </c>
      <c r="K28" s="656">
        <f>'Balance Sheet '!K28-'Balance Sheet '!J28</f>
        <v>229.59354091266869</v>
      </c>
      <c r="L28" s="656">
        <f>'Balance Sheet '!L28-'Balance Sheet '!K28</f>
        <v>-924.12973844756925</v>
      </c>
      <c r="M28" s="1141">
        <f>'Balance Sheet '!M28-'Balance Sheet '!L28</f>
        <v>241.79013752228639</v>
      </c>
      <c r="N28" s="656">
        <f>'Balance Sheet '!N28-'Balance Sheet '!M28</f>
        <v>-2043.5948810887985</v>
      </c>
      <c r="O28" s="656">
        <f>'Balance Sheet '!O28-'Balance Sheet '!N28</f>
        <v>380.09590225333159</v>
      </c>
      <c r="P28" s="656">
        <f>'Balance Sheet '!P28-'Balance Sheet '!O28</f>
        <v>-1056.1868242229357</v>
      </c>
      <c r="Q28" s="656">
        <f>'Balance Sheet '!Q28-'Balance Sheet '!P28</f>
        <v>524.27962550262964</v>
      </c>
      <c r="R28" s="656">
        <f>'Balance Sheet '!R28-'Balance Sheet '!Q28</f>
        <v>-997.25535630653394</v>
      </c>
      <c r="S28" s="656">
        <f>'Balance Sheet '!S28-'Balance Sheet '!R28</f>
        <v>265.14978450925264</v>
      </c>
      <c r="T28" s="656">
        <f>'Balance Sheet '!T28-'Balance Sheet '!S28</f>
        <v>-692.04836481224447</v>
      </c>
      <c r="U28" s="656">
        <f>'Balance Sheet '!U28-'Balance Sheet '!T28</f>
        <v>194.28085640100835</v>
      </c>
      <c r="V28" s="656">
        <f>'Balance Sheet '!V28-'Balance Sheet '!U28</f>
        <v>-507.93342484867208</v>
      </c>
      <c r="W28" s="656">
        <f>'Balance Sheet '!W28-'Balance Sheet '!V28</f>
        <v>83.280464806748569</v>
      </c>
      <c r="X28" s="656">
        <f>'Balance Sheet '!X28-'Balance Sheet '!W28</f>
        <v>-388.57816495357292</v>
      </c>
      <c r="Y28" s="656">
        <f>'Balance Sheet '!Y28-'Balance Sheet '!X28</f>
        <v>-301.30215008469349</v>
      </c>
      <c r="Z28" s="656">
        <f>'Balance Sheet '!Z28-'Balance Sheet '!Y28</f>
        <v>-426.76655556482365</v>
      </c>
      <c r="AA28" s="656">
        <f>'Balance Sheet '!AA28-'Balance Sheet '!Z28</f>
        <v>-262.25912515369237</v>
      </c>
      <c r="AB28" s="656">
        <f>'Balance Sheet '!AB28-'Balance Sheet '!AA28</f>
        <v>-382.94857825606232</v>
      </c>
      <c r="AC28" s="656">
        <f>'Balance Sheet '!AC28-'Balance Sheet '!AB28</f>
        <v>-321.61390114960523</v>
      </c>
      <c r="AD28" s="656">
        <f>'Balance Sheet '!AD28-'Balance Sheet '!AC28</f>
        <v>-343.52513418845228</v>
      </c>
      <c r="AE28" s="656">
        <f>'Balance Sheet '!AE28-'Balance Sheet '!AD28</f>
        <v>-299.43596070265812</v>
      </c>
      <c r="AF28" s="656">
        <f>'Balance Sheet '!AF28-'Balance Sheet '!AE28</f>
        <v>-309.72731949312401</v>
      </c>
      <c r="AG28" s="656">
        <f>'Balance Sheet '!AG28-'Balance Sheet '!AF28</f>
        <v>-277.24890519611472</v>
      </c>
      <c r="AH28" s="656">
        <f>'Balance Sheet '!AH28-'Balance Sheet '!AG28</f>
        <v>-265.54096783544082</v>
      </c>
      <c r="AI28" s="656">
        <f>'Balance Sheet '!AI28-'Balance Sheet '!AH28</f>
        <v>-252.86662036003327</v>
      </c>
      <c r="AJ28" s="656">
        <f>'Balance Sheet '!AJ28-'Balance Sheet '!AI28</f>
        <v>-242.13381647300594</v>
      </c>
      <c r="AK28" s="656">
        <f>'Balance Sheet '!AK28-'Balance Sheet '!AJ28</f>
        <v>-230.80417502081764</v>
      </c>
      <c r="AL28" s="656">
        <f>'Balance Sheet '!AL28-'Balance Sheet '!AK28</f>
        <v>-220.92205116504556</v>
      </c>
      <c r="AM28" s="656">
        <f>'Balance Sheet '!AM28-'Balance Sheet '!AL28</f>
        <v>-210.75479671379162</v>
      </c>
      <c r="AN28" s="656">
        <f>'Balance Sheet '!AN28-'Balance Sheet '!AM28</f>
        <v>-201.68689301147697</v>
      </c>
      <c r="AO28" s="683">
        <f>'Balance Sheet '!AO28-'Balance Sheet '!AN28</f>
        <v>-192.53432545146643</v>
      </c>
    </row>
    <row r="29" spans="1:41" x14ac:dyDescent="0.8">
      <c r="A29" s="288" t="s">
        <v>21</v>
      </c>
      <c r="B29" s="186"/>
      <c r="C29" s="186"/>
      <c r="D29" s="186"/>
      <c r="E29" s="186"/>
      <c r="F29" s="186"/>
      <c r="G29" s="1136"/>
      <c r="H29" s="656">
        <f>'Balance Sheet '!H32-'Balance Sheet '!G32</f>
        <v>-1439.1028312482904</v>
      </c>
      <c r="I29" s="656">
        <f>'Balance Sheet '!I32-'Balance Sheet '!H32</f>
        <v>1406.8146080971455</v>
      </c>
      <c r="J29" s="656">
        <f>'Balance Sheet '!J32-'Balance Sheet '!I32</f>
        <v>-237.56077384543823</v>
      </c>
      <c r="K29" s="656">
        <f>'Balance Sheet '!K32-'Balance Sheet '!J32</f>
        <v>506.70852231001663</v>
      </c>
      <c r="L29" s="656">
        <f>'Balance Sheet '!L32-'Balance Sheet '!K32</f>
        <v>-621.69026073549867</v>
      </c>
      <c r="M29" s="1141">
        <f>'Balance Sheet '!M32-'Balance Sheet '!L32</f>
        <v>510.34494415527115</v>
      </c>
      <c r="N29" s="656">
        <f>'Balance Sheet '!N32-'Balance Sheet '!M32</f>
        <v>-1811.6514385368919</v>
      </c>
      <c r="O29" s="656">
        <f>'Balance Sheet '!O32-'Balance Sheet '!N32</f>
        <v>385.91802852642468</v>
      </c>
      <c r="P29" s="656">
        <f>'Balance Sheet '!P32-'Balance Sheet '!O32</f>
        <v>-1072.3649861608756</v>
      </c>
      <c r="Q29" s="656">
        <f>'Balance Sheet '!Q32-'Balance Sheet '!P32</f>
        <v>268.86838797779274</v>
      </c>
      <c r="R29" s="656">
        <f>'Balance Sheet '!R32-'Balance Sheet '!Q32</f>
        <v>-1081.3532911447091</v>
      </c>
      <c r="S29" s="656">
        <f>'Balance Sheet '!S32-'Balance Sheet '!R32</f>
        <v>178.53708352943795</v>
      </c>
      <c r="T29" s="656">
        <f>'Balance Sheet '!T32-'Balance Sheet '!S32</f>
        <v>-756.27957175120719</v>
      </c>
      <c r="U29" s="656">
        <f>'Balance Sheet '!U32-'Balance Sheet '!T32</f>
        <v>117.84388463881987</v>
      </c>
      <c r="V29" s="656">
        <f>'Balance Sheet '!V32-'Balance Sheet '!U32</f>
        <v>-559.57408162663705</v>
      </c>
      <c r="W29" s="656">
        <f>'Balance Sheet '!W32-'Balance Sheet '!V32</f>
        <v>18.194554949759549</v>
      </c>
      <c r="X29" s="656">
        <f>'Balance Sheet '!X32-'Balance Sheet '!W32</f>
        <v>-431.11759110733692</v>
      </c>
      <c r="Y29" s="656">
        <f>'Balance Sheet '!Y32-'Balance Sheet '!X32</f>
        <v>-341.26892307320486</v>
      </c>
      <c r="Z29" s="656">
        <f>'Balance Sheet '!Z32-'Balance Sheet '!Y32</f>
        <v>-406.84078068869894</v>
      </c>
      <c r="AA29" s="656">
        <f>'Balance Sheet '!AA32-'Balance Sheet '!Z32</f>
        <v>-324.33386068236359</v>
      </c>
      <c r="AB29" s="656">
        <f>'Balance Sheet '!AB32-'Balance Sheet '!AA32</f>
        <v>-362.53095263048453</v>
      </c>
      <c r="AC29" s="656">
        <f>'Balance Sheet '!AC32-'Balance Sheet '!AB32</f>
        <v>-304.46644950072186</v>
      </c>
      <c r="AD29" s="656">
        <f>'Balance Sheet '!AD32-'Balance Sheet '!AC32</f>
        <v>-325.20944382924608</v>
      </c>
      <c r="AE29" s="656">
        <f>'Balance Sheet '!AE32-'Balance Sheet '!AD32</f>
        <v>-283.47096777252591</v>
      </c>
      <c r="AF29" s="656">
        <f>'Balance Sheet '!AF32-'Balance Sheet '!AE32</f>
        <v>-293.21362336132734</v>
      </c>
      <c r="AG29" s="656">
        <f>'Balance Sheet '!AG32-'Balance Sheet '!AF32</f>
        <v>-262.46685697132489</v>
      </c>
      <c r="AH29" s="656">
        <f>'Balance Sheet '!AH32-'Balance Sheet '!AG32</f>
        <v>-251.38315037021312</v>
      </c>
      <c r="AI29" s="656">
        <f>'Balance Sheet '!AI32-'Balance Sheet '!AH32</f>
        <v>-239.38455963212073</v>
      </c>
      <c r="AJ29" s="656">
        <f>'Balance Sheet '!AJ32-'Balance Sheet '!AI32</f>
        <v>-229.2239954245706</v>
      </c>
      <c r="AK29" s="656">
        <f>'Balance Sheet '!AK32-'Balance Sheet '!AJ32</f>
        <v>-218.49841517218192</v>
      </c>
      <c r="AL29" s="656">
        <f>'Balance Sheet '!AL32-'Balance Sheet '!AK32</f>
        <v>-209.14317538578416</v>
      </c>
      <c r="AM29" s="656">
        <f>'Balance Sheet '!AM32-'Balance Sheet '!AL32</f>
        <v>-199.51800727931186</v>
      </c>
      <c r="AN29" s="656">
        <f>'Balance Sheet '!AN32-'Balance Sheet '!AM32</f>
        <v>-190.93357596340866</v>
      </c>
      <c r="AO29" s="683">
        <f>'Balance Sheet '!AO32-'Balance Sheet '!AN32</f>
        <v>-182.26899480304655</v>
      </c>
    </row>
    <row r="30" spans="1:41" x14ac:dyDescent="0.8">
      <c r="A30" s="1180" t="s">
        <v>344</v>
      </c>
      <c r="B30" s="166"/>
      <c r="C30" s="656"/>
      <c r="D30" s="656"/>
      <c r="E30" s="656"/>
      <c r="F30" s="656"/>
      <c r="G30" s="1141"/>
      <c r="H30" s="656">
        <f>-('Balance Sheet '!H7-'Balance Sheet '!G7)</f>
        <v>-4935.9968741999983</v>
      </c>
      <c r="I30" s="656">
        <f>-('Balance Sheet '!I7-'Balance Sheet '!H7)</f>
        <v>-4969.2414416485117</v>
      </c>
      <c r="J30" s="656">
        <f>-('Balance Sheet '!J7-'Balance Sheet '!I7)</f>
        <v>839.12751225947432</v>
      </c>
      <c r="K30" s="656">
        <f>-('Balance Sheet '!K7-'Balance Sheet '!J7)</f>
        <v>-1789.8285768479473</v>
      </c>
      <c r="L30" s="656">
        <f>-('Balance Sheet '!L7-'Balance Sheet '!K7)</f>
        <v>2195.9745013557404</v>
      </c>
      <c r="M30" s="1141">
        <f>-('Balance Sheet '!M7-'Balance Sheet '!L7)</f>
        <v>-1802.673381009583</v>
      </c>
      <c r="N30" s="656">
        <f>-('Balance Sheet '!N7-'Balance Sheet '!M7)</f>
        <v>6399.232247365173</v>
      </c>
      <c r="O30" s="656">
        <f>-('Balance Sheet '!O7-'Balance Sheet '!N7)</f>
        <v>-1363.1645914074688</v>
      </c>
      <c r="P30" s="656">
        <f>-('Balance Sheet '!P7-'Balance Sheet '!O7)</f>
        <v>3787.8768809567846</v>
      </c>
      <c r="Q30" s="656">
        <f>-('Balance Sheet '!Q7-'Balance Sheet '!P7)</f>
        <v>-949.71428942983039</v>
      </c>
      <c r="R30" s="656">
        <f>-('Balance Sheet '!R7-'Balance Sheet '!Q7)</f>
        <v>3819.6259524824636</v>
      </c>
      <c r="S30" s="656">
        <f>-('Balance Sheet '!S7-'Balance Sheet '!R7)</f>
        <v>-630.640220281457</v>
      </c>
      <c r="T30" s="656">
        <f>-('Balance Sheet '!T7-'Balance Sheet '!S7)</f>
        <v>2671.3795604536281</v>
      </c>
      <c r="U30" s="656">
        <f>-('Balance Sheet '!U7-'Balance Sheet '!T7)</f>
        <v>-416.25578226269863</v>
      </c>
      <c r="V30" s="656">
        <f>-('Balance Sheet '!V7-'Balance Sheet '!U7)</f>
        <v>1976.5637206828542</v>
      </c>
      <c r="W30" s="656">
        <f>-('Balance Sheet '!W7-'Balance Sheet '!V7)</f>
        <v>-64.267982396762818</v>
      </c>
      <c r="X30" s="656">
        <f>-('Balance Sheet '!X7-'Balance Sheet '!W7)</f>
        <v>1522.8214063343912</v>
      </c>
      <c r="Y30" s="656">
        <f>-('Balance Sheet '!Y7-'Balance Sheet '!X7)</f>
        <v>1205.4521367075649</v>
      </c>
      <c r="Z30" s="656">
        <f>-('Balance Sheet '!Z7-'Balance Sheet '!Y7)</f>
        <v>1437.0692882450603</v>
      </c>
      <c r="AA30" s="656">
        <f>-('Balance Sheet '!AA7-'Balance Sheet '!Z7)</f>
        <v>1145.6330152930605</v>
      </c>
      <c r="AB30" s="656">
        <f>-('Balance Sheet '!AB7-'Balance Sheet '!AA7)</f>
        <v>1280.5552510777707</v>
      </c>
      <c r="AC30" s="656">
        <f>-('Balance Sheet '!AC7-'Balance Sheet '!AB7)</f>
        <v>1075.4560620443081</v>
      </c>
      <c r="AD30" s="656">
        <f>-('Balance Sheet '!AD7-'Balance Sheet '!AC7)</f>
        <v>1148.7258066488357</v>
      </c>
      <c r="AE30" s="656">
        <f>-('Balance Sheet '!AE7-'Balance Sheet '!AD7)</f>
        <v>1001.2944651354992</v>
      </c>
      <c r="AF30" s="656">
        <f>-('Balance Sheet '!AF7-'Balance Sheet '!AE7)</f>
        <v>1035.7081026005471</v>
      </c>
      <c r="AG30" s="656">
        <f>-('Balance Sheet '!AG7-'Balance Sheet '!AF7)</f>
        <v>927.10238805757035</v>
      </c>
      <c r="AH30" s="656">
        <f>-('Balance Sheet '!AH7-'Balance Sheet '!AG7)</f>
        <v>887.95180357237405</v>
      </c>
      <c r="AI30" s="656">
        <f>-('Balance Sheet '!AI7-'Balance Sheet '!AH7)</f>
        <v>845.56960623525811</v>
      </c>
      <c r="AJ30" s="656">
        <f>-('Balance Sheet '!AJ7-'Balance Sheet '!AI7)</f>
        <v>809.67980494937365</v>
      </c>
      <c r="AK30" s="656">
        <f>-('Balance Sheet '!AK7-'Balance Sheet '!AJ7)</f>
        <v>771.79421748878667</v>
      </c>
      <c r="AL30" s="656">
        <f>-('Balance Sheet '!AL7-'Balance Sheet '!AK7)</f>
        <v>738.7490351487977</v>
      </c>
      <c r="AM30" s="656">
        <f>-('Balance Sheet '!AM7-'Balance Sheet '!AL7)</f>
        <v>704.75039455875594</v>
      </c>
      <c r="AN30" s="656">
        <f>-('Balance Sheet '!AN7-'Balance Sheet '!AM7)</f>
        <v>674.42791169395787</v>
      </c>
      <c r="AO30" s="683">
        <f>-('Balance Sheet '!AO7-'Balance Sheet '!AN7)</f>
        <v>643.8223183707305</v>
      </c>
    </row>
    <row r="31" spans="1:41" ht="16.75" thickBot="1" x14ac:dyDescent="0.95">
      <c r="A31" s="176" t="s">
        <v>336</v>
      </c>
      <c r="B31" s="177"/>
      <c r="C31" s="177"/>
      <c r="D31" s="177"/>
      <c r="E31" s="177"/>
      <c r="F31" s="177"/>
      <c r="G31" s="177"/>
      <c r="H31" s="1181">
        <f t="shared" ref="H31:AO31" si="1">SUM(H6:H30)</f>
        <v>48188.31542384479</v>
      </c>
      <c r="I31" s="177">
        <f t="shared" si="1"/>
        <v>26646.773637174116</v>
      </c>
      <c r="J31" s="177">
        <f t="shared" si="1"/>
        <v>51206.396895572463</v>
      </c>
      <c r="K31" s="177">
        <f t="shared" si="1"/>
        <v>42088.135947972201</v>
      </c>
      <c r="L31" s="177">
        <f t="shared" si="1"/>
        <v>41330.233502271578</v>
      </c>
      <c r="M31" s="177">
        <f t="shared" si="1"/>
        <v>51978.206741018679</v>
      </c>
      <c r="N31" s="1181">
        <f t="shared" si="1"/>
        <v>42496.683601910656</v>
      </c>
      <c r="O31" s="177">
        <f t="shared" si="1"/>
        <v>44341.730229694673</v>
      </c>
      <c r="P31" s="177">
        <f t="shared" si="1"/>
        <v>39436.696186779387</v>
      </c>
      <c r="Q31" s="177">
        <f t="shared" si="1"/>
        <v>37185.021564881987</v>
      </c>
      <c r="R31" s="177">
        <f t="shared" si="1"/>
        <v>37289.670722004295</v>
      </c>
      <c r="S31" s="177">
        <f t="shared" si="1"/>
        <v>36099.007997686815</v>
      </c>
      <c r="T31" s="177">
        <f t="shared" si="1"/>
        <v>34784.458718151815</v>
      </c>
      <c r="U31" s="177">
        <f t="shared" si="1"/>
        <v>32541.547550212752</v>
      </c>
      <c r="V31" s="177">
        <f t="shared" si="1"/>
        <v>30766.624335564946</v>
      </c>
      <c r="W31" s="177">
        <f t="shared" si="1"/>
        <v>29237.76059262226</v>
      </c>
      <c r="X31" s="177">
        <f t="shared" si="1"/>
        <v>27060.961321232382</v>
      </c>
      <c r="Y31" s="177">
        <f t="shared" si="1"/>
        <v>25209.566650281668</v>
      </c>
      <c r="Z31" s="177">
        <f t="shared" si="1"/>
        <v>24020.967807251305</v>
      </c>
      <c r="AA31" s="177">
        <f t="shared" si="1"/>
        <v>22111.744734782846</v>
      </c>
      <c r="AB31" s="177">
        <f t="shared" si="1"/>
        <v>20684.251503739681</v>
      </c>
      <c r="AC31" s="177">
        <f t="shared" si="1"/>
        <v>19365.442488481633</v>
      </c>
      <c r="AD31" s="177">
        <f t="shared" si="1"/>
        <v>18298.229684157457</v>
      </c>
      <c r="AE31" s="177">
        <f t="shared" si="1"/>
        <v>17295.425927768156</v>
      </c>
      <c r="AF31" s="177">
        <f t="shared" si="1"/>
        <v>16492.212866094385</v>
      </c>
      <c r="AG31" s="177">
        <f t="shared" si="1"/>
        <v>15721.449927506319</v>
      </c>
      <c r="AH31" s="177">
        <f t="shared" si="1"/>
        <v>15060.346122371175</v>
      </c>
      <c r="AI31" s="177">
        <f t="shared" si="1"/>
        <v>14515.493845953381</v>
      </c>
      <c r="AJ31" s="177">
        <f t="shared" si="1"/>
        <v>14116.298566830477</v>
      </c>
      <c r="AK31" s="177">
        <f t="shared" si="1"/>
        <v>13733.770985897574</v>
      </c>
      <c r="AL31" s="177">
        <f t="shared" si="1"/>
        <v>13369.4484569618</v>
      </c>
      <c r="AM31" s="177">
        <f t="shared" si="1"/>
        <v>13020.537421538993</v>
      </c>
      <c r="AN31" s="177">
        <f t="shared" si="1"/>
        <v>12687.893191498326</v>
      </c>
      <c r="AO31" s="1176">
        <f t="shared" si="1"/>
        <v>12369.423555270729</v>
      </c>
    </row>
    <row r="32" spans="1:41" ht="16.75" thickTop="1" x14ac:dyDescent="0.8">
      <c r="A32" s="219" t="s">
        <v>79</v>
      </c>
      <c r="B32" s="186"/>
      <c r="C32" s="186"/>
      <c r="D32" s="186"/>
      <c r="E32" s="186"/>
      <c r="F32" s="186"/>
      <c r="G32" s="1136"/>
      <c r="H32" s="656">
        <v>0</v>
      </c>
      <c r="I32" s="656">
        <v>0</v>
      </c>
      <c r="J32" s="656">
        <v>0</v>
      </c>
      <c r="K32" s="656">
        <v>0</v>
      </c>
      <c r="L32" s="656">
        <v>0</v>
      </c>
      <c r="M32" s="1141">
        <v>0</v>
      </c>
      <c r="N32" s="656">
        <v>0</v>
      </c>
      <c r="O32" s="656">
        <v>0</v>
      </c>
      <c r="P32" s="656">
        <v>0</v>
      </c>
      <c r="Q32" s="656">
        <v>0</v>
      </c>
      <c r="R32" s="656">
        <v>0</v>
      </c>
      <c r="S32" s="656">
        <v>0</v>
      </c>
      <c r="T32" s="656">
        <v>0</v>
      </c>
      <c r="U32" s="656">
        <v>0</v>
      </c>
      <c r="V32" s="656">
        <v>0</v>
      </c>
      <c r="W32" s="656">
        <v>0</v>
      </c>
      <c r="X32" s="656">
        <v>0</v>
      </c>
      <c r="Y32" s="656">
        <v>0</v>
      </c>
      <c r="Z32" s="656">
        <v>0</v>
      </c>
      <c r="AA32" s="656">
        <v>0</v>
      </c>
      <c r="AB32" s="656">
        <v>0</v>
      </c>
      <c r="AC32" s="656">
        <v>0</v>
      </c>
      <c r="AD32" s="656">
        <v>0</v>
      </c>
      <c r="AE32" s="656">
        <v>0</v>
      </c>
      <c r="AF32" s="656">
        <v>0</v>
      </c>
      <c r="AG32" s="656">
        <v>0</v>
      </c>
      <c r="AH32" s="656">
        <v>0</v>
      </c>
      <c r="AI32" s="656">
        <v>0</v>
      </c>
      <c r="AJ32" s="656">
        <v>0</v>
      </c>
      <c r="AK32" s="656">
        <v>0</v>
      </c>
      <c r="AL32" s="656">
        <v>0</v>
      </c>
      <c r="AM32" s="656">
        <v>0</v>
      </c>
      <c r="AN32" s="656">
        <v>0</v>
      </c>
      <c r="AO32" s="683">
        <v>0</v>
      </c>
    </row>
    <row r="33" spans="1:42" x14ac:dyDescent="0.8">
      <c r="A33" s="929" t="s">
        <v>101</v>
      </c>
      <c r="B33" s="186"/>
      <c r="C33" s="186"/>
      <c r="D33" s="186"/>
      <c r="E33" s="186"/>
      <c r="F33" s="186"/>
      <c r="G33" s="1136"/>
      <c r="H33" s="656">
        <f>-'Intangibles Schedule'!I6-'Acquisition Schedule'!H23</f>
        <v>-11962.28456579</v>
      </c>
      <c r="I33" s="656">
        <f>-'Intangibles Schedule'!J6-'Acquisition Schedule'!I23</f>
        <v>-2618.8334677219877</v>
      </c>
      <c r="J33" s="656">
        <f>-'Intangibles Schedule'!K6-'Acquisition Schedule'!J23</f>
        <v>-15483.639286314337</v>
      </c>
      <c r="K33" s="656">
        <f>-'Intangibles Schedule'!L6-'Acquisition Schedule'!K23</f>
        <v>-1331.0715914432867</v>
      </c>
      <c r="L33" s="656">
        <f>-'Intangibles Schedule'!M6-'Acquisition Schedule'!L23</f>
        <v>-6405.2608612286967</v>
      </c>
      <c r="M33" s="1141">
        <f>-'Intangibles Schedule'!N6-'Acquisition Schedule'!M23</f>
        <v>0</v>
      </c>
      <c r="N33" s="656">
        <f>-'Intangibles Schedule'!O6-'Acquisition Schedule'!N23</f>
        <v>-2352.7055516908354</v>
      </c>
      <c r="O33" s="656">
        <f>-'Intangibles Schedule'!P6-'Acquisition Schedule'!O23</f>
        <v>-2414.8052719660645</v>
      </c>
      <c r="P33" s="656">
        <f>-'Intangibles Schedule'!Q6-'Acquisition Schedule'!P23</f>
        <v>-2242.2464362780333</v>
      </c>
      <c r="Q33" s="656">
        <f>-'Intangibles Schedule'!R6-'Acquisition Schedule'!Q23</f>
        <v>-2285.5111983520587</v>
      </c>
      <c r="R33" s="656">
        <f>-'Intangibles Schedule'!S6-'Acquisition Schedule'!R23</f>
        <v>-2111.5060160723019</v>
      </c>
      <c r="S33" s="656">
        <f>-'Intangibles Schedule'!T6-'Acquisition Schedule'!S23</f>
        <v>-2140.2351816629016</v>
      </c>
      <c r="T33" s="656">
        <f>-'Intangibles Schedule'!U6-'Acquisition Schedule'!T23</f>
        <v>-2018.5390016866813</v>
      </c>
      <c r="U33" s="656">
        <f>-'Intangibles Schedule'!V6-'Acquisition Schedule'!U23</f>
        <v>-2037.5017651008707</v>
      </c>
      <c r="V33" s="656">
        <f>-'Intangibles Schedule'!W6-'Acquisition Schedule'!V23</f>
        <v>-1947.4583067142071</v>
      </c>
      <c r="W33" s="656">
        <f>-'Intangibles Schedule'!X6-'Acquisition Schedule'!W23</f>
        <v>-1950.3860703567261</v>
      </c>
      <c r="X33" s="656">
        <f>-'Intangibles Schedule'!Y6-'Acquisition Schedule'!X23</f>
        <v>-1881.0130951792707</v>
      </c>
      <c r="Y33" s="656">
        <f>-'Intangibles Schedule'!Z6-'Acquisition Schedule'!Y23</f>
        <v>-1826.0980533959262</v>
      </c>
      <c r="Z33" s="656">
        <f>-'Intangibles Schedule'!AA6-'Acquisition Schedule'!Z23</f>
        <v>-1760.6315635980957</v>
      </c>
      <c r="AA33" s="656">
        <f>-'Intangibles Schedule'!AB6-'Acquisition Schedule'!AA23</f>
        <v>-1708.4416151236342</v>
      </c>
      <c r="AB33" s="656">
        <f>-'Intangibles Schedule'!AC6-'Acquisition Schedule'!AB23</f>
        <v>-1650.1052092412024</v>
      </c>
      <c r="AC33" s="656">
        <f>-'Intangibles Schedule'!AD6-'Acquisition Schedule'!AC23</f>
        <v>-1601.1122108591837</v>
      </c>
      <c r="AD33" s="656">
        <f>-'Intangibles Schedule'!AE6-'Acquisition Schedule'!AD23</f>
        <v>-1548.7813685562924</v>
      </c>
      <c r="AE33" s="656">
        <f>-'Intangibles Schedule'!AF6-'Acquisition Schedule'!AE23</f>
        <v>-1503.1668429223414</v>
      </c>
      <c r="AF33" s="656">
        <f>-'Intangibles Schedule'!AG6-'Acquisition Schedule'!AF23</f>
        <v>-1455.9845849149835</v>
      </c>
      <c r="AG33" s="656">
        <f>-'Intangibles Schedule'!AH6-'Acquisition Schedule'!AG23</f>
        <v>-1413.7499205701386</v>
      </c>
      <c r="AH33" s="656">
        <f>-'Intangibles Schedule'!AI6-'Acquisition Schedule'!AH23</f>
        <v>-1373.2987828518417</v>
      </c>
      <c r="AI33" s="656">
        <f>-'Intangibles Schedule'!AJ6-'Acquisition Schedule'!AI23</f>
        <v>-1334.7783896789019</v>
      </c>
      <c r="AJ33" s="656">
        <f>-'Intangibles Schedule'!AK6-'Acquisition Schedule'!AJ23</f>
        <v>-1297.8929763423196</v>
      </c>
      <c r="AK33" s="656">
        <f>-'Intangibles Schedule'!AL6-'Acquisition Schedule'!AK23</f>
        <v>-1262.7334619900525</v>
      </c>
      <c r="AL33" s="656">
        <f>-'Intangibles Schedule'!AM6-'Acquisition Schedule'!AL23</f>
        <v>-1229.0793392777184</v>
      </c>
      <c r="AM33" s="656">
        <f>-'Intangibles Schedule'!AN6-'Acquisition Schedule'!AM23</f>
        <v>-1196.9740435255972</v>
      </c>
      <c r="AN33" s="656">
        <f>-'Intangibles Schedule'!AO6-'Acquisition Schedule'!AN23</f>
        <v>-1166.2501053262058</v>
      </c>
      <c r="AO33" s="683">
        <f>-'Intangibles Schedule'!AP6-'Acquisition Schedule'!AO23</f>
        <v>-1136.9204219337616</v>
      </c>
    </row>
    <row r="34" spans="1:42" x14ac:dyDescent="0.8">
      <c r="A34" s="22" t="s">
        <v>337</v>
      </c>
      <c r="B34" s="186"/>
      <c r="C34" s="186"/>
      <c r="D34" s="186"/>
      <c r="E34" s="186"/>
      <c r="F34" s="186"/>
      <c r="G34" s="1136"/>
      <c r="H34" s="656">
        <f>-'Fixed Asset Schedule'!L41</f>
        <v>-35182.399999999987</v>
      </c>
      <c r="I34" s="656">
        <f>-'Fixed Asset Schedule'!M41</f>
        <v>-10554.719999999994</v>
      </c>
      <c r="J34" s="656">
        <f>-'Fixed Asset Schedule'!N41</f>
        <v>-44329.823999999979</v>
      </c>
      <c r="K34" s="656">
        <f>-'Fixed Asset Schedule'!O41</f>
        <v>-10639.157760000038</v>
      </c>
      <c r="L34" s="656">
        <f>-'Fixed Asset Schedule'!P41</f>
        <v>-55323.620351999998</v>
      </c>
      <c r="M34" s="1141">
        <f>-'Fixed Asset Schedule'!Q41</f>
        <v>-29874.754990080033</v>
      </c>
      <c r="N34" s="656">
        <f>-'Fixed Asset Schedule'!R41</f>
        <v>-29307.13464526847</v>
      </c>
      <c r="O34" s="656">
        <f>-'Fixed Asset Schedule'!S41</f>
        <v>-28512.911296381706</v>
      </c>
      <c r="P34" s="656">
        <f>-'Fixed Asset Schedule'!T41</f>
        <v>-27532.352276899099</v>
      </c>
      <c r="Q34" s="656">
        <f>-'Fixed Asset Schedule'!U41</f>
        <v>-26404.874918807778</v>
      </c>
      <c r="R34" s="656">
        <f>-'Fixed Asset Schedule'!V41</f>
        <v>-25167.650740099612</v>
      </c>
      <c r="S34" s="656">
        <f>-'Fixed Asset Schedule'!W41</f>
        <v>-23854.646599016894</v>
      </c>
      <c r="T34" s="656">
        <f>-'Fixed Asset Schedule'!X41</f>
        <v>-22496.046255816811</v>
      </c>
      <c r="U34" s="656">
        <f>-'Fixed Asset Schedule'!Y41</f>
        <v>-18771.54182607515</v>
      </c>
      <c r="V34" s="656">
        <f>-'Fixed Asset Schedule'!Z41</f>
        <v>-15534.387588045311</v>
      </c>
      <c r="W34" s="656">
        <f>-'Fixed Asset Schedule'!AA41</f>
        <v>-12769.886748021381</v>
      </c>
      <c r="X34" s="656">
        <f>-'Fixed Asset Schedule'!AB41</f>
        <v>-10441.067236054201</v>
      </c>
      <c r="Y34" s="656">
        <f>-'Fixed Asset Schedule'!AC41</f>
        <v>-8500.1307799635779</v>
      </c>
      <c r="Z34" s="656">
        <f>-'Fixed Asset Schedule'!AD41</f>
        <v>-6896.0238366029134</v>
      </c>
      <c r="AA34" s="656">
        <f>-'Fixed Asset Schedule'!AE41</f>
        <v>-33.990282251650569</v>
      </c>
      <c r="AB34" s="656">
        <f>-'Fixed Asset Schedule'!AF41</f>
        <v>-33.992151717180604</v>
      </c>
      <c r="AC34" s="656">
        <f>-'Fixed Asset Schedule'!AG41</f>
        <v>-33.994021285513554</v>
      </c>
      <c r="AD34" s="656">
        <f>-'Fixed Asset Schedule'!AH41</f>
        <v>-33.995890956768562</v>
      </c>
      <c r="AE34" s="656">
        <f>-'Fixed Asset Schedule'!AI41</f>
        <v>-33.997760730650953</v>
      </c>
      <c r="AF34" s="656">
        <f>-'Fixed Asset Schedule'!AJ41</f>
        <v>-33.999630607543622</v>
      </c>
      <c r="AG34" s="656">
        <f>-'Fixed Asset Schedule'!AK41</f>
        <v>-34.001500587239207</v>
      </c>
      <c r="AH34" s="656">
        <f>-'Fixed Asset Schedule'!AL41</f>
        <v>-34.003370669770447</v>
      </c>
      <c r="AI34" s="656">
        <f>-'Fixed Asset Schedule'!AM41</f>
        <v>-34.00524085516372</v>
      </c>
      <c r="AJ34" s="656">
        <f>-'Fixed Asset Schedule'!AN41</f>
        <v>-34.007111143449038</v>
      </c>
      <c r="AK34" s="656">
        <f>-'Fixed Asset Schedule'!AO41</f>
        <v>-34.008981534479972</v>
      </c>
      <c r="AL34" s="656">
        <f>-'Fixed Asset Schedule'!AP41</f>
        <v>-34.010852028520276</v>
      </c>
      <c r="AM34" s="656">
        <f>-'Fixed Asset Schedule'!AQ41</f>
        <v>-34.012722625395327</v>
      </c>
      <c r="AN34" s="656">
        <f>-'Fixed Asset Schedule'!AR41</f>
        <v>-34.014593325073292</v>
      </c>
      <c r="AO34" s="683">
        <f>-'Fixed Asset Schedule'!AS41</f>
        <v>-34.01646412770242</v>
      </c>
    </row>
    <row r="35" spans="1:42" s="89" customFormat="1" ht="16.75" thickBot="1" x14ac:dyDescent="0.95">
      <c r="A35" s="1170" t="s">
        <v>338</v>
      </c>
      <c r="B35" s="1342"/>
      <c r="C35" s="1342"/>
      <c r="D35" s="1342"/>
      <c r="E35" s="1342"/>
      <c r="F35" s="1342"/>
      <c r="G35" s="1343"/>
      <c r="H35" s="1342">
        <f>SUM(H31:H34)</f>
        <v>1043.6308580547993</v>
      </c>
      <c r="I35" s="1342">
        <f>SUM(I31:I34)</f>
        <v>13473.220169452135</v>
      </c>
      <c r="J35" s="1342">
        <f t="shared" ref="J35:Q35" si="2">SUM(J31:J34)</f>
        <v>-8607.0663907418493</v>
      </c>
      <c r="K35" s="1342">
        <f t="shared" si="2"/>
        <v>30117.906596528876</v>
      </c>
      <c r="L35" s="1342">
        <f t="shared" si="2"/>
        <v>-20398.647710957113</v>
      </c>
      <c r="M35" s="1343">
        <f t="shared" si="2"/>
        <v>22103.451750938646</v>
      </c>
      <c r="N35" s="1342">
        <f t="shared" si="2"/>
        <v>10836.843404951349</v>
      </c>
      <c r="O35" s="1342">
        <f t="shared" si="2"/>
        <v>13414.013661346904</v>
      </c>
      <c r="P35" s="1342">
        <f t="shared" si="2"/>
        <v>9662.0974736022581</v>
      </c>
      <c r="Q35" s="1342">
        <f t="shared" si="2"/>
        <v>8494.6354477221466</v>
      </c>
      <c r="R35" s="1342">
        <f t="shared" ref="R35" si="3">SUM(R31:R34)</f>
        <v>10010.513965832382</v>
      </c>
      <c r="S35" s="1342">
        <f t="shared" ref="S35" si="4">SUM(S31:S34)</f>
        <v>10104.126217007019</v>
      </c>
      <c r="T35" s="1342">
        <f t="shared" ref="T35" si="5">SUM(T31:T34)</f>
        <v>10269.873460648323</v>
      </c>
      <c r="U35" s="1342">
        <f t="shared" ref="U35" si="6">SUM(U31:U34)</f>
        <v>11732.503959036731</v>
      </c>
      <c r="V35" s="1342">
        <f t="shared" ref="V35" si="7">SUM(V31:V34)</f>
        <v>13284.778440805427</v>
      </c>
      <c r="W35" s="1342">
        <f t="shared" ref="W35:Y35" si="8">SUM(W31:W34)</f>
        <v>14517.487774244153</v>
      </c>
      <c r="X35" s="1342">
        <f t="shared" si="8"/>
        <v>14738.88098999891</v>
      </c>
      <c r="Y35" s="1342">
        <f t="shared" si="8"/>
        <v>14883.337816922163</v>
      </c>
      <c r="Z35" s="1342">
        <f t="shared" ref="Z35" si="9">SUM(Z31:Z34)</f>
        <v>15364.312407050294</v>
      </c>
      <c r="AA35" s="1342">
        <f t="shared" ref="AA35" si="10">SUM(AA31:AA34)</f>
        <v>20369.31283740756</v>
      </c>
      <c r="AB35" s="1342">
        <f t="shared" ref="AB35" si="11">SUM(AB31:AB34)</f>
        <v>19000.154142781299</v>
      </c>
      <c r="AC35" s="1342">
        <f t="shared" ref="AC35" si="12">SUM(AC31:AC34)</f>
        <v>17730.336256336934</v>
      </c>
      <c r="AD35" s="1342">
        <f t="shared" ref="AD35" si="13">SUM(AD31:AD34)</f>
        <v>16715.452424644394</v>
      </c>
      <c r="AE35" s="1342">
        <f t="shared" ref="AE35:AG35" si="14">SUM(AE31:AE34)</f>
        <v>15758.261324115163</v>
      </c>
      <c r="AF35" s="1342">
        <f t="shared" si="14"/>
        <v>15002.228650571858</v>
      </c>
      <c r="AG35" s="1342">
        <f t="shared" si="14"/>
        <v>14273.698506348941</v>
      </c>
      <c r="AH35" s="1342">
        <f t="shared" ref="AH35" si="15">SUM(AH31:AH34)</f>
        <v>13653.043968849563</v>
      </c>
      <c r="AI35" s="1342">
        <f t="shared" ref="AI35" si="16">SUM(AI31:AI34)</f>
        <v>13146.710215419314</v>
      </c>
      <c r="AJ35" s="1342">
        <f t="shared" ref="AJ35" si="17">SUM(AJ31:AJ34)</f>
        <v>12784.398479344709</v>
      </c>
      <c r="AK35" s="1342">
        <f t="shared" ref="AK35" si="18">SUM(AK31:AK34)</f>
        <v>12437.028542373042</v>
      </c>
      <c r="AL35" s="1342">
        <f t="shared" ref="AL35" si="19">SUM(AL31:AL34)</f>
        <v>12106.358265655563</v>
      </c>
      <c r="AM35" s="1342">
        <f t="shared" ref="AM35:AO35" si="20">SUM(AM31:AM34)</f>
        <v>11789.550655388</v>
      </c>
      <c r="AN35" s="1342">
        <f t="shared" si="20"/>
        <v>11487.628492847047</v>
      </c>
      <c r="AO35" s="1344">
        <f t="shared" si="20"/>
        <v>11198.486669209264</v>
      </c>
      <c r="AP35" s="1345"/>
    </row>
    <row r="36" spans="1:42" ht="16.75" thickTop="1" x14ac:dyDescent="0.8">
      <c r="A36" s="1172" t="s">
        <v>103</v>
      </c>
      <c r="B36" s="241"/>
      <c r="C36" s="241"/>
      <c r="D36" s="241"/>
      <c r="E36" s="241"/>
      <c r="F36" s="241"/>
      <c r="G36" s="1138"/>
      <c r="H36" s="241"/>
      <c r="I36" s="242">
        <f>(I35-H35)/H35</f>
        <v>11.909948058228727</v>
      </c>
      <c r="J36" s="242">
        <f t="shared" ref="J36:AO36" si="21">(J35-I35)/I35</f>
        <v>-1.6388277102645938</v>
      </c>
      <c r="K36" s="242">
        <f t="shared" si="21"/>
        <v>-4.4992069573118503</v>
      </c>
      <c r="L36" s="242">
        <f t="shared" si="21"/>
        <v>-1.6772930132304773</v>
      </c>
      <c r="M36" s="1146">
        <f t="shared" si="21"/>
        <v>-2.0835743655235439</v>
      </c>
      <c r="N36" s="242">
        <f t="shared" si="21"/>
        <v>-0.50972167030467763</v>
      </c>
      <c r="O36" s="242">
        <f t="shared" si="21"/>
        <v>0.23781558523010926</v>
      </c>
      <c r="P36" s="242">
        <f t="shared" si="21"/>
        <v>-0.27970123502676641</v>
      </c>
      <c r="Q36" s="242">
        <f t="shared" si="21"/>
        <v>-0.12082904659880792</v>
      </c>
      <c r="R36" s="242">
        <f t="shared" si="21"/>
        <v>0.17845127403515845</v>
      </c>
      <c r="S36" s="242">
        <f t="shared" si="21"/>
        <v>9.3513930947153167E-3</v>
      </c>
      <c r="T36" s="242">
        <f t="shared" si="21"/>
        <v>1.6403916586307365E-2</v>
      </c>
      <c r="U36" s="242">
        <f t="shared" si="21"/>
        <v>0.14241952483571044</v>
      </c>
      <c r="V36" s="242">
        <f t="shared" si="21"/>
        <v>0.13230547265855278</v>
      </c>
      <c r="W36" s="242">
        <f t="shared" si="21"/>
        <v>9.2791109684776191E-2</v>
      </c>
      <c r="X36" s="242">
        <f t="shared" si="21"/>
        <v>1.5250105197094523E-2</v>
      </c>
      <c r="Y36" s="242">
        <f t="shared" si="21"/>
        <v>9.801071534621562E-3</v>
      </c>
      <c r="Z36" s="242">
        <f t="shared" si="21"/>
        <v>3.2316312109859475E-2</v>
      </c>
      <c r="AA36" s="242">
        <f t="shared" si="21"/>
        <v>0.32575492464346129</v>
      </c>
      <c r="AB36" s="242">
        <f t="shared" si="21"/>
        <v>-6.7216734582810633E-2</v>
      </c>
      <c r="AC36" s="242">
        <f t="shared" si="21"/>
        <v>-6.6831978146177584E-2</v>
      </c>
      <c r="AD36" s="242">
        <f t="shared" si="21"/>
        <v>-5.7239965278707755E-2</v>
      </c>
      <c r="AE36" s="242">
        <f t="shared" si="21"/>
        <v>-5.7263846422607054E-2</v>
      </c>
      <c r="AF36" s="242">
        <f t="shared" si="21"/>
        <v>-4.7976909253708948E-2</v>
      </c>
      <c r="AG36" s="242">
        <f t="shared" si="21"/>
        <v>-4.8561461179645944E-2</v>
      </c>
      <c r="AH36" s="242">
        <f t="shared" si="21"/>
        <v>-4.3482390861997768E-2</v>
      </c>
      <c r="AI36" s="242">
        <f t="shared" si="21"/>
        <v>-3.7085777690710316E-2</v>
      </c>
      <c r="AJ36" s="242">
        <f t="shared" si="21"/>
        <v>-2.7559117843007051E-2</v>
      </c>
      <c r="AK36" s="242">
        <f t="shared" si="21"/>
        <v>-2.7171394691185506E-2</v>
      </c>
      <c r="AL36" s="242">
        <f t="shared" si="21"/>
        <v>-2.6587562743856652E-2</v>
      </c>
      <c r="AM36" s="242">
        <f t="shared" si="21"/>
        <v>-2.6168696094705162E-2</v>
      </c>
      <c r="AN36" s="242">
        <f t="shared" si="21"/>
        <v>-2.5609301945954208E-2</v>
      </c>
      <c r="AO36" s="1173">
        <f t="shared" si="21"/>
        <v>-2.5169844569557748E-2</v>
      </c>
    </row>
    <row r="37" spans="1:42" x14ac:dyDescent="0.8">
      <c r="A37" s="22" t="s">
        <v>349</v>
      </c>
      <c r="B37" s="186"/>
      <c r="C37" s="186"/>
      <c r="D37" s="186"/>
      <c r="E37" s="186"/>
      <c r="F37" s="186"/>
      <c r="G37" s="1136"/>
      <c r="H37" s="656">
        <f>'Income Statement '!H19</f>
        <v>-1876.07964977041</v>
      </c>
      <c r="I37" s="656">
        <f>'Income Statement '!I19</f>
        <v>-838.73669921570274</v>
      </c>
      <c r="J37" s="656">
        <f>'Income Statement '!J19</f>
        <v>-927.39105572269409</v>
      </c>
      <c r="K37" s="656">
        <f>'Income Statement '!K19</f>
        <v>-1049.8489072575617</v>
      </c>
      <c r="L37" s="656">
        <f>'Income Statement '!L19</f>
        <v>-1144.2271859355301</v>
      </c>
      <c r="M37" s="1141">
        <f>'Income Statement '!M19</f>
        <v>-1274.0647631415347</v>
      </c>
      <c r="N37" s="656">
        <f>'Income Statement '!N19</f>
        <v>-1111.3998661053115</v>
      </c>
      <c r="O37" s="656">
        <f>'Income Statement '!O19</f>
        <v>-1119.8641336110929</v>
      </c>
      <c r="P37" s="656">
        <f>'Income Statement '!P19</f>
        <v>-1101.4898876006077</v>
      </c>
      <c r="Q37" s="656">
        <f>'Income Statement '!Q19</f>
        <v>-1088.3285621651637</v>
      </c>
      <c r="R37" s="656">
        <f>'Income Statement '!R19</f>
        <v>-1050.9611148136444</v>
      </c>
      <c r="S37" s="656">
        <f>'Income Statement '!S19</f>
        <v>-994.89541116770852</v>
      </c>
      <c r="T37" s="656">
        <f>'Income Statement '!T19</f>
        <v>-951.97404060055658</v>
      </c>
      <c r="U37" s="656">
        <f>'Income Statement '!U19</f>
        <v>-874.57526840373646</v>
      </c>
      <c r="V37" s="656">
        <f>'Income Statement '!V19</f>
        <v>-788.7989693736115</v>
      </c>
      <c r="W37" s="656">
        <f>'Income Statement '!W19</f>
        <v>-701.75027296149563</v>
      </c>
      <c r="X37" s="656">
        <f>'Income Statement '!X19</f>
        <v>-608.04881792225956</v>
      </c>
      <c r="Y37" s="656">
        <f>'Income Statement '!Y19</f>
        <v>-517.0804581104594</v>
      </c>
      <c r="Z37" s="656">
        <f>'Income Statement '!Z19</f>
        <v>-422.27929891970871</v>
      </c>
      <c r="AA37" s="656">
        <f>'Income Statement '!AA19</f>
        <v>-335.93802980177509</v>
      </c>
      <c r="AB37" s="656">
        <f>'Income Statement '!AB19</f>
        <v>-262.47463367100448</v>
      </c>
      <c r="AC37" s="656">
        <f>'Income Statement '!AC19</f>
        <v>-203.96216323286112</v>
      </c>
      <c r="AD37" s="656">
        <f>'Income Statement '!AD19</f>
        <v>-159.04600882942867</v>
      </c>
      <c r="AE37" s="656">
        <f>'Income Statement '!AE19</f>
        <v>-128.34663917404603</v>
      </c>
      <c r="AF37" s="656">
        <f>'Income Statement '!AF19</f>
        <v>-111.60598499550267</v>
      </c>
      <c r="AG37" s="656">
        <f>'Income Statement '!AG19</f>
        <v>-108.21252097676525</v>
      </c>
      <c r="AH37" s="656">
        <f>'Income Statement '!AH19</f>
        <v>-116.93118190016983</v>
      </c>
      <c r="AI37" s="656">
        <f>'Income Statement '!AI19</f>
        <v>-136.33938165809093</v>
      </c>
      <c r="AJ37" s="656">
        <f>'Income Statement '!AJ19</f>
        <v>-164.45960327361493</v>
      </c>
      <c r="AK37" s="656">
        <f>'Income Statement '!AK19</f>
        <v>-159.88026220133159</v>
      </c>
      <c r="AL37" s="656">
        <f>'Income Statement '!AL19</f>
        <v>-155.50502491276058</v>
      </c>
      <c r="AM37" s="656">
        <f>'Income Statement '!AM19</f>
        <v>-151.32602160877317</v>
      </c>
      <c r="AN37" s="656">
        <f>'Income Statement '!AN19</f>
        <v>-147.3324988311112</v>
      </c>
      <c r="AO37" s="683">
        <f>'Income Statement '!AO19</f>
        <v>-143.51692407775414</v>
      </c>
    </row>
    <row r="38" spans="1:42" x14ac:dyDescent="0.8">
      <c r="A38" s="22" t="s">
        <v>422</v>
      </c>
      <c r="B38" s="186"/>
      <c r="C38" s="186"/>
      <c r="D38" s="186"/>
      <c r="E38" s="186"/>
      <c r="F38" s="186"/>
      <c r="G38" s="1136"/>
      <c r="H38" s="941">
        <f>'NOL Schedule Unlevered'!D13-'NOL Schedule Unlevered'!D14-'NOL Schedule Levered'!D13+'NOL Schedule Levered'!D14</f>
        <v>556.77108069127735</v>
      </c>
      <c r="I38" s="941">
        <f>'NOL Schedule Unlevered'!E13-'NOL Schedule Unlevered'!E14-'NOL Schedule Levered'!E13+'NOL Schedule Levered'!E14</f>
        <v>209.31851397064747</v>
      </c>
      <c r="J38" s="941">
        <f>'NOL Schedule Unlevered'!F13-'NOL Schedule Unlevered'!F14-'NOL Schedule Levered'!F13+'NOL Schedule Levered'!F14</f>
        <v>225.13784330810086</v>
      </c>
      <c r="K38" s="941">
        <f>'NOL Schedule Unlevered'!G13-'NOL Schedule Unlevered'!G14-'NOL Schedule Levered'!G13+'NOL Schedule Levered'!G14</f>
        <v>272.23149543248473</v>
      </c>
      <c r="L38" s="941">
        <f>'NOL Schedule Unlevered'!H13-'NOL Schedule Unlevered'!H14-'NOL Schedule Levered'!H13+'NOL Schedule Levered'!H14</f>
        <v>407.99653916737043</v>
      </c>
      <c r="M38" s="1145">
        <f>'NOL Schedule Unlevered'!I13-'NOL Schedule Unlevered'!I14-'NOL Schedule Levered'!I13+'NOL Schedule Levered'!I14</f>
        <v>437.7895579694823</v>
      </c>
      <c r="N38" s="941">
        <f>'NOL Schedule Unlevered'!J13-'NOL Schedule Unlevered'!J14-'NOL Schedule Levered'!J13+'NOL Schedule Levered'!J14</f>
        <v>344.55754151877409</v>
      </c>
      <c r="O38" s="941">
        <f>'NOL Schedule Unlevered'!K13-'NOL Schedule Unlevered'!K14-'NOL Schedule Levered'!K13+'NOL Schedule Levered'!K14</f>
        <v>337.01823531206173</v>
      </c>
      <c r="P38" s="941">
        <f>'NOL Schedule Unlevered'!L13-'NOL Schedule Unlevered'!L14-'NOL Schedule Levered'!L13+'NOL Schedule Levered'!L14</f>
        <v>340.46479152794109</v>
      </c>
      <c r="Q38" s="941">
        <f>'NOL Schedule Unlevered'!M13-'NOL Schedule Unlevered'!M14-'NOL Schedule Levered'!M13+'NOL Schedule Levered'!M14</f>
        <v>328.20343831668333</v>
      </c>
      <c r="R38" s="941">
        <f>'NOL Schedule Unlevered'!N13-'NOL Schedule Unlevered'!N14-'NOL Schedule Levered'!N13+'NOL Schedule Levered'!N14</f>
        <v>321.17518844977258</v>
      </c>
      <c r="S38" s="941">
        <f>'NOL Schedule Unlevered'!O13-'NOL Schedule Unlevered'!O14-'NOL Schedule Levered'!O13+'NOL Schedule Levered'!O14</f>
        <v>302.17086772753862</v>
      </c>
      <c r="T38" s="941">
        <f>'NOL Schedule Unlevered'!P13-'NOL Schedule Unlevered'!P14-'NOL Schedule Levered'!P13+'NOL Schedule Levered'!P14</f>
        <v>289.05604733122834</v>
      </c>
      <c r="U38" s="941">
        <f>'NOL Schedule Unlevered'!Q13-'NOL Schedule Unlevered'!Q14-'NOL Schedule Levered'!Q13+'NOL Schedule Levered'!Q14</f>
        <v>266.15207001910676</v>
      </c>
      <c r="V38" s="941">
        <f>'NOL Schedule Unlevered'!R13-'NOL Schedule Unlevered'!R14-'NOL Schedule Levered'!R13+'NOL Schedule Levered'!R14</f>
        <v>239.71123494846051</v>
      </c>
      <c r="W38" s="941">
        <f>'NOL Schedule Unlevered'!S13-'NOL Schedule Unlevered'!S14-'NOL Schedule Levered'!S13+'NOL Schedule Levered'!S14</f>
        <v>213.29815504900716</v>
      </c>
      <c r="X38" s="941">
        <f>'NOL Schedule Unlevered'!T13-'NOL Schedule Unlevered'!T14-'NOL Schedule Levered'!T13+'NOL Schedule Levered'!T14</f>
        <v>184.88075402140203</v>
      </c>
      <c r="Y38" s="941">
        <f>'NOL Schedule Unlevered'!U13-'NOL Schedule Unlevered'!U14-'NOL Schedule Levered'!U13+'NOL Schedule Levered'!U14</f>
        <v>157.1754619953972</v>
      </c>
      <c r="Z38" s="941">
        <f>'NOL Schedule Unlevered'!V13-'NOL Schedule Unlevered'!V14-'NOL Schedule Levered'!V13+'NOL Schedule Levered'!V14</f>
        <v>128.36932902441276</v>
      </c>
      <c r="AA38" s="941">
        <f>'NOL Schedule Unlevered'!W13-'NOL Schedule Unlevered'!W14-'NOL Schedule Levered'!W13+'NOL Schedule Levered'!W14</f>
        <v>102.1267780498747</v>
      </c>
      <c r="AB38" s="941">
        <f>'NOL Schedule Unlevered'!X13-'NOL Schedule Unlevered'!X14-'NOL Schedule Levered'!X13+'NOL Schedule Levered'!X14</f>
        <v>79.789092524858006</v>
      </c>
      <c r="AC38" s="941">
        <f>'NOL Schedule Unlevered'!Y13-'NOL Schedule Unlevered'!Y14-'NOL Schedule Levered'!Y13+'NOL Schedule Levered'!Y14</f>
        <v>62.003421007479119</v>
      </c>
      <c r="AD38" s="941">
        <f>'NOL Schedule Unlevered'!Z13-'NOL Schedule Unlevered'!Z14-'NOL Schedule Levered'!Z13+'NOL Schedule Levered'!Z14</f>
        <v>48.349316488352997</v>
      </c>
      <c r="AE38" s="941">
        <f>'NOL Schedule Unlevered'!AA13-'NOL Schedule Unlevered'!AA14-'NOL Schedule Levered'!AA13+'NOL Schedule Levered'!AA14</f>
        <v>39.016837475610373</v>
      </c>
      <c r="AF38" s="941">
        <f>'NOL Schedule Unlevered'!AB13-'NOL Schedule Unlevered'!AB14-'NOL Schedule Levered'!AB13+'NOL Schedule Levered'!AB14</f>
        <v>33.927749147914255</v>
      </c>
      <c r="AG38" s="941">
        <f>'NOL Schedule Unlevered'!AC13-'NOL Schedule Unlevered'!AC14-'NOL Schedule Levered'!AC13+'NOL Schedule Levered'!AC14</f>
        <v>32.896150385761757</v>
      </c>
      <c r="AH38" s="941">
        <f>'NOL Schedule Unlevered'!AD13-'NOL Schedule Unlevered'!AD14-'NOL Schedule Levered'!AD13+'NOL Schedule Levered'!AD14</f>
        <v>35.546586567360464</v>
      </c>
      <c r="AI38" s="941">
        <f>'NOL Schedule Unlevered'!AE13-'NOL Schedule Unlevered'!AE14-'NOL Schedule Levered'!AE13+'NOL Schedule Levered'!AE14</f>
        <v>41.446597510554056</v>
      </c>
      <c r="AJ38" s="941">
        <f>'NOL Schedule Unlevered'!AF13-'NOL Schedule Unlevered'!AF14-'NOL Schedule Levered'!AF13+'NOL Schedule Levered'!AF14</f>
        <v>49.995026387317921</v>
      </c>
      <c r="AK38" s="941">
        <f>'NOL Schedule Unlevered'!AG13-'NOL Schedule Unlevered'!AG14-'NOL Schedule Levered'!AG13+'NOL Schedule Levered'!AG14</f>
        <v>48.602925997993225</v>
      </c>
      <c r="AL38" s="941">
        <f>'NOL Schedule Unlevered'!AH13-'NOL Schedule Unlevered'!AH14-'NOL Schedule Levered'!AH13+'NOL Schedule Levered'!AH14</f>
        <v>47.272872298855873</v>
      </c>
      <c r="AM38" s="941">
        <f>'NOL Schedule Unlevered'!AI13-'NOL Schedule Unlevered'!AI14-'NOL Schedule Levered'!AI13+'NOL Schedule Levered'!AI14</f>
        <v>46.002472904130627</v>
      </c>
      <c r="AN38" s="941">
        <f>'NOL Schedule Unlevered'!AJ13-'NOL Schedule Unlevered'!AJ14-'NOL Schedule Levered'!AJ13+'NOL Schedule Levered'!AJ14</f>
        <v>44.788458807821371</v>
      </c>
      <c r="AO38" s="942">
        <f>'NOL Schedule Unlevered'!AK13-'NOL Schedule Unlevered'!AK14-'NOL Schedule Levered'!AK13+'NOL Schedule Levered'!AK14</f>
        <v>43.628540161054843</v>
      </c>
    </row>
    <row r="39" spans="1:42" x14ac:dyDescent="0.8">
      <c r="A39" s="1174" t="s">
        <v>339</v>
      </c>
      <c r="B39" s="178"/>
      <c r="C39" s="178"/>
      <c r="D39" s="178"/>
      <c r="E39" s="178"/>
      <c r="F39" s="178"/>
      <c r="G39" s="1139"/>
      <c r="H39" s="174">
        <f>SUM(H38,H37,H35)</f>
        <v>-275.67771102433335</v>
      </c>
      <c r="I39" s="174">
        <f t="shared" ref="I39:AO39" si="22">SUM(I38,I37,I35)</f>
        <v>12843.801984207081</v>
      </c>
      <c r="J39" s="174">
        <f t="shared" si="22"/>
        <v>-9309.3196031564421</v>
      </c>
      <c r="K39" s="174">
        <f t="shared" si="22"/>
        <v>29340.289184703797</v>
      </c>
      <c r="L39" s="174">
        <f t="shared" si="22"/>
        <v>-21134.878357725273</v>
      </c>
      <c r="M39" s="1143">
        <f t="shared" si="22"/>
        <v>21267.176545766593</v>
      </c>
      <c r="N39" s="174">
        <f t="shared" si="22"/>
        <v>10070.001080364811</v>
      </c>
      <c r="O39" s="174">
        <f t="shared" si="22"/>
        <v>12631.167763047873</v>
      </c>
      <c r="P39" s="174">
        <f t="shared" si="22"/>
        <v>8901.0723775295919</v>
      </c>
      <c r="Q39" s="174">
        <f t="shared" si="22"/>
        <v>7734.5103238736665</v>
      </c>
      <c r="R39" s="174">
        <f t="shared" si="22"/>
        <v>9280.7280394685113</v>
      </c>
      <c r="S39" s="174">
        <f t="shared" si="22"/>
        <v>9411.4016735668483</v>
      </c>
      <c r="T39" s="174">
        <f t="shared" si="22"/>
        <v>9606.9554673789953</v>
      </c>
      <c r="U39" s="174">
        <f t="shared" si="22"/>
        <v>11124.080760652101</v>
      </c>
      <c r="V39" s="174">
        <f t="shared" si="22"/>
        <v>12735.690706380276</v>
      </c>
      <c r="W39" s="174">
        <f t="shared" si="22"/>
        <v>14029.035656331665</v>
      </c>
      <c r="X39" s="174">
        <f t="shared" si="22"/>
        <v>14315.712926098053</v>
      </c>
      <c r="Y39" s="174">
        <f t="shared" si="22"/>
        <v>14523.432820807102</v>
      </c>
      <c r="Z39" s="174">
        <f t="shared" si="22"/>
        <v>15070.402437154999</v>
      </c>
      <c r="AA39" s="174">
        <f t="shared" si="22"/>
        <v>20135.50158565566</v>
      </c>
      <c r="AB39" s="174">
        <f t="shared" si="22"/>
        <v>18817.468601635152</v>
      </c>
      <c r="AC39" s="174">
        <f t="shared" si="22"/>
        <v>17588.377514111551</v>
      </c>
      <c r="AD39" s="174">
        <f t="shared" si="22"/>
        <v>16604.755732303318</v>
      </c>
      <c r="AE39" s="174">
        <f t="shared" si="22"/>
        <v>15668.931522416728</v>
      </c>
      <c r="AF39" s="174">
        <f t="shared" si="22"/>
        <v>14924.55041472427</v>
      </c>
      <c r="AG39" s="174">
        <f t="shared" si="22"/>
        <v>14198.382135757938</v>
      </c>
      <c r="AH39" s="174">
        <f t="shared" si="22"/>
        <v>13571.659373516753</v>
      </c>
      <c r="AI39" s="174">
        <f t="shared" si="22"/>
        <v>13051.817431271778</v>
      </c>
      <c r="AJ39" s="174">
        <f t="shared" si="22"/>
        <v>12669.933902458411</v>
      </c>
      <c r="AK39" s="174">
        <f t="shared" si="22"/>
        <v>12325.751206169703</v>
      </c>
      <c r="AL39" s="174">
        <f t="shared" si="22"/>
        <v>11998.126113041659</v>
      </c>
      <c r="AM39" s="174">
        <f t="shared" si="22"/>
        <v>11684.227106683358</v>
      </c>
      <c r="AN39" s="174">
        <f t="shared" si="22"/>
        <v>11385.084452823758</v>
      </c>
      <c r="AO39" s="944">
        <f t="shared" si="22"/>
        <v>11098.598285292564</v>
      </c>
    </row>
    <row r="40" spans="1:42" x14ac:dyDescent="0.8">
      <c r="A40" s="22" t="s">
        <v>423</v>
      </c>
      <c r="B40" s="186"/>
      <c r="C40" s="186"/>
      <c r="D40" s="186"/>
      <c r="E40" s="186"/>
      <c r="F40" s="186"/>
      <c r="G40" s="1136"/>
      <c r="H40" s="656">
        <f>SUM('Balance Sheet '!H26,'Balance Sheet '!H31)-SUM('Balance Sheet '!G26,'Balance Sheet '!G31)</f>
        <v>23083</v>
      </c>
      <c r="I40" s="656">
        <f>SUM('Balance Sheet '!I26,'Balance Sheet '!I31)-SUM('Balance Sheet '!H26,'Balance Sheet '!H31)</f>
        <v>-57817.957112660733</v>
      </c>
      <c r="J40" s="656">
        <f>SUM('Balance Sheet '!J26,'Balance Sheet '!J31)-SUM('Balance Sheet '!I26,'Balance Sheet '!I31)</f>
        <v>-642.19153712163097</v>
      </c>
      <c r="K40" s="656">
        <f>SUM('Balance Sheet '!K26,'Balance Sheet '!K31)-SUM('Balance Sheet '!J26,'Balance Sheet '!J31)</f>
        <v>995.85642947509768</v>
      </c>
      <c r="L40" s="656">
        <f>SUM('Balance Sheet '!L26,'Balance Sheet '!L31)-SUM('Balance Sheet '!K26,'Balance Sheet '!K31)</f>
        <v>-396.2387510247936</v>
      </c>
      <c r="M40" s="1141">
        <f>SUM('Balance Sheet '!M26,'Balance Sheet '!M31)-SUM('Balance Sheet '!L26,'Balance Sheet '!L31)</f>
        <v>3234.6703792085464</v>
      </c>
      <c r="N40" s="656">
        <f>SUM('Balance Sheet '!N26,'Balance Sheet '!N31)-SUM('Balance Sheet '!M26,'Balance Sheet '!M31)</f>
        <v>-1777.8305666883098</v>
      </c>
      <c r="O40" s="656">
        <f>SUM('Balance Sheet '!O26,'Balance Sheet '!O31)-SUM('Balance Sheet '!N26,'Balance Sheet '!N31)</f>
        <v>-2540.7127691380156</v>
      </c>
      <c r="P40" s="656">
        <f>SUM('Balance Sheet '!P26,'Balance Sheet '!P31)-SUM('Balance Sheet '!O26,'Balance Sheet '!O31)</f>
        <v>-2733.1502076871693</v>
      </c>
      <c r="Q40" s="656">
        <f>SUM('Balance Sheet '!Q26,'Balance Sheet '!Q31)-SUM('Balance Sheet '!P26,'Balance Sheet '!P31)</f>
        <v>-1589.7770835497649</v>
      </c>
      <c r="R40" s="656">
        <f>SUM('Balance Sheet '!R26,'Balance Sheet '!R31)-SUM('Balance Sheet '!Q26,'Balance Sheet '!Q31)</f>
        <v>-1770.8049013369309</v>
      </c>
      <c r="S40" s="656">
        <f>SUM('Balance Sheet '!S26,'Balance Sheet '!S31)-SUM('Balance Sheet '!R26,'Balance Sheet '!R31)</f>
        <v>-1784.7061250331608</v>
      </c>
      <c r="T40" s="656">
        <f>SUM('Balance Sheet '!T26,'Balance Sheet '!T31)-SUM('Balance Sheet '!S26,'Balance Sheet '!S31)</f>
        <v>825.58837185288576</v>
      </c>
      <c r="U40" s="656">
        <f>SUM('Balance Sheet '!U26,'Balance Sheet '!U31)-SUM('Balance Sheet '!T26,'Balance Sheet '!T31)</f>
        <v>-1765.4058250029411</v>
      </c>
      <c r="V40" s="656">
        <f>SUM('Balance Sheet '!V26,'Balance Sheet '!V31)-SUM('Balance Sheet '!U26,'Balance Sheet '!U31)</f>
        <v>-1331.148326843977</v>
      </c>
      <c r="W40" s="656">
        <f>SUM('Balance Sheet '!W26,'Balance Sheet '!W31)-SUM('Balance Sheet '!V26,'Balance Sheet '!V31)</f>
        <v>-1026.9255589900858</v>
      </c>
      <c r="X40" s="656">
        <f>SUM('Balance Sheet '!X26,'Balance Sheet '!X31)-SUM('Balance Sheet '!W26,'Balance Sheet '!W31)</f>
        <v>-1181.0422278923725</v>
      </c>
      <c r="Y40" s="656">
        <f>SUM('Balance Sheet '!Y26,'Balance Sheet '!Y31)-SUM('Balance Sheet '!X26,'Balance Sheet '!X31)</f>
        <v>-982.37268862415658</v>
      </c>
      <c r="Z40" s="656">
        <f>SUM('Balance Sheet '!Z26,'Balance Sheet '!Z31)-SUM('Balance Sheet '!Y26,'Balance Sheet '!Y31)</f>
        <v>-1538.3153527423492</v>
      </c>
      <c r="AA40" s="656">
        <f>SUM('Balance Sheet '!AA26,'Balance Sheet '!AA31)-SUM('Balance Sheet '!Z26,'Balance Sheet '!Z31)</f>
        <v>-1500.7690775695301</v>
      </c>
      <c r="AB40" s="656">
        <f>SUM('Balance Sheet '!AB26,'Balance Sheet '!AB31)-SUM('Balance Sheet '!AA26,'Balance Sheet '!AA31)</f>
        <v>-1474.5774773703888</v>
      </c>
      <c r="AC40" s="656">
        <f>SUM('Balance Sheet '!AC26,'Balance Sheet '!AC31)-SUM('Balance Sheet '!AB26,'Balance Sheet '!AB31)</f>
        <v>-1062.2983350141549</v>
      </c>
      <c r="AD40" s="656">
        <f>SUM('Balance Sheet '!AD26,'Balance Sheet '!AD31)-SUM('Balance Sheet '!AC26,'Balance Sheet '!AC31)</f>
        <v>-1031.5715931426203</v>
      </c>
      <c r="AE40" s="656">
        <f>SUM('Balance Sheet '!AE26,'Balance Sheet '!AE31)-SUM('Balance Sheet '!AD26,'Balance Sheet '!AD31)</f>
        <v>-973.85051631448732</v>
      </c>
      <c r="AF40" s="656">
        <f>SUM('Balance Sheet '!AF26,'Balance Sheet '!AF31)-SUM('Balance Sheet '!AE26,'Balance Sheet '!AE31)</f>
        <v>-941.37911167940911</v>
      </c>
      <c r="AG40" s="656">
        <f>SUM('Balance Sheet '!AG26,'Balance Sheet '!AG31)-SUM('Balance Sheet '!AF26,'Balance Sheet '!AF31)</f>
        <v>-891.89469181730237</v>
      </c>
      <c r="AH40" s="656">
        <f>SUM('Balance Sheet '!AH26,'Balance Sheet '!AH31)-SUM('Balance Sheet '!AG26,'Balance Sheet '!AG31)</f>
        <v>-859.40994154314831</v>
      </c>
      <c r="AI40" s="656">
        <f>SUM('Balance Sheet '!AI26,'Balance Sheet '!AI31)-SUM('Balance Sheet '!AH26,'Balance Sheet '!AH31)</f>
        <v>-794.7153452411585</v>
      </c>
      <c r="AJ40" s="656">
        <f>SUM('Balance Sheet '!AJ26,'Balance Sheet '!AJ31)-SUM('Balance Sheet '!AI26,'Balance Sheet '!AI31)</f>
        <v>-759.01649219688625</v>
      </c>
      <c r="AK40" s="656">
        <f>SUM('Balance Sheet '!AK26,'Balance Sheet '!AK31)-SUM('Balance Sheet '!AJ26,'Balance Sheet '!AJ31)</f>
        <v>-724.74536205915138</v>
      </c>
      <c r="AL40" s="656">
        <f>SUM('Balance Sheet '!AL26,'Balance Sheet '!AL31)-SUM('Balance Sheet '!AK26,'Balance Sheet '!AK31)</f>
        <v>-692.44305736305614</v>
      </c>
      <c r="AM40" s="656">
        <f>SUM('Balance Sheet '!AM26,'Balance Sheet '!AM31)-SUM('Balance Sheet '!AL26,'Balance Sheet '!AL31)</f>
        <v>-661.38625946124739</v>
      </c>
      <c r="AN40" s="656">
        <f>SUM('Balance Sheet '!AN26,'Balance Sheet '!AN31)-SUM('Balance Sheet '!AM26,'Balance Sheet '!AM31)</f>
        <v>-632.03134811379277</v>
      </c>
      <c r="AO40" s="683">
        <f>SUM('Balance Sheet '!AO26,'Balance Sheet '!AO31)-SUM('Balance Sheet '!AN26,'Balance Sheet '!AN31)</f>
        <v>-603.8685615323011</v>
      </c>
    </row>
    <row r="41" spans="1:42" ht="16.75" thickBot="1" x14ac:dyDescent="0.95">
      <c r="A41" s="1170" t="s">
        <v>340</v>
      </c>
      <c r="B41" s="175"/>
      <c r="C41" s="175"/>
      <c r="D41" s="175"/>
      <c r="E41" s="175"/>
      <c r="F41" s="175"/>
      <c r="G41" s="1137"/>
      <c r="H41" s="175">
        <f t="shared" ref="H41" si="23">SUM(H39:H40)</f>
        <v>22807.322288975665</v>
      </c>
      <c r="I41" s="175">
        <f t="shared" ref="I41:J41" si="24">SUM(I39:I40)</f>
        <v>-44974.155128453654</v>
      </c>
      <c r="J41" s="175">
        <f t="shared" si="24"/>
        <v>-9951.5111402780731</v>
      </c>
      <c r="K41" s="175">
        <f t="shared" ref="K41:R41" si="25">SUM(K39:K40)</f>
        <v>30336.145614178895</v>
      </c>
      <c r="L41" s="175">
        <f t="shared" si="25"/>
        <v>-21531.117108750066</v>
      </c>
      <c r="M41" s="1137">
        <f t="shared" si="25"/>
        <v>24501.84692497514</v>
      </c>
      <c r="N41" s="175">
        <f t="shared" si="25"/>
        <v>8292.1705136765013</v>
      </c>
      <c r="O41" s="175">
        <f t="shared" si="25"/>
        <v>10090.454993909858</v>
      </c>
      <c r="P41" s="175">
        <f t="shared" si="25"/>
        <v>6167.9221698424226</v>
      </c>
      <c r="Q41" s="175">
        <f t="shared" si="25"/>
        <v>6144.7332403239016</v>
      </c>
      <c r="R41" s="175">
        <f t="shared" si="25"/>
        <v>7509.9231381315803</v>
      </c>
      <c r="S41" s="175">
        <f t="shared" ref="S41:AO41" si="26">SUM(S39:S40)</f>
        <v>7626.6955485336875</v>
      </c>
      <c r="T41" s="175">
        <f t="shared" si="26"/>
        <v>10432.543839231881</v>
      </c>
      <c r="U41" s="175">
        <f t="shared" si="26"/>
        <v>9358.67493564916</v>
      </c>
      <c r="V41" s="175">
        <f t="shared" si="26"/>
        <v>11404.542379536299</v>
      </c>
      <c r="W41" s="175">
        <f t="shared" si="26"/>
        <v>13002.11009734158</v>
      </c>
      <c r="X41" s="175">
        <f t="shared" si="26"/>
        <v>13134.67069820568</v>
      </c>
      <c r="Y41" s="175">
        <f t="shared" si="26"/>
        <v>13541.060132182945</v>
      </c>
      <c r="Z41" s="175">
        <f t="shared" si="26"/>
        <v>13532.087084412649</v>
      </c>
      <c r="AA41" s="175">
        <f t="shared" si="26"/>
        <v>18634.73250808613</v>
      </c>
      <c r="AB41" s="175">
        <f t="shared" si="26"/>
        <v>17342.891124264763</v>
      </c>
      <c r="AC41" s="175">
        <f t="shared" si="26"/>
        <v>16526.079179097396</v>
      </c>
      <c r="AD41" s="175">
        <f t="shared" si="26"/>
        <v>15573.184139160698</v>
      </c>
      <c r="AE41" s="175">
        <f t="shared" si="26"/>
        <v>14695.08100610224</v>
      </c>
      <c r="AF41" s="175">
        <f t="shared" si="26"/>
        <v>13983.171303044861</v>
      </c>
      <c r="AG41" s="175">
        <f t="shared" si="26"/>
        <v>13306.487443940636</v>
      </c>
      <c r="AH41" s="175">
        <f t="shared" si="26"/>
        <v>12712.249431973605</v>
      </c>
      <c r="AI41" s="175">
        <f t="shared" si="26"/>
        <v>12257.10208603062</v>
      </c>
      <c r="AJ41" s="175">
        <f t="shared" si="26"/>
        <v>11910.917410261525</v>
      </c>
      <c r="AK41" s="175">
        <f t="shared" si="26"/>
        <v>11601.005844110552</v>
      </c>
      <c r="AL41" s="175">
        <f t="shared" si="26"/>
        <v>11305.683055678603</v>
      </c>
      <c r="AM41" s="175">
        <f t="shared" si="26"/>
        <v>11022.840847222111</v>
      </c>
      <c r="AN41" s="175">
        <f t="shared" si="26"/>
        <v>10753.053104709965</v>
      </c>
      <c r="AO41" s="1171">
        <f t="shared" si="26"/>
        <v>10494.729723760263</v>
      </c>
    </row>
    <row r="42" spans="1:42" ht="16.75" thickTop="1" x14ac:dyDescent="0.8">
      <c r="A42" s="22" t="s">
        <v>424</v>
      </c>
      <c r="B42" s="186"/>
      <c r="C42" s="186"/>
      <c r="D42" s="186"/>
      <c r="E42" s="186"/>
      <c r="F42" s="186"/>
      <c r="G42" s="1136"/>
      <c r="H42" s="186">
        <f>'Income Statement '!H18+'Income Statement '!H20</f>
        <v>0</v>
      </c>
      <c r="I42" s="186">
        <f>'Income Statement '!I18+'Income Statement '!I20</f>
        <v>0</v>
      </c>
      <c r="J42" s="186">
        <f>'Income Statement '!J18+'Income Statement '!J20</f>
        <v>0</v>
      </c>
      <c r="K42" s="186">
        <f>'Income Statement '!K18+'Income Statement '!K20</f>
        <v>0</v>
      </c>
      <c r="L42" s="186">
        <f>'Income Statement '!L18+'Income Statement '!L20</f>
        <v>0</v>
      </c>
      <c r="M42" s="1136">
        <f>'Income Statement '!M18+'Income Statement '!M20</f>
        <v>0</v>
      </c>
      <c r="N42" s="186">
        <f>'Income Statement '!N18+'Income Statement '!N20</f>
        <v>0</v>
      </c>
      <c r="O42" s="186">
        <f>'Income Statement '!O18+'Income Statement '!O20</f>
        <v>0</v>
      </c>
      <c r="P42" s="186">
        <f>'Income Statement '!P18+'Income Statement '!P20</f>
        <v>0</v>
      </c>
      <c r="Q42" s="186">
        <f>'Income Statement '!Q18+'Income Statement '!Q20</f>
        <v>0</v>
      </c>
      <c r="R42" s="186">
        <f>'Income Statement '!R18+'Income Statement '!R20</f>
        <v>0</v>
      </c>
      <c r="S42" s="186">
        <f>'Income Statement '!S18+'Income Statement '!S20</f>
        <v>0</v>
      </c>
      <c r="T42" s="186">
        <f>'Income Statement '!T18+'Income Statement '!T20</f>
        <v>0</v>
      </c>
      <c r="U42" s="186">
        <f>'Income Statement '!U18+'Income Statement '!U20</f>
        <v>0</v>
      </c>
      <c r="V42" s="186">
        <f>'Income Statement '!V18+'Income Statement '!V20</f>
        <v>0</v>
      </c>
      <c r="W42" s="186">
        <f>'Income Statement '!W18+'Income Statement '!W20</f>
        <v>0</v>
      </c>
      <c r="X42" s="186">
        <f>'Income Statement '!X18+'Income Statement '!X20</f>
        <v>0</v>
      </c>
      <c r="Y42" s="186">
        <f>'Income Statement '!Y18+'Income Statement '!Y20</f>
        <v>0</v>
      </c>
      <c r="Z42" s="186">
        <f>'Income Statement '!Z18+'Income Statement '!Z20</f>
        <v>0</v>
      </c>
      <c r="AA42" s="186">
        <f>'Income Statement '!AA18+'Income Statement '!AA20</f>
        <v>0</v>
      </c>
      <c r="AB42" s="186">
        <f>'Income Statement '!AB18+'Income Statement '!AB20</f>
        <v>0</v>
      </c>
      <c r="AC42" s="186">
        <f>'Income Statement '!AC18+'Income Statement '!AC20</f>
        <v>0</v>
      </c>
      <c r="AD42" s="186">
        <f>'Income Statement '!AD18+'Income Statement '!AD20</f>
        <v>0</v>
      </c>
      <c r="AE42" s="186">
        <f>'Income Statement '!AE18+'Income Statement '!AE20</f>
        <v>0</v>
      </c>
      <c r="AF42" s="186">
        <f>'Income Statement '!AF18+'Income Statement '!AF20</f>
        <v>0</v>
      </c>
      <c r="AG42" s="186">
        <f>'Income Statement '!AG18+'Income Statement '!AG20</f>
        <v>0</v>
      </c>
      <c r="AH42" s="186">
        <f>'Income Statement '!AH18+'Income Statement '!AH20</f>
        <v>0</v>
      </c>
      <c r="AI42" s="186">
        <f>'Income Statement '!AI18+'Income Statement '!AI20</f>
        <v>0</v>
      </c>
      <c r="AJ42" s="186">
        <f>'Income Statement '!AJ18+'Income Statement '!AJ20</f>
        <v>0</v>
      </c>
      <c r="AK42" s="186">
        <f>'Income Statement '!AK18+'Income Statement '!AK20</f>
        <v>0</v>
      </c>
      <c r="AL42" s="186">
        <f>'Income Statement '!AL18+'Income Statement '!AL20</f>
        <v>0</v>
      </c>
      <c r="AM42" s="186">
        <f>'Income Statement '!AM18+'Income Statement '!AM20</f>
        <v>0</v>
      </c>
      <c r="AN42" s="186">
        <f>'Income Statement '!AN18+'Income Statement '!AN20</f>
        <v>0</v>
      </c>
      <c r="AO42" s="668">
        <f>'Income Statement '!AO18+'Income Statement '!AO20</f>
        <v>0</v>
      </c>
    </row>
    <row r="43" spans="1:42" x14ac:dyDescent="0.8">
      <c r="A43" s="22" t="s">
        <v>425</v>
      </c>
      <c r="B43" s="186"/>
      <c r="C43" s="186"/>
      <c r="D43" s="186"/>
      <c r="E43" s="186"/>
      <c r="F43" s="186"/>
      <c r="G43" s="1136"/>
      <c r="H43" s="656">
        <f>'Balance Sheet '!G20</f>
        <v>13762</v>
      </c>
      <c r="I43" s="656">
        <f>'Balance Sheet '!H20</f>
        <v>0</v>
      </c>
      <c r="J43" s="656">
        <f>'Balance Sheet '!I20</f>
        <v>0</v>
      </c>
      <c r="K43" s="656">
        <f>'Balance Sheet '!J20</f>
        <v>0</v>
      </c>
      <c r="L43" s="656">
        <f>'Balance Sheet '!K20</f>
        <v>0</v>
      </c>
      <c r="M43" s="1141">
        <f>'Balance Sheet '!L20</f>
        <v>0</v>
      </c>
      <c r="N43" s="656">
        <f>'Balance Sheet '!M20</f>
        <v>0</v>
      </c>
      <c r="O43" s="656">
        <f>'Balance Sheet '!N20</f>
        <v>0</v>
      </c>
      <c r="P43" s="656">
        <f>'Balance Sheet '!O20</f>
        <v>0</v>
      </c>
      <c r="Q43" s="656">
        <f>'Balance Sheet '!P20</f>
        <v>0</v>
      </c>
      <c r="R43" s="656">
        <f>'Balance Sheet '!Q20</f>
        <v>0</v>
      </c>
      <c r="S43" s="656">
        <f>'Balance Sheet '!R20</f>
        <v>0</v>
      </c>
      <c r="T43" s="656">
        <f>'Balance Sheet '!S20</f>
        <v>0</v>
      </c>
      <c r="U43" s="656">
        <f>'Balance Sheet '!T20</f>
        <v>0</v>
      </c>
      <c r="V43" s="656">
        <f>'Balance Sheet '!U20</f>
        <v>0</v>
      </c>
      <c r="W43" s="656">
        <f>'Balance Sheet '!V20</f>
        <v>0</v>
      </c>
      <c r="X43" s="656">
        <f>'Balance Sheet '!W20</f>
        <v>0</v>
      </c>
      <c r="Y43" s="656">
        <f>'Balance Sheet '!X20</f>
        <v>0</v>
      </c>
      <c r="Z43" s="656">
        <f>'Balance Sheet '!Y20</f>
        <v>0</v>
      </c>
      <c r="AA43" s="656">
        <f>'Balance Sheet '!Z20</f>
        <v>0</v>
      </c>
      <c r="AB43" s="656">
        <f>'Balance Sheet '!AA20</f>
        <v>0</v>
      </c>
      <c r="AC43" s="656">
        <f>'Balance Sheet '!AB20</f>
        <v>0</v>
      </c>
      <c r="AD43" s="656">
        <f>'Balance Sheet '!AC20</f>
        <v>0</v>
      </c>
      <c r="AE43" s="656">
        <f>'Balance Sheet '!AD20</f>
        <v>0</v>
      </c>
      <c r="AF43" s="656">
        <f>'Balance Sheet '!AE20</f>
        <v>0</v>
      </c>
      <c r="AG43" s="656">
        <f>'Balance Sheet '!AF20</f>
        <v>0</v>
      </c>
      <c r="AH43" s="656">
        <f>'Balance Sheet '!AG20</f>
        <v>0</v>
      </c>
      <c r="AI43" s="656">
        <f>'Balance Sheet '!AH20</f>
        <v>0</v>
      </c>
      <c r="AJ43" s="656">
        <f>'Balance Sheet '!AI20</f>
        <v>0</v>
      </c>
      <c r="AK43" s="656">
        <f>'Balance Sheet '!AJ20</f>
        <v>0</v>
      </c>
      <c r="AL43" s="656">
        <f>'Balance Sheet '!AK20</f>
        <v>0</v>
      </c>
      <c r="AM43" s="656">
        <f>'Balance Sheet '!AL20</f>
        <v>0</v>
      </c>
      <c r="AN43" s="656">
        <f>'Balance Sheet '!AM20</f>
        <v>0</v>
      </c>
      <c r="AO43" s="683">
        <f>'Balance Sheet '!AN20</f>
        <v>0</v>
      </c>
    </row>
    <row r="44" spans="1:42" x14ac:dyDescent="0.8">
      <c r="A44" s="22" t="s">
        <v>426</v>
      </c>
      <c r="B44" s="186"/>
      <c r="C44" s="186"/>
      <c r="D44" s="186"/>
      <c r="E44" s="186"/>
      <c r="F44" s="186"/>
      <c r="G44" s="1136"/>
      <c r="H44" s="186"/>
      <c r="I44" s="186"/>
      <c r="J44" s="186"/>
      <c r="K44" s="186"/>
      <c r="L44" s="186"/>
      <c r="M44" s="113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668"/>
    </row>
    <row r="45" spans="1:42" ht="16.75" thickBot="1" x14ac:dyDescent="0.95">
      <c r="A45" s="1175" t="s">
        <v>341</v>
      </c>
      <c r="B45" s="177"/>
      <c r="C45" s="177"/>
      <c r="D45" s="177"/>
      <c r="E45" s="177"/>
      <c r="F45" s="177"/>
      <c r="G45" s="1140"/>
      <c r="H45" s="177">
        <f t="shared" ref="H45:AO45" si="27">SUM(H41:H44)</f>
        <v>36569.322288975665</v>
      </c>
      <c r="I45" s="177">
        <f t="shared" si="27"/>
        <v>-44974.155128453654</v>
      </c>
      <c r="J45" s="177">
        <f t="shared" si="27"/>
        <v>-9951.5111402780731</v>
      </c>
      <c r="K45" s="177">
        <f t="shared" si="27"/>
        <v>30336.145614178895</v>
      </c>
      <c r="L45" s="177">
        <f t="shared" si="27"/>
        <v>-21531.117108750066</v>
      </c>
      <c r="M45" s="1140">
        <f t="shared" si="27"/>
        <v>24501.84692497514</v>
      </c>
      <c r="N45" s="177">
        <f t="shared" si="27"/>
        <v>8292.1705136765013</v>
      </c>
      <c r="O45" s="177">
        <f t="shared" si="27"/>
        <v>10090.454993909858</v>
      </c>
      <c r="P45" s="177">
        <f t="shared" si="27"/>
        <v>6167.9221698424226</v>
      </c>
      <c r="Q45" s="177">
        <f t="shared" si="27"/>
        <v>6144.7332403239016</v>
      </c>
      <c r="R45" s="177">
        <f t="shared" si="27"/>
        <v>7509.9231381315803</v>
      </c>
      <c r="S45" s="177">
        <f t="shared" si="27"/>
        <v>7626.6955485336875</v>
      </c>
      <c r="T45" s="177">
        <f t="shared" si="27"/>
        <v>10432.543839231881</v>
      </c>
      <c r="U45" s="177">
        <f t="shared" si="27"/>
        <v>9358.67493564916</v>
      </c>
      <c r="V45" s="177">
        <f t="shared" si="27"/>
        <v>11404.542379536299</v>
      </c>
      <c r="W45" s="177">
        <f t="shared" si="27"/>
        <v>13002.11009734158</v>
      </c>
      <c r="X45" s="177">
        <f t="shared" si="27"/>
        <v>13134.67069820568</v>
      </c>
      <c r="Y45" s="177">
        <f t="shared" si="27"/>
        <v>13541.060132182945</v>
      </c>
      <c r="Z45" s="177">
        <f t="shared" si="27"/>
        <v>13532.087084412649</v>
      </c>
      <c r="AA45" s="177">
        <f t="shared" si="27"/>
        <v>18634.73250808613</v>
      </c>
      <c r="AB45" s="177">
        <f t="shared" si="27"/>
        <v>17342.891124264763</v>
      </c>
      <c r="AC45" s="177">
        <f t="shared" si="27"/>
        <v>16526.079179097396</v>
      </c>
      <c r="AD45" s="177">
        <f t="shared" si="27"/>
        <v>15573.184139160698</v>
      </c>
      <c r="AE45" s="177">
        <f t="shared" si="27"/>
        <v>14695.08100610224</v>
      </c>
      <c r="AF45" s="177">
        <f t="shared" si="27"/>
        <v>13983.171303044861</v>
      </c>
      <c r="AG45" s="177">
        <f t="shared" si="27"/>
        <v>13306.487443940636</v>
      </c>
      <c r="AH45" s="177">
        <f t="shared" si="27"/>
        <v>12712.249431973605</v>
      </c>
      <c r="AI45" s="177">
        <f t="shared" si="27"/>
        <v>12257.10208603062</v>
      </c>
      <c r="AJ45" s="177">
        <f t="shared" si="27"/>
        <v>11910.917410261525</v>
      </c>
      <c r="AK45" s="177">
        <f t="shared" si="27"/>
        <v>11601.005844110552</v>
      </c>
      <c r="AL45" s="177">
        <f t="shared" si="27"/>
        <v>11305.683055678603</v>
      </c>
      <c r="AM45" s="177">
        <f t="shared" si="27"/>
        <v>11022.840847222111</v>
      </c>
      <c r="AN45" s="177">
        <f t="shared" si="27"/>
        <v>10753.053104709965</v>
      </c>
      <c r="AO45" s="1176">
        <f t="shared" si="27"/>
        <v>10494.729723760263</v>
      </c>
    </row>
    <row r="46" spans="1:42" ht="16.75" thickTop="1" x14ac:dyDescent="0.8">
      <c r="A46" s="22" t="s">
        <v>427</v>
      </c>
      <c r="B46" s="186"/>
      <c r="C46" s="186"/>
      <c r="D46" s="186"/>
      <c r="E46" s="186"/>
      <c r="F46" s="186"/>
      <c r="G46" s="1136"/>
      <c r="H46" s="186">
        <f t="shared" ref="H46:AO46" si="28">IF(H45&lt;0,-H45,0)</f>
        <v>0</v>
      </c>
      <c r="I46" s="186">
        <f t="shared" si="28"/>
        <v>44974.155128453654</v>
      </c>
      <c r="J46" s="186">
        <f t="shared" si="28"/>
        <v>9951.5111402780731</v>
      </c>
      <c r="K46" s="186">
        <f t="shared" si="28"/>
        <v>0</v>
      </c>
      <c r="L46" s="186">
        <f t="shared" si="28"/>
        <v>21531.117108750066</v>
      </c>
      <c r="M46" s="1136">
        <f t="shared" si="28"/>
        <v>0</v>
      </c>
      <c r="N46" s="186">
        <f t="shared" si="28"/>
        <v>0</v>
      </c>
      <c r="O46" s="186">
        <f t="shared" si="28"/>
        <v>0</v>
      </c>
      <c r="P46" s="186">
        <f t="shared" si="28"/>
        <v>0</v>
      </c>
      <c r="Q46" s="186">
        <f t="shared" si="28"/>
        <v>0</v>
      </c>
      <c r="R46" s="186">
        <f t="shared" si="28"/>
        <v>0</v>
      </c>
      <c r="S46" s="186">
        <f t="shared" si="28"/>
        <v>0</v>
      </c>
      <c r="T46" s="186">
        <f t="shared" si="28"/>
        <v>0</v>
      </c>
      <c r="U46" s="186">
        <f t="shared" si="28"/>
        <v>0</v>
      </c>
      <c r="V46" s="186">
        <f t="shared" si="28"/>
        <v>0</v>
      </c>
      <c r="W46" s="186">
        <f t="shared" si="28"/>
        <v>0</v>
      </c>
      <c r="X46" s="186">
        <f t="shared" si="28"/>
        <v>0</v>
      </c>
      <c r="Y46" s="186">
        <f t="shared" si="28"/>
        <v>0</v>
      </c>
      <c r="Z46" s="186">
        <f t="shared" si="28"/>
        <v>0</v>
      </c>
      <c r="AA46" s="186">
        <f t="shared" si="28"/>
        <v>0</v>
      </c>
      <c r="AB46" s="186">
        <f t="shared" si="28"/>
        <v>0</v>
      </c>
      <c r="AC46" s="186">
        <f t="shared" si="28"/>
        <v>0</v>
      </c>
      <c r="AD46" s="186">
        <f t="shared" si="28"/>
        <v>0</v>
      </c>
      <c r="AE46" s="186">
        <f t="shared" si="28"/>
        <v>0</v>
      </c>
      <c r="AF46" s="186">
        <f t="shared" si="28"/>
        <v>0</v>
      </c>
      <c r="AG46" s="186">
        <f t="shared" si="28"/>
        <v>0</v>
      </c>
      <c r="AH46" s="186">
        <f t="shared" si="28"/>
        <v>0</v>
      </c>
      <c r="AI46" s="186">
        <f t="shared" si="28"/>
        <v>0</v>
      </c>
      <c r="AJ46" s="186">
        <f t="shared" si="28"/>
        <v>0</v>
      </c>
      <c r="AK46" s="186">
        <f t="shared" si="28"/>
        <v>0</v>
      </c>
      <c r="AL46" s="186">
        <f t="shared" si="28"/>
        <v>0</v>
      </c>
      <c r="AM46" s="186">
        <f t="shared" si="28"/>
        <v>0</v>
      </c>
      <c r="AN46" s="186">
        <f t="shared" si="28"/>
        <v>0</v>
      </c>
      <c r="AO46" s="668">
        <f t="shared" si="28"/>
        <v>0</v>
      </c>
    </row>
    <row r="47" spans="1:42" x14ac:dyDescent="0.8">
      <c r="A47" s="22" t="s">
        <v>428</v>
      </c>
      <c r="B47" s="186"/>
      <c r="C47" s="186"/>
      <c r="D47" s="186"/>
      <c r="E47" s="186"/>
      <c r="F47" s="186"/>
      <c r="G47" s="1136"/>
      <c r="H47" s="187">
        <f>IF(H45&gt;0,-H45,0)-'Balance Sheet '!G8</f>
        <v>-144793.97228897567</v>
      </c>
      <c r="I47" s="186">
        <f t="shared" ref="I47:AO47" si="29">IF(I45&gt;0,-I45,0)</f>
        <v>0</v>
      </c>
      <c r="J47" s="186">
        <f t="shared" si="29"/>
        <v>0</v>
      </c>
      <c r="K47" s="186">
        <f t="shared" si="29"/>
        <v>-30336.145614178895</v>
      </c>
      <c r="L47" s="186">
        <f t="shared" si="29"/>
        <v>0</v>
      </c>
      <c r="M47" s="1136">
        <f t="shared" si="29"/>
        <v>-24501.84692497514</v>
      </c>
      <c r="N47" s="186">
        <f t="shared" si="29"/>
        <v>-8292.1705136765013</v>
      </c>
      <c r="O47" s="186">
        <f t="shared" si="29"/>
        <v>-10090.454993909858</v>
      </c>
      <c r="P47" s="186">
        <f t="shared" si="29"/>
        <v>-6167.9221698424226</v>
      </c>
      <c r="Q47" s="186">
        <f t="shared" si="29"/>
        <v>-6144.7332403239016</v>
      </c>
      <c r="R47" s="186">
        <f t="shared" si="29"/>
        <v>-7509.9231381315803</v>
      </c>
      <c r="S47" s="186">
        <f t="shared" si="29"/>
        <v>-7626.6955485336875</v>
      </c>
      <c r="T47" s="186">
        <f t="shared" si="29"/>
        <v>-10432.543839231881</v>
      </c>
      <c r="U47" s="186">
        <f t="shared" si="29"/>
        <v>-9358.67493564916</v>
      </c>
      <c r="V47" s="186">
        <f t="shared" si="29"/>
        <v>-11404.542379536299</v>
      </c>
      <c r="W47" s="186">
        <f t="shared" si="29"/>
        <v>-13002.11009734158</v>
      </c>
      <c r="X47" s="186">
        <f t="shared" si="29"/>
        <v>-13134.67069820568</v>
      </c>
      <c r="Y47" s="186">
        <f t="shared" si="29"/>
        <v>-13541.060132182945</v>
      </c>
      <c r="Z47" s="186">
        <f t="shared" si="29"/>
        <v>-13532.087084412649</v>
      </c>
      <c r="AA47" s="186">
        <f t="shared" si="29"/>
        <v>-18634.73250808613</v>
      </c>
      <c r="AB47" s="186">
        <f t="shared" si="29"/>
        <v>-17342.891124264763</v>
      </c>
      <c r="AC47" s="186">
        <f t="shared" si="29"/>
        <v>-16526.079179097396</v>
      </c>
      <c r="AD47" s="186">
        <f t="shared" si="29"/>
        <v>-15573.184139160698</v>
      </c>
      <c r="AE47" s="186">
        <f t="shared" si="29"/>
        <v>-14695.08100610224</v>
      </c>
      <c r="AF47" s="186">
        <f t="shared" si="29"/>
        <v>-13983.171303044861</v>
      </c>
      <c r="AG47" s="186">
        <f t="shared" si="29"/>
        <v>-13306.487443940636</v>
      </c>
      <c r="AH47" s="186">
        <f t="shared" si="29"/>
        <v>-12712.249431973605</v>
      </c>
      <c r="AI47" s="186">
        <f t="shared" si="29"/>
        <v>-12257.10208603062</v>
      </c>
      <c r="AJ47" s="186">
        <f t="shared" si="29"/>
        <v>-11910.917410261525</v>
      </c>
      <c r="AK47" s="186">
        <f t="shared" si="29"/>
        <v>-11601.005844110552</v>
      </c>
      <c r="AL47" s="186">
        <f t="shared" si="29"/>
        <v>-11305.683055678603</v>
      </c>
      <c r="AM47" s="186">
        <f t="shared" si="29"/>
        <v>-11022.840847222111</v>
      </c>
      <c r="AN47" s="186">
        <f t="shared" si="29"/>
        <v>-10753.053104709965</v>
      </c>
      <c r="AO47" s="668">
        <f t="shared" si="29"/>
        <v>-10494.729723760263</v>
      </c>
    </row>
    <row r="48" spans="1:42" x14ac:dyDescent="0.8">
      <c r="A48" s="22" t="s">
        <v>429</v>
      </c>
      <c r="B48" s="186"/>
      <c r="C48" s="186"/>
      <c r="D48" s="186"/>
      <c r="E48" s="186"/>
      <c r="F48" s="186"/>
      <c r="G48" s="1136"/>
      <c r="H48" s="186">
        <f>H45+H46+H47</f>
        <v>-108224.65</v>
      </c>
      <c r="I48" s="186">
        <f t="shared" ref="I48:AO48" si="30">I45+I46+I47</f>
        <v>0</v>
      </c>
      <c r="J48" s="186">
        <f t="shared" si="30"/>
        <v>0</v>
      </c>
      <c r="K48" s="186">
        <f t="shared" si="30"/>
        <v>0</v>
      </c>
      <c r="L48" s="186">
        <f t="shared" si="30"/>
        <v>0</v>
      </c>
      <c r="M48" s="1136">
        <f t="shared" si="30"/>
        <v>0</v>
      </c>
      <c r="N48" s="186">
        <f t="shared" si="30"/>
        <v>0</v>
      </c>
      <c r="O48" s="186">
        <f t="shared" si="30"/>
        <v>0</v>
      </c>
      <c r="P48" s="186">
        <f t="shared" si="30"/>
        <v>0</v>
      </c>
      <c r="Q48" s="186">
        <f t="shared" si="30"/>
        <v>0</v>
      </c>
      <c r="R48" s="186">
        <f t="shared" si="30"/>
        <v>0</v>
      </c>
      <c r="S48" s="186">
        <f t="shared" si="30"/>
        <v>0</v>
      </c>
      <c r="T48" s="186">
        <f t="shared" si="30"/>
        <v>0</v>
      </c>
      <c r="U48" s="186">
        <f t="shared" si="30"/>
        <v>0</v>
      </c>
      <c r="V48" s="186">
        <f t="shared" si="30"/>
        <v>0</v>
      </c>
      <c r="W48" s="186">
        <f t="shared" si="30"/>
        <v>0</v>
      </c>
      <c r="X48" s="186">
        <f t="shared" si="30"/>
        <v>0</v>
      </c>
      <c r="Y48" s="186">
        <f t="shared" si="30"/>
        <v>0</v>
      </c>
      <c r="Z48" s="186">
        <f t="shared" si="30"/>
        <v>0</v>
      </c>
      <c r="AA48" s="186">
        <f t="shared" si="30"/>
        <v>0</v>
      </c>
      <c r="AB48" s="186">
        <f t="shared" si="30"/>
        <v>0</v>
      </c>
      <c r="AC48" s="186">
        <f t="shared" si="30"/>
        <v>0</v>
      </c>
      <c r="AD48" s="186">
        <f t="shared" si="30"/>
        <v>0</v>
      </c>
      <c r="AE48" s="186">
        <f t="shared" si="30"/>
        <v>0</v>
      </c>
      <c r="AF48" s="186">
        <f t="shared" si="30"/>
        <v>0</v>
      </c>
      <c r="AG48" s="186">
        <f t="shared" si="30"/>
        <v>0</v>
      </c>
      <c r="AH48" s="186">
        <f t="shared" si="30"/>
        <v>0</v>
      </c>
      <c r="AI48" s="186">
        <f t="shared" si="30"/>
        <v>0</v>
      </c>
      <c r="AJ48" s="186">
        <f t="shared" si="30"/>
        <v>0</v>
      </c>
      <c r="AK48" s="186">
        <f t="shared" si="30"/>
        <v>0</v>
      </c>
      <c r="AL48" s="186">
        <f t="shared" si="30"/>
        <v>0</v>
      </c>
      <c r="AM48" s="186">
        <f t="shared" si="30"/>
        <v>0</v>
      </c>
      <c r="AN48" s="186">
        <f t="shared" si="30"/>
        <v>0</v>
      </c>
      <c r="AO48" s="668">
        <f t="shared" si="30"/>
        <v>0</v>
      </c>
    </row>
    <row r="49" spans="1:41" x14ac:dyDescent="0.8">
      <c r="A49" s="265" t="s">
        <v>344</v>
      </c>
      <c r="B49" s="656"/>
      <c r="C49" s="656"/>
      <c r="D49" s="656"/>
      <c r="E49" s="656"/>
      <c r="F49" s="656"/>
      <c r="G49" s="1141"/>
      <c r="H49" s="656">
        <f>('Balance Sheet '!H7-'Balance Sheet '!G7)</f>
        <v>4935.9968741999983</v>
      </c>
      <c r="I49" s="656">
        <f>('Balance Sheet '!I7-'Balance Sheet '!H7)</f>
        <v>4969.2414416485117</v>
      </c>
      <c r="J49" s="656">
        <f>('Balance Sheet '!J7-'Balance Sheet '!I7)</f>
        <v>-839.12751225947432</v>
      </c>
      <c r="K49" s="656">
        <f>('Balance Sheet '!K7-'Balance Sheet '!J7)</f>
        <v>1789.8285768479473</v>
      </c>
      <c r="L49" s="656">
        <f>('Balance Sheet '!L7-'Balance Sheet '!K7)</f>
        <v>-2195.9745013557404</v>
      </c>
      <c r="M49" s="1141">
        <f>('Balance Sheet '!M7-'Balance Sheet '!L7)</f>
        <v>1802.673381009583</v>
      </c>
      <c r="N49" s="656">
        <f>('Balance Sheet '!N7-'Balance Sheet '!M7)</f>
        <v>-6399.232247365173</v>
      </c>
      <c r="O49" s="656">
        <f>('Balance Sheet '!O7-'Balance Sheet '!N7)</f>
        <v>1363.1645914074688</v>
      </c>
      <c r="P49" s="656">
        <f>('Balance Sheet '!P7-'Balance Sheet '!O7)</f>
        <v>-3787.8768809567846</v>
      </c>
      <c r="Q49" s="656">
        <f>('Balance Sheet '!Q7-'Balance Sheet '!P7)</f>
        <v>949.71428942983039</v>
      </c>
      <c r="R49" s="656">
        <f>('Balance Sheet '!R7-'Balance Sheet '!Q7)</f>
        <v>-3819.6259524824636</v>
      </c>
      <c r="S49" s="656">
        <f>('Balance Sheet '!S7-'Balance Sheet '!R7)</f>
        <v>630.640220281457</v>
      </c>
      <c r="T49" s="656">
        <f>('Balance Sheet '!T7-'Balance Sheet '!S7)</f>
        <v>-2671.3795604536281</v>
      </c>
      <c r="U49" s="656">
        <f>('Balance Sheet '!U7-'Balance Sheet '!T7)</f>
        <v>416.25578226269863</v>
      </c>
      <c r="V49" s="656">
        <f>('Balance Sheet '!V7-'Balance Sheet '!U7)</f>
        <v>-1976.5637206828542</v>
      </c>
      <c r="W49" s="656">
        <f>('Balance Sheet '!W7-'Balance Sheet '!V7)</f>
        <v>64.267982396762818</v>
      </c>
      <c r="X49" s="656">
        <f>('Balance Sheet '!X7-'Balance Sheet '!W7)</f>
        <v>-1522.8214063343912</v>
      </c>
      <c r="Y49" s="656">
        <f>('Balance Sheet '!Y7-'Balance Sheet '!X7)</f>
        <v>-1205.4521367075649</v>
      </c>
      <c r="Z49" s="656">
        <f>('Balance Sheet '!Z7-'Balance Sheet '!Y7)</f>
        <v>-1437.0692882450603</v>
      </c>
      <c r="AA49" s="656">
        <f>('Balance Sheet '!AA7-'Balance Sheet '!Z7)</f>
        <v>-1145.6330152930605</v>
      </c>
      <c r="AB49" s="656">
        <f>('Balance Sheet '!AB7-'Balance Sheet '!AA7)</f>
        <v>-1280.5552510777707</v>
      </c>
      <c r="AC49" s="656">
        <f>('Balance Sheet '!AC7-'Balance Sheet '!AB7)</f>
        <v>-1075.4560620443081</v>
      </c>
      <c r="AD49" s="656">
        <f>('Balance Sheet '!AD7-'Balance Sheet '!AC7)</f>
        <v>-1148.7258066488357</v>
      </c>
      <c r="AE49" s="656">
        <f>('Balance Sheet '!AE7-'Balance Sheet '!AD7)</f>
        <v>-1001.2944651354992</v>
      </c>
      <c r="AF49" s="656">
        <f>('Balance Sheet '!AF7-'Balance Sheet '!AE7)</f>
        <v>-1035.7081026005471</v>
      </c>
      <c r="AG49" s="656">
        <f>('Balance Sheet '!AG7-'Balance Sheet '!AF7)</f>
        <v>-927.10238805757035</v>
      </c>
      <c r="AH49" s="656">
        <f>('Balance Sheet '!AH7-'Balance Sheet '!AG7)</f>
        <v>-887.95180357237405</v>
      </c>
      <c r="AI49" s="656">
        <f>('Balance Sheet '!AI7-'Balance Sheet '!AH7)</f>
        <v>-845.56960623525811</v>
      </c>
      <c r="AJ49" s="656">
        <f>('Balance Sheet '!AJ7-'Balance Sheet '!AI7)</f>
        <v>-809.67980494937365</v>
      </c>
      <c r="AK49" s="656">
        <f>('Balance Sheet '!AK7-'Balance Sheet '!AJ7)</f>
        <v>-771.79421748878667</v>
      </c>
      <c r="AL49" s="656">
        <f>('Balance Sheet '!AL7-'Balance Sheet '!AK7)</f>
        <v>-738.7490351487977</v>
      </c>
      <c r="AM49" s="656">
        <f>('Balance Sheet '!AM7-'Balance Sheet '!AL7)</f>
        <v>-704.75039455875594</v>
      </c>
      <c r="AN49" s="656">
        <f>('Balance Sheet '!AN7-'Balance Sheet '!AM7)</f>
        <v>-674.42791169395787</v>
      </c>
      <c r="AO49" s="683">
        <f>('Balance Sheet '!AO7-'Balance Sheet '!AN7)</f>
        <v>-643.8223183707305</v>
      </c>
    </row>
    <row r="50" spans="1:41" ht="16.75" thickBot="1" x14ac:dyDescent="0.95">
      <c r="A50" s="1170" t="s">
        <v>430</v>
      </c>
      <c r="B50" s="175"/>
      <c r="C50" s="175"/>
      <c r="D50" s="175"/>
      <c r="E50" s="175"/>
      <c r="F50" s="175"/>
      <c r="G50" s="1137"/>
      <c r="H50" s="175">
        <f>SUM(H48+H49)</f>
        <v>-103288.65312579999</v>
      </c>
      <c r="I50" s="175">
        <f>SUM(I48+I49)</f>
        <v>4969.2414416485117</v>
      </c>
      <c r="J50" s="175">
        <f t="shared" ref="J50:Q50" si="31">SUM(J48+J49)</f>
        <v>-839.12751225947432</v>
      </c>
      <c r="K50" s="175">
        <f t="shared" si="31"/>
        <v>1789.8285768479473</v>
      </c>
      <c r="L50" s="175">
        <f t="shared" si="31"/>
        <v>-2195.9745013557404</v>
      </c>
      <c r="M50" s="1137">
        <f t="shared" si="31"/>
        <v>1802.673381009583</v>
      </c>
      <c r="N50" s="175">
        <f t="shared" si="31"/>
        <v>-6399.232247365173</v>
      </c>
      <c r="O50" s="175">
        <f t="shared" si="31"/>
        <v>1363.1645914074688</v>
      </c>
      <c r="P50" s="175">
        <f t="shared" si="31"/>
        <v>-3787.8768809567846</v>
      </c>
      <c r="Q50" s="175">
        <f t="shared" si="31"/>
        <v>949.71428942983039</v>
      </c>
      <c r="R50" s="175">
        <f t="shared" ref="R50" si="32">SUM(R48+R49)</f>
        <v>-3819.6259524824636</v>
      </c>
      <c r="S50" s="175">
        <f t="shared" ref="S50" si="33">SUM(S48+S49)</f>
        <v>630.640220281457</v>
      </c>
      <c r="T50" s="175">
        <f t="shared" ref="T50" si="34">SUM(T48+T49)</f>
        <v>-2671.3795604536281</v>
      </c>
      <c r="U50" s="175">
        <f t="shared" ref="U50" si="35">SUM(U48+U49)</f>
        <v>416.25578226269863</v>
      </c>
      <c r="V50" s="175">
        <f t="shared" ref="V50" si="36">SUM(V48+V49)</f>
        <v>-1976.5637206828542</v>
      </c>
      <c r="W50" s="175">
        <f t="shared" ref="W50:Y50" si="37">SUM(W48+W49)</f>
        <v>64.267982396762818</v>
      </c>
      <c r="X50" s="175">
        <f t="shared" si="37"/>
        <v>-1522.8214063343912</v>
      </c>
      <c r="Y50" s="175">
        <f t="shared" si="37"/>
        <v>-1205.4521367075649</v>
      </c>
      <c r="Z50" s="175">
        <f t="shared" ref="Z50" si="38">SUM(Z48+Z49)</f>
        <v>-1437.0692882450603</v>
      </c>
      <c r="AA50" s="175">
        <f t="shared" ref="AA50" si="39">SUM(AA48+AA49)</f>
        <v>-1145.6330152930605</v>
      </c>
      <c r="AB50" s="175">
        <f t="shared" ref="AB50" si="40">SUM(AB48+AB49)</f>
        <v>-1280.5552510777707</v>
      </c>
      <c r="AC50" s="175">
        <f t="shared" ref="AC50" si="41">SUM(AC48+AC49)</f>
        <v>-1075.4560620443081</v>
      </c>
      <c r="AD50" s="175">
        <f t="shared" ref="AD50" si="42">SUM(AD48+AD49)</f>
        <v>-1148.7258066488357</v>
      </c>
      <c r="AE50" s="175">
        <f t="shared" ref="AE50:AG50" si="43">SUM(AE48+AE49)</f>
        <v>-1001.2944651354992</v>
      </c>
      <c r="AF50" s="175">
        <f t="shared" si="43"/>
        <v>-1035.7081026005471</v>
      </c>
      <c r="AG50" s="175">
        <f t="shared" si="43"/>
        <v>-927.10238805757035</v>
      </c>
      <c r="AH50" s="175">
        <f t="shared" ref="AH50" si="44">SUM(AH48+AH49)</f>
        <v>-887.95180357237405</v>
      </c>
      <c r="AI50" s="175">
        <f t="shared" ref="AI50" si="45">SUM(AI48+AI49)</f>
        <v>-845.56960623525811</v>
      </c>
      <c r="AJ50" s="175">
        <f t="shared" ref="AJ50" si="46">SUM(AJ48+AJ49)</f>
        <v>-809.67980494937365</v>
      </c>
      <c r="AK50" s="175">
        <f t="shared" ref="AK50" si="47">SUM(AK48+AK49)</f>
        <v>-771.79421748878667</v>
      </c>
      <c r="AL50" s="175">
        <f t="shared" ref="AL50" si="48">SUM(AL48+AL49)</f>
        <v>-738.7490351487977</v>
      </c>
      <c r="AM50" s="175">
        <f t="shared" ref="AM50:AO50" si="49">SUM(AM48+AM49)</f>
        <v>-704.75039455875594</v>
      </c>
      <c r="AN50" s="175">
        <f t="shared" si="49"/>
        <v>-674.42791169395787</v>
      </c>
      <c r="AO50" s="1171">
        <f t="shared" si="49"/>
        <v>-643.8223183707305</v>
      </c>
    </row>
    <row r="51" spans="1:41" ht="17.5" thickTop="1" thickBot="1" x14ac:dyDescent="0.95">
      <c r="A51" s="23" t="s">
        <v>431</v>
      </c>
      <c r="B51" s="1177"/>
      <c r="C51" s="1177"/>
      <c r="D51" s="1177"/>
      <c r="E51" s="1177"/>
      <c r="F51" s="1177"/>
      <c r="G51" s="1178"/>
      <c r="H51" s="1177" t="str">
        <f>IF(ROUND(H50,-1) = ROUND('Statement of Cash Flows '!H50,-1),"YES","NO")</f>
        <v>YES</v>
      </c>
      <c r="I51" s="1177" t="str">
        <f>IF(ROUND(I50,-1) = ROUND('Statement of Cash Flows '!I50,-1),"YES","NO")</f>
        <v>YES</v>
      </c>
      <c r="J51" s="1177" t="str">
        <f>IF(ROUND(J50,-1) = ROUND('Statement of Cash Flows '!J50,-1),"YES","NO")</f>
        <v>YES</v>
      </c>
      <c r="K51" s="1177" t="str">
        <f>IF(ROUND(K50,-1) = ROUND('Statement of Cash Flows '!K50,-1),"YES","NO")</f>
        <v>YES</v>
      </c>
      <c r="L51" s="1177" t="str">
        <f>IF(ROUND(L50,-1) = ROUND('Statement of Cash Flows '!L50,-1),"YES","NO")</f>
        <v>YES</v>
      </c>
      <c r="M51" s="1178" t="str">
        <f>IF(ROUND(M50,-1) = ROUND('Statement of Cash Flows '!M50,-1),"YES","NO")</f>
        <v>YES</v>
      </c>
      <c r="N51" s="1177" t="str">
        <f>IF(ROUND(N50,-1) = ROUND('Statement of Cash Flows '!N50,-1),"YES","NO")</f>
        <v>YES</v>
      </c>
      <c r="O51" s="1177" t="str">
        <f>IF(ROUND(O50,-1) = ROUND('Statement of Cash Flows '!O50,-1),"YES","NO")</f>
        <v>YES</v>
      </c>
      <c r="P51" s="1177" t="str">
        <f>IF(ROUND(P50,-1) = ROUND('Statement of Cash Flows '!P50,-1),"YES","NO")</f>
        <v>YES</v>
      </c>
      <c r="Q51" s="1177" t="str">
        <f>IF(ROUND(Q50,-1) = ROUND('Statement of Cash Flows '!Q50,-1),"YES","NO")</f>
        <v>YES</v>
      </c>
      <c r="R51" s="1177" t="str">
        <f>IF(ROUND(R50,-1) = ROUND('Statement of Cash Flows '!R50,-1),"YES","NO")</f>
        <v>YES</v>
      </c>
      <c r="S51" s="1177" t="str">
        <f>IF(ROUND(S50,-1) = ROUND('Statement of Cash Flows '!S50,-1),"YES","NO")</f>
        <v>YES</v>
      </c>
      <c r="T51" s="1177" t="str">
        <f>IF(ROUND(T50,-1) = ROUND('Statement of Cash Flows '!T50,-1),"YES","NO")</f>
        <v>YES</v>
      </c>
      <c r="U51" s="1177" t="str">
        <f>IF(ROUND(U50,-1) = ROUND('Statement of Cash Flows '!U50,-1),"YES","NO")</f>
        <v>YES</v>
      </c>
      <c r="V51" s="1177" t="str">
        <f>IF(ROUND(V50,-1) = ROUND('Statement of Cash Flows '!V50,-1),"YES","NO")</f>
        <v>YES</v>
      </c>
      <c r="W51" s="1177" t="str">
        <f>IF(ROUND(W50,-1) = ROUND('Statement of Cash Flows '!W50,-1),"YES","NO")</f>
        <v>YES</v>
      </c>
      <c r="X51" s="1177" t="str">
        <f>IF(ROUND(X50,-1) = ROUND('Statement of Cash Flows '!X50,-1),"YES","NO")</f>
        <v>YES</v>
      </c>
      <c r="Y51" s="1177" t="str">
        <f>IF(ROUND(Y50,-1) = ROUND('Statement of Cash Flows '!Y50,-1),"YES","NO")</f>
        <v>YES</v>
      </c>
      <c r="Z51" s="1177" t="str">
        <f>IF(ROUND(Z50,-1) = ROUND('Statement of Cash Flows '!Z50,-1),"YES","NO")</f>
        <v>YES</v>
      </c>
      <c r="AA51" s="1177" t="str">
        <f>IF(ROUND(AA50,-1) = ROUND('Statement of Cash Flows '!AA50,-1),"YES","NO")</f>
        <v>YES</v>
      </c>
      <c r="AB51" s="1177" t="str">
        <f>IF(ROUND(AB50,-1) = ROUND('Statement of Cash Flows '!AB50,-1),"YES","NO")</f>
        <v>YES</v>
      </c>
      <c r="AC51" s="1177" t="str">
        <f>IF(ROUND(AC50,-1) = ROUND('Statement of Cash Flows '!AC50,-1),"YES","NO")</f>
        <v>YES</v>
      </c>
      <c r="AD51" s="1177" t="str">
        <f>IF(ROUND(AD50,-1) = ROUND('Statement of Cash Flows '!AD50,-1),"YES","NO")</f>
        <v>YES</v>
      </c>
      <c r="AE51" s="1177" t="str">
        <f>IF(ROUND(AE50,-1) = ROUND('Statement of Cash Flows '!AE50,-1),"YES","NO")</f>
        <v>YES</v>
      </c>
      <c r="AF51" s="1177" t="str">
        <f>IF(ROUND(AF50,-1) = ROUND('Statement of Cash Flows '!AF50,-1),"YES","NO")</f>
        <v>YES</v>
      </c>
      <c r="AG51" s="1177" t="str">
        <f>IF(ROUND(AG50,-1) = ROUND('Statement of Cash Flows '!AG50,-1),"YES","NO")</f>
        <v>YES</v>
      </c>
      <c r="AH51" s="1177" t="str">
        <f>IF(ROUND(AH50,-1) = ROUND('Statement of Cash Flows '!AH50,-1),"YES","NO")</f>
        <v>YES</v>
      </c>
      <c r="AI51" s="1177" t="str">
        <f>IF(ROUND(AI50,-1) = ROUND('Statement of Cash Flows '!AI50,-1),"YES","NO")</f>
        <v>YES</v>
      </c>
      <c r="AJ51" s="1177" t="str">
        <f>IF(ROUND(AJ50,-1) = ROUND('Statement of Cash Flows '!AJ50,-1),"YES","NO")</f>
        <v>YES</v>
      </c>
      <c r="AK51" s="1177" t="str">
        <f>IF(ROUND(AK50,-1) = ROUND('Statement of Cash Flows '!AK50,-1),"YES","NO")</f>
        <v>YES</v>
      </c>
      <c r="AL51" s="1177" t="str">
        <f>IF(ROUND(AL50,-1) = ROUND('Statement of Cash Flows '!AL50,-1),"YES","NO")</f>
        <v>YES</v>
      </c>
      <c r="AM51" s="1177" t="str">
        <f>IF(ROUND(AM50,-1) = ROUND('Statement of Cash Flows '!AM50,-1),"YES","NO")</f>
        <v>YES</v>
      </c>
      <c r="AN51" s="1177" t="str">
        <f>IF(ROUND(AN50,-1) = ROUND('Statement of Cash Flows '!AN50,-1),"YES","NO")</f>
        <v>YES</v>
      </c>
      <c r="AO51" s="1179" t="str">
        <f>IF(ROUND(AO50,-1) = ROUND('Statement of Cash Flows '!AO50,-1),"YES","NO")</f>
        <v>YES</v>
      </c>
    </row>
    <row r="52" spans="1:41" x14ac:dyDescent="0.8">
      <c r="I52" s="135"/>
      <c r="J52" s="132"/>
    </row>
    <row r="53" spans="1:41" x14ac:dyDescent="0.8">
      <c r="D53" s="136"/>
      <c r="J53" s="132"/>
    </row>
    <row r="54" spans="1:41" x14ac:dyDescent="0.8">
      <c r="J54" s="132"/>
    </row>
  </sheetData>
  <mergeCells count="3">
    <mergeCell ref="B1:G2"/>
    <mergeCell ref="H1:M2"/>
    <mergeCell ref="N1:AO2"/>
  </mergeCells>
  <conditionalFormatting sqref="A51:XFD51">
    <cfRule type="containsText" dxfId="5" priority="3" operator="containsText" text="NO">
      <formula>NOT(ISERROR(SEARCH("NO",A51)))</formula>
    </cfRule>
    <cfRule type="containsText" dxfId="4" priority="4" operator="containsText" text="YES">
      <formula>NOT(ISERROR(SEARCH("YES",A51)))</formula>
    </cfRule>
  </conditionalFormatting>
  <conditionalFormatting sqref="H51:AO51">
    <cfRule type="cellIs" dxfId="3" priority="1" operator="equal">
      <formula>"NO"</formula>
    </cfRule>
    <cfRule type="cellIs" dxfId="2" priority="2" operator="equal">
      <formula>"YES"</formula>
    </cfRule>
  </conditionalFormatting>
  <hyperlinks>
    <hyperlink ref="A1" location="'Cover Page '!A1" display="Back to cover page"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AP53"/>
  <sheetViews>
    <sheetView showGridLines="0" zoomScale="70" zoomScaleNormal="70" zoomScalePageLayoutView="70" workbookViewId="0">
      <selection activeCell="B58" sqref="B58"/>
    </sheetView>
  </sheetViews>
  <sheetFormatPr defaultColWidth="8.83203125" defaultRowHeight="16" x14ac:dyDescent="0.8"/>
  <cols>
    <col min="1" max="1" width="27" bestFit="1" customWidth="1"/>
    <col min="2" max="2" width="12.6640625" bestFit="1" customWidth="1"/>
    <col min="3" max="4" width="5.5" bestFit="1" customWidth="1"/>
    <col min="5" max="5" width="11.1640625" bestFit="1" customWidth="1"/>
    <col min="6" max="6" width="9.1640625" bestFit="1" customWidth="1"/>
    <col min="7" max="8" width="11.1640625" bestFit="1" customWidth="1"/>
    <col min="9" max="26" width="12.33203125" bestFit="1" customWidth="1"/>
    <col min="27" max="27" width="11.6640625" bestFit="1" customWidth="1"/>
    <col min="28" max="42" width="12.33203125" bestFit="1" customWidth="1"/>
  </cols>
  <sheetData>
    <row r="1" spans="1:42" ht="18.5" x14ac:dyDescent="0.9">
      <c r="A1" s="1195" t="s">
        <v>534</v>
      </c>
      <c r="B1" s="1652" t="s">
        <v>445</v>
      </c>
      <c r="C1" s="1652"/>
      <c r="D1" s="1652"/>
      <c r="E1" s="1652"/>
      <c r="F1" s="1652"/>
      <c r="G1" s="1652"/>
      <c r="H1" s="1653"/>
      <c r="I1" s="1663" t="s">
        <v>443</v>
      </c>
      <c r="J1" s="1664"/>
      <c r="K1" s="1664"/>
      <c r="L1" s="1664"/>
      <c r="M1" s="1664"/>
      <c r="N1" s="1665"/>
      <c r="O1" s="1666" t="s">
        <v>444</v>
      </c>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c r="AP1" s="1667"/>
    </row>
    <row r="2" spans="1:42" x14ac:dyDescent="0.8">
      <c r="B2" s="1652"/>
      <c r="C2" s="1652"/>
      <c r="D2" s="1652"/>
      <c r="E2" s="1652"/>
      <c r="F2" s="1652"/>
      <c r="G2" s="1652"/>
      <c r="H2" s="1653"/>
      <c r="I2" s="1663"/>
      <c r="J2" s="1664"/>
      <c r="K2" s="1664"/>
      <c r="L2" s="1664"/>
      <c r="M2" s="1664"/>
      <c r="N2" s="1665"/>
      <c r="O2" s="1666"/>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c r="AP2" s="1667"/>
    </row>
    <row r="3" spans="1:42" ht="16.75" thickBot="1" x14ac:dyDescent="0.95">
      <c r="A3" s="7"/>
      <c r="B3" s="313"/>
      <c r="C3" s="379">
        <v>2011</v>
      </c>
      <c r="D3" s="280">
        <v>2012</v>
      </c>
      <c r="E3" s="280">
        <v>2013</v>
      </c>
      <c r="F3" s="280">
        <v>2014</v>
      </c>
      <c r="G3" s="280">
        <v>2015</v>
      </c>
      <c r="H3" s="280">
        <v>2016</v>
      </c>
      <c r="I3" s="281">
        <v>2017</v>
      </c>
      <c r="J3" s="282">
        <v>2018</v>
      </c>
      <c r="K3" s="282">
        <v>2019</v>
      </c>
      <c r="L3" s="282">
        <v>2020</v>
      </c>
      <c r="M3" s="282">
        <v>2021</v>
      </c>
      <c r="N3" s="282">
        <v>2022</v>
      </c>
      <c r="O3" s="283">
        <v>2023</v>
      </c>
      <c r="P3" s="284">
        <v>2024</v>
      </c>
      <c r="Q3" s="284">
        <v>2025</v>
      </c>
      <c r="R3" s="284">
        <v>2026</v>
      </c>
      <c r="S3" s="284">
        <v>2027</v>
      </c>
      <c r="T3" s="284">
        <v>2028</v>
      </c>
      <c r="U3" s="284">
        <v>2029</v>
      </c>
      <c r="V3" s="284">
        <v>2030</v>
      </c>
      <c r="W3" s="284">
        <v>2031</v>
      </c>
      <c r="X3" s="284">
        <v>2032</v>
      </c>
      <c r="Y3" s="284">
        <v>2033</v>
      </c>
      <c r="Z3" s="284">
        <v>2034</v>
      </c>
      <c r="AA3" s="284">
        <v>2035</v>
      </c>
      <c r="AB3" s="284">
        <v>2036</v>
      </c>
      <c r="AC3" s="284">
        <v>2037</v>
      </c>
      <c r="AD3" s="284">
        <v>2038</v>
      </c>
      <c r="AE3" s="284">
        <v>2039</v>
      </c>
      <c r="AF3" s="284">
        <v>2040</v>
      </c>
      <c r="AG3" s="284">
        <v>2041</v>
      </c>
      <c r="AH3" s="284">
        <v>2042</v>
      </c>
      <c r="AI3" s="284">
        <v>2043</v>
      </c>
      <c r="AJ3" s="284">
        <v>2044</v>
      </c>
      <c r="AK3" s="284">
        <v>2045</v>
      </c>
      <c r="AL3" s="284">
        <v>2046</v>
      </c>
      <c r="AM3" s="284">
        <v>2047</v>
      </c>
      <c r="AN3" s="284">
        <v>2048</v>
      </c>
      <c r="AO3" s="284">
        <v>2049</v>
      </c>
      <c r="AP3" s="284">
        <v>2050</v>
      </c>
    </row>
    <row r="4" spans="1:42" x14ac:dyDescent="0.8">
      <c r="A4" s="20" t="s">
        <v>654</v>
      </c>
      <c r="B4" s="171">
        <f>IF('Income Taxes'!AU23="",'Unlevered Cost of Capital '!B10,'Income Taxes'!AU23)</f>
        <v>6.4537537707466577E-2</v>
      </c>
    </row>
    <row r="5" spans="1:42" ht="16.75" thickBot="1" x14ac:dyDescent="0.95">
      <c r="A5" s="23" t="s">
        <v>655</v>
      </c>
      <c r="B5" s="247">
        <f>'Costs of Debt'!B9</f>
        <v>5.8782000000000001E-2</v>
      </c>
    </row>
    <row r="6" spans="1:42" ht="16.75" thickBot="1" x14ac:dyDescent="0.95"/>
    <row r="7" spans="1:42" x14ac:dyDescent="0.8">
      <c r="A7" s="20" t="s">
        <v>338</v>
      </c>
      <c r="B7" s="171"/>
      <c r="I7" s="1328">
        <f>'FCF Statement'!H35</f>
        <v>1043.6308580547993</v>
      </c>
      <c r="J7" s="1328">
        <f>'FCF Statement'!I35</f>
        <v>13473.220169452135</v>
      </c>
      <c r="K7" s="1328">
        <f>'FCF Statement'!J35</f>
        <v>-8607.0663907418493</v>
      </c>
      <c r="L7" s="1328">
        <f>'FCF Statement'!K35</f>
        <v>30117.906596528876</v>
      </c>
      <c r="M7" s="1328">
        <f>'FCF Statement'!L35</f>
        <v>-20398.647710957113</v>
      </c>
      <c r="N7" s="1328">
        <f>'FCF Statement'!M35</f>
        <v>22103.451750938646</v>
      </c>
      <c r="O7" s="1328">
        <f>'FCF Statement'!N35</f>
        <v>10836.843404951349</v>
      </c>
      <c r="P7" s="1328">
        <f>'FCF Statement'!O35</f>
        <v>13414.013661346904</v>
      </c>
      <c r="Q7" s="1328">
        <f>'FCF Statement'!P35</f>
        <v>9662.0974736022581</v>
      </c>
      <c r="R7" s="1328">
        <f>'FCF Statement'!Q35</f>
        <v>8494.6354477221466</v>
      </c>
      <c r="S7" s="1328">
        <f>'FCF Statement'!R35</f>
        <v>10010.513965832382</v>
      </c>
      <c r="T7" s="1328">
        <f>'FCF Statement'!S35</f>
        <v>10104.126217007019</v>
      </c>
      <c r="U7" s="1328">
        <f>'FCF Statement'!T35</f>
        <v>10269.873460648323</v>
      </c>
      <c r="V7" s="1328">
        <f>'FCF Statement'!U35</f>
        <v>11732.503959036731</v>
      </c>
      <c r="W7" s="1328">
        <f>'FCF Statement'!V35</f>
        <v>13284.778440805427</v>
      </c>
      <c r="X7" s="1328">
        <f>'FCF Statement'!W35</f>
        <v>14517.487774244153</v>
      </c>
      <c r="Y7" s="1328">
        <f>'FCF Statement'!X35</f>
        <v>14738.88098999891</v>
      </c>
      <c r="Z7" s="1328">
        <f>'FCF Statement'!Y35</f>
        <v>14883.337816922163</v>
      </c>
      <c r="AA7" s="1328">
        <f>'FCF Statement'!Z35</f>
        <v>15364.312407050294</v>
      </c>
      <c r="AB7" s="1328">
        <f>'FCF Statement'!AA35</f>
        <v>20369.31283740756</v>
      </c>
      <c r="AC7" s="1328">
        <f>'FCF Statement'!AB35</f>
        <v>19000.154142781299</v>
      </c>
      <c r="AD7" s="1328">
        <f>'FCF Statement'!AC35</f>
        <v>17730.336256336934</v>
      </c>
      <c r="AE7" s="1328">
        <f>'FCF Statement'!AD35</f>
        <v>16715.452424644394</v>
      </c>
      <c r="AF7" s="1328">
        <f>'FCF Statement'!AE35</f>
        <v>15758.261324115163</v>
      </c>
      <c r="AG7" s="1328">
        <f>'FCF Statement'!AF35</f>
        <v>15002.228650571858</v>
      </c>
      <c r="AH7" s="1328">
        <f>'FCF Statement'!AG35</f>
        <v>14273.698506348941</v>
      </c>
      <c r="AI7" s="1328">
        <f>'FCF Statement'!AH35</f>
        <v>13653.043968849563</v>
      </c>
      <c r="AJ7" s="1328">
        <f>'FCF Statement'!AI35</f>
        <v>13146.710215419314</v>
      </c>
      <c r="AK7" s="1328">
        <f>'FCF Statement'!AJ35</f>
        <v>12784.398479344709</v>
      </c>
      <c r="AL7" s="1328">
        <f>'FCF Statement'!AK35</f>
        <v>12437.028542373042</v>
      </c>
      <c r="AM7" s="1328">
        <f>'FCF Statement'!AL35</f>
        <v>12106.358265655563</v>
      </c>
      <c r="AN7" s="1328">
        <f>'FCF Statement'!AM35</f>
        <v>11789.550655388</v>
      </c>
      <c r="AO7" s="1328">
        <f>'FCF Statement'!AN35</f>
        <v>11487.628492847047</v>
      </c>
      <c r="AP7" s="1328">
        <f>'FCF Statement'!AO35</f>
        <v>11198.486669209264</v>
      </c>
    </row>
    <row r="8" spans="1:42" x14ac:dyDescent="0.8">
      <c r="A8" s="22" t="s">
        <v>656</v>
      </c>
      <c r="B8" s="172"/>
      <c r="I8">
        <v>1</v>
      </c>
      <c r="J8">
        <v>2</v>
      </c>
      <c r="K8">
        <v>3</v>
      </c>
      <c r="L8">
        <v>4</v>
      </c>
      <c r="M8">
        <v>5</v>
      </c>
      <c r="N8">
        <v>6</v>
      </c>
      <c r="O8">
        <v>7</v>
      </c>
      <c r="P8">
        <v>8</v>
      </c>
      <c r="Q8">
        <v>9</v>
      </c>
      <c r="R8">
        <v>10</v>
      </c>
      <c r="S8">
        <v>11</v>
      </c>
      <c r="T8">
        <v>12</v>
      </c>
      <c r="U8">
        <v>13</v>
      </c>
      <c r="V8">
        <v>14</v>
      </c>
      <c r="W8">
        <v>15</v>
      </c>
      <c r="X8">
        <v>16</v>
      </c>
      <c r="Y8">
        <v>17</v>
      </c>
      <c r="Z8">
        <v>18</v>
      </c>
      <c r="AA8">
        <v>19</v>
      </c>
      <c r="AB8">
        <v>20</v>
      </c>
      <c r="AC8">
        <v>21</v>
      </c>
      <c r="AD8">
        <v>22</v>
      </c>
      <c r="AE8">
        <v>23</v>
      </c>
      <c r="AF8">
        <v>24</v>
      </c>
      <c r="AG8">
        <v>25</v>
      </c>
      <c r="AH8">
        <v>26</v>
      </c>
      <c r="AI8">
        <v>27</v>
      </c>
      <c r="AJ8">
        <v>28</v>
      </c>
      <c r="AK8">
        <v>29</v>
      </c>
      <c r="AL8">
        <v>30</v>
      </c>
      <c r="AM8">
        <v>31</v>
      </c>
      <c r="AN8">
        <v>32</v>
      </c>
      <c r="AO8">
        <v>33</v>
      </c>
      <c r="AP8">
        <v>34</v>
      </c>
    </row>
    <row r="9" spans="1:42" x14ac:dyDescent="0.8">
      <c r="A9" s="22" t="s">
        <v>657</v>
      </c>
      <c r="B9" s="172"/>
      <c r="I9">
        <f>1/(1+$B$4)^I8</f>
        <v>0.93937504745351552</v>
      </c>
      <c r="J9">
        <f t="shared" ref="J9:AP9" si="0">1/(1+$B$4)^J8</f>
        <v>0.88242547977829455</v>
      </c>
      <c r="K9">
        <f t="shared" si="0"/>
        <v>0.82892847694092664</v>
      </c>
      <c r="L9">
        <f t="shared" si="0"/>
        <v>0.7786747273619532</v>
      </c>
      <c r="M9">
        <f t="shared" si="0"/>
        <v>0.7314676089664881</v>
      </c>
      <c r="N9">
        <f t="shared" si="0"/>
        <v>0.68712241988360434</v>
      </c>
      <c r="O9">
        <f t="shared" si="0"/>
        <v>0.64546565578453519</v>
      </c>
      <c r="P9">
        <f t="shared" si="0"/>
        <v>0.60633433103221224</v>
      </c>
      <c r="Q9">
        <f t="shared" si="0"/>
        <v>0.56957534098607987</v>
      </c>
      <c r="R9">
        <f t="shared" si="0"/>
        <v>0.53504486296715115</v>
      </c>
      <c r="S9">
        <f t="shared" si="0"/>
        <v>0.50260779353952734</v>
      </c>
      <c r="T9">
        <f t="shared" si="0"/>
        <v>0.47213721990670016</v>
      </c>
      <c r="U9">
        <f t="shared" si="0"/>
        <v>0.4435139233544273</v>
      </c>
      <c r="V9">
        <f t="shared" si="0"/>
        <v>0.41662591279736005</v>
      </c>
      <c r="W9">
        <f t="shared" si="0"/>
        <v>0.39136798660438432</v>
      </c>
      <c r="X9">
        <f t="shared" si="0"/>
        <v>0.36764132098828028</v>
      </c>
      <c r="Y9">
        <f t="shared" si="0"/>
        <v>0.34535308334923892</v>
      </c>
      <c r="Z9">
        <f t="shared" si="0"/>
        <v>0.32441606905940917</v>
      </c>
      <c r="AA9">
        <f t="shared" si="0"/>
        <v>0.30474836026736551</v>
      </c>
      <c r="AB9">
        <f t="shared" si="0"/>
        <v>0.28627300538753753</v>
      </c>
      <c r="AC9">
        <f t="shared" si="0"/>
        <v>0.26891771802057857</v>
      </c>
      <c r="AD9">
        <f t="shared" si="0"/>
        <v>0.25261459412667209</v>
      </c>
      <c r="AE9">
        <f t="shared" si="0"/>
        <v>0.23729984634519313</v>
      </c>
      <c r="AF9">
        <f t="shared" si="0"/>
        <v>0.22291355442122771</v>
      </c>
      <c r="AG9">
        <f t="shared" si="0"/>
        <v>0.20939943076247261</v>
      </c>
      <c r="AH9">
        <f t="shared" si="0"/>
        <v>0.19670460020923686</v>
      </c>
      <c r="AI9">
        <f t="shared" si="0"/>
        <v>0.18477939315587666</v>
      </c>
      <c r="AJ9">
        <f t="shared" si="0"/>
        <v>0.17357715121423345</v>
      </c>
      <c r="AK9">
        <f t="shared" si="0"/>
        <v>0.16305404465871656</v>
      </c>
      <c r="AL9">
        <f t="shared" si="0"/>
        <v>0.15316890093876953</v>
      </c>
      <c r="AM9">
        <f t="shared" si="0"/>
        <v>0.14388304358775944</v>
      </c>
      <c r="AN9">
        <f t="shared" si="0"/>
        <v>0.13516014089800774</v>
      </c>
      <c r="AO9">
        <f t="shared" si="0"/>
        <v>0.12696606376988986</v>
      </c>
      <c r="AP9">
        <f t="shared" si="0"/>
        <v>0.11926875217882636</v>
      </c>
    </row>
    <row r="10" spans="1:42" x14ac:dyDescent="0.8">
      <c r="A10" s="22" t="s">
        <v>658</v>
      </c>
      <c r="B10" s="172"/>
      <c r="I10" s="1329">
        <f>I7*I9</f>
        <v>980.36078680918024</v>
      </c>
      <c r="J10" s="1329">
        <f t="shared" ref="J10:AP10" si="1">J7*J9</f>
        <v>11889.112772187396</v>
      </c>
      <c r="K10" s="1329">
        <f t="shared" si="1"/>
        <v>-7134.6424342070795</v>
      </c>
      <c r="L10" s="1329">
        <f t="shared" si="1"/>
        <v>23452.052707764895</v>
      </c>
      <c r="M10" s="1329">
        <f t="shared" si="1"/>
        <v>-14920.950067283526</v>
      </c>
      <c r="N10" s="1329">
        <f t="shared" si="1"/>
        <v>15187.777254885454</v>
      </c>
      <c r="O10" s="1329">
        <f t="shared" si="1"/>
        <v>6994.8102350112376</v>
      </c>
      <c r="P10" s="1329">
        <f t="shared" si="1"/>
        <v>8133.3769998097314</v>
      </c>
      <c r="Q10" s="1329">
        <f t="shared" si="1"/>
        <v>5503.292463167747</v>
      </c>
      <c r="R10" s="1329">
        <f t="shared" si="1"/>
        <v>4545.0110590824006</v>
      </c>
      <c r="S10" s="1329">
        <f t="shared" si="1"/>
        <v>5031.3623365636367</v>
      </c>
      <c r="T10" s="1329">
        <f t="shared" si="1"/>
        <v>4770.5340616840967</v>
      </c>
      <c r="U10" s="1329">
        <f t="shared" si="1"/>
        <v>4554.8318708856477</v>
      </c>
      <c r="V10" s="1329">
        <f t="shared" si="1"/>
        <v>4888.0651713323186</v>
      </c>
      <c r="W10" s="1329">
        <f t="shared" si="1"/>
        <v>5199.2369908633518</v>
      </c>
      <c r="X10" s="1329">
        <f t="shared" si="1"/>
        <v>5337.2283827543297</v>
      </c>
      <c r="Y10" s="1329">
        <f t="shared" si="1"/>
        <v>5090.1179950136066</v>
      </c>
      <c r="Z10" s="1329">
        <f t="shared" si="1"/>
        <v>4828.3939490491366</v>
      </c>
      <c r="AA10" s="1329">
        <f t="shared" si="1"/>
        <v>4682.2490126841167</v>
      </c>
      <c r="AB10" s="1329">
        <f t="shared" si="1"/>
        <v>5831.1844036436114</v>
      </c>
      <c r="AC10" s="1329">
        <f t="shared" si="1"/>
        <v>5109.4780941159888</v>
      </c>
      <c r="AD10" s="1329">
        <f t="shared" si="1"/>
        <v>4478.9416971239734</v>
      </c>
      <c r="AE10" s="1329">
        <f t="shared" si="1"/>
        <v>3966.5742919585009</v>
      </c>
      <c r="AF10" s="1329">
        <f t="shared" si="1"/>
        <v>3512.7300432570732</v>
      </c>
      <c r="AG10" s="1329">
        <f t="shared" si="1"/>
        <v>3141.458139598205</v>
      </c>
      <c r="AH10" s="1329">
        <f t="shared" si="1"/>
        <v>2807.7021581985496</v>
      </c>
      <c r="AI10" s="1329">
        <f t="shared" si="1"/>
        <v>2522.801179294524</v>
      </c>
      <c r="AJ10" s="1329">
        <f t="shared" si="1"/>
        <v>2281.9685070315459</v>
      </c>
      <c r="AK10" s="1329">
        <f t="shared" si="1"/>
        <v>2084.5478805859002</v>
      </c>
      <c r="AL10" s="1329">
        <f t="shared" si="1"/>
        <v>1904.9659927793857</v>
      </c>
      <c r="AM10" s="1329">
        <f t="shared" si="1"/>
        <v>1741.899674026351</v>
      </c>
      <c r="AN10" s="1329">
        <f t="shared" si="1"/>
        <v>1593.4773277064417</v>
      </c>
      <c r="AO10" s="1329">
        <f t="shared" si="1"/>
        <v>1458.5389717876219</v>
      </c>
      <c r="AP10" s="1329">
        <f t="shared" si="1"/>
        <v>1335.6295313278104</v>
      </c>
    </row>
    <row r="11" spans="1:42" x14ac:dyDescent="0.8">
      <c r="A11" s="22" t="s">
        <v>659</v>
      </c>
      <c r="B11" s="551">
        <f>SUM(I10:AP10)</f>
        <v>142784.11944049312</v>
      </c>
      <c r="H11" s="1329"/>
    </row>
    <row r="12" spans="1:42" x14ac:dyDescent="0.8">
      <c r="A12" s="22" t="s">
        <v>660</v>
      </c>
      <c r="B12" s="243">
        <f>(AP7-AO7)/AO7</f>
        <v>-2.5169844569557748E-2</v>
      </c>
      <c r="H12" s="15"/>
    </row>
    <row r="13" spans="1:42" x14ac:dyDescent="0.8">
      <c r="A13" s="22" t="s">
        <v>661</v>
      </c>
      <c r="B13" s="1389">
        <f>((1+B12)*AP7)/(B4-B12)</f>
        <v>121691.46198714737</v>
      </c>
    </row>
    <row r="14" spans="1:42" x14ac:dyDescent="0.8">
      <c r="A14" s="22" t="s">
        <v>657</v>
      </c>
      <c r="B14" s="172">
        <f>1/(1+B4)^AP8</f>
        <v>0.11926875217882636</v>
      </c>
    </row>
    <row r="15" spans="1:42" x14ac:dyDescent="0.8">
      <c r="A15" s="22" t="s">
        <v>662</v>
      </c>
      <c r="B15" s="551">
        <f>B14*B13</f>
        <v>14513.988822024148</v>
      </c>
    </row>
    <row r="16" spans="1:42" x14ac:dyDescent="0.8">
      <c r="A16" s="55" t="s">
        <v>663</v>
      </c>
      <c r="B16" s="1442">
        <f>B11+B15+'Balance Sheet '!G8</f>
        <v>265522.75826251728</v>
      </c>
    </row>
    <row r="17" spans="1:42" x14ac:dyDescent="0.8">
      <c r="A17" s="22"/>
      <c r="B17" s="172"/>
    </row>
    <row r="18" spans="1:42" x14ac:dyDescent="0.8">
      <c r="A18" s="22" t="s">
        <v>664</v>
      </c>
      <c r="B18" s="172"/>
      <c r="I18" s="1329">
        <f>'FCF Statement'!H38</f>
        <v>556.77108069127735</v>
      </c>
      <c r="J18" s="1329">
        <f>'FCF Statement'!I38</f>
        <v>209.31851397064747</v>
      </c>
      <c r="K18" s="1329">
        <f>'FCF Statement'!J38</f>
        <v>225.13784330810086</v>
      </c>
      <c r="L18" s="1329">
        <f>'FCF Statement'!K38</f>
        <v>272.23149543248473</v>
      </c>
      <c r="M18" s="1329">
        <f>'FCF Statement'!L38</f>
        <v>407.99653916737043</v>
      </c>
      <c r="N18" s="1329">
        <f>'FCF Statement'!M38</f>
        <v>437.7895579694823</v>
      </c>
      <c r="O18" s="1329">
        <f>'FCF Statement'!N38</f>
        <v>344.55754151877409</v>
      </c>
      <c r="P18" s="1329">
        <f>'FCF Statement'!O38</f>
        <v>337.01823531206173</v>
      </c>
      <c r="Q18" s="1329">
        <f>'FCF Statement'!P38</f>
        <v>340.46479152794109</v>
      </c>
      <c r="R18" s="1329">
        <f>'FCF Statement'!Q38</f>
        <v>328.20343831668333</v>
      </c>
      <c r="S18" s="1329">
        <f>'FCF Statement'!R38</f>
        <v>321.17518844977258</v>
      </c>
      <c r="T18" s="1329">
        <f>'FCF Statement'!S38</f>
        <v>302.17086772753862</v>
      </c>
      <c r="U18" s="1329">
        <f>'FCF Statement'!T38</f>
        <v>289.05604733122834</v>
      </c>
      <c r="V18" s="1329">
        <f>'FCF Statement'!U38</f>
        <v>266.15207001910676</v>
      </c>
      <c r="W18" s="1329">
        <f>'FCF Statement'!V38</f>
        <v>239.71123494846051</v>
      </c>
      <c r="X18" s="1329">
        <f>'FCF Statement'!W38</f>
        <v>213.29815504900716</v>
      </c>
      <c r="Y18" s="1329">
        <f>'FCF Statement'!X38</f>
        <v>184.88075402140203</v>
      </c>
      <c r="Z18" s="1329">
        <f>'FCF Statement'!Y38</f>
        <v>157.1754619953972</v>
      </c>
      <c r="AA18" s="1329">
        <f>'FCF Statement'!Z38</f>
        <v>128.36932902441276</v>
      </c>
      <c r="AB18" s="1329">
        <f>'FCF Statement'!AA38</f>
        <v>102.1267780498747</v>
      </c>
      <c r="AC18" s="1329">
        <f>'FCF Statement'!AB38</f>
        <v>79.789092524858006</v>
      </c>
      <c r="AD18" s="1329">
        <f>'FCF Statement'!AC38</f>
        <v>62.003421007479119</v>
      </c>
      <c r="AE18" s="1329">
        <f>'FCF Statement'!AD38</f>
        <v>48.349316488352997</v>
      </c>
      <c r="AF18" s="1329">
        <f>'FCF Statement'!AE38</f>
        <v>39.016837475610373</v>
      </c>
      <c r="AG18" s="1329">
        <f>'FCF Statement'!AF38</f>
        <v>33.927749147914255</v>
      </c>
      <c r="AH18" s="1329">
        <f>'FCF Statement'!AG38</f>
        <v>32.896150385761757</v>
      </c>
      <c r="AI18" s="1329">
        <f>'FCF Statement'!AH38</f>
        <v>35.546586567360464</v>
      </c>
      <c r="AJ18" s="1329">
        <f>'FCF Statement'!AI38</f>
        <v>41.446597510554056</v>
      </c>
      <c r="AK18" s="1329">
        <f>'FCF Statement'!AJ38</f>
        <v>49.995026387317921</v>
      </c>
      <c r="AL18" s="1329">
        <f>'FCF Statement'!AK38</f>
        <v>48.602925997993225</v>
      </c>
      <c r="AM18" s="1329">
        <f>'FCF Statement'!AL38</f>
        <v>47.272872298855873</v>
      </c>
      <c r="AN18" s="1329">
        <f>'FCF Statement'!AM38</f>
        <v>46.002472904130627</v>
      </c>
      <c r="AO18" s="1329">
        <f>'FCF Statement'!AN38</f>
        <v>44.788458807821371</v>
      </c>
      <c r="AP18" s="1329">
        <f>'FCF Statement'!AO38</f>
        <v>43.628540161054843</v>
      </c>
    </row>
    <row r="19" spans="1:42" x14ac:dyDescent="0.8">
      <c r="A19" s="22" t="s">
        <v>660</v>
      </c>
      <c r="B19" s="57">
        <f>(AP18-AO18)/AO18</f>
        <v>-2.5897712884998224E-2</v>
      </c>
      <c r="I19" s="1329"/>
      <c r="J19" s="15">
        <f>(J18-I18)/I18</f>
        <v>-0.62404923454220862</v>
      </c>
      <c r="K19" s="15">
        <f t="shared" ref="K19:AP19" si="2">(K18-J18)/J18</f>
        <v>7.5575394824710596E-2</v>
      </c>
      <c r="L19" s="15">
        <f t="shared" si="2"/>
        <v>0.20917697101653532</v>
      </c>
      <c r="M19" s="15">
        <f t="shared" si="2"/>
        <v>0.49871174354459052</v>
      </c>
      <c r="N19" s="15">
        <f t="shared" si="2"/>
        <v>7.302272431749729E-2</v>
      </c>
      <c r="O19" s="15">
        <f t="shared" si="2"/>
        <v>-0.21296080446305959</v>
      </c>
      <c r="P19" s="15">
        <f t="shared" si="2"/>
        <v>-2.1881123755062421E-2</v>
      </c>
      <c r="Q19" s="15">
        <f t="shared" si="2"/>
        <v>1.0226616410497845E-2</v>
      </c>
      <c r="R19" s="15">
        <f t="shared" si="2"/>
        <v>-3.6013571788821801E-2</v>
      </c>
      <c r="S19" s="15">
        <f t="shared" si="2"/>
        <v>-2.1414309072926897E-2</v>
      </c>
      <c r="T19" s="15">
        <f t="shared" si="2"/>
        <v>-5.9171198167463593E-2</v>
      </c>
      <c r="U19" s="15">
        <f t="shared" si="2"/>
        <v>-4.3402001307868129E-2</v>
      </c>
      <c r="V19" s="15">
        <f t="shared" si="2"/>
        <v>-7.9237149762433415E-2</v>
      </c>
      <c r="W19" s="15">
        <f t="shared" si="2"/>
        <v>-9.9344840972862197E-2</v>
      </c>
      <c r="X19" s="15">
        <f t="shared" si="2"/>
        <v>-0.11018707531640032</v>
      </c>
      <c r="Y19" s="15">
        <f t="shared" si="2"/>
        <v>-0.13322853646378696</v>
      </c>
      <c r="Z19" s="15">
        <f t="shared" si="2"/>
        <v>-0.14985492769462433</v>
      </c>
      <c r="AA19" s="15">
        <f t="shared" si="2"/>
        <v>-0.18327372864237554</v>
      </c>
      <c r="AB19" s="15">
        <f t="shared" si="2"/>
        <v>-0.2044300704379888</v>
      </c>
      <c r="AC19" s="15">
        <f t="shared" si="2"/>
        <v>-0.21872505871190656</v>
      </c>
      <c r="AD19" s="15">
        <f t="shared" si="2"/>
        <v>-0.22290855748030752</v>
      </c>
      <c r="AE19" s="15">
        <f t="shared" si="2"/>
        <v>-0.22021534130316947</v>
      </c>
      <c r="AF19" s="15">
        <f t="shared" si="2"/>
        <v>-0.19302194302975825</v>
      </c>
      <c r="AG19" s="15">
        <f t="shared" si="2"/>
        <v>-0.13043313238489238</v>
      </c>
      <c r="AH19" s="15">
        <f t="shared" si="2"/>
        <v>-3.0405753050550273E-2</v>
      </c>
      <c r="AI19" s="15">
        <f t="shared" si="2"/>
        <v>8.0569797697236906E-2</v>
      </c>
      <c r="AJ19" s="15">
        <f t="shared" si="2"/>
        <v>0.16597967661432483</v>
      </c>
      <c r="AK19" s="15">
        <f t="shared" si="2"/>
        <v>0.20625164404839438</v>
      </c>
      <c r="AL19" s="15">
        <f t="shared" si="2"/>
        <v>-2.7844777569270888E-2</v>
      </c>
      <c r="AM19" s="15">
        <f t="shared" si="2"/>
        <v>-2.7365712492129976E-2</v>
      </c>
      <c r="AN19" s="15">
        <f t="shared" si="2"/>
        <v>-2.6873750905040579E-2</v>
      </c>
      <c r="AO19" s="15">
        <f t="shared" si="2"/>
        <v>-2.6390192084657437E-2</v>
      </c>
      <c r="AP19" s="15">
        <f t="shared" si="2"/>
        <v>-2.5897712884998224E-2</v>
      </c>
    </row>
    <row r="20" spans="1:42" x14ac:dyDescent="0.8">
      <c r="A20" s="22" t="s">
        <v>656</v>
      </c>
      <c r="B20" s="172"/>
      <c r="I20">
        <v>1</v>
      </c>
      <c r="J20">
        <v>2</v>
      </c>
      <c r="K20">
        <v>3</v>
      </c>
      <c r="L20">
        <v>4</v>
      </c>
      <c r="M20">
        <v>5</v>
      </c>
      <c r="N20">
        <v>6</v>
      </c>
      <c r="O20">
        <v>7</v>
      </c>
      <c r="P20">
        <v>8</v>
      </c>
      <c r="Q20">
        <v>9</v>
      </c>
      <c r="R20">
        <v>10</v>
      </c>
      <c r="S20">
        <v>11</v>
      </c>
      <c r="T20">
        <v>12</v>
      </c>
      <c r="U20">
        <v>13</v>
      </c>
      <c r="V20">
        <v>14</v>
      </c>
      <c r="W20">
        <v>15</v>
      </c>
      <c r="X20">
        <v>16</v>
      </c>
      <c r="Y20">
        <v>17</v>
      </c>
      <c r="Z20">
        <v>18</v>
      </c>
      <c r="AA20">
        <v>19</v>
      </c>
      <c r="AB20">
        <v>20</v>
      </c>
      <c r="AC20">
        <v>21</v>
      </c>
      <c r="AD20">
        <v>22</v>
      </c>
      <c r="AE20">
        <v>23</v>
      </c>
      <c r="AF20">
        <v>24</v>
      </c>
      <c r="AG20">
        <v>25</v>
      </c>
      <c r="AH20">
        <v>26</v>
      </c>
      <c r="AI20">
        <v>27</v>
      </c>
      <c r="AJ20">
        <v>28</v>
      </c>
      <c r="AK20">
        <v>29</v>
      </c>
      <c r="AL20">
        <v>30</v>
      </c>
      <c r="AM20">
        <v>31</v>
      </c>
      <c r="AN20">
        <v>32</v>
      </c>
      <c r="AO20">
        <v>33</v>
      </c>
      <c r="AP20">
        <v>34</v>
      </c>
    </row>
    <row r="21" spans="1:42" x14ac:dyDescent="0.8">
      <c r="A21" s="22" t="s">
        <v>657</v>
      </c>
      <c r="B21" s="172"/>
      <c r="I21">
        <f>1/(1+$B$5)^I20</f>
        <v>0.94448148910729512</v>
      </c>
      <c r="J21">
        <f>1/(1+$B$5)^J20</f>
        <v>0.89204528326633359</v>
      </c>
      <c r="K21">
        <f t="shared" ref="K21:AP21" si="3">1/(1+$B$5)^K20</f>
        <v>0.84252025749052561</v>
      </c>
      <c r="L21">
        <f t="shared" si="3"/>
        <v>0.79574478739771315</v>
      </c>
      <c r="M21">
        <f t="shared" si="3"/>
        <v>0.75156622175076004</v>
      </c>
      <c r="N21">
        <f t="shared" si="3"/>
        <v>0.70984038428190144</v>
      </c>
      <c r="O21">
        <f t="shared" si="3"/>
        <v>0.67043110317506494</v>
      </c>
      <c r="P21">
        <f t="shared" si="3"/>
        <v>0.63320976667063178</v>
      </c>
      <c r="Q21">
        <f t="shared" si="3"/>
        <v>0.59805490334236111</v>
      </c>
      <c r="R21">
        <f t="shared" si="3"/>
        <v>0.56485178567671268</v>
      </c>
      <c r="S21">
        <f t="shared" si="3"/>
        <v>0.53349205566085633</v>
      </c>
      <c r="T21">
        <f t="shared" si="3"/>
        <v>0.50387337115747743</v>
      </c>
      <c r="U21">
        <f t="shared" si="3"/>
        <v>0.47589907191232711</v>
      </c>
      <c r="V21">
        <f t="shared" si="3"/>
        <v>0.44947786410453439</v>
      </c>
      <c r="W21">
        <f t="shared" si="3"/>
        <v>0.42452352241021712</v>
      </c>
      <c r="X21">
        <f t="shared" si="3"/>
        <v>0.40095460860707588</v>
      </c>
      <c r="Y21">
        <f t="shared" si="3"/>
        <v>0.37869420580164376</v>
      </c>
      <c r="Z21">
        <f t="shared" si="3"/>
        <v>0.35766966741184092</v>
      </c>
      <c r="AA21">
        <f t="shared" si="3"/>
        <v>0.33781238008564646</v>
      </c>
      <c r="AB21">
        <f t="shared" si="3"/>
        <v>0.31905753978217094</v>
      </c>
      <c r="AC21">
        <f t="shared" si="3"/>
        <v>0.30134394028437478</v>
      </c>
      <c r="AD21">
        <f t="shared" si="3"/>
        <v>0.28461377345324618</v>
      </c>
      <c r="AE21">
        <f t="shared" si="3"/>
        <v>0.26881244057156828</v>
      </c>
      <c r="AF21">
        <f t="shared" si="3"/>
        <v>0.25388837416160098</v>
      </c>
      <c r="AG21">
        <f t="shared" si="3"/>
        <v>0.23979286969517905</v>
      </c>
      <c r="AH21">
        <f t="shared" si="3"/>
        <v>0.22647992664701425</v>
      </c>
      <c r="AI21">
        <f t="shared" si="3"/>
        <v>0.21390609837248298</v>
      </c>
      <c r="AJ21">
        <f t="shared" si="3"/>
        <v>0.20203035031997427</v>
      </c>
      <c r="AK21">
        <f t="shared" si="3"/>
        <v>0.19081392611507778</v>
      </c>
      <c r="AL21">
        <f t="shared" si="3"/>
        <v>0.18022022107957802</v>
      </c>
      <c r="AM21">
        <f t="shared" si="3"/>
        <v>0.17021466277248581</v>
      </c>
      <c r="AN21">
        <f t="shared" si="3"/>
        <v>0.16076459816325342</v>
      </c>
      <c r="AO21">
        <f t="shared" si="3"/>
        <v>0.15183918706896551</v>
      </c>
      <c r="AP21">
        <f t="shared" si="3"/>
        <v>0.1434093015077377</v>
      </c>
    </row>
    <row r="22" spans="1:42" x14ac:dyDescent="0.8">
      <c r="A22" s="22" t="s">
        <v>665</v>
      </c>
      <c r="B22" s="172"/>
      <c r="I22" s="1329">
        <f>I18*I21</f>
        <v>525.85997938317564</v>
      </c>
      <c r="J22" s="1329">
        <f t="shared" ref="J22:AP22" si="4">J18*J21</f>
        <v>186.72159308783424</v>
      </c>
      <c r="K22" s="1329">
        <f t="shared" si="4"/>
        <v>189.68319371480274</v>
      </c>
      <c r="L22" s="1329">
        <f t="shared" si="4"/>
        <v>216.6267934558841</v>
      </c>
      <c r="M22" s="1329">
        <f t="shared" si="4"/>
        <v>306.63641742940661</v>
      </c>
      <c r="N22" s="1329">
        <f t="shared" si="4"/>
        <v>310.76070806366107</v>
      </c>
      <c r="O22" s="1329">
        <f t="shared" si="4"/>
        <v>231.00209266771995</v>
      </c>
      <c r="P22" s="1329">
        <f t="shared" si="4"/>
        <v>213.40323814569868</v>
      </c>
      <c r="Q22" s="1329">
        <f t="shared" si="4"/>
        <v>203.61663798871993</v>
      </c>
      <c r="R22" s="1329">
        <f t="shared" si="4"/>
        <v>185.3862981984154</v>
      </c>
      <c r="S22" s="1329">
        <f t="shared" si="4"/>
        <v>171.34441151333209</v>
      </c>
      <c r="T22" s="1329">
        <f t="shared" si="4"/>
        <v>152.2558537874551</v>
      </c>
      <c r="U22" s="1329">
        <f t="shared" si="4"/>
        <v>137.56150465557727</v>
      </c>
      <c r="V22" s="1329">
        <f t="shared" si="4"/>
        <v>119.62946395918858</v>
      </c>
      <c r="W22" s="1329">
        <f t="shared" si="4"/>
        <v>101.7630578216236</v>
      </c>
      <c r="X22" s="1329">
        <f t="shared" si="4"/>
        <v>85.522878274286057</v>
      </c>
      <c r="Y22" s="1329">
        <f t="shared" si="4"/>
        <v>70.013270312143902</v>
      </c>
      <c r="Z22" s="1329">
        <f t="shared" si="4"/>
        <v>56.216895217196161</v>
      </c>
      <c r="AA22" s="1329">
        <f t="shared" si="4"/>
        <v>43.364748567734331</v>
      </c>
      <c r="AB22" s="1329">
        <f t="shared" si="4"/>
        <v>32.584318550472837</v>
      </c>
      <c r="AC22" s="1329">
        <f t="shared" si="4"/>
        <v>24.043959533155267</v>
      </c>
      <c r="AD22" s="1329">
        <f t="shared" si="4"/>
        <v>17.647027619948908</v>
      </c>
      <c r="AE22" s="1329">
        <f t="shared" si="4"/>
        <v>12.996897765201336</v>
      </c>
      <c r="AF22" s="1329">
        <f t="shared" si="4"/>
        <v>9.9059214316101407</v>
      </c>
      <c r="AG22" s="1329">
        <f t="shared" si="4"/>
        <v>8.1356323304765255</v>
      </c>
      <c r="AH22" s="1329">
        <f t="shared" si="4"/>
        <v>7.4503177263364719</v>
      </c>
      <c r="AI22" s="1329">
        <f t="shared" si="4"/>
        <v>7.6036316430837898</v>
      </c>
      <c r="AJ22" s="1329">
        <f t="shared" si="4"/>
        <v>8.373470614628209</v>
      </c>
      <c r="AK22" s="1329">
        <f t="shared" si="4"/>
        <v>9.5397472711910449</v>
      </c>
      <c r="AL22" s="1329">
        <f t="shared" si="4"/>
        <v>8.7592300684727089</v>
      </c>
      <c r="AM22" s="1329">
        <f t="shared" si="4"/>
        <v>8.0465360166365389</v>
      </c>
      <c r="AN22" s="1329">
        <f t="shared" si="4"/>
        <v>7.3955690709485138</v>
      </c>
      <c r="AO22" s="1329">
        <f t="shared" si="4"/>
        <v>6.8006431754514454</v>
      </c>
      <c r="AP22" s="1329">
        <f t="shared" si="4"/>
        <v>6.2567384702991573</v>
      </c>
    </row>
    <row r="23" spans="1:42" x14ac:dyDescent="0.8">
      <c r="A23" s="22" t="s">
        <v>666</v>
      </c>
      <c r="B23" s="551">
        <f>SUM(I22:AP22)</f>
        <v>3682.9086775317692</v>
      </c>
    </row>
    <row r="24" spans="1:42" x14ac:dyDescent="0.8">
      <c r="A24" s="22" t="s">
        <v>667</v>
      </c>
      <c r="B24" s="172">
        <f>((1+B19)*AP18)/(B5-B19)</f>
        <v>501.87535250726211</v>
      </c>
    </row>
    <row r="25" spans="1:42" x14ac:dyDescent="0.8">
      <c r="A25" s="22" t="s">
        <v>668</v>
      </c>
      <c r="B25" s="172">
        <f>1/(1+B5)^AP20</f>
        <v>0.1434093015077377</v>
      </c>
    </row>
    <row r="26" spans="1:42" x14ac:dyDescent="0.8">
      <c r="A26" s="55" t="s">
        <v>669</v>
      </c>
      <c r="B26" s="1443">
        <f>B24*B25</f>
        <v>71.973593747016096</v>
      </c>
    </row>
    <row r="27" spans="1:42" x14ac:dyDescent="0.8">
      <c r="A27" s="22"/>
      <c r="B27" s="172"/>
    </row>
    <row r="28" spans="1:42" x14ac:dyDescent="0.8">
      <c r="A28" s="22"/>
      <c r="B28" s="172"/>
    </row>
    <row r="29" spans="1:42" x14ac:dyDescent="0.8">
      <c r="A29" s="55" t="s">
        <v>670</v>
      </c>
      <c r="B29" s="1442">
        <f>B26+B16</f>
        <v>265594.73185626429</v>
      </c>
    </row>
    <row r="30" spans="1:42" x14ac:dyDescent="0.8">
      <c r="A30" s="219" t="s">
        <v>671</v>
      </c>
      <c r="B30" s="1389">
        <f>'Balance Sheet '!G26+'Balance Sheet '!G31</f>
        <v>87057</v>
      </c>
    </row>
    <row r="31" spans="1:42" x14ac:dyDescent="0.8">
      <c r="A31" s="219" t="s">
        <v>672</v>
      </c>
      <c r="B31" s="1389">
        <f>'Balance Sheet '!G37</f>
        <v>0</v>
      </c>
    </row>
    <row r="32" spans="1:42" x14ac:dyDescent="0.8">
      <c r="A32" s="219" t="s">
        <v>673</v>
      </c>
      <c r="B32" s="1389">
        <f>'Balance Sheet '!G9</f>
        <v>155806</v>
      </c>
    </row>
    <row r="33" spans="1:17" x14ac:dyDescent="0.8">
      <c r="A33" s="317" t="s">
        <v>674</v>
      </c>
      <c r="B33" s="1442">
        <f>B29-B30+B32</f>
        <v>334343.73185626429</v>
      </c>
      <c r="C33" s="1329"/>
    </row>
    <row r="34" spans="1:17" x14ac:dyDescent="0.8">
      <c r="A34" s="22"/>
      <c r="B34" s="172"/>
    </row>
    <row r="35" spans="1:17" ht="16.75" thickBot="1" x14ac:dyDescent="0.95">
      <c r="A35" s="316" t="s">
        <v>29</v>
      </c>
      <c r="B35" s="1389">
        <v>31383</v>
      </c>
      <c r="C35" s="130"/>
    </row>
    <row r="36" spans="1:17" ht="16.75" thickBot="1" x14ac:dyDescent="0.95">
      <c r="A36" s="1445" t="s">
        <v>675</v>
      </c>
      <c r="B36" s="1446">
        <f>B33/B35</f>
        <v>10.653657453279301</v>
      </c>
    </row>
    <row r="37" spans="1:17" ht="16.75" thickBot="1" x14ac:dyDescent="0.95">
      <c r="A37" s="23" t="s">
        <v>676</v>
      </c>
      <c r="B37" s="247"/>
    </row>
    <row r="39" spans="1:17" ht="16.75" thickBot="1" x14ac:dyDescent="0.95"/>
    <row r="40" spans="1:17" x14ac:dyDescent="0.8">
      <c r="E40" s="36" t="s">
        <v>700</v>
      </c>
      <c r="F40" s="21"/>
      <c r="G40" s="21"/>
      <c r="H40" s="21"/>
      <c r="I40" s="21"/>
      <c r="J40" s="21"/>
      <c r="K40" s="21"/>
      <c r="L40" s="21"/>
      <c r="M40" s="21"/>
      <c r="N40" s="21"/>
      <c r="O40" s="21"/>
      <c r="P40" s="21"/>
      <c r="Q40" s="171"/>
    </row>
    <row r="41" spans="1:17" x14ac:dyDescent="0.8">
      <c r="E41" s="366"/>
      <c r="F41" s="156"/>
      <c r="G41" s="1669" t="s">
        <v>681</v>
      </c>
      <c r="H41" s="1669"/>
      <c r="I41" s="1669"/>
      <c r="J41" s="1669"/>
      <c r="K41" s="1669"/>
      <c r="L41" s="1669"/>
      <c r="M41" s="1669"/>
      <c r="N41" s="1669"/>
      <c r="O41" s="1669"/>
      <c r="P41" s="1669"/>
      <c r="Q41" s="1670"/>
    </row>
    <row r="42" spans="1:17" x14ac:dyDescent="0.8">
      <c r="E42" s="22"/>
      <c r="F42" s="1376">
        <f>B36</f>
        <v>10.653657453279301</v>
      </c>
      <c r="G42" s="1510">
        <f t="shared" ref="G42:J42" si="5">H42-0.005</f>
        <v>3.953753770746659E-2</v>
      </c>
      <c r="H42" s="1510">
        <f t="shared" si="5"/>
        <v>4.4537537707466587E-2</v>
      </c>
      <c r="I42" s="1510">
        <f t="shared" si="5"/>
        <v>4.9537537707466585E-2</v>
      </c>
      <c r="J42" s="1510">
        <f t="shared" si="5"/>
        <v>5.4537537707466582E-2</v>
      </c>
      <c r="K42" s="1510">
        <f>L42-0.005</f>
        <v>5.953753770746658E-2</v>
      </c>
      <c r="L42" s="1517">
        <v>6.4537537707466577E-2</v>
      </c>
      <c r="M42" s="1510">
        <f>L42+0.005</f>
        <v>6.9537537707466582E-2</v>
      </c>
      <c r="N42" s="1510">
        <f t="shared" ref="N42:Q42" si="6">M42+0.005</f>
        <v>7.4537537707466586E-2</v>
      </c>
      <c r="O42" s="1510">
        <f t="shared" si="6"/>
        <v>7.9537537707466591E-2</v>
      </c>
      <c r="P42" s="1510">
        <f t="shared" si="6"/>
        <v>8.4537537707466595E-2</v>
      </c>
      <c r="Q42" s="1511">
        <f t="shared" si="6"/>
        <v>8.95375377074666E-2</v>
      </c>
    </row>
    <row r="43" spans="1:17" x14ac:dyDescent="0.8">
      <c r="E43" s="1671" t="s">
        <v>682</v>
      </c>
      <c r="F43" s="1512">
        <f t="shared" ref="F43:F46" si="7">F44-0.005</f>
        <v>3.3782000000000013E-2</v>
      </c>
      <c r="G43" s="1520">
        <f t="dataTable" ref="G43:Q53" dt2D="1" dtr="1" r1="B4" r2="B5" ca="1"/>
        <v>13.659467301840289</v>
      </c>
      <c r="H43" s="1520">
        <v>12.8635424367724</v>
      </c>
      <c r="I43" s="1520">
        <v>12.18586938454359</v>
      </c>
      <c r="J43" s="1520">
        <v>11.603506465064232</v>
      </c>
      <c r="K43" s="1520">
        <v>11.098966811342805</v>
      </c>
      <c r="L43" s="1521">
        <v>10.658696848445457</v>
      </c>
      <c r="M43" s="1520">
        <v>10.272036630323083</v>
      </c>
      <c r="N43" s="1520">
        <v>9.9304929283146315</v>
      </c>
      <c r="O43" s="1520">
        <v>9.6272205589296878</v>
      </c>
      <c r="P43" s="1520">
        <v>9.3566455383927192</v>
      </c>
      <c r="Q43" s="1522">
        <v>9.1141868056656623</v>
      </c>
    </row>
    <row r="44" spans="1:17" x14ac:dyDescent="0.8">
      <c r="E44" s="1671"/>
      <c r="F44" s="1512">
        <f t="shared" si="7"/>
        <v>3.8782000000000011E-2</v>
      </c>
      <c r="G44" s="1520">
        <v>13.657876768685213</v>
      </c>
      <c r="H44" s="1520">
        <v>12.861951903617324</v>
      </c>
      <c r="I44" s="1520">
        <v>12.184278851388514</v>
      </c>
      <c r="J44" s="1520">
        <v>11.601915931909156</v>
      </c>
      <c r="K44" s="1520">
        <v>11.097376278187731</v>
      </c>
      <c r="L44" s="1521">
        <v>10.657106315290383</v>
      </c>
      <c r="M44" s="1520">
        <v>10.270446097168008</v>
      </c>
      <c r="N44" s="1520">
        <v>9.9289023951595539</v>
      </c>
      <c r="O44" s="1520">
        <v>9.6256300257746137</v>
      </c>
      <c r="P44" s="1520">
        <v>9.3550550052376433</v>
      </c>
      <c r="Q44" s="1522">
        <v>9.1125962725105865</v>
      </c>
    </row>
    <row r="45" spans="1:17" x14ac:dyDescent="0.8">
      <c r="E45" s="1671"/>
      <c r="F45" s="1512">
        <f t="shared" si="7"/>
        <v>4.3782000000000008E-2</v>
      </c>
      <c r="G45" s="1520">
        <v>13.656661831678038</v>
      </c>
      <c r="H45" s="1520">
        <v>12.860736966610149</v>
      </c>
      <c r="I45" s="1520">
        <v>12.183063914381339</v>
      </c>
      <c r="J45" s="1520">
        <v>11.600700994901981</v>
      </c>
      <c r="K45" s="1520">
        <v>11.096161341180554</v>
      </c>
      <c r="L45" s="1521">
        <v>10.655891378283206</v>
      </c>
      <c r="M45" s="1520">
        <v>10.269231160160832</v>
      </c>
      <c r="N45" s="1520">
        <v>9.9276874581523806</v>
      </c>
      <c r="O45" s="1520">
        <v>9.6244150887674369</v>
      </c>
      <c r="P45" s="1520">
        <v>9.3538400682304683</v>
      </c>
      <c r="Q45" s="1522">
        <v>9.1113813355034114</v>
      </c>
    </row>
    <row r="46" spans="1:17" x14ac:dyDescent="0.8">
      <c r="E46" s="1671"/>
      <c r="F46" s="1512">
        <f t="shared" si="7"/>
        <v>4.8782000000000006E-2</v>
      </c>
      <c r="G46" s="1520">
        <v>13.655725223725879</v>
      </c>
      <c r="H46" s="1520">
        <v>12.859800358657989</v>
      </c>
      <c r="I46" s="1520">
        <v>12.182127306429178</v>
      </c>
      <c r="J46" s="1520">
        <v>11.599764386949822</v>
      </c>
      <c r="K46" s="1520">
        <v>11.095224733228395</v>
      </c>
      <c r="L46" s="1521">
        <v>10.654954770331047</v>
      </c>
      <c r="M46" s="1520">
        <v>10.268294552208671</v>
      </c>
      <c r="N46" s="1520">
        <v>9.9267508502002215</v>
      </c>
      <c r="O46" s="1520">
        <v>9.623478480815276</v>
      </c>
      <c r="P46" s="1520">
        <v>9.3529034602783074</v>
      </c>
      <c r="Q46" s="1522">
        <v>9.1104447275512488</v>
      </c>
    </row>
    <row r="47" spans="1:17" x14ac:dyDescent="0.8">
      <c r="E47" s="1671"/>
      <c r="F47" s="1512">
        <f>F48-0.005</f>
        <v>5.3782000000000003E-2</v>
      </c>
      <c r="G47" s="1520">
        <v>13.654997415429612</v>
      </c>
      <c r="H47" s="1520">
        <v>12.859072550361724</v>
      </c>
      <c r="I47" s="1520">
        <v>12.181399498132913</v>
      </c>
      <c r="J47" s="1520">
        <v>11.599036578653555</v>
      </c>
      <c r="K47" s="1520">
        <v>11.09449692493213</v>
      </c>
      <c r="L47" s="1521">
        <v>10.654226962034782</v>
      </c>
      <c r="M47" s="1520">
        <v>10.267566743912408</v>
      </c>
      <c r="N47" s="1520">
        <v>9.9260230419039548</v>
      </c>
      <c r="O47" s="1520">
        <v>9.6227506725190128</v>
      </c>
      <c r="P47" s="1520">
        <v>9.3521756519820425</v>
      </c>
      <c r="Q47" s="1522">
        <v>9.1097169192549856</v>
      </c>
    </row>
    <row r="48" spans="1:17" x14ac:dyDescent="0.8">
      <c r="E48" s="1671"/>
      <c r="F48" s="1519">
        <v>5.8782000000000001E-2</v>
      </c>
      <c r="G48" s="1521">
        <v>13.654427906674131</v>
      </c>
      <c r="H48" s="1521">
        <v>12.858503041606243</v>
      </c>
      <c r="I48" s="1521">
        <v>12.180829989377433</v>
      </c>
      <c r="J48" s="1521">
        <v>11.598467069898074</v>
      </c>
      <c r="K48" s="1521">
        <v>11.093927416176649</v>
      </c>
      <c r="L48" s="1523">
        <v>10.653657453279301</v>
      </c>
      <c r="M48" s="1521">
        <v>10.266997235156927</v>
      </c>
      <c r="N48" s="1521">
        <v>9.9254535331484757</v>
      </c>
      <c r="O48" s="1521">
        <v>9.6221811637635319</v>
      </c>
      <c r="P48" s="1521">
        <v>9.3516061432265634</v>
      </c>
      <c r="Q48" s="1524">
        <v>9.1091474104995047</v>
      </c>
    </row>
    <row r="49" spans="5:17" x14ac:dyDescent="0.8">
      <c r="E49" s="1671"/>
      <c r="F49" s="1512">
        <f>F48+0.005</f>
        <v>6.3782000000000005E-2</v>
      </c>
      <c r="G49" s="1520">
        <v>13.653979514631461</v>
      </c>
      <c r="H49" s="1520">
        <v>12.858054649563572</v>
      </c>
      <c r="I49" s="1520">
        <v>12.180381597334762</v>
      </c>
      <c r="J49" s="1520">
        <v>11.598018677855404</v>
      </c>
      <c r="K49" s="1520">
        <v>11.093479024133979</v>
      </c>
      <c r="L49" s="1521">
        <v>10.65320906123663</v>
      </c>
      <c r="M49" s="1520">
        <v>10.266548843114254</v>
      </c>
      <c r="N49" s="1520">
        <v>9.9250051411058031</v>
      </c>
      <c r="O49" s="1520">
        <v>9.6217327717208612</v>
      </c>
      <c r="P49" s="1520">
        <v>9.3511577511838908</v>
      </c>
      <c r="Q49" s="1522">
        <v>9.1086990184568339</v>
      </c>
    </row>
    <row r="50" spans="5:17" x14ac:dyDescent="0.8">
      <c r="E50" s="1671"/>
      <c r="F50" s="1512">
        <f t="shared" ref="F50:F53" si="8">F49+0.005</f>
        <v>6.878200000000001E-2</v>
      </c>
      <c r="G50" s="1520">
        <v>13.65362453683538</v>
      </c>
      <c r="H50" s="1520">
        <v>12.85769967176749</v>
      </c>
      <c r="I50" s="1520">
        <v>12.18002661953868</v>
      </c>
      <c r="J50" s="1520">
        <v>11.597663700059323</v>
      </c>
      <c r="K50" s="1520">
        <v>11.093124046337897</v>
      </c>
      <c r="L50" s="1521">
        <v>10.652854083440548</v>
      </c>
      <c r="M50" s="1520">
        <v>10.266193865318174</v>
      </c>
      <c r="N50" s="1520">
        <v>9.9246501633097211</v>
      </c>
      <c r="O50" s="1520">
        <v>9.6213777939247791</v>
      </c>
      <c r="P50" s="1520">
        <v>9.3508027733878105</v>
      </c>
      <c r="Q50" s="1522">
        <v>9.1083440406607536</v>
      </c>
    </row>
    <row r="51" spans="5:17" x14ac:dyDescent="0.8">
      <c r="E51" s="1671"/>
      <c r="F51" s="1512">
        <f t="shared" si="8"/>
        <v>7.3782000000000014E-2</v>
      </c>
      <c r="G51" s="1520">
        <v>13.653342120259731</v>
      </c>
      <c r="H51" s="1520">
        <v>12.857417255191843</v>
      </c>
      <c r="I51" s="1520">
        <v>12.179744202963033</v>
      </c>
      <c r="J51" s="1520">
        <v>11.597381283483674</v>
      </c>
      <c r="K51" s="1520">
        <v>11.092841629762249</v>
      </c>
      <c r="L51" s="1521">
        <v>10.652571666864899</v>
      </c>
      <c r="M51" s="1520">
        <v>10.265911448742523</v>
      </c>
      <c r="N51" s="1520">
        <v>9.9243677467340738</v>
      </c>
      <c r="O51" s="1520">
        <v>9.6210953773491301</v>
      </c>
      <c r="P51" s="1520">
        <v>9.3505203568121598</v>
      </c>
      <c r="Q51" s="1522">
        <v>9.1080616240851029</v>
      </c>
    </row>
    <row r="52" spans="5:17" x14ac:dyDescent="0.8">
      <c r="E52" s="1671"/>
      <c r="F52" s="1512">
        <f t="shared" si="8"/>
        <v>7.8782000000000019E-2</v>
      </c>
      <c r="G52" s="1520">
        <v>13.653116424787189</v>
      </c>
      <c r="H52" s="1520">
        <v>12.8571915597193</v>
      </c>
      <c r="I52" s="1520">
        <v>12.17951850749049</v>
      </c>
      <c r="J52" s="1520">
        <v>11.597155588011132</v>
      </c>
      <c r="K52" s="1520">
        <v>11.092615934289707</v>
      </c>
      <c r="L52" s="1521">
        <v>10.652345971392359</v>
      </c>
      <c r="M52" s="1520">
        <v>10.265685753269985</v>
      </c>
      <c r="N52" s="1520">
        <v>9.9241420512615335</v>
      </c>
      <c r="O52" s="1520">
        <v>9.6208696818765898</v>
      </c>
      <c r="P52" s="1520">
        <v>9.3502946613396212</v>
      </c>
      <c r="Q52" s="1522">
        <v>9.1078359286125625</v>
      </c>
    </row>
    <row r="53" spans="5:17" ht="16.75" thickBot="1" x14ac:dyDescent="0.95">
      <c r="E53" s="1672"/>
      <c r="F53" s="1513">
        <f t="shared" si="8"/>
        <v>8.3782000000000023E-2</v>
      </c>
      <c r="G53" s="1525">
        <v>13.652935320972782</v>
      </c>
      <c r="H53" s="1525">
        <v>12.857010455904891</v>
      </c>
      <c r="I53" s="1525">
        <v>12.179337403676081</v>
      </c>
      <c r="J53" s="1525">
        <v>11.596974484196725</v>
      </c>
      <c r="K53" s="1525">
        <v>11.092434830475298</v>
      </c>
      <c r="L53" s="1526">
        <v>10.65216486757795</v>
      </c>
      <c r="M53" s="1525">
        <v>10.265504649455576</v>
      </c>
      <c r="N53" s="1525">
        <v>9.9239609474471244</v>
      </c>
      <c r="O53" s="1525">
        <v>9.6206885780621807</v>
      </c>
      <c r="P53" s="1525">
        <v>9.3501135575252121</v>
      </c>
      <c r="Q53" s="1527">
        <v>9.1076548247981535</v>
      </c>
    </row>
  </sheetData>
  <mergeCells count="5">
    <mergeCell ref="B1:H2"/>
    <mergeCell ref="I1:N2"/>
    <mergeCell ref="O1:AP2"/>
    <mergeCell ref="G41:Q41"/>
    <mergeCell ref="E43:E53"/>
  </mergeCells>
  <hyperlinks>
    <hyperlink ref="A1" location="'Cover Page '!A1" display="Back to cover page "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sheetPr>
  <dimension ref="A1:BC81"/>
  <sheetViews>
    <sheetView showGridLines="0" topLeftCell="M1" zoomScale="55" zoomScaleNormal="55" zoomScalePageLayoutView="70" workbookViewId="0">
      <selection activeCell="Y8" sqref="Y8"/>
    </sheetView>
  </sheetViews>
  <sheetFormatPr defaultColWidth="8.83203125" defaultRowHeight="16" x14ac:dyDescent="0.8"/>
  <cols>
    <col min="2" max="3" width="14.1640625" customWidth="1"/>
    <col min="4" max="4" width="10.6640625" bestFit="1" customWidth="1"/>
    <col min="5" max="9" width="8.6640625" bestFit="1" customWidth="1"/>
    <col min="10" max="10" width="10.6640625" customWidth="1"/>
    <col min="11" max="12" width="8.6640625" bestFit="1" customWidth="1"/>
    <col min="13" max="13" width="8.6640625" customWidth="1"/>
    <col min="14" max="15" width="8.6640625" bestFit="1" customWidth="1"/>
    <col min="16" max="16" width="18.5" customWidth="1"/>
    <col min="17" max="17" width="25.1640625" customWidth="1"/>
    <col min="18" max="18" width="11.6640625" customWidth="1"/>
    <col min="19" max="20" width="10.1640625" customWidth="1"/>
    <col min="21" max="21" width="9.5" customWidth="1"/>
    <col min="22" max="22" width="10.6640625" bestFit="1" customWidth="1"/>
    <col min="23" max="23" width="8.6640625" customWidth="1"/>
    <col min="24" max="24" width="10.33203125" customWidth="1"/>
    <col min="25" max="25" width="8.6640625" bestFit="1" customWidth="1"/>
    <col min="26" max="26" width="11.1640625" customWidth="1"/>
    <col min="27" max="27" width="10.6640625" customWidth="1"/>
    <col min="28" max="29" width="8.6640625" bestFit="1" customWidth="1"/>
    <col min="32" max="32" width="6.6640625" customWidth="1"/>
    <col min="33" max="33" width="14.1640625" customWidth="1"/>
    <col min="34" max="34" width="12.6640625" customWidth="1"/>
    <col min="35" max="35" width="9.83203125" customWidth="1"/>
    <col min="36" max="36" width="8.1640625" customWidth="1"/>
    <col min="37" max="38" width="8.6640625" bestFit="1" customWidth="1"/>
    <col min="39" max="39" width="10.1640625" customWidth="1"/>
    <col min="40" max="43" width="8.6640625" bestFit="1" customWidth="1"/>
    <col min="44" max="44" width="9.6640625" customWidth="1"/>
    <col min="45" max="45" width="10.33203125" bestFit="1" customWidth="1"/>
    <col min="46" max="54" width="8.5" bestFit="1" customWidth="1"/>
    <col min="55" max="55" width="8.1640625" bestFit="1" customWidth="1"/>
  </cols>
  <sheetData>
    <row r="1" spans="1:48" ht="16.75" thickBot="1" x14ac:dyDescent="0.95"/>
    <row r="2" spans="1:48" ht="16.5" customHeight="1" thickBot="1" x14ac:dyDescent="0.95">
      <c r="B2" s="36" t="s">
        <v>704</v>
      </c>
      <c r="C2" s="21"/>
      <c r="D2" s="21"/>
      <c r="E2" s="21"/>
      <c r="F2" s="21"/>
      <c r="G2" s="21"/>
      <c r="H2" s="21"/>
      <c r="I2" s="21"/>
      <c r="J2" s="21"/>
      <c r="K2" s="21"/>
      <c r="L2" s="21"/>
      <c r="M2" s="21"/>
      <c r="N2" s="171"/>
      <c r="T2" s="1565" t="s">
        <v>733</v>
      </c>
      <c r="U2" s="1566"/>
      <c r="V2" s="1566"/>
      <c r="W2" s="21"/>
      <c r="X2" s="21"/>
      <c r="Y2" s="21"/>
      <c r="Z2" s="21"/>
      <c r="AA2" s="21"/>
      <c r="AB2" s="21"/>
      <c r="AC2" s="21"/>
      <c r="AD2" s="21"/>
      <c r="AE2" s="171"/>
    </row>
    <row r="3" spans="1:48" ht="20.25" customHeight="1" x14ac:dyDescent="0.8">
      <c r="B3" s="366"/>
      <c r="C3" s="156"/>
      <c r="D3" s="1644" t="s">
        <v>692</v>
      </c>
      <c r="E3" s="1644"/>
      <c r="F3" s="1644"/>
      <c r="G3" s="1644"/>
      <c r="H3" s="1644"/>
      <c r="I3" s="1644"/>
      <c r="J3" s="1644"/>
      <c r="K3" s="1644"/>
      <c r="L3" s="1644"/>
      <c r="M3" s="1644"/>
      <c r="N3" s="1645"/>
      <c r="T3" s="366"/>
      <c r="U3" s="1563"/>
      <c r="V3" s="1643" t="s">
        <v>729</v>
      </c>
      <c r="W3" s="1644"/>
      <c r="X3" s="1644"/>
      <c r="Y3" s="1644"/>
      <c r="Z3" s="1644"/>
      <c r="AA3" s="1644"/>
      <c r="AB3" s="1644"/>
      <c r="AC3" s="1644"/>
      <c r="AD3" s="1644"/>
      <c r="AE3" s="1645"/>
      <c r="AG3" s="1708" t="s">
        <v>734</v>
      </c>
      <c r="AH3" s="1709"/>
      <c r="AI3" s="1709"/>
      <c r="AJ3" s="1710"/>
      <c r="AL3" s="1594" t="s">
        <v>737</v>
      </c>
      <c r="AM3" s="1577"/>
      <c r="AN3" s="1577"/>
      <c r="AO3" s="1577"/>
      <c r="AP3" s="1577"/>
      <c r="AQ3" s="1577"/>
      <c r="AR3" s="1577"/>
      <c r="AS3" s="1577"/>
      <c r="AT3" s="1577"/>
      <c r="AU3" s="1577"/>
      <c r="AV3" s="1578"/>
    </row>
    <row r="4" spans="1:48" ht="30" customHeight="1" x14ac:dyDescent="0.8">
      <c r="B4" s="22"/>
      <c r="C4" s="1376">
        <f>'APV Valuation'!$B$36</f>
        <v>10.653657453279301</v>
      </c>
      <c r="D4" s="1377">
        <f t="shared" ref="D4:G4" si="0">E4-2.5%</f>
        <v>-0.125</v>
      </c>
      <c r="E4" s="1377">
        <f t="shared" si="0"/>
        <v>-0.1</v>
      </c>
      <c r="F4" s="1377">
        <f t="shared" si="0"/>
        <v>-7.5000000000000011E-2</v>
      </c>
      <c r="G4" s="1377">
        <f t="shared" si="0"/>
        <v>-0.05</v>
      </c>
      <c r="H4" s="1377">
        <f>I4-2.5%</f>
        <v>-2.5000000000000001E-2</v>
      </c>
      <c r="I4" s="1385">
        <v>0</v>
      </c>
      <c r="J4" s="1377">
        <f>I4+2.5%</f>
        <v>2.5000000000000001E-2</v>
      </c>
      <c r="K4" s="1377">
        <f t="shared" ref="K4:N4" si="1">J4+2.5%</f>
        <v>0.05</v>
      </c>
      <c r="L4" s="1377">
        <f t="shared" si="1"/>
        <v>7.5000000000000011E-2</v>
      </c>
      <c r="M4" s="1377">
        <f t="shared" si="1"/>
        <v>0.1</v>
      </c>
      <c r="N4" s="1378">
        <f t="shared" si="1"/>
        <v>0.125</v>
      </c>
      <c r="T4" s="22"/>
      <c r="U4" s="1564"/>
      <c r="V4" s="1646" t="s">
        <v>731</v>
      </c>
      <c r="W4" s="1647"/>
      <c r="X4" s="1647"/>
      <c r="Y4" s="1647"/>
      <c r="Z4" s="1647"/>
      <c r="AA4" s="1647"/>
      <c r="AB4" s="1647"/>
      <c r="AC4" s="1647"/>
      <c r="AD4" s="1647"/>
      <c r="AE4" s="1648"/>
      <c r="AG4" s="366"/>
      <c r="AH4" s="1703" t="s">
        <v>727</v>
      </c>
      <c r="AI4" s="1711" t="s">
        <v>711</v>
      </c>
      <c r="AJ4" s="1712"/>
      <c r="AL4" s="1579"/>
      <c r="AM4" s="1576"/>
      <c r="AN4" s="1697" t="s">
        <v>735</v>
      </c>
      <c r="AO4" s="1698"/>
      <c r="AP4" s="1698"/>
      <c r="AQ4" s="1698"/>
      <c r="AR4" s="1698"/>
      <c r="AS4" s="1698"/>
      <c r="AT4" s="1698"/>
      <c r="AU4" s="1698"/>
      <c r="AV4" s="1699"/>
    </row>
    <row r="5" spans="1:48" ht="15.75" customHeight="1" x14ac:dyDescent="0.8">
      <c r="B5" s="1693" t="s">
        <v>689</v>
      </c>
      <c r="C5" s="1377">
        <f t="shared" ref="C5:C8" si="2">C6-2.5%</f>
        <v>-0.125</v>
      </c>
      <c r="D5" s="1354">
        <v>9.9520535616634991</v>
      </c>
      <c r="E5" s="1354">
        <v>9.7673618482097773</v>
      </c>
      <c r="F5" s="1354">
        <v>9.8516864295714104</v>
      </c>
      <c r="G5" s="1354">
        <v>9.9798492669614678</v>
      </c>
      <c r="H5" s="1354">
        <v>10.109718378228683</v>
      </c>
      <c r="I5" s="1354">
        <v>10.243293326640872</v>
      </c>
      <c r="J5" s="1354">
        <v>10.380694770481279</v>
      </c>
      <c r="K5" s="1354">
        <v>10.539036233030874</v>
      </c>
      <c r="L5" s="1354">
        <v>10.684009549919137</v>
      </c>
      <c r="M5" s="1354">
        <v>10.833126180881088</v>
      </c>
      <c r="N5" s="1382">
        <v>10.986507301329052</v>
      </c>
      <c r="T5" s="1640" t="s">
        <v>728</v>
      </c>
      <c r="U5" s="1649" t="s">
        <v>731</v>
      </c>
      <c r="V5" s="1560">
        <f>'APV Valuation'!B36</f>
        <v>10.653657453279301</v>
      </c>
      <c r="W5" s="1559">
        <f>X5-2.5%</f>
        <v>-0.30000000000000004</v>
      </c>
      <c r="X5" s="1559">
        <f>Y5-2.5%</f>
        <v>-0.27500000000000002</v>
      </c>
      <c r="Y5" s="1559">
        <f>Z5-2.5%</f>
        <v>-0.25</v>
      </c>
      <c r="Z5" s="1559">
        <f>AA5-2.5%</f>
        <v>-0.22500000000000001</v>
      </c>
      <c r="AA5" s="1568">
        <v>-0.2</v>
      </c>
      <c r="AB5" s="1559">
        <f>AA5+2.5%</f>
        <v>-0.17500000000000002</v>
      </c>
      <c r="AC5" s="1559">
        <f>AB5+2.5%</f>
        <v>-0.15000000000000002</v>
      </c>
      <c r="AD5" s="1559">
        <f>AC5+2.5%</f>
        <v>-0.12500000000000003</v>
      </c>
      <c r="AE5" s="1561">
        <f>AD5+2.5%</f>
        <v>-0.10000000000000003</v>
      </c>
      <c r="AG5" s="22"/>
      <c r="AH5" s="1704"/>
      <c r="AI5" s="1713">
        <f>'APV Valuation'!B36</f>
        <v>10.653657453279301</v>
      </c>
      <c r="AJ5" s="1714"/>
      <c r="AL5" s="1451"/>
      <c r="AM5" s="1592">
        <f>'APV Valuation'!B36</f>
        <v>10.653657453279301</v>
      </c>
      <c r="AN5" s="1581">
        <f t="shared" ref="AN5:AP5" si="3">AO5-0.00125</f>
        <v>2.7355999999999991E-2</v>
      </c>
      <c r="AO5" s="1581">
        <f t="shared" si="3"/>
        <v>2.8605999999999993E-2</v>
      </c>
      <c r="AP5" s="1581">
        <f t="shared" si="3"/>
        <v>2.9855999999999994E-2</v>
      </c>
      <c r="AQ5" s="1581">
        <f>AR5-0.00125</f>
        <v>3.1105999999999995E-2</v>
      </c>
      <c r="AR5" s="1591">
        <v>3.2355999999999996E-2</v>
      </c>
      <c r="AS5" s="1581">
        <f>AR5+0.00125</f>
        <v>3.3605999999999997E-2</v>
      </c>
      <c r="AT5" s="1581">
        <f t="shared" ref="AT5:AV5" si="4">AS5+0.00125</f>
        <v>3.4855999999999998E-2</v>
      </c>
      <c r="AU5" s="1581">
        <f t="shared" si="4"/>
        <v>3.6105999999999999E-2</v>
      </c>
      <c r="AV5" s="1583">
        <f t="shared" si="4"/>
        <v>3.7356E-2</v>
      </c>
    </row>
    <row r="6" spans="1:48" x14ac:dyDescent="0.8">
      <c r="B6" s="1693"/>
      <c r="C6" s="1377">
        <f t="shared" si="2"/>
        <v>-0.1</v>
      </c>
      <c r="D6" s="1354">
        <v>9.8283986256961651</v>
      </c>
      <c r="E6" s="1354">
        <v>9.8085045662461265</v>
      </c>
      <c r="F6" s="1354">
        <v>9.9206272866921346</v>
      </c>
      <c r="G6" s="1354">
        <v>10.051338089410001</v>
      </c>
      <c r="H6" s="1354">
        <v>10.183607935769292</v>
      </c>
      <c r="I6" s="1354">
        <v>10.319674459745467</v>
      </c>
      <c r="J6" s="1354">
        <v>10.476421809305249</v>
      </c>
      <c r="K6" s="1354">
        <v>10.620000011229488</v>
      </c>
      <c r="L6" s="1354">
        <v>10.767689826536298</v>
      </c>
      <c r="M6" s="1375">
        <v>10.919611722694748</v>
      </c>
      <c r="N6" s="1365">
        <v>11.075889783153599</v>
      </c>
      <c r="T6" s="1641"/>
      <c r="U6" s="1650"/>
      <c r="V6" s="1558">
        <f t="shared" ref="V6:V8" si="5">V7-5%</f>
        <v>-0.3</v>
      </c>
      <c r="W6" s="1506">
        <v>11.528890970171693</v>
      </c>
      <c r="X6" s="1506">
        <v>11.513784105677441</v>
      </c>
      <c r="Y6" s="1506">
        <v>11.498642772885654</v>
      </c>
      <c r="Z6" s="1506">
        <v>11.483466908766246</v>
      </c>
      <c r="AA6" s="1514">
        <v>11.468256450204187</v>
      </c>
      <c r="AB6" s="1506">
        <v>11.453011333998685</v>
      </c>
      <c r="AC6" s="1506">
        <v>11.437731496863874</v>
      </c>
      <c r="AD6" s="1506">
        <v>11.422416875428366</v>
      </c>
      <c r="AE6" s="1507">
        <v>11.407067406235146</v>
      </c>
      <c r="AG6" s="1705" t="s">
        <v>725</v>
      </c>
      <c r="AH6" s="1545">
        <f t="shared" ref="AH6:AH8" si="6">AH7-0.1%</f>
        <v>-3.9450000000000006E-3</v>
      </c>
      <c r="AI6" s="1673">
        <v>10.920535712346116</v>
      </c>
      <c r="AJ6" s="1674"/>
      <c r="AL6" s="1700" t="s">
        <v>736</v>
      </c>
      <c r="AM6" s="1581">
        <f t="shared" ref="AM6:AM8" si="7">AM7-0.00125</f>
        <v>2.0943999999999994E-2</v>
      </c>
      <c r="AN6" s="1584">
        <v>11.672425071391718</v>
      </c>
      <c r="AO6" s="1584">
        <v>11.519017220159052</v>
      </c>
      <c r="AP6" s="1584">
        <v>11.371677126723696</v>
      </c>
      <c r="AQ6" s="1584">
        <v>11.230081110104626</v>
      </c>
      <c r="AR6" s="1588">
        <v>11.093927416176649</v>
      </c>
      <c r="AS6" s="1584">
        <v>10.962934408197949</v>
      </c>
      <c r="AT6" s="1584">
        <v>10.836838933301591</v>
      </c>
      <c r="AU6" s="1584">
        <v>10.715394845306996</v>
      </c>
      <c r="AV6" s="1585">
        <v>10.598371666674582</v>
      </c>
    </row>
    <row r="7" spans="1:48" x14ac:dyDescent="0.8">
      <c r="B7" s="1693"/>
      <c r="C7" s="1377">
        <f t="shared" si="2"/>
        <v>-7.5000000000000011E-2</v>
      </c>
      <c r="D7" s="1354">
        <v>9.8009181026809866</v>
      </c>
      <c r="E7" s="1354">
        <v>9.8638955330760929</v>
      </c>
      <c r="F7" s="1354">
        <v>9.9931059868877661</v>
      </c>
      <c r="G7" s="1354">
        <v>10.124080675847505</v>
      </c>
      <c r="H7" s="1354">
        <v>10.25881068285385</v>
      </c>
      <c r="I7" s="1354">
        <v>10.413964670073234</v>
      </c>
      <c r="J7" s="1354">
        <v>10.556145861619939</v>
      </c>
      <c r="K7" s="1354">
        <v>10.702406786211684</v>
      </c>
      <c r="L7" s="1375">
        <v>10.85286719575026</v>
      </c>
      <c r="M7" s="1354">
        <v>11.00765044206703</v>
      </c>
      <c r="N7" s="1365">
        <v>11.166883591101415</v>
      </c>
      <c r="T7" s="1641"/>
      <c r="U7" s="1650"/>
      <c r="V7" s="1558">
        <f t="shared" si="5"/>
        <v>-0.25</v>
      </c>
      <c r="W7" s="1506">
        <v>11.338468884221001</v>
      </c>
      <c r="X7" s="1506">
        <v>11.321840284971366</v>
      </c>
      <c r="Y7" s="1506">
        <v>11.305171070149207</v>
      </c>
      <c r="Z7" s="1506">
        <v>11.288461160252741</v>
      </c>
      <c r="AA7" s="1514">
        <v>11.271710475665502</v>
      </c>
      <c r="AB7" s="1506">
        <v>11.254918936655615</v>
      </c>
      <c r="AC7" s="1506">
        <v>11.238086463376055</v>
      </c>
      <c r="AD7" s="1506">
        <v>11.221212975864132</v>
      </c>
      <c r="AE7" s="1507">
        <v>11.204298394041681</v>
      </c>
      <c r="AG7" s="1706"/>
      <c r="AH7" s="1545">
        <f t="shared" si="6"/>
        <v>-2.9450000000000001E-3</v>
      </c>
      <c r="AI7" s="1673">
        <v>10.856235908152193</v>
      </c>
      <c r="AJ7" s="1674"/>
      <c r="AL7" s="1701"/>
      <c r="AM7" s="1581">
        <f t="shared" si="7"/>
        <v>2.2193999999999995E-2</v>
      </c>
      <c r="AN7" s="1584">
        <v>11.536986902078011</v>
      </c>
      <c r="AO7" s="1584">
        <v>11.388940635878539</v>
      </c>
      <c r="AP7" s="1584">
        <v>11.246675858687746</v>
      </c>
      <c r="AQ7" s="1584">
        <v>11.10988830015223</v>
      </c>
      <c r="AR7" s="1588">
        <v>10.978294013439623</v>
      </c>
      <c r="AS7" s="1584">
        <v>10.851627721829153</v>
      </c>
      <c r="AT7" s="1584">
        <v>10.729641323828076</v>
      </c>
      <c r="AU7" s="1584">
        <v>10.612102539361665</v>
      </c>
      <c r="AV7" s="1585">
        <v>10.498793681747514</v>
      </c>
    </row>
    <row r="8" spans="1:48" x14ac:dyDescent="0.8">
      <c r="B8" s="1693"/>
      <c r="C8" s="1377">
        <f t="shared" si="2"/>
        <v>-0.05</v>
      </c>
      <c r="D8" s="1354">
        <v>9.8126030588979862</v>
      </c>
      <c r="E8" s="1354">
        <v>9.9350522801712255</v>
      </c>
      <c r="F8" s="1354">
        <v>10.064721864787638</v>
      </c>
      <c r="G8" s="1354">
        <v>10.198114050950318</v>
      </c>
      <c r="H8" s="1354">
        <v>10.351675727574424</v>
      </c>
      <c r="I8" s="1354">
        <v>10.492458320737548</v>
      </c>
      <c r="J8" s="1354">
        <v>10.637288594730693</v>
      </c>
      <c r="K8" s="1375">
        <v>10.786285578448956</v>
      </c>
      <c r="L8" s="1354">
        <v>10.939571884395528</v>
      </c>
      <c r="M8" s="1354">
        <v>11.097273822485446</v>
      </c>
      <c r="N8" s="1365">
        <v>11.259521517765874</v>
      </c>
      <c r="T8" s="1641"/>
      <c r="U8" s="1650"/>
      <c r="V8" s="1558">
        <f t="shared" si="5"/>
        <v>-0.2</v>
      </c>
      <c r="W8" s="1506">
        <v>11.143666189681753</v>
      </c>
      <c r="X8" s="1506">
        <v>11.125445343771325</v>
      </c>
      <c r="Y8" s="1506">
        <v>11.107177066827537</v>
      </c>
      <c r="Z8" s="1506">
        <v>11.088861259911443</v>
      </c>
      <c r="AA8" s="1514">
        <v>11.070497823931532</v>
      </c>
      <c r="AB8" s="1506">
        <v>11.05208665964374</v>
      </c>
      <c r="AC8" s="1506">
        <v>11.033627667650645</v>
      </c>
      <c r="AD8" s="1506">
        <v>11.01512074840195</v>
      </c>
      <c r="AE8" s="1507">
        <v>10.996565802194182</v>
      </c>
      <c r="AG8" s="1706"/>
      <c r="AH8" s="1545">
        <f t="shared" si="6"/>
        <v>-1.9450000000000001E-3</v>
      </c>
      <c r="AI8" s="1673">
        <v>10.790330263114894</v>
      </c>
      <c r="AJ8" s="1674">
        <v>10.790330263114894</v>
      </c>
      <c r="AL8" s="1701"/>
      <c r="AM8" s="1581">
        <f t="shared" si="7"/>
        <v>2.3443999999999996E-2</v>
      </c>
      <c r="AN8" s="1584">
        <v>11.406286344554976</v>
      </c>
      <c r="AO8" s="1584">
        <v>11.263348481541575</v>
      </c>
      <c r="AP8" s="1584">
        <v>11.125923021984285</v>
      </c>
      <c r="AQ8" s="1584">
        <v>10.993723685468384</v>
      </c>
      <c r="AR8" s="1588">
        <v>10.866483050179149</v>
      </c>
      <c r="AS8" s="1584">
        <v>10.743951040075306</v>
      </c>
      <c r="AT8" s="1584">
        <v>10.625893555097436</v>
      </c>
      <c r="AU8" s="1584">
        <v>10.512091228880765</v>
      </c>
      <c r="AV8" s="1585">
        <v>10.402338300339013</v>
      </c>
    </row>
    <row r="9" spans="1:48" x14ac:dyDescent="0.8">
      <c r="B9" s="1693"/>
      <c r="C9" s="1377">
        <f>C10-2.5%</f>
        <v>-2.5000000000000001E-2</v>
      </c>
      <c r="D9" s="1354">
        <v>9.8752659428176237</v>
      </c>
      <c r="E9" s="1354">
        <v>10.005532011192999</v>
      </c>
      <c r="F9" s="1354">
        <v>10.137594977804529</v>
      </c>
      <c r="G9" s="1354">
        <v>10.28956569339508</v>
      </c>
      <c r="H9" s="1354">
        <v>10.428948404457955</v>
      </c>
      <c r="I9" s="1354">
        <v>10.57234658000155</v>
      </c>
      <c r="J9" s="1375">
        <v>10.71987851866041</v>
      </c>
      <c r="K9" s="1354">
        <v>10.871666086088497</v>
      </c>
      <c r="L9" s="1354">
        <v>11.027834828378779</v>
      </c>
      <c r="M9" s="1354">
        <v>11.188514089389985</v>
      </c>
      <c r="N9" s="1365">
        <v>11.353837132129762</v>
      </c>
      <c r="T9" s="1641"/>
      <c r="U9" s="1650"/>
      <c r="V9" s="1558">
        <f>V10-5%</f>
        <v>-0.15000000000000002</v>
      </c>
      <c r="W9" s="1506">
        <v>10.944389543635205</v>
      </c>
      <c r="X9" s="1506">
        <v>10.924503523428843</v>
      </c>
      <c r="Y9" s="1506">
        <v>10.904562549197578</v>
      </c>
      <c r="Z9" s="1506">
        <v>10.884566499259916</v>
      </c>
      <c r="AA9" s="1514">
        <v>10.864515251734693</v>
      </c>
      <c r="AB9" s="1506">
        <v>10.844408684541373</v>
      </c>
      <c r="AC9" s="1506">
        <v>10.824246675399699</v>
      </c>
      <c r="AD9" s="1506">
        <v>10.804029101829526</v>
      </c>
      <c r="AE9" s="1507">
        <v>10.783755841150478</v>
      </c>
      <c r="AG9" s="1706"/>
      <c r="AH9" s="1545">
        <f>AH10-0.1%</f>
        <v>-9.4499999999999998E-4</v>
      </c>
      <c r="AI9" s="1673">
        <v>10.722805860922097</v>
      </c>
      <c r="AJ9" s="1674">
        <v>10.722805860922097</v>
      </c>
      <c r="AL9" s="1701"/>
      <c r="AM9" s="1581">
        <f>AM10-0.00125</f>
        <v>2.4693999999999997E-2</v>
      </c>
      <c r="AN9" s="1584">
        <v>11.280099478827246</v>
      </c>
      <c r="AO9" s="1584">
        <v>11.142032048668879</v>
      </c>
      <c r="AP9" s="1584">
        <v>11.009223860793329</v>
      </c>
      <c r="AQ9" s="1584">
        <v>10.881405326796912</v>
      </c>
      <c r="AR9" s="1588">
        <v>10.758324376626494</v>
      </c>
      <c r="AS9" s="1584">
        <v>10.639745072585816</v>
      </c>
      <c r="AT9" s="1584">
        <v>10.525446352593196</v>
      </c>
      <c r="AU9" s="1584">
        <v>10.415220888845187</v>
      </c>
      <c r="AV9" s="1585">
        <v>10.308874049711092</v>
      </c>
    </row>
    <row r="10" spans="1:48" x14ac:dyDescent="0.8">
      <c r="B10" s="1693"/>
      <c r="C10" s="1385">
        <v>0</v>
      </c>
      <c r="D10" s="1354">
        <v>9.9465363817892456</v>
      </c>
      <c r="E10" s="1354">
        <v>10.077263679168135</v>
      </c>
      <c r="F10" s="1354">
        <v>10.22764507776227</v>
      </c>
      <c r="G10" s="1354">
        <v>10.365626924119919</v>
      </c>
      <c r="H10" s="1354">
        <v>10.507591862190203</v>
      </c>
      <c r="I10" s="1375">
        <v>10.653657453279301</v>
      </c>
      <c r="J10" s="1354">
        <v>10.803944808861379</v>
      </c>
      <c r="K10" s="1354">
        <v>10.958578703604545</v>
      </c>
      <c r="L10" s="1354">
        <v>11.117687692294473</v>
      </c>
      <c r="M10" s="1354">
        <v>11.281404230804263</v>
      </c>
      <c r="N10" s="1365">
        <v>11.449864801266214</v>
      </c>
      <c r="T10" s="1641"/>
      <c r="U10" s="1650"/>
      <c r="V10" s="1567">
        <v>-0.1</v>
      </c>
      <c r="W10" s="1514">
        <v>10.74054381734404</v>
      </c>
      <c r="X10" s="1514">
        <v>10.718917212765938</v>
      </c>
      <c r="Y10" s="1514">
        <v>10.697227382667487</v>
      </c>
      <c r="Z10" s="1514">
        <v>10.675474178955193</v>
      </c>
      <c r="AA10" s="1518">
        <v>10.653657453279301</v>
      </c>
      <c r="AB10" s="1514">
        <v>10.631777057033215</v>
      </c>
      <c r="AC10" s="1514">
        <v>10.60983284135316</v>
      </c>
      <c r="AD10" s="1514">
        <v>10.587824657117741</v>
      </c>
      <c r="AE10" s="1516">
        <v>10.565752354948071</v>
      </c>
      <c r="AG10" s="1706"/>
      <c r="AH10" s="1570">
        <v>5.5000000000000002E-5</v>
      </c>
      <c r="AI10" s="1715">
        <v>10.653657453279301</v>
      </c>
      <c r="AJ10" s="1716"/>
      <c r="AL10" s="1701"/>
      <c r="AM10" s="1591">
        <v>2.5943999999999998E-2</v>
      </c>
      <c r="AN10" s="1588">
        <v>11.158215851011263</v>
      </c>
      <c r="AO10" s="1588">
        <v>11.024794979427321</v>
      </c>
      <c r="AP10" s="1588">
        <v>10.896394963354993</v>
      </c>
      <c r="AQ10" s="1588">
        <v>10.772761719035843</v>
      </c>
      <c r="AR10" s="1441">
        <v>10.653657453279301</v>
      </c>
      <c r="AS10" s="1588">
        <v>10.538859392068643</v>
      </c>
      <c r="AT10" s="1588">
        <v>10.428158626131681</v>
      </c>
      <c r="AU10" s="1588">
        <v>10.321359061114153</v>
      </c>
      <c r="AV10" s="1589">
        <v>10.218276461465088</v>
      </c>
    </row>
    <row r="11" spans="1:48" x14ac:dyDescent="0.8">
      <c r="B11" s="1693"/>
      <c r="C11" s="1377">
        <f>C10+2.5%</f>
        <v>2.5000000000000001E-2</v>
      </c>
      <c r="D11" s="1354">
        <v>10.017122818555032</v>
      </c>
      <c r="E11" s="1354">
        <v>10.165924188911953</v>
      </c>
      <c r="F11" s="1354">
        <v>10.30250448583519</v>
      </c>
      <c r="G11" s="1354">
        <v>10.443035352969948</v>
      </c>
      <c r="H11" s="1375">
        <v>10.587633607412766</v>
      </c>
      <c r="I11" s="1354">
        <v>10.736419599318371</v>
      </c>
      <c r="J11" s="1354">
        <v>10.88951732452287</v>
      </c>
      <c r="K11" s="1354">
        <v>11.047054541054365</v>
      </c>
      <c r="L11" s="1354">
        <v>11.209162889679749</v>
      </c>
      <c r="M11" s="1354">
        <v>11.375978018642682</v>
      </c>
      <c r="N11" s="1365">
        <v>11.547639712754636</v>
      </c>
      <c r="T11" s="1641"/>
      <c r="U11" s="1650"/>
      <c r="V11" s="1558">
        <f>V10+5%</f>
        <v>-0.05</v>
      </c>
      <c r="W11" s="1506">
        <v>10.532032066190611</v>
      </c>
      <c r="X11" s="1506">
        <v>10.508586916492781</v>
      </c>
      <c r="Y11" s="1506">
        <v>10.485069478619458</v>
      </c>
      <c r="Z11" s="1506">
        <v>10.461479574010161</v>
      </c>
      <c r="AA11" s="1514">
        <v>10.437817023778571</v>
      </c>
      <c r="AB11" s="1506">
        <v>10.414081648711358</v>
      </c>
      <c r="AC11" s="1506">
        <v>10.3902732692685</v>
      </c>
      <c r="AD11" s="1506">
        <v>10.366391705582439</v>
      </c>
      <c r="AE11" s="1507">
        <v>10.342436777457849</v>
      </c>
      <c r="AG11" s="1706"/>
      <c r="AH11" s="1545">
        <f>AH10+0.1%</f>
        <v>1.0549999999999999E-3</v>
      </c>
      <c r="AI11" s="1673">
        <v>10.582889259213337</v>
      </c>
      <c r="AJ11" s="1674">
        <v>10.582889259213337</v>
      </c>
      <c r="AL11" s="1701"/>
      <c r="AM11" s="1581">
        <f>AM10+0.00125</f>
        <v>2.7193999999999999E-2</v>
      </c>
      <c r="AN11" s="1584">
        <v>11.040437484921865</v>
      </c>
      <c r="AO11" s="1584">
        <v>10.911452374784776</v>
      </c>
      <c r="AP11" s="1584">
        <v>10.787263455862654</v>
      </c>
      <c r="AQ11" s="1584">
        <v>10.667631061404997</v>
      </c>
      <c r="AR11" s="1588">
        <v>10.552330689055971</v>
      </c>
      <c r="AS11" s="1584">
        <v>10.441151833156477</v>
      </c>
      <c r="AT11" s="1584">
        <v>10.333896923041904</v>
      </c>
      <c r="AU11" s="1584">
        <v>10.230380356279907</v>
      </c>
      <c r="AV11" s="1585">
        <v>10.130427617091538</v>
      </c>
    </row>
    <row r="12" spans="1:48" x14ac:dyDescent="0.8">
      <c r="B12" s="1693"/>
      <c r="C12" s="1377">
        <f t="shared" ref="C12:C15" si="8">C11+2.5%</f>
        <v>0.05</v>
      </c>
      <c r="D12" s="1354">
        <v>10.104413132530304</v>
      </c>
      <c r="E12" s="1354">
        <v>10.239591489873384</v>
      </c>
      <c r="F12" s="1354">
        <v>10.378687754847638</v>
      </c>
      <c r="G12" s="1375">
        <v>10.52181799364574</v>
      </c>
      <c r="H12" s="1354">
        <v>10.669101788154913</v>
      </c>
      <c r="I12" s="1354">
        <v>10.820662348168078</v>
      </c>
      <c r="J12" s="1354">
        <v>10.976626627472148</v>
      </c>
      <c r="K12" s="1354">
        <v>11.137125443961667</v>
      </c>
      <c r="L12" s="1354">
        <v>11.302293603932927</v>
      </c>
      <c r="M12" s="1354">
        <v>11.472270030719686</v>
      </c>
      <c r="N12" s="1365">
        <v>11.647197897839142</v>
      </c>
      <c r="T12" s="1641"/>
      <c r="U12" s="1650"/>
      <c r="V12" s="1558">
        <f t="shared" ref="V12:V14" si="9">V11+5%</f>
        <v>0</v>
      </c>
      <c r="W12" s="1506">
        <v>10.318755499177415</v>
      </c>
      <c r="X12" s="1506">
        <v>10.293411223156864</v>
      </c>
      <c r="Y12" s="1506">
        <v>10.267984760757322</v>
      </c>
      <c r="Z12" s="1506">
        <v>10.242475898483622</v>
      </c>
      <c r="AA12" s="1514">
        <v>10.216884422430466</v>
      </c>
      <c r="AB12" s="1506">
        <v>10.191210118281802</v>
      </c>
      <c r="AC12" s="1506">
        <v>10.165452771310587</v>
      </c>
      <c r="AD12" s="1506">
        <v>10.13961216637767</v>
      </c>
      <c r="AE12" s="1507">
        <v>10.113688087932001</v>
      </c>
      <c r="AG12" s="1706"/>
      <c r="AH12" s="1545">
        <f t="shared" ref="AH12:AH14" si="10">AH11+0.1%</f>
        <v>2.055E-3</v>
      </c>
      <c r="AI12" s="1673">
        <v>10.510517112793764</v>
      </c>
      <c r="AJ12" s="1674">
        <v>10.510517112793764</v>
      </c>
      <c r="AL12" s="1701"/>
      <c r="AM12" s="1581">
        <f t="shared" ref="AM12:AM14" si="11">AM11+0.00125</f>
        <v>2.8444000000000001E-2</v>
      </c>
      <c r="AN12" s="1584">
        <v>10.926577979308387</v>
      </c>
      <c r="AO12" s="1584">
        <v>10.801829978700264</v>
      </c>
      <c r="AP12" s="1584">
        <v>10.681666263990966</v>
      </c>
      <c r="AQ12" s="1584">
        <v>10.565860587892979</v>
      </c>
      <c r="AR12" s="1588">
        <v>10.454200833273465</v>
      </c>
      <c r="AS12" s="1584">
        <v>10.346487939419346</v>
      </c>
      <c r="AT12" s="1584">
        <v>10.242534924489018</v>
      </c>
      <c r="AU12" s="1584">
        <v>10.142165994248549</v>
      </c>
      <c r="AV12" s="1585">
        <v>10.045215728338468</v>
      </c>
    </row>
    <row r="13" spans="1:48" x14ac:dyDescent="0.8">
      <c r="B13" s="1693"/>
      <c r="C13" s="1377">
        <f t="shared" si="8"/>
        <v>7.5000000000000011E-2</v>
      </c>
      <c r="D13" s="1354">
        <v>10.176898130121572</v>
      </c>
      <c r="E13" s="1354">
        <v>10.314559560566252</v>
      </c>
      <c r="F13" s="1375">
        <v>10.456221411384387</v>
      </c>
      <c r="G13" s="1354">
        <v>10.602002489439569</v>
      </c>
      <c r="H13" s="1354">
        <v>10.752025211467013</v>
      </c>
      <c r="I13" s="1354">
        <v>10.906415719730076</v>
      </c>
      <c r="J13" s="1354">
        <v>11.06530400169108</v>
      </c>
      <c r="K13" s="1354">
        <v>11.228824013851279</v>
      </c>
      <c r="L13" s="1354">
        <v>11.39711380992094</v>
      </c>
      <c r="M13" s="1354">
        <v>11.570315673487556</v>
      </c>
      <c r="N13" s="1365">
        <v>11.747518754472793</v>
      </c>
      <c r="T13" s="1641"/>
      <c r="U13" s="1650"/>
      <c r="V13" s="1558">
        <f t="shared" si="9"/>
        <v>0.05</v>
      </c>
      <c r="W13" s="1506">
        <v>10.100616287182421</v>
      </c>
      <c r="X13" s="1506">
        <v>10.073289611819121</v>
      </c>
      <c r="Y13" s="1506">
        <v>10.04586997014751</v>
      </c>
      <c r="Z13" s="1506">
        <v>10.018357108831326</v>
      </c>
      <c r="AA13" s="1514">
        <v>9.9907507740236667</v>
      </c>
      <c r="AB13" s="1506">
        <v>9.963050711366451</v>
      </c>
      <c r="AC13" s="1506">
        <v>9.9352566659896144</v>
      </c>
      <c r="AD13" s="1506">
        <v>9.9073683825104251</v>
      </c>
      <c r="AE13" s="1507">
        <v>9.8793856050330753</v>
      </c>
      <c r="AG13" s="1706"/>
      <c r="AH13" s="1545">
        <f t="shared" si="10"/>
        <v>3.055E-3</v>
      </c>
      <c r="AI13" s="1673">
        <v>10.436571024946611</v>
      </c>
      <c r="AJ13" s="1674">
        <v>10.436571024946611</v>
      </c>
      <c r="AL13" s="1701"/>
      <c r="AM13" s="1581">
        <f t="shared" si="11"/>
        <v>2.9694000000000002E-2</v>
      </c>
      <c r="AN13" s="1584">
        <v>10.816461682205393</v>
      </c>
      <c r="AO13" s="1584">
        <v>10.695763430892894</v>
      </c>
      <c r="AP13" s="1584">
        <v>10.579449435530709</v>
      </c>
      <c r="AQ13" s="1584">
        <v>10.467305952254526</v>
      </c>
      <c r="AR13" s="1588">
        <v>10.359132416411443</v>
      </c>
      <c r="AS13" s="1584">
        <v>10.254740454085114</v>
      </c>
      <c r="AT13" s="1584">
        <v>10.153952981022611</v>
      </c>
      <c r="AU13" s="1584">
        <v>10.056603380080755</v>
      </c>
      <c r="AV13" s="1585">
        <v>9.9625347493259131</v>
      </c>
    </row>
    <row r="14" spans="1:48" ht="16.75" thickBot="1" x14ac:dyDescent="0.95">
      <c r="B14" s="1693"/>
      <c r="C14" s="1377">
        <f t="shared" si="8"/>
        <v>0.1</v>
      </c>
      <c r="D14" s="1354">
        <v>10.250661052583229</v>
      </c>
      <c r="E14" s="1375">
        <v>10.390854446276874</v>
      </c>
      <c r="F14" s="1354">
        <v>10.535132599975197</v>
      </c>
      <c r="G14" s="1354">
        <v>10.683617130538201</v>
      </c>
      <c r="H14" s="1354">
        <v>10.836433361625126</v>
      </c>
      <c r="I14" s="1354">
        <v>10.993710442912878</v>
      </c>
      <c r="J14" s="1354">
        <v>11.15558147347185</v>
      </c>
      <c r="K14" s="1354">
        <v>11.322183629459799</v>
      </c>
      <c r="L14" s="1354">
        <v>11.493658296301795</v>
      </c>
      <c r="M14" s="1354">
        <v>11.670151205531202</v>
      </c>
      <c r="N14" s="1365">
        <v>11.845658033617534</v>
      </c>
      <c r="T14" s="1642"/>
      <c r="U14" s="1651"/>
      <c r="V14" s="1562">
        <f t="shared" si="9"/>
        <v>0.1</v>
      </c>
      <c r="W14" s="1508">
        <v>9.8750598477814631</v>
      </c>
      <c r="X14" s="1508">
        <v>9.8456410229495628</v>
      </c>
      <c r="Y14" s="1508">
        <v>9.8161173740258221</v>
      </c>
      <c r="Z14" s="1508">
        <v>9.7864864570011765</v>
      </c>
      <c r="AA14" s="1515">
        <v>9.7567441730646607</v>
      </c>
      <c r="AB14" s="1508">
        <v>9.7268859791562754</v>
      </c>
      <c r="AC14" s="1508">
        <v>9.6968370145998986</v>
      </c>
      <c r="AD14" s="1508">
        <v>9.6668609625895137</v>
      </c>
      <c r="AE14" s="1509">
        <v>9.6366233891893511</v>
      </c>
      <c r="AG14" s="1707"/>
      <c r="AH14" s="1547">
        <f t="shared" si="10"/>
        <v>4.0549999999999996E-3</v>
      </c>
      <c r="AI14" s="1675">
        <v>10.361098237220409</v>
      </c>
      <c r="AJ14" s="1676">
        <v>10.361098237220409</v>
      </c>
      <c r="AL14" s="1702"/>
      <c r="AM14" s="1582">
        <f t="shared" si="11"/>
        <v>3.0944000000000003E-2</v>
      </c>
      <c r="AN14" s="1586">
        <v>10.709922934820979</v>
      </c>
      <c r="AO14" s="1586">
        <v>10.593097581557926</v>
      </c>
      <c r="AP14" s="1586">
        <v>10.480467518311846</v>
      </c>
      <c r="AQ14" s="1586">
        <v>10.371830662443527</v>
      </c>
      <c r="AR14" s="1590">
        <v>10.266997235156927</v>
      </c>
      <c r="AS14" s="1586">
        <v>10.16578885049082</v>
      </c>
      <c r="AT14" s="1586">
        <v>10.068037683832825</v>
      </c>
      <c r="AU14" s="1586">
        <v>9.9735857119760176</v>
      </c>
      <c r="AV14" s="1587">
        <v>9.8822840176410427</v>
      </c>
    </row>
    <row r="15" spans="1:48" ht="16.75" thickBot="1" x14ac:dyDescent="0.95">
      <c r="B15" s="1694"/>
      <c r="C15" s="1379">
        <f t="shared" si="8"/>
        <v>0.125</v>
      </c>
      <c r="D15" s="1383">
        <v>10.325727469711401</v>
      </c>
      <c r="E15" s="1367">
        <v>10.468502798738848</v>
      </c>
      <c r="F15" s="1367">
        <v>10.615449100071501</v>
      </c>
      <c r="G15" s="1367">
        <v>10.766690871886144</v>
      </c>
      <c r="H15" s="1367">
        <v>10.922356418928194</v>
      </c>
      <c r="I15" s="1367">
        <v>11.08257797541353</v>
      </c>
      <c r="J15" s="1367">
        <v>11.247491832235982</v>
      </c>
      <c r="K15" s="1367">
        <v>11.417238468648168</v>
      </c>
      <c r="L15" s="1367">
        <v>11.591962688590227</v>
      </c>
      <c r="M15" s="1367">
        <v>11.767338868302659</v>
      </c>
      <c r="N15" s="1369">
        <v>11.945591471698499</v>
      </c>
    </row>
    <row r="16" spans="1:48" x14ac:dyDescent="0.8">
      <c r="A16" s="1620" t="s">
        <v>534</v>
      </c>
    </row>
    <row r="17" spans="2:55" ht="16.75" thickBot="1" x14ac:dyDescent="0.95"/>
    <row r="18" spans="2:55" x14ac:dyDescent="0.8">
      <c r="B18" s="36" t="s">
        <v>705</v>
      </c>
      <c r="C18" s="21"/>
      <c r="D18" s="21"/>
      <c r="E18" s="21"/>
      <c r="F18" s="21"/>
      <c r="G18" s="21"/>
      <c r="H18" s="21"/>
      <c r="I18" s="21"/>
      <c r="J18" s="21"/>
      <c r="K18" s="21"/>
      <c r="L18" s="21"/>
      <c r="M18" s="21"/>
      <c r="N18" s="21"/>
      <c r="O18" s="171"/>
      <c r="P18" s="36" t="s">
        <v>706</v>
      </c>
      <c r="Q18" s="21"/>
      <c r="R18" s="21"/>
      <c r="S18" s="21"/>
      <c r="T18" s="21"/>
      <c r="U18" s="21"/>
      <c r="V18" s="21"/>
      <c r="W18" s="21"/>
      <c r="X18" s="21"/>
      <c r="Y18" s="21"/>
      <c r="Z18" s="21"/>
      <c r="AA18" s="21"/>
      <c r="AB18" s="21"/>
      <c r="AC18" s="171"/>
      <c r="AF18" s="1435" t="s">
        <v>715</v>
      </c>
      <c r="AG18" s="1030"/>
      <c r="AH18" s="1030"/>
      <c r="AI18" s="1030"/>
      <c r="AJ18" s="1030"/>
      <c r="AK18" s="1030"/>
      <c r="AL18" s="1030"/>
      <c r="AM18" s="1030"/>
      <c r="AN18" s="1030"/>
      <c r="AO18" s="1030"/>
      <c r="AP18" s="1030"/>
      <c r="AQ18" s="1030"/>
      <c r="AR18" s="1030"/>
      <c r="AS18" s="1030"/>
      <c r="AT18" s="1030"/>
      <c r="AU18" s="1030"/>
      <c r="AV18" s="1030"/>
      <c r="AW18" s="1030"/>
      <c r="AX18" s="1030"/>
      <c r="AY18" s="1030"/>
      <c r="AZ18" s="1030"/>
      <c r="BA18" s="1030"/>
      <c r="BB18" s="1030"/>
      <c r="BC18" s="1037"/>
    </row>
    <row r="19" spans="2:55" x14ac:dyDescent="0.8">
      <c r="B19" s="366"/>
      <c r="C19" s="156"/>
      <c r="D19" s="156"/>
      <c r="E19" s="1717" t="s">
        <v>693</v>
      </c>
      <c r="F19" s="1717"/>
      <c r="G19" s="1717"/>
      <c r="H19" s="1717"/>
      <c r="I19" s="1717"/>
      <c r="J19" s="1717"/>
      <c r="K19" s="1717"/>
      <c r="L19" s="1717"/>
      <c r="M19" s="1717"/>
      <c r="N19" s="1717"/>
      <c r="O19" s="1718"/>
      <c r="P19" s="366"/>
      <c r="Q19" s="156"/>
      <c r="R19" s="156"/>
      <c r="S19" s="1644" t="s">
        <v>693</v>
      </c>
      <c r="T19" s="1644"/>
      <c r="U19" s="1644"/>
      <c r="V19" s="1644"/>
      <c r="W19" s="1644"/>
      <c r="X19" s="1644"/>
      <c r="Y19" s="1644"/>
      <c r="Z19" s="1644"/>
      <c r="AA19" s="1644"/>
      <c r="AB19" s="1644"/>
      <c r="AC19" s="1645"/>
      <c r="AF19" s="1429"/>
      <c r="AG19" s="1425"/>
      <c r="AH19" s="1683" t="s">
        <v>741</v>
      </c>
      <c r="AI19" s="1683"/>
      <c r="AJ19" s="1683"/>
      <c r="AK19" s="1683"/>
      <c r="AL19" s="1683"/>
      <c r="AM19" s="1683"/>
      <c r="AN19" s="1683"/>
      <c r="AO19" s="1683"/>
      <c r="AP19" s="1683"/>
      <c r="AQ19" s="1683"/>
      <c r="AR19" s="1683"/>
      <c r="AS19" s="1683"/>
      <c r="AT19" s="1683"/>
      <c r="AU19" s="1683"/>
      <c r="AV19" s="1683"/>
      <c r="AW19" s="1683"/>
      <c r="AX19" s="1683"/>
      <c r="AY19" s="1683"/>
      <c r="AZ19" s="1683"/>
      <c r="BA19" s="1683"/>
      <c r="BB19" s="1683"/>
      <c r="BC19" s="1684"/>
    </row>
    <row r="20" spans="2:55" x14ac:dyDescent="0.8">
      <c r="B20" s="22"/>
      <c r="C20" s="185"/>
      <c r="D20" s="156"/>
      <c r="E20" s="1689" t="s">
        <v>694</v>
      </c>
      <c r="F20" s="1689"/>
      <c r="G20" s="1689"/>
      <c r="H20" s="1689"/>
      <c r="I20" s="1689"/>
      <c r="J20" s="1689"/>
      <c r="K20" s="1689"/>
      <c r="L20" s="1689"/>
      <c r="M20" s="1689"/>
      <c r="N20" s="1689"/>
      <c r="O20" s="1690"/>
      <c r="P20" s="22"/>
      <c r="Q20" s="185"/>
      <c r="R20" s="156"/>
      <c r="S20" s="1695" t="s">
        <v>701</v>
      </c>
      <c r="T20" s="1695"/>
      <c r="U20" s="1695"/>
      <c r="V20" s="1695"/>
      <c r="W20" s="1695"/>
      <c r="X20" s="1695"/>
      <c r="Y20" s="1695"/>
      <c r="Z20" s="1695"/>
      <c r="AA20" s="1695"/>
      <c r="AB20" s="1695"/>
      <c r="AC20" s="1696"/>
      <c r="AF20" s="1429"/>
      <c r="AG20" s="1425"/>
      <c r="AH20" s="1677" t="s">
        <v>713</v>
      </c>
      <c r="AI20" s="1677"/>
      <c r="AJ20" s="1677"/>
      <c r="AK20" s="1677"/>
      <c r="AL20" s="1677"/>
      <c r="AM20" s="1677"/>
      <c r="AN20" s="1677"/>
      <c r="AO20" s="1677"/>
      <c r="AP20" s="1677"/>
      <c r="AQ20" s="1677"/>
      <c r="AR20" s="1677"/>
      <c r="AS20" s="1677"/>
      <c r="AT20" s="1677"/>
      <c r="AU20" s="1677"/>
      <c r="AV20" s="1677"/>
      <c r="AW20" s="1677"/>
      <c r="AX20" s="1677"/>
      <c r="AY20" s="1677"/>
      <c r="AZ20" s="1677"/>
      <c r="BA20" s="1677"/>
      <c r="BB20" s="1677"/>
      <c r="BC20" s="1678"/>
    </row>
    <row r="21" spans="2:55" ht="15.75" customHeight="1" x14ac:dyDescent="0.8">
      <c r="B21" s="22"/>
      <c r="C21" s="131"/>
      <c r="D21" s="1376">
        <v>10.653657453279301</v>
      </c>
      <c r="E21" s="1377">
        <v>-0.125</v>
      </c>
      <c r="F21" s="1377">
        <v>-0.1</v>
      </c>
      <c r="G21" s="1377">
        <v>-7.5000000000000011E-2</v>
      </c>
      <c r="H21" s="1377">
        <v>-0.05</v>
      </c>
      <c r="I21" s="1377">
        <v>-2.5000000000000001E-2</v>
      </c>
      <c r="J21" s="1528">
        <v>0</v>
      </c>
      <c r="K21" s="1377">
        <v>2.5000000000000001E-2</v>
      </c>
      <c r="L21" s="1377">
        <v>0.05</v>
      </c>
      <c r="M21" s="1377">
        <v>7.5000000000000011E-2</v>
      </c>
      <c r="N21" s="1377">
        <v>0.1</v>
      </c>
      <c r="O21" s="1378">
        <v>0.125</v>
      </c>
      <c r="P21" s="22"/>
      <c r="Q21" s="131"/>
      <c r="R21" s="1376">
        <v>10.653657453279301</v>
      </c>
      <c r="S21" s="1377">
        <v>-0.125</v>
      </c>
      <c r="T21" s="1377">
        <v>-0.1</v>
      </c>
      <c r="U21" s="1377">
        <v>-7.5000000000000011E-2</v>
      </c>
      <c r="V21" s="1377">
        <v>-0.05</v>
      </c>
      <c r="W21" s="1377">
        <v>-2.5000000000000001E-2</v>
      </c>
      <c r="X21" s="1528">
        <v>0</v>
      </c>
      <c r="Y21" s="1377">
        <v>2.5000000000000001E-2</v>
      </c>
      <c r="Z21" s="1377">
        <v>0.05</v>
      </c>
      <c r="AA21" s="1377">
        <v>7.5000000000000011E-2</v>
      </c>
      <c r="AB21" s="1377">
        <v>0.1</v>
      </c>
      <c r="AC21" s="1378">
        <v>0.125</v>
      </c>
      <c r="AF21" s="1430"/>
      <c r="AG21" s="1034"/>
      <c r="AH21" s="1436">
        <f>'APV Valuation'!B36</f>
        <v>10.653657453279301</v>
      </c>
      <c r="AI21" s="1439">
        <f t="shared" ref="AI21:AQ21" si="12">AJ21-0.005</f>
        <v>0.14999999999999997</v>
      </c>
      <c r="AJ21" s="1439">
        <f t="shared" si="12"/>
        <v>0.15499999999999997</v>
      </c>
      <c r="AK21" s="1439">
        <f t="shared" si="12"/>
        <v>0.15999999999999998</v>
      </c>
      <c r="AL21" s="1439">
        <f t="shared" si="12"/>
        <v>0.16499999999999998</v>
      </c>
      <c r="AM21" s="1439">
        <f t="shared" si="12"/>
        <v>0.16999999999999998</v>
      </c>
      <c r="AN21" s="1439">
        <f t="shared" si="12"/>
        <v>0.17499999999999999</v>
      </c>
      <c r="AO21" s="1439">
        <f t="shared" si="12"/>
        <v>0.18</v>
      </c>
      <c r="AP21" s="1439">
        <f t="shared" si="12"/>
        <v>0.185</v>
      </c>
      <c r="AQ21" s="1439">
        <f t="shared" si="12"/>
        <v>0.19</v>
      </c>
      <c r="AR21" s="1439">
        <f>AS21-0.005</f>
        <v>0.19500000000000001</v>
      </c>
      <c r="AS21" s="1534">
        <v>0.2</v>
      </c>
      <c r="AT21" s="1439">
        <f>AS21+0.005</f>
        <v>0.20500000000000002</v>
      </c>
      <c r="AU21" s="1439">
        <f t="shared" ref="AU21:BC21" si="13">AT21+0.005</f>
        <v>0.21000000000000002</v>
      </c>
      <c r="AV21" s="1439">
        <f t="shared" si="13"/>
        <v>0.21500000000000002</v>
      </c>
      <c r="AW21" s="1439">
        <f t="shared" si="13"/>
        <v>0.22000000000000003</v>
      </c>
      <c r="AX21" s="1439">
        <f t="shared" si="13"/>
        <v>0.22500000000000003</v>
      </c>
      <c r="AY21" s="1439">
        <f t="shared" si="13"/>
        <v>0.23000000000000004</v>
      </c>
      <c r="AZ21" s="1439">
        <f t="shared" si="13"/>
        <v>0.23500000000000004</v>
      </c>
      <c r="BA21" s="1439">
        <f t="shared" si="13"/>
        <v>0.24000000000000005</v>
      </c>
      <c r="BB21" s="1439">
        <f t="shared" si="13"/>
        <v>0.24500000000000005</v>
      </c>
      <c r="BC21" s="1440">
        <f t="shared" si="13"/>
        <v>0.25000000000000006</v>
      </c>
    </row>
    <row r="22" spans="2:55" x14ac:dyDescent="0.8">
      <c r="B22" s="1685" t="s">
        <v>695</v>
      </c>
      <c r="C22" s="1687" t="s">
        <v>694</v>
      </c>
      <c r="D22" s="1377">
        <v>-0.125</v>
      </c>
      <c r="E22" s="1354">
        <v>10.390347984820767</v>
      </c>
      <c r="F22" s="1354">
        <v>10.421322518331589</v>
      </c>
      <c r="G22" s="1354">
        <v>10.435880833452805</v>
      </c>
      <c r="H22" s="1354">
        <v>10.45065455267622</v>
      </c>
      <c r="I22" s="1354">
        <v>10.465647461572848</v>
      </c>
      <c r="J22" s="1529">
        <v>10.48086342538781</v>
      </c>
      <c r="K22" s="1354">
        <v>10.496306391187609</v>
      </c>
      <c r="L22" s="1354">
        <v>10.511980390075772</v>
      </c>
      <c r="M22" s="1354">
        <v>10.527889539479343</v>
      </c>
      <c r="N22" s="1354">
        <v>10.544038045508868</v>
      </c>
      <c r="O22" s="1365">
        <v>10.560430205394375</v>
      </c>
      <c r="P22" s="1685" t="s">
        <v>695</v>
      </c>
      <c r="Q22" s="1691" t="s">
        <v>701</v>
      </c>
      <c r="R22" s="1377">
        <v>-0.125</v>
      </c>
      <c r="S22" s="1354">
        <v>10.19630094131236</v>
      </c>
      <c r="T22" s="1354">
        <v>10.227861273118458</v>
      </c>
      <c r="U22" s="1354">
        <v>10.259994947882776</v>
      </c>
      <c r="V22" s="1354">
        <v>10.292714303141317</v>
      </c>
      <c r="W22" s="1354">
        <v>10.326031951303053</v>
      </c>
      <c r="X22" s="1529">
        <v>10.359960787310868</v>
      </c>
      <c r="Y22" s="1354">
        <v>10.394513996563036</v>
      </c>
      <c r="Z22" s="1354">
        <v>10.429705063103974</v>
      </c>
      <c r="AA22" s="1354">
        <v>10.465547778093809</v>
      </c>
      <c r="AB22" s="1354">
        <v>10.502056248566175</v>
      </c>
      <c r="AC22" s="1365">
        <v>10.539244906484567</v>
      </c>
      <c r="AF22" s="1571"/>
      <c r="AG22" s="1428" t="str">
        <f>""</f>
        <v/>
      </c>
      <c r="AH22" s="1437">
        <f t="shared" ref="AH22:AH26" si="14">AH23-0.005</f>
        <v>3.4537537707466592E-2</v>
      </c>
      <c r="AI22" s="1426">
        <v>14.636872211796504</v>
      </c>
      <c r="AJ22" s="1426">
        <v>14.633113674271751</v>
      </c>
      <c r="AK22" s="1426">
        <v>14.629355136746996</v>
      </c>
      <c r="AL22" s="1426">
        <v>14.625596599222243</v>
      </c>
      <c r="AM22" s="1426">
        <v>14.621838061697488</v>
      </c>
      <c r="AN22" s="1426">
        <v>14.618079524172733</v>
      </c>
      <c r="AO22" s="1426">
        <v>14.61432098664798</v>
      </c>
      <c r="AP22" s="1426">
        <v>14.610562449123227</v>
      </c>
      <c r="AQ22" s="1426">
        <v>14.606803911598472</v>
      </c>
      <c r="AR22" s="1426">
        <v>14.603045374073718</v>
      </c>
      <c r="AS22" s="1533">
        <v>14.599286836548965</v>
      </c>
      <c r="AT22" s="1426">
        <v>14.59552829902421</v>
      </c>
      <c r="AU22" s="1426">
        <v>14.591769761499455</v>
      </c>
      <c r="AV22" s="1426">
        <v>14.588011223974702</v>
      </c>
      <c r="AW22" s="1426">
        <v>14.584252686449949</v>
      </c>
      <c r="AX22" s="1426">
        <v>14.580494148925194</v>
      </c>
      <c r="AY22" s="1426">
        <v>14.576735611400439</v>
      </c>
      <c r="AZ22" s="1426">
        <v>14.572977073875684</v>
      </c>
      <c r="BA22" s="1426">
        <v>14.569218536350931</v>
      </c>
      <c r="BB22" s="1426">
        <v>14.565459998826178</v>
      </c>
      <c r="BC22" s="1431">
        <v>14.561701461301423</v>
      </c>
    </row>
    <row r="23" spans="2:55" x14ac:dyDescent="0.8">
      <c r="B23" s="1685"/>
      <c r="C23" s="1687"/>
      <c r="D23" s="1377">
        <v>-0.1</v>
      </c>
      <c r="E23" s="1354">
        <v>10.42318597085012</v>
      </c>
      <c r="F23" s="1354">
        <v>10.454550236449805</v>
      </c>
      <c r="G23" s="1354">
        <v>10.4692863524721</v>
      </c>
      <c r="H23" s="1354">
        <v>10.484240310928111</v>
      </c>
      <c r="I23" s="1354">
        <v>10.499415939535387</v>
      </c>
      <c r="J23" s="1529">
        <v>10.514817146630419</v>
      </c>
      <c r="K23" s="1354">
        <v>10.530447923341901</v>
      </c>
      <c r="L23" s="1354">
        <v>10.546312345833398</v>
      </c>
      <c r="M23" s="1354">
        <v>10.562414577617597</v>
      </c>
      <c r="N23" s="1354">
        <v>10.578758871944855</v>
      </c>
      <c r="O23" s="1365">
        <v>10.59534957426875</v>
      </c>
      <c r="P23" s="1685"/>
      <c r="Q23" s="1691"/>
      <c r="R23" s="1377">
        <v>-0.1</v>
      </c>
      <c r="S23" s="1354">
        <v>10.250296085245168</v>
      </c>
      <c r="T23" s="1354">
        <v>10.282456610105445</v>
      </c>
      <c r="U23" s="1354">
        <v>10.315201406896154</v>
      </c>
      <c r="V23" s="1354">
        <v>10.348543034897062</v>
      </c>
      <c r="W23" s="1354">
        <v>10.382494333309204</v>
      </c>
      <c r="X23" s="1529">
        <v>10.417068429064994</v>
      </c>
      <c r="Y23" s="1354">
        <v>10.452278744903495</v>
      </c>
      <c r="Z23" s="1354">
        <v>10.488139007719543</v>
      </c>
      <c r="AA23" s="1354">
        <v>10.524663257196512</v>
      </c>
      <c r="AB23" s="1354">
        <v>10.561865854732361</v>
      </c>
      <c r="AC23" s="1365">
        <v>10.59976149266933</v>
      </c>
      <c r="AF23" s="1679" t="s">
        <v>712</v>
      </c>
      <c r="AG23" s="1680"/>
      <c r="AH23" s="1437">
        <f t="shared" si="14"/>
        <v>3.953753770746659E-2</v>
      </c>
      <c r="AI23" s="1426">
        <v>13.691492243619447</v>
      </c>
      <c r="AJ23" s="1426">
        <v>13.687785809924915</v>
      </c>
      <c r="AK23" s="1426">
        <v>13.684079376230384</v>
      </c>
      <c r="AL23" s="1426">
        <v>13.68037294253585</v>
      </c>
      <c r="AM23" s="1426">
        <v>13.676666508841322</v>
      </c>
      <c r="AN23" s="1426">
        <v>13.672960075146788</v>
      </c>
      <c r="AO23" s="1426">
        <v>13.66925364145226</v>
      </c>
      <c r="AP23" s="1426">
        <v>13.665547207757726</v>
      </c>
      <c r="AQ23" s="1426">
        <v>13.661840774063196</v>
      </c>
      <c r="AR23" s="1426">
        <v>13.658134340368663</v>
      </c>
      <c r="AS23" s="1533">
        <v>13.654427906674131</v>
      </c>
      <c r="AT23" s="1426">
        <v>13.650721472979601</v>
      </c>
      <c r="AU23" s="1426">
        <v>13.647015039285069</v>
      </c>
      <c r="AV23" s="1426">
        <v>13.643308605590539</v>
      </c>
      <c r="AW23" s="1426">
        <v>13.639602171896007</v>
      </c>
      <c r="AX23" s="1426">
        <v>13.635895738201476</v>
      </c>
      <c r="AY23" s="1426">
        <v>13.632189304506944</v>
      </c>
      <c r="AZ23" s="1426">
        <v>13.628482870812414</v>
      </c>
      <c r="BA23" s="1426">
        <v>13.624776437117882</v>
      </c>
      <c r="BB23" s="1426">
        <v>13.621070003423352</v>
      </c>
      <c r="BC23" s="1431">
        <v>13.61736356972882</v>
      </c>
    </row>
    <row r="24" spans="2:55" x14ac:dyDescent="0.8">
      <c r="B24" s="1685"/>
      <c r="C24" s="1687"/>
      <c r="D24" s="1377">
        <v>-7.5000000000000011E-2</v>
      </c>
      <c r="E24" s="1354">
        <v>10.456313253023866</v>
      </c>
      <c r="F24" s="1354">
        <v>10.488070740953717</v>
      </c>
      <c r="G24" s="1354">
        <v>10.502986472297041</v>
      </c>
      <c r="H24" s="1354">
        <v>10.518122507207959</v>
      </c>
      <c r="I24" s="1354">
        <v>10.533482715950438</v>
      </c>
      <c r="J24" s="1529">
        <v>10.549071050361352</v>
      </c>
      <c r="K24" s="1354">
        <v>10.564891546050099</v>
      </c>
      <c r="L24" s="1354">
        <v>10.580948324668423</v>
      </c>
      <c r="M24" s="1354">
        <v>10.597245596252629</v>
      </c>
      <c r="N24" s="1354">
        <v>10.613787661641112</v>
      </c>
      <c r="O24" s="1365">
        <v>10.630578914969693</v>
      </c>
      <c r="P24" s="1685"/>
      <c r="Q24" s="1691"/>
      <c r="R24" s="1377">
        <v>-7.5000000000000011E-2</v>
      </c>
      <c r="S24" s="1354">
        <v>10.30504770238678</v>
      </c>
      <c r="T24" s="1354">
        <v>10.337817918395478</v>
      </c>
      <c r="U24" s="1354">
        <v>10.371183502964739</v>
      </c>
      <c r="V24" s="1354">
        <v>10.405157240363838</v>
      </c>
      <c r="W24" s="1354">
        <v>10.439752199911224</v>
      </c>
      <c r="X24" s="1529">
        <v>10.474981743936084</v>
      </c>
      <c r="Y24" s="1354">
        <v>10.510859536009436</v>
      </c>
      <c r="Z24" s="1354">
        <v>10.54739954945398</v>
      </c>
      <c r="AA24" s="1354">
        <v>10.584616076142321</v>
      </c>
      <c r="AB24" s="1354">
        <v>10.622523735593566</v>
      </c>
      <c r="AC24" s="1365">
        <v>10.661137484378816</v>
      </c>
      <c r="AF24" s="1679"/>
      <c r="AG24" s="1680"/>
      <c r="AH24" s="1437">
        <f t="shared" si="14"/>
        <v>4.4537537707466587E-2</v>
      </c>
      <c r="AI24" s="1426">
        <v>12.895056585553155</v>
      </c>
      <c r="AJ24" s="1426">
        <v>12.891401231158463</v>
      </c>
      <c r="AK24" s="1426">
        <v>12.887745876763772</v>
      </c>
      <c r="AL24" s="1426">
        <v>12.88409052236908</v>
      </c>
      <c r="AM24" s="1426">
        <v>12.880435167974388</v>
      </c>
      <c r="AN24" s="1426">
        <v>12.876779813579697</v>
      </c>
      <c r="AO24" s="1426">
        <v>12.873124459185009</v>
      </c>
      <c r="AP24" s="1426">
        <v>12.869469104790316</v>
      </c>
      <c r="AQ24" s="1426">
        <v>12.865813750395626</v>
      </c>
      <c r="AR24" s="1426">
        <v>12.862158396000934</v>
      </c>
      <c r="AS24" s="1533">
        <v>12.858503041606243</v>
      </c>
      <c r="AT24" s="1426">
        <v>12.854847687211551</v>
      </c>
      <c r="AU24" s="1426">
        <v>12.85119233281686</v>
      </c>
      <c r="AV24" s="1426">
        <v>12.847536978422168</v>
      </c>
      <c r="AW24" s="1426">
        <v>12.843881624027476</v>
      </c>
      <c r="AX24" s="1426">
        <v>12.840226269632785</v>
      </c>
      <c r="AY24" s="1426">
        <v>12.836570915238095</v>
      </c>
      <c r="AZ24" s="1426">
        <v>12.832915560843404</v>
      </c>
      <c r="BA24" s="1426">
        <v>12.829260206448714</v>
      </c>
      <c r="BB24" s="1426">
        <v>12.82560485205402</v>
      </c>
      <c r="BC24" s="1431">
        <v>12.821949497659331</v>
      </c>
    </row>
    <row r="25" spans="2:55" x14ac:dyDescent="0.8">
      <c r="B25" s="1685"/>
      <c r="C25" s="1687"/>
      <c r="D25" s="1377">
        <v>-0.05</v>
      </c>
      <c r="E25" s="1354">
        <v>10.489732100763913</v>
      </c>
      <c r="F25" s="1354">
        <v>10.521886325781846</v>
      </c>
      <c r="G25" s="1354">
        <v>10.536983501390448</v>
      </c>
      <c r="H25" s="1354">
        <v>10.552303464675168</v>
      </c>
      <c r="I25" s="1354">
        <v>10.567850128849363</v>
      </c>
      <c r="J25" s="1529">
        <v>10.583627489662494</v>
      </c>
      <c r="K25" s="1354">
        <v>10.599639627626328</v>
      </c>
      <c r="L25" s="1354">
        <v>10.615890710312145</v>
      </c>
      <c r="M25" s="1354">
        <v>10.632384994721322</v>
      </c>
      <c r="N25" s="1354">
        <v>10.649126829731857</v>
      </c>
      <c r="O25" s="1365">
        <v>10.666120658623859</v>
      </c>
      <c r="P25" s="1685"/>
      <c r="Q25" s="1691"/>
      <c r="R25" s="1377">
        <v>-0.05</v>
      </c>
      <c r="S25" s="1354">
        <v>10.360565311073101</v>
      </c>
      <c r="T25" s="1354">
        <v>10.393954834309653</v>
      </c>
      <c r="U25" s="1354">
        <v>10.427950992327224</v>
      </c>
      <c r="V25" s="1354">
        <v>10.462566797669643</v>
      </c>
      <c r="W25" s="1354">
        <v>10.497815553138516</v>
      </c>
      <c r="X25" s="1529">
        <v>10.53371085990824</v>
      </c>
      <c r="Y25" s="1354">
        <v>10.570266625915256</v>
      </c>
      <c r="Z25" s="1354">
        <v>10.607497074530741</v>
      </c>
      <c r="AA25" s="1354">
        <v>10.645416753526671</v>
      </c>
      <c r="AB25" s="1354">
        <v>10.684040544345375</v>
      </c>
      <c r="AC25" s="1365">
        <v>10.723383671683193</v>
      </c>
      <c r="AF25" s="1679"/>
      <c r="AG25" s="1680"/>
      <c r="AH25" s="1437">
        <f t="shared" si="14"/>
        <v>4.9537537707466585E-2</v>
      </c>
      <c r="AI25" s="1426">
        <v>12.216882728930596</v>
      </c>
      <c r="AJ25" s="1426">
        <v>12.213277454975279</v>
      </c>
      <c r="AK25" s="1426">
        <v>12.209672181019963</v>
      </c>
      <c r="AL25" s="1426">
        <v>12.206066907064645</v>
      </c>
      <c r="AM25" s="1426">
        <v>12.20246163310933</v>
      </c>
      <c r="AN25" s="1426">
        <v>12.198856359154012</v>
      </c>
      <c r="AO25" s="1426">
        <v>12.195251085198699</v>
      </c>
      <c r="AP25" s="1426">
        <v>12.191645811243381</v>
      </c>
      <c r="AQ25" s="1426">
        <v>12.188040537288066</v>
      </c>
      <c r="AR25" s="1426">
        <v>12.184435263332748</v>
      </c>
      <c r="AS25" s="1533">
        <v>12.180829989377433</v>
      </c>
      <c r="AT25" s="1426">
        <v>12.177224715422115</v>
      </c>
      <c r="AU25" s="1426">
        <v>12.1736194414668</v>
      </c>
      <c r="AV25" s="1426">
        <v>12.170014167511482</v>
      </c>
      <c r="AW25" s="1426">
        <v>12.166408893556168</v>
      </c>
      <c r="AX25" s="1426">
        <v>12.162803619600851</v>
      </c>
      <c r="AY25" s="1426">
        <v>12.159198345645535</v>
      </c>
      <c r="AZ25" s="1426">
        <v>12.155593071690218</v>
      </c>
      <c r="BA25" s="1426">
        <v>12.151987797734902</v>
      </c>
      <c r="BB25" s="1426">
        <v>12.148382523779585</v>
      </c>
      <c r="BC25" s="1431">
        <v>12.144777249824267</v>
      </c>
    </row>
    <row r="26" spans="2:55" x14ac:dyDescent="0.8">
      <c r="B26" s="1685"/>
      <c r="C26" s="1687"/>
      <c r="D26" s="1377">
        <v>-2.5000000000000001E-2</v>
      </c>
      <c r="E26" s="1354">
        <v>10.523444796218284</v>
      </c>
      <c r="F26" s="1354">
        <v>10.555999297730962</v>
      </c>
      <c r="G26" s="1354">
        <v>10.571279761154511</v>
      </c>
      <c r="H26" s="1354">
        <v>10.586785519510677</v>
      </c>
      <c r="I26" s="1354">
        <v>10.602520529368258</v>
      </c>
      <c r="J26" s="1529">
        <v>10.618488830804626</v>
      </c>
      <c r="K26" s="1354">
        <v>10.634694549658848</v>
      </c>
      <c r="L26" s="1354">
        <v>10.651141899856434</v>
      </c>
      <c r="M26" s="1354">
        <v>10.667835185808499</v>
      </c>
      <c r="N26" s="1354">
        <v>10.684778804887703</v>
      </c>
      <c r="O26" s="1365">
        <v>10.701977249984033</v>
      </c>
      <c r="P26" s="1685"/>
      <c r="Q26" s="1691"/>
      <c r="R26" s="1377">
        <v>-2.5000000000000001E-2</v>
      </c>
      <c r="S26" s="1354">
        <v>10.416858513494104</v>
      </c>
      <c r="T26" s="1354">
        <v>10.450877079050391</v>
      </c>
      <c r="U26" s="1354">
        <v>10.485513717147825</v>
      </c>
      <c r="V26" s="1354">
        <v>10.520781671929626</v>
      </c>
      <c r="W26" s="1354">
        <v>10.556694483086945</v>
      </c>
      <c r="X26" s="1529">
        <v>10.593265994129508</v>
      </c>
      <c r="Y26" s="1354">
        <v>10.630510360935224</v>
      </c>
      <c r="Z26" s="1354">
        <v>10.668442060587983</v>
      </c>
      <c r="AA26" s="1354">
        <v>10.707075900513898</v>
      </c>
      <c r="AB26" s="1354">
        <v>10.746427027926138</v>
      </c>
      <c r="AC26" s="1365">
        <v>10.786510939589309</v>
      </c>
      <c r="AF26" s="1679"/>
      <c r="AG26" s="1680"/>
      <c r="AH26" s="1437">
        <f t="shared" si="14"/>
        <v>5.4537537707466582E-2</v>
      </c>
      <c r="AI26" s="1426">
        <v>11.63402874471009</v>
      </c>
      <c r="AJ26" s="1426">
        <v>11.630472577228888</v>
      </c>
      <c r="AK26" s="1426">
        <v>11.626916409747686</v>
      </c>
      <c r="AL26" s="1426">
        <v>11.623360242266484</v>
      </c>
      <c r="AM26" s="1426">
        <v>11.619804074785284</v>
      </c>
      <c r="AN26" s="1426">
        <v>11.616247907304082</v>
      </c>
      <c r="AO26" s="1426">
        <v>11.61269173982288</v>
      </c>
      <c r="AP26" s="1426">
        <v>11.609135572341678</v>
      </c>
      <c r="AQ26" s="1426">
        <v>11.605579404860478</v>
      </c>
      <c r="AR26" s="1426">
        <v>11.602023237379276</v>
      </c>
      <c r="AS26" s="1533">
        <v>11.598467069898074</v>
      </c>
      <c r="AT26" s="1426">
        <v>11.594910902416872</v>
      </c>
      <c r="AU26" s="1426">
        <v>11.591354734935672</v>
      </c>
      <c r="AV26" s="1426">
        <v>11.58779856745447</v>
      </c>
      <c r="AW26" s="1426">
        <v>11.584242399973268</v>
      </c>
      <c r="AX26" s="1426">
        <v>11.580686232492067</v>
      </c>
      <c r="AY26" s="1426">
        <v>11.577130065010868</v>
      </c>
      <c r="AZ26" s="1426">
        <v>11.573573897529666</v>
      </c>
      <c r="BA26" s="1426">
        <v>11.570017730048464</v>
      </c>
      <c r="BB26" s="1426">
        <v>11.566461562567262</v>
      </c>
      <c r="BC26" s="1431">
        <v>11.562905395086062</v>
      </c>
    </row>
    <row r="27" spans="2:55" x14ac:dyDescent="0.8">
      <c r="B27" s="1685"/>
      <c r="C27" s="1687"/>
      <c r="D27" s="1528">
        <v>0</v>
      </c>
      <c r="E27" s="1529">
        <v>10.55745363429126</v>
      </c>
      <c r="F27" s="1529">
        <v>10.590411976486774</v>
      </c>
      <c r="G27" s="1529">
        <v>10.605877585961798</v>
      </c>
      <c r="H27" s="1529">
        <v>10.621571020948222</v>
      </c>
      <c r="I27" s="1529">
        <v>10.637496281779445</v>
      </c>
      <c r="J27" s="1356">
        <v>10.653657453279301</v>
      </c>
      <c r="K27" s="1529">
        <v>10.670058707042266</v>
      </c>
      <c r="L27" s="1529">
        <v>10.686704303786083</v>
      </c>
      <c r="M27" s="1529">
        <v>10.703598595779672</v>
      </c>
      <c r="N27" s="1529">
        <v>10.72074602934878</v>
      </c>
      <c r="O27" s="1531">
        <v>10.738151147462368</v>
      </c>
      <c r="P27" s="1685"/>
      <c r="Q27" s="1691"/>
      <c r="R27" s="1528">
        <v>0</v>
      </c>
      <c r="S27" s="1529">
        <v>10.473936996031229</v>
      </c>
      <c r="T27" s="1529">
        <v>10.508594459044556</v>
      </c>
      <c r="U27" s="1529">
        <v>10.543881605865295</v>
      </c>
      <c r="V27" s="1529">
        <v>10.579811915601045</v>
      </c>
      <c r="W27" s="1529">
        <v>10.616399168279974</v>
      </c>
      <c r="X27" s="1356">
        <v>10.653657453279301</v>
      </c>
      <c r="Y27" s="1529">
        <v>10.691601178037423</v>
      </c>
      <c r="Z27" s="1529">
        <v>10.730245077059132</v>
      </c>
      <c r="AA27" s="1529">
        <v>10.769604221224428</v>
      </c>
      <c r="AB27" s="1529">
        <v>10.809694027410979</v>
      </c>
      <c r="AC27" s="1531">
        <v>10.85053026844172</v>
      </c>
      <c r="AF27" s="1679"/>
      <c r="AG27" s="1680"/>
      <c r="AH27" s="1437">
        <f>AH28-0.005</f>
        <v>5.953753770746658E-2</v>
      </c>
      <c r="AI27" s="1426">
        <v>11.129007524423125</v>
      </c>
      <c r="AJ27" s="1426">
        <v>11.125499513598477</v>
      </c>
      <c r="AK27" s="1426">
        <v>11.121991502773831</v>
      </c>
      <c r="AL27" s="1426">
        <v>11.118483491949181</v>
      </c>
      <c r="AM27" s="1426">
        <v>11.114975481124535</v>
      </c>
      <c r="AN27" s="1426">
        <v>11.111467470299889</v>
      </c>
      <c r="AO27" s="1426">
        <v>11.107959459475241</v>
      </c>
      <c r="AP27" s="1426">
        <v>11.104451448650593</v>
      </c>
      <c r="AQ27" s="1426">
        <v>11.100943437825945</v>
      </c>
      <c r="AR27" s="1426">
        <v>11.097435427001297</v>
      </c>
      <c r="AS27" s="1533">
        <v>11.093927416176649</v>
      </c>
      <c r="AT27" s="1426">
        <v>11.090419405352002</v>
      </c>
      <c r="AU27" s="1426">
        <v>11.086911394527354</v>
      </c>
      <c r="AV27" s="1426">
        <v>11.083403383702706</v>
      </c>
      <c r="AW27" s="1426">
        <v>11.079895372878058</v>
      </c>
      <c r="AX27" s="1426">
        <v>11.07638736205341</v>
      </c>
      <c r="AY27" s="1426">
        <v>11.072879351228762</v>
      </c>
      <c r="AZ27" s="1426">
        <v>11.069371340404114</v>
      </c>
      <c r="BA27" s="1426">
        <v>11.065863329579466</v>
      </c>
      <c r="BB27" s="1426">
        <v>11.062355318754818</v>
      </c>
      <c r="BC27" s="1431">
        <v>11.05884730793017</v>
      </c>
    </row>
    <row r="28" spans="2:55" x14ac:dyDescent="0.8">
      <c r="B28" s="1685"/>
      <c r="C28" s="1687"/>
      <c r="D28" s="1377">
        <v>2.5000000000000001E-2</v>
      </c>
      <c r="E28" s="1354">
        <v>10.591760922673716</v>
      </c>
      <c r="F28" s="1354">
        <v>10.625126694654927</v>
      </c>
      <c r="G28" s="1354">
        <v>10.640779323186505</v>
      </c>
      <c r="H28" s="1354">
        <v>10.656662331305894</v>
      </c>
      <c r="I28" s="1354">
        <v>10.672779763523362</v>
      </c>
      <c r="J28" s="1529">
        <v>10.689135749830946</v>
      </c>
      <c r="K28" s="1354">
        <v>10.705734508009892</v>
      </c>
      <c r="L28" s="1354">
        <v>10.722580346011483</v>
      </c>
      <c r="M28" s="1354">
        <v>10.739677664413904</v>
      </c>
      <c r="N28" s="1354">
        <v>10.757030958957872</v>
      </c>
      <c r="O28" s="1365">
        <v>10.774644823163861</v>
      </c>
      <c r="P28" s="1685"/>
      <c r="Q28" s="1691"/>
      <c r="R28" s="1377">
        <v>2.5000000000000001E-2</v>
      </c>
      <c r="S28" s="1354">
        <v>10.531810529597077</v>
      </c>
      <c r="T28" s="1354">
        <v>10.567116866288899</v>
      </c>
      <c r="U28" s="1354">
        <v>10.603064673544292</v>
      </c>
      <c r="V28" s="1354">
        <v>10.639667668840737</v>
      </c>
      <c r="W28" s="1354">
        <v>10.676939876032355</v>
      </c>
      <c r="X28" s="1529">
        <v>10.714895633938392</v>
      </c>
      <c r="Y28" s="1354">
        <v>10.753549605220131</v>
      </c>
      <c r="Z28" s="1354">
        <v>10.792916785555905</v>
      </c>
      <c r="AA28" s="1354">
        <v>10.833012513124634</v>
      </c>
      <c r="AB28" s="1354">
        <v>10.873852478408567</v>
      </c>
      <c r="AC28" s="1365">
        <v>10.915452734326438</v>
      </c>
      <c r="AF28" s="1679"/>
      <c r="AG28" s="1680"/>
      <c r="AH28" s="1532">
        <v>6.4537537707466577E-2</v>
      </c>
      <c r="AI28" s="1533">
        <v>10.688265258872732</v>
      </c>
      <c r="AJ28" s="1533">
        <v>10.684804478313387</v>
      </c>
      <c r="AK28" s="1533">
        <v>10.681343697754045</v>
      </c>
      <c r="AL28" s="1533">
        <v>10.677882917194701</v>
      </c>
      <c r="AM28" s="1533">
        <v>10.674422136635359</v>
      </c>
      <c r="AN28" s="1533">
        <v>10.670961356076017</v>
      </c>
      <c r="AO28" s="1533">
        <v>10.667500575516673</v>
      </c>
      <c r="AP28" s="1533">
        <v>10.664039794957329</v>
      </c>
      <c r="AQ28" s="1533">
        <v>10.660579014397985</v>
      </c>
      <c r="AR28" s="1533">
        <v>10.657118233838643</v>
      </c>
      <c r="AS28" s="1441">
        <v>10.653657453279301</v>
      </c>
      <c r="AT28" s="1533">
        <v>10.650196672719956</v>
      </c>
      <c r="AU28" s="1533">
        <v>10.646735892160613</v>
      </c>
      <c r="AV28" s="1533">
        <v>10.64327511160127</v>
      </c>
      <c r="AW28" s="1533">
        <v>10.639814331041928</v>
      </c>
      <c r="AX28" s="1533">
        <v>10.636353550482584</v>
      </c>
      <c r="AY28" s="1533">
        <v>10.63289276992324</v>
      </c>
      <c r="AZ28" s="1533">
        <v>10.629431989363898</v>
      </c>
      <c r="BA28" s="1533">
        <v>10.625971208804554</v>
      </c>
      <c r="BB28" s="1533">
        <v>10.62251042824521</v>
      </c>
      <c r="BC28" s="1536">
        <v>10.619049647685868</v>
      </c>
    </row>
    <row r="29" spans="2:55" x14ac:dyDescent="0.8">
      <c r="B29" s="1685"/>
      <c r="C29" s="1687"/>
      <c r="D29" s="1377">
        <v>0.05</v>
      </c>
      <c r="E29" s="1354">
        <v>10.626368981873544</v>
      </c>
      <c r="F29" s="1354">
        <v>10.642604489925974</v>
      </c>
      <c r="G29" s="1354">
        <v>10.675987333235819</v>
      </c>
      <c r="H29" s="1354">
        <v>10.692061826017722</v>
      </c>
      <c r="I29" s="1354">
        <v>10.708373365240409</v>
      </c>
      <c r="J29" s="1529">
        <v>10.724926126489008</v>
      </c>
      <c r="K29" s="1354">
        <v>10.741724374166193</v>
      </c>
      <c r="L29" s="1354">
        <v>10.758772463901389</v>
      </c>
      <c r="M29" s="1354">
        <v>10.776074845036909</v>
      </c>
      <c r="N29" s="1354">
        <v>10.793636063193754</v>
      </c>
      <c r="O29" s="1365">
        <v>10.811460762920026</v>
      </c>
      <c r="P29" s="1685"/>
      <c r="Q29" s="1691"/>
      <c r="R29" s="1377">
        <v>0.05</v>
      </c>
      <c r="S29" s="1354">
        <v>10.590488969977471</v>
      </c>
      <c r="T29" s="1354">
        <v>10.626454278697945</v>
      </c>
      <c r="U29" s="1354">
        <v>10.663073022229213</v>
      </c>
      <c r="V29" s="1354">
        <v>10.70035915986503</v>
      </c>
      <c r="W29" s="1354">
        <v>10.738326962816219</v>
      </c>
      <c r="X29" s="1529">
        <v>10.776991022961417</v>
      </c>
      <c r="Y29" s="1354">
        <v>10.816366261890952</v>
      </c>
      <c r="Z29" s="1354">
        <v>10.856467940253991</v>
      </c>
      <c r="AA29" s="1354">
        <v>10.897311667419251</v>
      </c>
      <c r="AB29" s="1354">
        <v>10.938913411460392</v>
      </c>
      <c r="AC29" s="1365">
        <v>10.981289509477298</v>
      </c>
      <c r="AF29" s="1679"/>
      <c r="AG29" s="1680"/>
      <c r="AH29" s="1437">
        <f>AH28+0.005</f>
        <v>6.9537537707466582E-2</v>
      </c>
      <c r="AI29" s="1426">
        <v>10.301141774709716</v>
      </c>
      <c r="AJ29" s="1426">
        <v>10.297727320754438</v>
      </c>
      <c r="AK29" s="1426">
        <v>10.294312866799158</v>
      </c>
      <c r="AL29" s="1426">
        <v>10.290898412843879</v>
      </c>
      <c r="AM29" s="1426">
        <v>10.2874839588886</v>
      </c>
      <c r="AN29" s="1426">
        <v>10.284069504933322</v>
      </c>
      <c r="AO29" s="1426">
        <v>10.280655050978043</v>
      </c>
      <c r="AP29" s="1426">
        <v>10.277240597022763</v>
      </c>
      <c r="AQ29" s="1426">
        <v>10.273826143067483</v>
      </c>
      <c r="AR29" s="1426">
        <v>10.270411689112205</v>
      </c>
      <c r="AS29" s="1533">
        <v>10.266997235156927</v>
      </c>
      <c r="AT29" s="1426">
        <v>10.263582781201647</v>
      </c>
      <c r="AU29" s="1426">
        <v>10.260168327246367</v>
      </c>
      <c r="AV29" s="1426">
        <v>10.256753873291087</v>
      </c>
      <c r="AW29" s="1426">
        <v>10.253339419335811</v>
      </c>
      <c r="AX29" s="1426">
        <v>10.249924965380531</v>
      </c>
      <c r="AY29" s="1426">
        <v>10.246510511425251</v>
      </c>
      <c r="AZ29" s="1426">
        <v>10.243096057469971</v>
      </c>
      <c r="BA29" s="1426">
        <v>10.239681603514693</v>
      </c>
      <c r="BB29" s="1426">
        <v>10.236267149559415</v>
      </c>
      <c r="BC29" s="1431">
        <v>10.232852695604135</v>
      </c>
    </row>
    <row r="30" spans="2:55" x14ac:dyDescent="0.8">
      <c r="B30" s="1685"/>
      <c r="C30" s="1687"/>
      <c r="D30" s="1377">
        <v>7.5000000000000011E-2</v>
      </c>
      <c r="E30" s="1354">
        <v>10.661280145246305</v>
      </c>
      <c r="F30" s="1354">
        <v>10.677709765904376</v>
      </c>
      <c r="G30" s="1354">
        <v>10.711503989581427</v>
      </c>
      <c r="H30" s="1354">
        <v>10.727771893665516</v>
      </c>
      <c r="I30" s="1354">
        <v>10.744279490803027</v>
      </c>
      <c r="J30" s="1529">
        <v>10.761031002600321</v>
      </c>
      <c r="K30" s="1354">
        <v>10.778030740519405</v>
      </c>
      <c r="L30" s="1354">
        <v>10.7952831083158</v>
      </c>
      <c r="M30" s="1354">
        <v>10.812792604554183</v>
      </c>
      <c r="N30" s="1354">
        <v>10.830563825204665</v>
      </c>
      <c r="O30" s="1365">
        <v>10.848601466322599</v>
      </c>
      <c r="P30" s="1685"/>
      <c r="Q30" s="1691"/>
      <c r="R30" s="1377">
        <v>7.5000000000000011E-2</v>
      </c>
      <c r="S30" s="1354">
        <v>10.649982258176008</v>
      </c>
      <c r="T30" s="1354">
        <v>10.686616760454399</v>
      </c>
      <c r="U30" s="1354">
        <v>10.723916841300586</v>
      </c>
      <c r="V30" s="1354">
        <v>10.761896705312253</v>
      </c>
      <c r="W30" s="1354">
        <v>10.80057087462991</v>
      </c>
      <c r="X30" s="1529">
        <v>10.839954197852036</v>
      </c>
      <c r="Y30" s="1354">
        <v>10.880061859248372</v>
      </c>
      <c r="Z30" s="1354">
        <v>10.920909388281347</v>
      </c>
      <c r="AA30" s="1354">
        <v>10.962512669446488</v>
      </c>
      <c r="AB30" s="1354">
        <v>11.004887952442857</v>
      </c>
      <c r="AC30" s="1365">
        <v>11.048051862685051</v>
      </c>
      <c r="AF30" s="1679"/>
      <c r="AG30" s="1680"/>
      <c r="AH30" s="1437">
        <f t="shared" ref="AH30:AH34" si="15">AH29+0.005</f>
        <v>7.4537537707466586E-2</v>
      </c>
      <c r="AI30" s="1426">
        <v>9.9591436226950734</v>
      </c>
      <c r="AJ30" s="1426">
        <v>9.9557746137404131</v>
      </c>
      <c r="AK30" s="1426">
        <v>9.9524056047857545</v>
      </c>
      <c r="AL30" s="1426">
        <v>9.9490365958310942</v>
      </c>
      <c r="AM30" s="1426">
        <v>9.9456675868764339</v>
      </c>
      <c r="AN30" s="1426">
        <v>9.9422985779217736</v>
      </c>
      <c r="AO30" s="1426">
        <v>9.9389295689671151</v>
      </c>
      <c r="AP30" s="1426">
        <v>9.9355605600124548</v>
      </c>
      <c r="AQ30" s="1426">
        <v>9.9321915510577945</v>
      </c>
      <c r="AR30" s="1426">
        <v>9.928822542103136</v>
      </c>
      <c r="AS30" s="1533">
        <v>9.9254535331484757</v>
      </c>
      <c r="AT30" s="1426">
        <v>9.9220845241938154</v>
      </c>
      <c r="AU30" s="1426">
        <v>9.9187155152391551</v>
      </c>
      <c r="AV30" s="1426">
        <v>9.9153465062844965</v>
      </c>
      <c r="AW30" s="1426">
        <v>9.9119774973298362</v>
      </c>
      <c r="AX30" s="1426">
        <v>9.9086084883751759</v>
      </c>
      <c r="AY30" s="1426">
        <v>9.9052394794205174</v>
      </c>
      <c r="AZ30" s="1426">
        <v>9.9018704704658571</v>
      </c>
      <c r="BA30" s="1426">
        <v>9.8985014615111968</v>
      </c>
      <c r="BB30" s="1426">
        <v>9.8951324525565365</v>
      </c>
      <c r="BC30" s="1431">
        <v>9.891763443601878</v>
      </c>
    </row>
    <row r="31" spans="2:55" x14ac:dyDescent="0.8">
      <c r="B31" s="1685"/>
      <c r="C31" s="1687"/>
      <c r="D31" s="1377">
        <v>0.1</v>
      </c>
      <c r="E31" s="1354">
        <v>10.696496759025958</v>
      </c>
      <c r="F31" s="1354">
        <v>10.713122425232369</v>
      </c>
      <c r="G31" s="1354">
        <v>10.747331678791227</v>
      </c>
      <c r="H31" s="1354">
        <v>10.763794936010829</v>
      </c>
      <c r="I31" s="1354">
        <v>10.780500557347972</v>
      </c>
      <c r="J31" s="1529">
        <v>10.797452810861632</v>
      </c>
      <c r="K31" s="1354">
        <v>10.814656055514343</v>
      </c>
      <c r="L31" s="1354">
        <v>10.832114743639041</v>
      </c>
      <c r="M31" s="1354">
        <v>10.849833423484423</v>
      </c>
      <c r="N31" s="1354">
        <v>10.867816741841992</v>
      </c>
      <c r="O31" s="1365">
        <v>10.886069446757526</v>
      </c>
      <c r="P31" s="1685"/>
      <c r="Q31" s="1691"/>
      <c r="R31" s="1377">
        <v>0.1</v>
      </c>
      <c r="S31" s="1354">
        <v>10.69248620807916</v>
      </c>
      <c r="T31" s="1354">
        <v>10.747614462362048</v>
      </c>
      <c r="U31" s="1354">
        <v>10.785606407833997</v>
      </c>
      <c r="V31" s="1354">
        <v>10.824290710607842</v>
      </c>
      <c r="W31" s="1354">
        <v>10.863682147369309</v>
      </c>
      <c r="X31" s="1529">
        <v>10.903795827140794</v>
      </c>
      <c r="Y31" s="1354">
        <v>10.944647200666234</v>
      </c>
      <c r="Z31" s="1354">
        <v>10.986252070109321</v>
      </c>
      <c r="AA31" s="1354">
        <v>11.028626599075924</v>
      </c>
      <c r="AB31" s="1354">
        <v>11.07178732297208</v>
      </c>
      <c r="AC31" s="1365">
        <v>11.115751159709296</v>
      </c>
      <c r="AF31" s="1679"/>
      <c r="AG31" s="1680"/>
      <c r="AH31" s="1437">
        <f t="shared" si="15"/>
        <v>7.9537537707466591E-2</v>
      </c>
      <c r="AI31" s="1426">
        <v>9.655425405251119</v>
      </c>
      <c r="AJ31" s="1426">
        <v>9.652100981102361</v>
      </c>
      <c r="AK31" s="1426">
        <v>9.648776556953603</v>
      </c>
      <c r="AL31" s="1426">
        <v>9.6454521328048433</v>
      </c>
      <c r="AM31" s="1426">
        <v>9.6421277086560835</v>
      </c>
      <c r="AN31" s="1426">
        <v>9.6388032845073237</v>
      </c>
      <c r="AO31" s="1426">
        <v>9.6354788603585675</v>
      </c>
      <c r="AP31" s="1426">
        <v>9.6321544362098077</v>
      </c>
      <c r="AQ31" s="1426">
        <v>9.6288300120610479</v>
      </c>
      <c r="AR31" s="1426">
        <v>9.6255055879122899</v>
      </c>
      <c r="AS31" s="1533">
        <v>9.6221811637635319</v>
      </c>
      <c r="AT31" s="1426">
        <v>9.6188567396147722</v>
      </c>
      <c r="AU31" s="1426">
        <v>9.6155323154660142</v>
      </c>
      <c r="AV31" s="1426">
        <v>9.6122078913172544</v>
      </c>
      <c r="AW31" s="1426">
        <v>9.6088834671684964</v>
      </c>
      <c r="AX31" s="1426">
        <v>9.6055590430197366</v>
      </c>
      <c r="AY31" s="1426">
        <v>9.6022346188709786</v>
      </c>
      <c r="AZ31" s="1426">
        <v>9.5989101947222188</v>
      </c>
      <c r="BA31" s="1426">
        <v>9.5955857705734626</v>
      </c>
      <c r="BB31" s="1426">
        <v>9.5922613464247029</v>
      </c>
      <c r="BC31" s="1431">
        <v>9.5889369222759449</v>
      </c>
    </row>
    <row r="32" spans="2:55" ht="16.75" thickBot="1" x14ac:dyDescent="0.95">
      <c r="B32" s="1686"/>
      <c r="C32" s="1688"/>
      <c r="D32" s="1379">
        <v>0.125</v>
      </c>
      <c r="E32" s="1367">
        <v>10.732021182355831</v>
      </c>
      <c r="F32" s="1367">
        <v>10.748844842109051</v>
      </c>
      <c r="G32" s="1367">
        <v>10.783472800561125</v>
      </c>
      <c r="H32" s="1367">
        <v>10.800133368027007</v>
      </c>
      <c r="I32" s="1367">
        <v>10.817038995308673</v>
      </c>
      <c r="J32" s="1530">
        <v>10.834193997352262</v>
      </c>
      <c r="K32" s="1367">
        <v>10.851602781065401</v>
      </c>
      <c r="L32" s="1367">
        <v>10.869269847813053</v>
      </c>
      <c r="M32" s="1367">
        <v>10.88719979599305</v>
      </c>
      <c r="N32" s="1367">
        <v>10.905397323694048</v>
      </c>
      <c r="O32" s="1369">
        <v>10.923867231439012</v>
      </c>
      <c r="P32" s="1686"/>
      <c r="Q32" s="1692"/>
      <c r="R32" s="1379">
        <v>0.125</v>
      </c>
      <c r="S32" s="1367">
        <v>10.75328173293944</v>
      </c>
      <c r="T32" s="1367">
        <v>10.809457622201354</v>
      </c>
      <c r="U32" s="1367">
        <v>10.848152086961704</v>
      </c>
      <c r="V32" s="1367">
        <v>10.88755167033209</v>
      </c>
      <c r="W32" s="1367">
        <v>10.927671407201952</v>
      </c>
      <c r="X32" s="1530">
        <v>10.968526670765568</v>
      </c>
      <c r="Y32" s="1367">
        <v>11.010133182080791</v>
      </c>
      <c r="Z32" s="1367">
        <v>11.052507019946439</v>
      </c>
      <c r="AA32" s="1367">
        <v>11.095664631109173</v>
      </c>
      <c r="AB32" s="1367">
        <v>11.139622840811549</v>
      </c>
      <c r="AC32" s="1369">
        <v>11.184398863693207</v>
      </c>
      <c r="AF32" s="1679"/>
      <c r="AG32" s="1680"/>
      <c r="AH32" s="1437">
        <f t="shared" si="15"/>
        <v>8.4537537707466595E-2</v>
      </c>
      <c r="AI32" s="1426">
        <v>9.3844129307833803</v>
      </c>
      <c r="AJ32" s="1426">
        <v>9.3811322520276974</v>
      </c>
      <c r="AK32" s="1426">
        <v>9.3778515732720162</v>
      </c>
      <c r="AL32" s="1426">
        <v>9.3745708945163333</v>
      </c>
      <c r="AM32" s="1426">
        <v>9.3712902157606539</v>
      </c>
      <c r="AN32" s="1426">
        <v>9.368009537004971</v>
      </c>
      <c r="AO32" s="1426">
        <v>9.3647288582492898</v>
      </c>
      <c r="AP32" s="1426">
        <v>9.3614481794936086</v>
      </c>
      <c r="AQ32" s="1426">
        <v>9.3581675007379257</v>
      </c>
      <c r="AR32" s="1426">
        <v>9.3548868219822445</v>
      </c>
      <c r="AS32" s="1533">
        <v>9.3516061432265634</v>
      </c>
      <c r="AT32" s="1426">
        <v>9.3483254644708804</v>
      </c>
      <c r="AU32" s="1426">
        <v>9.3450447857151993</v>
      </c>
      <c r="AV32" s="1426">
        <v>9.3417641069595163</v>
      </c>
      <c r="AW32" s="1426">
        <v>9.3384834282038351</v>
      </c>
      <c r="AX32" s="1426">
        <v>9.3352027494481522</v>
      </c>
      <c r="AY32" s="1426">
        <v>9.331922070692471</v>
      </c>
      <c r="AZ32" s="1426">
        <v>9.3286413919367899</v>
      </c>
      <c r="BA32" s="1426">
        <v>9.3253607131811087</v>
      </c>
      <c r="BB32" s="1426">
        <v>9.3220800344254275</v>
      </c>
      <c r="BC32" s="1431">
        <v>9.3187993556697446</v>
      </c>
    </row>
    <row r="33" spans="2:55" x14ac:dyDescent="0.8">
      <c r="B33" s="77"/>
      <c r="C33" s="77"/>
      <c r="D33" s="1370"/>
      <c r="E33" s="1371"/>
      <c r="F33" s="1371"/>
      <c r="G33" s="1371"/>
      <c r="H33" s="1371"/>
      <c r="I33" s="1371"/>
      <c r="J33" s="1371"/>
      <c r="K33" s="1371"/>
      <c r="L33" s="1371"/>
      <c r="M33" s="1371"/>
      <c r="N33" s="1371"/>
      <c r="O33" s="1371"/>
      <c r="AF33" s="1679"/>
      <c r="AG33" s="1680"/>
      <c r="AH33" s="1437">
        <f t="shared" si="15"/>
        <v>8.95375377074666E-2</v>
      </c>
      <c r="AI33" s="1426">
        <v>9.1415249364894571</v>
      </c>
      <c r="AJ33" s="1426">
        <v>9.138287183890462</v>
      </c>
      <c r="AK33" s="1426">
        <v>9.135049431291467</v>
      </c>
      <c r="AL33" s="1426">
        <v>9.1318116786924701</v>
      </c>
      <c r="AM33" s="1426">
        <v>9.1285739260934751</v>
      </c>
      <c r="AN33" s="1426">
        <v>9.1253361734944818</v>
      </c>
      <c r="AO33" s="1426">
        <v>9.1220984208954867</v>
      </c>
      <c r="AP33" s="1426">
        <v>9.1188606682964899</v>
      </c>
      <c r="AQ33" s="1426">
        <v>9.1156229156974948</v>
      </c>
      <c r="AR33" s="1426">
        <v>9.1123851630984998</v>
      </c>
      <c r="AS33" s="1533">
        <v>9.1091474104995047</v>
      </c>
      <c r="AT33" s="1426">
        <v>9.1059096579005079</v>
      </c>
      <c r="AU33" s="1426">
        <v>9.1026719053015146</v>
      </c>
      <c r="AV33" s="1426">
        <v>9.0994341527025195</v>
      </c>
      <c r="AW33" s="1426">
        <v>9.0961964001035227</v>
      </c>
      <c r="AX33" s="1426">
        <v>9.0929586475045276</v>
      </c>
      <c r="AY33" s="1426">
        <v>9.0897208949055344</v>
      </c>
      <c r="AZ33" s="1426">
        <v>9.0864831423065375</v>
      </c>
      <c r="BA33" s="1426">
        <v>9.0832453897075425</v>
      </c>
      <c r="BB33" s="1426">
        <v>9.0800076371085456</v>
      </c>
      <c r="BC33" s="1431">
        <v>9.0767698845095524</v>
      </c>
    </row>
    <row r="34" spans="2:55" ht="16.75" thickBot="1" x14ac:dyDescent="0.95">
      <c r="B34" s="77"/>
      <c r="C34" s="77"/>
      <c r="D34" s="1370"/>
      <c r="E34" s="1371"/>
      <c r="F34" s="1371"/>
      <c r="G34" s="1371"/>
      <c r="H34" s="1371"/>
      <c r="I34" s="1371"/>
      <c r="J34" s="1371"/>
      <c r="K34" s="1371"/>
      <c r="L34" s="1371"/>
      <c r="M34" s="1371"/>
      <c r="N34" s="1371"/>
      <c r="O34" s="1371"/>
      <c r="AF34" s="1681"/>
      <c r="AG34" s="1682"/>
      <c r="AH34" s="1438">
        <f t="shared" si="15"/>
        <v>9.4537537707466604E-2</v>
      </c>
      <c r="AI34" s="1433">
        <v>8.9229645723634192</v>
      </c>
      <c r="AJ34" s="1433">
        <v>8.9197689462762355</v>
      </c>
      <c r="AK34" s="1433">
        <v>8.9165733201890518</v>
      </c>
      <c r="AL34" s="1433">
        <v>8.9133776941018645</v>
      </c>
      <c r="AM34" s="1433">
        <v>8.9101820680146808</v>
      </c>
      <c r="AN34" s="1433">
        <v>8.9069864419274971</v>
      </c>
      <c r="AO34" s="1433">
        <v>8.9037908158403134</v>
      </c>
      <c r="AP34" s="1433">
        <v>8.9005951897531261</v>
      </c>
      <c r="AQ34" s="1433">
        <v>8.8973995636659424</v>
      </c>
      <c r="AR34" s="1433">
        <v>8.8942039375787587</v>
      </c>
      <c r="AS34" s="1535">
        <v>8.891008311491575</v>
      </c>
      <c r="AT34" s="1433">
        <v>8.8878126854043877</v>
      </c>
      <c r="AU34" s="1433">
        <v>8.884617059317204</v>
      </c>
      <c r="AV34" s="1433">
        <v>8.8814214332300185</v>
      </c>
      <c r="AW34" s="1433">
        <v>8.878225807142833</v>
      </c>
      <c r="AX34" s="1433">
        <v>8.8750301810556493</v>
      </c>
      <c r="AY34" s="1433">
        <v>8.8718345549684656</v>
      </c>
      <c r="AZ34" s="1433">
        <v>8.8686389288812819</v>
      </c>
      <c r="BA34" s="1433">
        <v>8.8654433027940982</v>
      </c>
      <c r="BB34" s="1433">
        <v>8.8622476767069109</v>
      </c>
      <c r="BC34" s="1434">
        <v>8.8590520506197272</v>
      </c>
    </row>
    <row r="35" spans="2:55" x14ac:dyDescent="0.8">
      <c r="B35" s="36" t="s">
        <v>707</v>
      </c>
      <c r="C35" s="1380"/>
      <c r="D35" s="1381"/>
      <c r="E35" s="21"/>
      <c r="F35" s="21"/>
      <c r="G35" s="21"/>
      <c r="H35" s="21"/>
      <c r="I35" s="21"/>
      <c r="J35" s="21"/>
      <c r="K35" s="21"/>
      <c r="L35" s="21"/>
      <c r="M35" s="21"/>
      <c r="N35" s="21"/>
      <c r="O35" s="171"/>
      <c r="P35" s="36" t="s">
        <v>710</v>
      </c>
      <c r="Q35" s="21"/>
      <c r="R35" s="21"/>
      <c r="S35" s="21"/>
      <c r="T35" s="21"/>
      <c r="U35" s="21"/>
      <c r="V35" s="21"/>
      <c r="W35" s="21"/>
      <c r="X35" s="21"/>
      <c r="Y35" s="21"/>
      <c r="Z35" s="21"/>
      <c r="AA35" s="21"/>
      <c r="AB35" s="21"/>
      <c r="AC35" s="171"/>
      <c r="AF35" s="1435" t="s">
        <v>715</v>
      </c>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7"/>
    </row>
    <row r="36" spans="2:55" x14ac:dyDescent="0.8">
      <c r="B36" s="366"/>
      <c r="C36" s="156"/>
      <c r="D36" s="156"/>
      <c r="E36" s="1717" t="s">
        <v>693</v>
      </c>
      <c r="F36" s="1717"/>
      <c r="G36" s="1717"/>
      <c r="H36" s="1717"/>
      <c r="I36" s="1717"/>
      <c r="J36" s="1717"/>
      <c r="K36" s="1717"/>
      <c r="L36" s="1717"/>
      <c r="M36" s="1717"/>
      <c r="N36" s="1717"/>
      <c r="O36" s="1718"/>
      <c r="P36" s="366"/>
      <c r="Q36" s="156"/>
      <c r="R36" s="156"/>
      <c r="S36" s="1644" t="s">
        <v>693</v>
      </c>
      <c r="T36" s="1644"/>
      <c r="U36" s="1644"/>
      <c r="V36" s="1644"/>
      <c r="W36" s="1644"/>
      <c r="X36" s="1644"/>
      <c r="Y36" s="1644"/>
      <c r="Z36" s="1644"/>
      <c r="AA36" s="1644"/>
      <c r="AB36" s="1644"/>
      <c r="AC36" s="1645"/>
      <c r="AF36" s="1429"/>
      <c r="AG36" s="1425"/>
      <c r="AH36" s="1683" t="s">
        <v>742</v>
      </c>
      <c r="AI36" s="1683"/>
      <c r="AJ36" s="1683"/>
      <c r="AK36" s="1683"/>
      <c r="AL36" s="1683"/>
      <c r="AM36" s="1683"/>
      <c r="AN36" s="1683"/>
      <c r="AO36" s="1683"/>
      <c r="AP36" s="1683"/>
      <c r="AQ36" s="1683"/>
      <c r="AR36" s="1683"/>
      <c r="AS36" s="1683"/>
      <c r="AT36" s="1683"/>
      <c r="AU36" s="1683"/>
      <c r="AV36" s="1683"/>
      <c r="AW36" s="1683"/>
      <c r="AX36" s="1683"/>
      <c r="AY36" s="1683"/>
      <c r="AZ36" s="1683"/>
      <c r="BA36" s="1683"/>
      <c r="BB36" s="1683"/>
      <c r="BC36" s="1684"/>
    </row>
    <row r="37" spans="2:55" x14ac:dyDescent="0.8">
      <c r="B37" s="22"/>
      <c r="C37" s="185"/>
      <c r="D37" s="156"/>
      <c r="E37" s="1689" t="s">
        <v>696</v>
      </c>
      <c r="F37" s="1689"/>
      <c r="G37" s="1689"/>
      <c r="H37" s="1689"/>
      <c r="I37" s="1689"/>
      <c r="J37" s="1689"/>
      <c r="K37" s="1689"/>
      <c r="L37" s="1689"/>
      <c r="M37" s="1689"/>
      <c r="N37" s="1689"/>
      <c r="O37" s="1690"/>
      <c r="P37" s="22"/>
      <c r="Q37" s="185"/>
      <c r="R37" s="156"/>
      <c r="S37" s="1695" t="s">
        <v>702</v>
      </c>
      <c r="T37" s="1695"/>
      <c r="U37" s="1695"/>
      <c r="V37" s="1695"/>
      <c r="W37" s="1695"/>
      <c r="X37" s="1695"/>
      <c r="Y37" s="1695"/>
      <c r="Z37" s="1695"/>
      <c r="AA37" s="1695"/>
      <c r="AB37" s="1695"/>
      <c r="AC37" s="1696"/>
      <c r="AF37" s="1429"/>
      <c r="AG37" s="1425"/>
      <c r="AH37" s="1677" t="s">
        <v>713</v>
      </c>
      <c r="AI37" s="1677"/>
      <c r="AJ37" s="1677"/>
      <c r="AK37" s="1677"/>
      <c r="AL37" s="1677"/>
      <c r="AM37" s="1677"/>
      <c r="AN37" s="1677"/>
      <c r="AO37" s="1677"/>
      <c r="AP37" s="1677"/>
      <c r="AQ37" s="1677"/>
      <c r="AR37" s="1677"/>
      <c r="AS37" s="1677"/>
      <c r="AT37" s="1677"/>
      <c r="AU37" s="1677"/>
      <c r="AV37" s="1677"/>
      <c r="AW37" s="1677"/>
      <c r="AX37" s="1677"/>
      <c r="AY37" s="1677"/>
      <c r="AZ37" s="1677"/>
      <c r="BA37" s="1677"/>
      <c r="BB37" s="1677"/>
      <c r="BC37" s="1678"/>
    </row>
    <row r="38" spans="2:55" x14ac:dyDescent="0.8">
      <c r="B38" s="22"/>
      <c r="C38" s="131"/>
      <c r="D38" s="1376">
        <v>10.653657453279301</v>
      </c>
      <c r="E38" s="1377">
        <v>-0.125</v>
      </c>
      <c r="F38" s="1377">
        <v>-0.1</v>
      </c>
      <c r="G38" s="1377">
        <v>-7.5000000000000011E-2</v>
      </c>
      <c r="H38" s="1377">
        <v>-0.05</v>
      </c>
      <c r="I38" s="1377">
        <v>-2.5000000000000001E-2</v>
      </c>
      <c r="J38" s="1528">
        <v>0</v>
      </c>
      <c r="K38" s="1377">
        <v>2.5000000000000001E-2</v>
      </c>
      <c r="L38" s="1377">
        <v>0.05</v>
      </c>
      <c r="M38" s="1377">
        <v>7.5000000000000011E-2</v>
      </c>
      <c r="N38" s="1377">
        <v>0.1</v>
      </c>
      <c r="O38" s="1378">
        <v>0.125</v>
      </c>
      <c r="P38" s="22"/>
      <c r="Q38" s="131"/>
      <c r="R38" s="1376">
        <f>'APV Valuation'!$B$36</f>
        <v>10.653657453279301</v>
      </c>
      <c r="S38" s="1377">
        <f t="shared" ref="S38:V38" si="16">T38-2.5%</f>
        <v>-0.125</v>
      </c>
      <c r="T38" s="1377">
        <f t="shared" si="16"/>
        <v>-0.1</v>
      </c>
      <c r="U38" s="1377">
        <f t="shared" si="16"/>
        <v>-7.5000000000000011E-2</v>
      </c>
      <c r="V38" s="1377">
        <f t="shared" si="16"/>
        <v>-0.05</v>
      </c>
      <c r="W38" s="1377">
        <f>X38-2.5%</f>
        <v>-2.5000000000000001E-2</v>
      </c>
      <c r="X38" s="1528">
        <v>0</v>
      </c>
      <c r="Y38" s="1377">
        <f>X38+2.5%</f>
        <v>2.5000000000000001E-2</v>
      </c>
      <c r="Z38" s="1377">
        <f t="shared" ref="Z38:AC38" si="17">Y38+2.5%</f>
        <v>0.05</v>
      </c>
      <c r="AA38" s="1377">
        <f t="shared" si="17"/>
        <v>7.5000000000000011E-2</v>
      </c>
      <c r="AB38" s="1377">
        <f t="shared" si="17"/>
        <v>0.1</v>
      </c>
      <c r="AC38" s="1378">
        <f t="shared" si="17"/>
        <v>0.125</v>
      </c>
      <c r="AF38" s="1430"/>
      <c r="AG38" s="1034"/>
      <c r="AH38" s="1436">
        <f>'APV Valuation'!B36</f>
        <v>10.653657453279301</v>
      </c>
      <c r="AI38" s="1439">
        <f t="shared" ref="AI38:AQ38" si="18">AJ38-0.005</f>
        <v>0.35</v>
      </c>
      <c r="AJ38" s="1439">
        <f t="shared" si="18"/>
        <v>0.35499999999999998</v>
      </c>
      <c r="AK38" s="1439">
        <f t="shared" si="18"/>
        <v>0.36</v>
      </c>
      <c r="AL38" s="1439">
        <f t="shared" si="18"/>
        <v>0.36499999999999999</v>
      </c>
      <c r="AM38" s="1439">
        <f t="shared" si="18"/>
        <v>0.37</v>
      </c>
      <c r="AN38" s="1439">
        <f t="shared" si="18"/>
        <v>0.375</v>
      </c>
      <c r="AO38" s="1439">
        <f t="shared" si="18"/>
        <v>0.38</v>
      </c>
      <c r="AP38" s="1439">
        <f t="shared" si="18"/>
        <v>0.38500000000000001</v>
      </c>
      <c r="AQ38" s="1439">
        <f t="shared" si="18"/>
        <v>0.39</v>
      </c>
      <c r="AR38" s="1439">
        <f>AS38-0.005</f>
        <v>0.39500000000000002</v>
      </c>
      <c r="AS38" s="1534">
        <v>0.4</v>
      </c>
      <c r="AT38" s="1439">
        <f>AS38+0.005</f>
        <v>0.40500000000000003</v>
      </c>
      <c r="AU38" s="1439">
        <f t="shared" ref="AU38:BC38" si="19">AT38+0.005</f>
        <v>0.41000000000000003</v>
      </c>
      <c r="AV38" s="1439">
        <f t="shared" si="19"/>
        <v>0.41500000000000004</v>
      </c>
      <c r="AW38" s="1439">
        <f t="shared" si="19"/>
        <v>0.42000000000000004</v>
      </c>
      <c r="AX38" s="1439">
        <f t="shared" si="19"/>
        <v>0.42500000000000004</v>
      </c>
      <c r="AY38" s="1439">
        <f t="shared" si="19"/>
        <v>0.43000000000000005</v>
      </c>
      <c r="AZ38" s="1439">
        <f t="shared" si="19"/>
        <v>0.43500000000000005</v>
      </c>
      <c r="BA38" s="1439">
        <f t="shared" si="19"/>
        <v>0.44000000000000006</v>
      </c>
      <c r="BB38" s="1439">
        <f t="shared" si="19"/>
        <v>0.44500000000000006</v>
      </c>
      <c r="BC38" s="1440">
        <f t="shared" si="19"/>
        <v>0.45000000000000007</v>
      </c>
    </row>
    <row r="39" spans="2:55" x14ac:dyDescent="0.8">
      <c r="B39" s="1685" t="s">
        <v>695</v>
      </c>
      <c r="C39" s="1687" t="s">
        <v>696</v>
      </c>
      <c r="D39" s="1377">
        <v>-0.125</v>
      </c>
      <c r="E39" s="1354">
        <v>10.528114777030778</v>
      </c>
      <c r="F39" s="1354">
        <v>10.535493351663748</v>
      </c>
      <c r="G39" s="1354">
        <v>10.542943128455759</v>
      </c>
      <c r="H39" s="1354">
        <v>10.550464993385328</v>
      </c>
      <c r="I39" s="1354">
        <v>10.558059846448737</v>
      </c>
      <c r="J39" s="1529">
        <v>10.565728601938369</v>
      </c>
      <c r="K39" s="1354">
        <v>10.573472188727585</v>
      </c>
      <c r="L39" s="1354">
        <v>10.581291550562391</v>
      </c>
      <c r="M39" s="1354">
        <v>10.589187646360221</v>
      </c>
      <c r="N39" s="1354">
        <v>10.597161450515665</v>
      </c>
      <c r="O39" s="1365">
        <v>10.605213953213788</v>
      </c>
      <c r="P39" s="1693" t="s">
        <v>695</v>
      </c>
      <c r="Q39" s="1691" t="s">
        <v>702</v>
      </c>
      <c r="R39" s="1377">
        <f t="shared" ref="R39:R42" si="20">R40-2.5%</f>
        <v>-0.125</v>
      </c>
      <c r="S39" s="1354">
        <v>10.458111473933302</v>
      </c>
      <c r="T39" s="1354">
        <v>10.470611139961024</v>
      </c>
      <c r="U39" s="1354">
        <v>10.483240449692763</v>
      </c>
      <c r="V39" s="1354">
        <v>10.49600085596178</v>
      </c>
      <c r="W39" s="1354">
        <v>10.50889382703372</v>
      </c>
      <c r="X39" s="1529">
        <v>10.521920846752257</v>
      </c>
      <c r="Y39" s="1354">
        <v>10.535083414685579</v>
      </c>
      <c r="Z39" s="1354">
        <v>10.548383046274138</v>
      </c>
      <c r="AA39" s="1354">
        <v>10.561821272979214</v>
      </c>
      <c r="AB39" s="1354">
        <v>10.5753996424327</v>
      </c>
      <c r="AC39" s="1365">
        <v>10.589119718587863</v>
      </c>
      <c r="AF39" s="1571"/>
      <c r="AG39" s="1428"/>
      <c r="AH39" s="1437">
        <f t="shared" ref="AH39:AH43" si="21">AH40-0.005</f>
        <v>3.4537537707466592E-2</v>
      </c>
      <c r="AI39" s="1426">
        <v>14.633073418476949</v>
      </c>
      <c r="AJ39" s="1426">
        <v>14.629694760284151</v>
      </c>
      <c r="AK39" s="1426">
        <v>14.626316102091353</v>
      </c>
      <c r="AL39" s="1426">
        <v>14.622937443898554</v>
      </c>
      <c r="AM39" s="1426">
        <v>14.619558785705756</v>
      </c>
      <c r="AN39" s="1426">
        <v>14.616180127512957</v>
      </c>
      <c r="AO39" s="1426">
        <v>14.612801469320157</v>
      </c>
      <c r="AP39" s="1426">
        <v>14.609422811127359</v>
      </c>
      <c r="AQ39" s="1426">
        <v>14.60604415293456</v>
      </c>
      <c r="AR39" s="1426">
        <v>14.602665494741762</v>
      </c>
      <c r="AS39" s="1533">
        <v>14.599286836548965</v>
      </c>
      <c r="AT39" s="1426">
        <v>14.595908178356165</v>
      </c>
      <c r="AU39" s="1426">
        <v>14.592529520163367</v>
      </c>
      <c r="AV39" s="1426">
        <v>14.589150861970568</v>
      </c>
      <c r="AW39" s="1426">
        <v>14.58577220377777</v>
      </c>
      <c r="AX39" s="1426">
        <v>14.582393545584971</v>
      </c>
      <c r="AY39" s="1426">
        <v>14.579014887392173</v>
      </c>
      <c r="AZ39" s="1426">
        <v>14.575636229199375</v>
      </c>
      <c r="BA39" s="1426">
        <v>14.572257571006574</v>
      </c>
      <c r="BB39" s="1426">
        <v>14.568878912813776</v>
      </c>
      <c r="BC39" s="1431">
        <v>14.565500254620977</v>
      </c>
    </row>
    <row r="40" spans="2:55" x14ac:dyDescent="0.8">
      <c r="B40" s="1685"/>
      <c r="C40" s="1687"/>
      <c r="D40" s="1377">
        <v>-0.1</v>
      </c>
      <c r="E40" s="1354">
        <v>10.545029580345222</v>
      </c>
      <c r="F40" s="1354">
        <v>10.552497706781878</v>
      </c>
      <c r="G40" s="1354">
        <v>10.560037944933111</v>
      </c>
      <c r="H40" s="1354">
        <v>10.567651193091844</v>
      </c>
      <c r="I40" s="1354">
        <v>10.575338363782873</v>
      </c>
      <c r="J40" s="1529">
        <v>10.583100384045782</v>
      </c>
      <c r="K40" s="1354">
        <v>10.590938195724528</v>
      </c>
      <c r="L40" s="1354">
        <v>10.598852755763916</v>
      </c>
      <c r="M40" s="1354">
        <v>10.606845036513265</v>
      </c>
      <c r="N40" s="1354">
        <v>10.614916026037262</v>
      </c>
      <c r="O40" s="1365">
        <v>10.623066728434443</v>
      </c>
      <c r="P40" s="1693"/>
      <c r="Q40" s="1691"/>
      <c r="R40" s="1377">
        <f t="shared" si="20"/>
        <v>-0.1</v>
      </c>
      <c r="S40" s="1354">
        <v>10.482733390762835</v>
      </c>
      <c r="T40" s="1354">
        <v>10.495446209668428</v>
      </c>
      <c r="U40" s="1354">
        <v>10.508290974635242</v>
      </c>
      <c r="V40" s="1354">
        <v>10.521269164650622</v>
      </c>
      <c r="W40" s="1354">
        <v>10.534382274401477</v>
      </c>
      <c r="X40" s="1529">
        <v>10.547631814422003</v>
      </c>
      <c r="Y40" s="1354">
        <v>10.561019311242553</v>
      </c>
      <c r="Z40" s="1354">
        <v>10.574546307539414</v>
      </c>
      <c r="AA40" s="1354">
        <v>10.588214362285726</v>
      </c>
      <c r="AB40" s="1354">
        <v>10.602025050903434</v>
      </c>
      <c r="AC40" s="1365">
        <v>10.61597996541637</v>
      </c>
      <c r="AF40" s="1679" t="s">
        <v>712</v>
      </c>
      <c r="AG40" s="1680"/>
      <c r="AH40" s="1437">
        <f t="shared" si="21"/>
        <v>3.953753770746659E-2</v>
      </c>
      <c r="AI40" s="1426">
        <v>13.687161158128285</v>
      </c>
      <c r="AJ40" s="1426">
        <v>13.683887832982869</v>
      </c>
      <c r="AK40" s="1426">
        <v>13.680614507837454</v>
      </c>
      <c r="AL40" s="1426">
        <v>13.677341182692039</v>
      </c>
      <c r="AM40" s="1426">
        <v>13.674067857546623</v>
      </c>
      <c r="AN40" s="1426">
        <v>13.670794532401208</v>
      </c>
      <c r="AO40" s="1426">
        <v>13.667521207255794</v>
      </c>
      <c r="AP40" s="1426">
        <v>13.664247882110377</v>
      </c>
      <c r="AQ40" s="1426">
        <v>13.660974556964963</v>
      </c>
      <c r="AR40" s="1426">
        <v>13.657701231819546</v>
      </c>
      <c r="AS40" s="1533">
        <v>13.654427906674131</v>
      </c>
      <c r="AT40" s="1426">
        <v>13.651154581528717</v>
      </c>
      <c r="AU40" s="1426">
        <v>13.6478812563833</v>
      </c>
      <c r="AV40" s="1426">
        <v>13.644607931237887</v>
      </c>
      <c r="AW40" s="1426">
        <v>13.641334606092473</v>
      </c>
      <c r="AX40" s="1426">
        <v>13.638061280947056</v>
      </c>
      <c r="AY40" s="1426">
        <v>13.634787955801642</v>
      </c>
      <c r="AZ40" s="1426">
        <v>13.631514630656227</v>
      </c>
      <c r="BA40" s="1426">
        <v>13.62824130551081</v>
      </c>
      <c r="BB40" s="1426">
        <v>13.624967980365396</v>
      </c>
      <c r="BC40" s="1431">
        <v>13.621694655219979</v>
      </c>
    </row>
    <row r="41" spans="2:55" x14ac:dyDescent="0.8">
      <c r="B41" s="1685"/>
      <c r="C41" s="1687"/>
      <c r="D41" s="1377">
        <v>-7.5000000000000011E-2</v>
      </c>
      <c r="E41" s="1354">
        <v>10.562047802576151</v>
      </c>
      <c r="F41" s="1354">
        <v>10.569606089061935</v>
      </c>
      <c r="G41" s="1354">
        <v>10.57723740354677</v>
      </c>
      <c r="H41" s="1354">
        <v>10.584942656738846</v>
      </c>
      <c r="I41" s="1354">
        <v>10.592722773794293</v>
      </c>
      <c r="J41" s="1529">
        <v>10.60057869460463</v>
      </c>
      <c r="K41" s="1354">
        <v>10.608511374091135</v>
      </c>
      <c r="L41" s="1354">
        <v>10.616521782506215</v>
      </c>
      <c r="M41" s="1354">
        <v>10.624610905741948</v>
      </c>
      <c r="N41" s="1354">
        <v>10.632779745646136</v>
      </c>
      <c r="O41" s="1365">
        <v>10.641029320345954</v>
      </c>
      <c r="P41" s="1693"/>
      <c r="Q41" s="1691"/>
      <c r="R41" s="1377">
        <f t="shared" si="20"/>
        <v>-7.5000000000000011E-2</v>
      </c>
      <c r="S41" s="1354">
        <v>10.507655553660401</v>
      </c>
      <c r="T41" s="1354">
        <v>10.52058441889109</v>
      </c>
      <c r="U41" s="1354">
        <v>10.53364756539135</v>
      </c>
      <c r="V41" s="1354">
        <v>10.546846498665545</v>
      </c>
      <c r="W41" s="1354">
        <v>10.560182740187972</v>
      </c>
      <c r="X41" s="1529">
        <v>10.573657827552845</v>
      </c>
      <c r="Y41" s="1354">
        <v>10.587273314625286</v>
      </c>
      <c r="Z41" s="1354">
        <v>10.601030771693418</v>
      </c>
      <c r="AA41" s="1354">
        <v>10.614931785621513</v>
      </c>
      <c r="AB41" s="1354">
        <v>10.628977960004228</v>
      </c>
      <c r="AC41" s="1365">
        <v>10.643170915321905</v>
      </c>
      <c r="AF41" s="1679"/>
      <c r="AG41" s="1680"/>
      <c r="AH41" s="1437">
        <f t="shared" si="21"/>
        <v>4.4537537707466587E-2</v>
      </c>
      <c r="AI41" s="1426">
        <v>12.890221449829571</v>
      </c>
      <c r="AJ41" s="1426">
        <v>12.887049609007239</v>
      </c>
      <c r="AK41" s="1426">
        <v>12.883877768184906</v>
      </c>
      <c r="AL41" s="1426">
        <v>12.880705927362571</v>
      </c>
      <c r="AM41" s="1426">
        <v>12.877534086540239</v>
      </c>
      <c r="AN41" s="1426">
        <v>12.874362245717908</v>
      </c>
      <c r="AO41" s="1426">
        <v>12.871190404895575</v>
      </c>
      <c r="AP41" s="1426">
        <v>12.868018564073241</v>
      </c>
      <c r="AQ41" s="1426">
        <v>12.864846723250908</v>
      </c>
      <c r="AR41" s="1426">
        <v>12.861674882428575</v>
      </c>
      <c r="AS41" s="1533">
        <v>12.858503041606243</v>
      </c>
      <c r="AT41" s="1426">
        <v>12.85533120078391</v>
      </c>
      <c r="AU41" s="1426">
        <v>12.852159359961577</v>
      </c>
      <c r="AV41" s="1426">
        <v>12.848987519139243</v>
      </c>
      <c r="AW41" s="1426">
        <v>12.84581567831691</v>
      </c>
      <c r="AX41" s="1426">
        <v>12.842643837494577</v>
      </c>
      <c r="AY41" s="1426">
        <v>12.839471996672245</v>
      </c>
      <c r="AZ41" s="1426">
        <v>12.83630015584991</v>
      </c>
      <c r="BA41" s="1426">
        <v>12.833128315027578</v>
      </c>
      <c r="BB41" s="1426">
        <v>12.829956474205245</v>
      </c>
      <c r="BC41" s="1431">
        <v>12.826784633382912</v>
      </c>
    </row>
    <row r="42" spans="2:55" x14ac:dyDescent="0.8">
      <c r="B42" s="1685"/>
      <c r="C42" s="1687"/>
      <c r="D42" s="1377">
        <v>-0.05</v>
      </c>
      <c r="E42" s="1354">
        <v>10.579169894560344</v>
      </c>
      <c r="F42" s="1354">
        <v>10.586818952091516</v>
      </c>
      <c r="G42" s="1354">
        <v>10.594541960663735</v>
      </c>
      <c r="H42" s="1354">
        <v>10.602339843501746</v>
      </c>
      <c r="I42" s="1354">
        <v>10.610213538496135</v>
      </c>
      <c r="J42" s="1529">
        <v>10.618163998495518</v>
      </c>
      <c r="K42" s="1354">
        <v>10.626192191605627</v>
      </c>
      <c r="L42" s="1354">
        <v>10.634299101495582</v>
      </c>
      <c r="M42" s="1354">
        <v>10.642485727711559</v>
      </c>
      <c r="N42" s="1354">
        <v>10.650753085997845</v>
      </c>
      <c r="O42" s="1365">
        <v>10.659102208625905</v>
      </c>
      <c r="P42" s="1693"/>
      <c r="Q42" s="1691"/>
      <c r="R42" s="1377">
        <f t="shared" si="20"/>
        <v>-0.05</v>
      </c>
      <c r="S42" s="1354">
        <v>10.532880927646191</v>
      </c>
      <c r="T42" s="1354">
        <v>10.546028762772004</v>
      </c>
      <c r="U42" s="1354">
        <v>10.559313247574167</v>
      </c>
      <c r="V42" s="1354">
        <v>10.572735914440255</v>
      </c>
      <c r="W42" s="1354">
        <v>10.586298312001377</v>
      </c>
      <c r="X42" s="1529">
        <v>10.600002005284445</v>
      </c>
      <c r="Y42" s="1354">
        <v>10.613848575865346</v>
      </c>
      <c r="Z42" s="1354">
        <v>10.627839622023343</v>
      </c>
      <c r="AA42" s="1354">
        <v>10.641976758896478</v>
      </c>
      <c r="AB42" s="1354">
        <v>10.656261618638094</v>
      </c>
      <c r="AC42" s="1365">
        <v>10.670695850574445</v>
      </c>
      <c r="AF42" s="1679"/>
      <c r="AG42" s="1680"/>
      <c r="AH42" s="1437">
        <f t="shared" si="21"/>
        <v>4.9537537707466585E-2</v>
      </c>
      <c r="AI42" s="1426">
        <v>12.211570436561786</v>
      </c>
      <c r="AJ42" s="1426">
        <v>12.208496391843349</v>
      </c>
      <c r="AK42" s="1426">
        <v>12.205422347124914</v>
      </c>
      <c r="AL42" s="1426">
        <v>12.202348302406479</v>
      </c>
      <c r="AM42" s="1426">
        <v>12.199274257688044</v>
      </c>
      <c r="AN42" s="1426">
        <v>12.196200212969609</v>
      </c>
      <c r="AO42" s="1426">
        <v>12.193126168251174</v>
      </c>
      <c r="AP42" s="1426">
        <v>12.190052123532737</v>
      </c>
      <c r="AQ42" s="1426">
        <v>12.186978078814303</v>
      </c>
      <c r="AR42" s="1426">
        <v>12.183904034095868</v>
      </c>
      <c r="AS42" s="1533">
        <v>12.180829989377433</v>
      </c>
      <c r="AT42" s="1426">
        <v>12.177755944658996</v>
      </c>
      <c r="AU42" s="1426">
        <v>12.174681899940561</v>
      </c>
      <c r="AV42" s="1426">
        <v>12.171607855222126</v>
      </c>
      <c r="AW42" s="1426">
        <v>12.168533810503691</v>
      </c>
      <c r="AX42" s="1426">
        <v>12.165459765785254</v>
      </c>
      <c r="AY42" s="1426">
        <v>12.162385721066819</v>
      </c>
      <c r="AZ42" s="1426">
        <v>12.159311676348384</v>
      </c>
      <c r="BA42" s="1426">
        <v>12.156237631629947</v>
      </c>
      <c r="BB42" s="1426">
        <v>12.153163586911514</v>
      </c>
      <c r="BC42" s="1431">
        <v>12.150089542193077</v>
      </c>
    </row>
    <row r="43" spans="2:55" x14ac:dyDescent="0.8">
      <c r="B43" s="1685"/>
      <c r="C43" s="1687"/>
      <c r="D43" s="1377">
        <v>-2.5000000000000001E-2</v>
      </c>
      <c r="E43" s="1354">
        <v>10.59639630859755</v>
      </c>
      <c r="F43" s="1354">
        <v>10.604136750927738</v>
      </c>
      <c r="G43" s="1354">
        <v>10.611952074127153</v>
      </c>
      <c r="H43" s="1354">
        <v>10.619843214038683</v>
      </c>
      <c r="I43" s="1354">
        <v>10.627811121390941</v>
      </c>
      <c r="J43" s="1529">
        <v>10.635856762095106</v>
      </c>
      <c r="K43" s="1354">
        <v>10.643981117548899</v>
      </c>
      <c r="L43" s="1354">
        <v>10.652185184947745</v>
      </c>
      <c r="M43" s="1354">
        <v>10.660469977603496</v>
      </c>
      <c r="N43" s="1354">
        <v>10.668836525270819</v>
      </c>
      <c r="O43" s="1365">
        <v>10.677285874481433</v>
      </c>
      <c r="P43" s="1693"/>
      <c r="Q43" s="1691"/>
      <c r="R43" s="1377">
        <f>R44-2.5%</f>
        <v>-2.5000000000000001E-2</v>
      </c>
      <c r="S43" s="1354">
        <v>10.558412501037656</v>
      </c>
      <c r="T43" s="1354">
        <v>10.571782259969551</v>
      </c>
      <c r="U43" s="1354">
        <v>10.585291070532293</v>
      </c>
      <c r="V43" s="1354">
        <v>10.59894049236607</v>
      </c>
      <c r="W43" s="1354">
        <v>10.612732101631517</v>
      </c>
      <c r="X43" s="1529">
        <v>10.626667491164227</v>
      </c>
      <c r="Y43" s="1354">
        <v>10.640748270630155</v>
      </c>
      <c r="Z43" s="1354">
        <v>10.654976066682357</v>
      </c>
      <c r="AA43" s="1354">
        <v>10.669352523118636</v>
      </c>
      <c r="AB43" s="1354">
        <v>10.683879301040401</v>
      </c>
      <c r="AC43" s="1365">
        <v>10.698558079012606</v>
      </c>
      <c r="AF43" s="1679"/>
      <c r="AG43" s="1680"/>
      <c r="AH43" s="1437">
        <f t="shared" si="21"/>
        <v>5.4537537707466582E-2</v>
      </c>
      <c r="AI43" s="1426">
        <v>11.628264908148722</v>
      </c>
      <c r="AJ43" s="1426">
        <v>11.625285124323657</v>
      </c>
      <c r="AK43" s="1426">
        <v>11.62230534049859</v>
      </c>
      <c r="AL43" s="1426">
        <v>11.619325556673527</v>
      </c>
      <c r="AM43" s="1426">
        <v>11.616345772848462</v>
      </c>
      <c r="AN43" s="1426">
        <v>11.613365989023398</v>
      </c>
      <c r="AO43" s="1426">
        <v>11.610386205198333</v>
      </c>
      <c r="AP43" s="1426">
        <v>11.607406421373268</v>
      </c>
      <c r="AQ43" s="1426">
        <v>11.604426637548205</v>
      </c>
      <c r="AR43" s="1426">
        <v>11.601446853723139</v>
      </c>
      <c r="AS43" s="1533">
        <v>11.598467069898074</v>
      </c>
      <c r="AT43" s="1426">
        <v>11.595487286073009</v>
      </c>
      <c r="AU43" s="1426">
        <v>11.592507502247946</v>
      </c>
      <c r="AV43" s="1426">
        <v>11.589527718422881</v>
      </c>
      <c r="AW43" s="1426">
        <v>11.586547934597817</v>
      </c>
      <c r="AX43" s="1426">
        <v>11.583568150772752</v>
      </c>
      <c r="AY43" s="1426">
        <v>11.580588366947687</v>
      </c>
      <c r="AZ43" s="1426">
        <v>11.577608583122624</v>
      </c>
      <c r="BA43" s="1426">
        <v>11.574628799297559</v>
      </c>
      <c r="BB43" s="1426">
        <v>11.571649015472493</v>
      </c>
      <c r="BC43" s="1431">
        <v>11.56866923164743</v>
      </c>
    </row>
    <row r="44" spans="2:55" x14ac:dyDescent="0.8">
      <c r="B44" s="1685"/>
      <c r="C44" s="1687"/>
      <c r="D44" s="1528">
        <v>0</v>
      </c>
      <c r="E44" s="1529">
        <v>10.613727498453573</v>
      </c>
      <c r="F44" s="1529">
        <v>10.621559942100387</v>
      </c>
      <c r="G44" s="1529">
        <v>10.629468203259437</v>
      </c>
      <c r="H44" s="1529">
        <v>10.637453230493728</v>
      </c>
      <c r="I44" s="1529">
        <v>10.645515987473798</v>
      </c>
      <c r="J44" s="1356">
        <v>10.653657453279301</v>
      </c>
      <c r="K44" s="1529">
        <v>10.661878622707807</v>
      </c>
      <c r="L44" s="1529">
        <v>10.670180506591002</v>
      </c>
      <c r="M44" s="1529">
        <v>10.678564132118517</v>
      </c>
      <c r="N44" s="1529">
        <v>10.687030543169563</v>
      </c>
      <c r="O44" s="1531">
        <v>10.695580800652612</v>
      </c>
      <c r="P44" s="1693"/>
      <c r="Q44" s="1691"/>
      <c r="R44" s="1528">
        <v>0</v>
      </c>
      <c r="S44" s="1529">
        <v>10.584253285578011</v>
      </c>
      <c r="T44" s="1529">
        <v>10.597847952786703</v>
      </c>
      <c r="U44" s="1529">
        <v>10.61158410747967</v>
      </c>
      <c r="V44" s="1529">
        <v>10.625463336922433</v>
      </c>
      <c r="W44" s="1529">
        <v>10.639487245181144</v>
      </c>
      <c r="X44" s="1356">
        <v>10.653657453279301</v>
      </c>
      <c r="Y44" s="1529">
        <v>10.667975599355639</v>
      </c>
      <c r="Z44" s="1529">
        <v>10.68244333882293</v>
      </c>
      <c r="AA44" s="1529">
        <v>10.69706234452814</v>
      </c>
      <c r="AB44" s="1529">
        <v>10.71183430691352</v>
      </c>
      <c r="AC44" s="1531">
        <v>10.726760934178932</v>
      </c>
      <c r="AF44" s="1679"/>
      <c r="AG44" s="1680"/>
      <c r="AH44" s="1437">
        <f>AH45-0.005</f>
        <v>5.953753770746658E-2</v>
      </c>
      <c r="AI44" s="1426">
        <v>11.122816538610831</v>
      </c>
      <c r="AJ44" s="1426">
        <v>11.119927626367412</v>
      </c>
      <c r="AK44" s="1426">
        <v>11.117038714123995</v>
      </c>
      <c r="AL44" s="1426">
        <v>11.114149801880576</v>
      </c>
      <c r="AM44" s="1426">
        <v>11.111260889637158</v>
      </c>
      <c r="AN44" s="1426">
        <v>11.108371977393739</v>
      </c>
      <c r="AO44" s="1426">
        <v>11.105483065150322</v>
      </c>
      <c r="AP44" s="1426">
        <v>11.102594152906903</v>
      </c>
      <c r="AQ44" s="1426">
        <v>11.099705240663486</v>
      </c>
      <c r="AR44" s="1426">
        <v>11.096816328420067</v>
      </c>
      <c r="AS44" s="1533">
        <v>11.093927416176649</v>
      </c>
      <c r="AT44" s="1426">
        <v>11.09103850393323</v>
      </c>
      <c r="AU44" s="1426">
        <v>11.088149591689813</v>
      </c>
      <c r="AV44" s="1426">
        <v>11.085260679446394</v>
      </c>
      <c r="AW44" s="1426">
        <v>11.082371767202977</v>
      </c>
      <c r="AX44" s="1426">
        <v>11.079482854959558</v>
      </c>
      <c r="AY44" s="1426">
        <v>11.076593942716141</v>
      </c>
      <c r="AZ44" s="1426">
        <v>11.073705030472722</v>
      </c>
      <c r="BA44" s="1426">
        <v>11.070816118229304</v>
      </c>
      <c r="BB44" s="1426">
        <v>11.067927205985885</v>
      </c>
      <c r="BC44" s="1431">
        <v>11.065038293742468</v>
      </c>
    </row>
    <row r="45" spans="2:55" x14ac:dyDescent="0.8">
      <c r="B45" s="1685"/>
      <c r="C45" s="1687"/>
      <c r="D45" s="1377">
        <v>2.5000000000000001E-2</v>
      </c>
      <c r="E45" s="1354">
        <v>10.631163919363509</v>
      </c>
      <c r="F45" s="1354">
        <v>10.639088983615153</v>
      </c>
      <c r="G45" s="1354">
        <v>10.647090808865507</v>
      </c>
      <c r="H45" s="1354">
        <v>10.655170356500079</v>
      </c>
      <c r="I45" s="1354">
        <v>10.66332860323562</v>
      </c>
      <c r="J45" s="1529">
        <v>10.671566541426492</v>
      </c>
      <c r="K45" s="1354">
        <v>10.679885179378394</v>
      </c>
      <c r="L45" s="1354">
        <v>10.688285541669615</v>
      </c>
      <c r="M45" s="1354">
        <v>10.696768669480052</v>
      </c>
      <c r="N45" s="1354">
        <v>10.705335620928066</v>
      </c>
      <c r="O45" s="1365">
        <v>10.713987471415694</v>
      </c>
      <c r="P45" s="1693"/>
      <c r="Q45" s="1691"/>
      <c r="R45" s="1377">
        <f>R44+2.5%</f>
        <v>2.5000000000000001E-2</v>
      </c>
      <c r="S45" s="1354">
        <v>10.610406316564406</v>
      </c>
      <c r="T45" s="1354">
        <v>10.624228907299898</v>
      </c>
      <c r="U45" s="1354">
        <v>10.638195455625258</v>
      </c>
      <c r="V45" s="1354">
        <v>10.652307576807294</v>
      </c>
      <c r="W45" s="1354">
        <v>10.666566903196903</v>
      </c>
      <c r="X45" s="1529">
        <v>10.680975084388201</v>
      </c>
      <c r="Y45" s="1354">
        <v>10.695533787378549</v>
      </c>
      <c r="Z45" s="1354">
        <v>10.710244696729868</v>
      </c>
      <c r="AA45" s="1354">
        <v>10.725109514730995</v>
      </c>
      <c r="AB45" s="1354">
        <v>10.740129961561241</v>
      </c>
      <c r="AC45" s="1365">
        <v>10.755307775454995</v>
      </c>
      <c r="AF45" s="1679"/>
      <c r="AG45" s="1680"/>
      <c r="AH45" s="1532">
        <v>6.4537537707466577E-2</v>
      </c>
      <c r="AI45" s="1533">
        <v>10.681670361476488</v>
      </c>
      <c r="AJ45" s="1533">
        <v>10.67886907065677</v>
      </c>
      <c r="AK45" s="1533">
        <v>10.67606777983705</v>
      </c>
      <c r="AL45" s="1533">
        <v>10.673266489017333</v>
      </c>
      <c r="AM45" s="1533">
        <v>10.670465198197615</v>
      </c>
      <c r="AN45" s="1533">
        <v>10.667663907377893</v>
      </c>
      <c r="AO45" s="1533">
        <v>10.664862616558176</v>
      </c>
      <c r="AP45" s="1533">
        <v>10.662061325738456</v>
      </c>
      <c r="AQ45" s="1533">
        <v>10.659260034918736</v>
      </c>
      <c r="AR45" s="1533">
        <v>10.656458744099018</v>
      </c>
      <c r="AS45" s="1441">
        <v>10.653657453279301</v>
      </c>
      <c r="AT45" s="1533">
        <v>10.650856162459579</v>
      </c>
      <c r="AU45" s="1533">
        <v>10.648054871639861</v>
      </c>
      <c r="AV45" s="1533">
        <v>10.645253580820143</v>
      </c>
      <c r="AW45" s="1533">
        <v>10.642452290000422</v>
      </c>
      <c r="AX45" s="1533">
        <v>10.639650999180704</v>
      </c>
      <c r="AY45" s="1533">
        <v>10.636849708360986</v>
      </c>
      <c r="AZ45" s="1533">
        <v>10.634048417541267</v>
      </c>
      <c r="BA45" s="1533">
        <v>10.631247126721547</v>
      </c>
      <c r="BB45" s="1533">
        <v>10.628445835901831</v>
      </c>
      <c r="BC45" s="1536">
        <v>10.625644545082109</v>
      </c>
    </row>
    <row r="46" spans="2:55" x14ac:dyDescent="0.8">
      <c r="B46" s="1685"/>
      <c r="C46" s="1687"/>
      <c r="D46" s="1377">
        <v>0.05</v>
      </c>
      <c r="E46" s="1354">
        <v>10.648706028034898</v>
      </c>
      <c r="F46" s="1354">
        <v>10.656724334956746</v>
      </c>
      <c r="G46" s="1354">
        <v>10.664820353235966</v>
      </c>
      <c r="H46" s="1354">
        <v>10.672995057183305</v>
      </c>
      <c r="I46" s="1354">
        <v>10.681249436666347</v>
      </c>
      <c r="J46" s="1529">
        <v>10.689584497420789</v>
      </c>
      <c r="K46" s="1354">
        <v>10.698001261369161</v>
      </c>
      <c r="L46" s="1354">
        <v>10.706500766947061</v>
      </c>
      <c r="M46" s="1354">
        <v>10.71508406943749</v>
      </c>
      <c r="N46" s="1354">
        <v>10.723752241313031</v>
      </c>
      <c r="O46" s="1365">
        <v>10.732506372586506</v>
      </c>
      <c r="P46" s="1693"/>
      <c r="Q46" s="1691"/>
      <c r="R46" s="1377">
        <f t="shared" ref="R46:R49" si="22">R45+2.5%</f>
        <v>0.05</v>
      </c>
      <c r="S46" s="1354">
        <v>10.636874652975919</v>
      </c>
      <c r="T46" s="1354">
        <v>10.65092821348771</v>
      </c>
      <c r="U46" s="1354">
        <v>10.665128236302316</v>
      </c>
      <c r="V46" s="1354">
        <v>10.679476365067032</v>
      </c>
      <c r="W46" s="1354">
        <v>10.693974260800129</v>
      </c>
      <c r="X46" s="1529">
        <v>10.708623602052198</v>
      </c>
      <c r="Y46" s="1354">
        <v>10.723426085068606</v>
      </c>
      <c r="Z46" s="1354">
        <v>10.738383423953108</v>
      </c>
      <c r="AA46" s="1354">
        <v>10.75349735083258</v>
      </c>
      <c r="AB46" s="1354">
        <v>10.768769616022974</v>
      </c>
      <c r="AC46" s="1365">
        <v>10.784201988196324</v>
      </c>
      <c r="AF46" s="1679"/>
      <c r="AG46" s="1680"/>
      <c r="AH46" s="1437">
        <f>AH45+0.005</f>
        <v>6.9537537707466582E-2</v>
      </c>
      <c r="AI46" s="1426">
        <v>10.294165103165264</v>
      </c>
      <c r="AJ46" s="1426">
        <v>10.291448316364431</v>
      </c>
      <c r="AK46" s="1426">
        <v>10.288731529563595</v>
      </c>
      <c r="AL46" s="1426">
        <v>10.286014742762761</v>
      </c>
      <c r="AM46" s="1426">
        <v>10.283297955961929</v>
      </c>
      <c r="AN46" s="1426">
        <v>10.280581169161096</v>
      </c>
      <c r="AO46" s="1426">
        <v>10.277864382360262</v>
      </c>
      <c r="AP46" s="1426">
        <v>10.275147595559426</v>
      </c>
      <c r="AQ46" s="1426">
        <v>10.272430808758594</v>
      </c>
      <c r="AR46" s="1426">
        <v>10.269714021957761</v>
      </c>
      <c r="AS46" s="1533">
        <v>10.266997235156927</v>
      </c>
      <c r="AT46" s="1426">
        <v>10.264280448356091</v>
      </c>
      <c r="AU46" s="1426">
        <v>10.261563661555257</v>
      </c>
      <c r="AV46" s="1426">
        <v>10.258846874754425</v>
      </c>
      <c r="AW46" s="1426">
        <v>10.256130087953592</v>
      </c>
      <c r="AX46" s="1426">
        <v>10.253413301152758</v>
      </c>
      <c r="AY46" s="1426">
        <v>10.250696514351922</v>
      </c>
      <c r="AZ46" s="1426">
        <v>10.24797972755109</v>
      </c>
      <c r="BA46" s="1426">
        <v>10.245262940750257</v>
      </c>
      <c r="BB46" s="1426">
        <v>10.242546153949423</v>
      </c>
      <c r="BC46" s="1431">
        <v>10.239829367148589</v>
      </c>
    </row>
    <row r="47" spans="2:55" x14ac:dyDescent="0.8">
      <c r="B47" s="1685"/>
      <c r="C47" s="1687"/>
      <c r="D47" s="1377">
        <v>7.5000000000000011E-2</v>
      </c>
      <c r="E47" s="1354">
        <v>10.666354282650849</v>
      </c>
      <c r="F47" s="1354">
        <v>10.674466457092089</v>
      </c>
      <c r="G47" s="1354">
        <v>10.682657300150289</v>
      </c>
      <c r="H47" s="1354">
        <v>10.690927799164468</v>
      </c>
      <c r="I47" s="1354">
        <v>10.6992789572581</v>
      </c>
      <c r="J47" s="1529">
        <v>10.707711793655246</v>
      </c>
      <c r="K47" s="1354">
        <v>10.71622734400426</v>
      </c>
      <c r="L47" s="1354">
        <v>10.724826660709228</v>
      </c>
      <c r="M47" s="1354">
        <v>10.733510813269451</v>
      </c>
      <c r="N47" s="1354">
        <v>10.742280888627183</v>
      </c>
      <c r="O47" s="1365">
        <v>10.751137991523729</v>
      </c>
      <c r="P47" s="1693"/>
      <c r="Q47" s="1691"/>
      <c r="R47" s="1377">
        <f t="shared" si="22"/>
        <v>7.5000000000000011E-2</v>
      </c>
      <c r="S47" s="1354">
        <v>10.663661377601048</v>
      </c>
      <c r="T47" s="1354">
        <v>10.677948985359123</v>
      </c>
      <c r="U47" s="1354">
        <v>10.692385595097395</v>
      </c>
      <c r="V47" s="1354">
        <v>10.706972879226223</v>
      </c>
      <c r="W47" s="1354">
        <v>10.721712527817134</v>
      </c>
      <c r="X47" s="1529">
        <v>10.736606248766448</v>
      </c>
      <c r="Y47" s="1354">
        <v>10.751655767960228</v>
      </c>
      <c r="Z47" s="1354">
        <v>10.766862829440159</v>
      </c>
      <c r="AA47" s="1354">
        <v>10.782229195570734</v>
      </c>
      <c r="AB47" s="1354">
        <v>10.797756647207567</v>
      </c>
      <c r="AC47" s="1365">
        <v>10.813446983866877</v>
      </c>
      <c r="AF47" s="1679"/>
      <c r="AG47" s="1680"/>
      <c r="AH47" s="1437">
        <f t="shared" ref="AH47:AH51" si="23">AH46+0.005</f>
        <v>7.4537537707466586E-2</v>
      </c>
      <c r="AI47" s="1426">
        <v>9.951806268239439</v>
      </c>
      <c r="AJ47" s="1426">
        <v>9.9491709947303413</v>
      </c>
      <c r="AK47" s="1426">
        <v>9.9465357212212453</v>
      </c>
      <c r="AL47" s="1426">
        <v>9.9439004477121493</v>
      </c>
      <c r="AM47" s="1426">
        <v>9.9412651742030533</v>
      </c>
      <c r="AN47" s="1426">
        <v>9.9386299006939574</v>
      </c>
      <c r="AO47" s="1426">
        <v>9.9359946271848596</v>
      </c>
      <c r="AP47" s="1426">
        <v>9.9333593536757636</v>
      </c>
      <c r="AQ47" s="1426">
        <v>9.9307240801666676</v>
      </c>
      <c r="AR47" s="1426">
        <v>9.9280888066575717</v>
      </c>
      <c r="AS47" s="1533">
        <v>9.9254535331484757</v>
      </c>
      <c r="AT47" s="1426">
        <v>9.9228182596393779</v>
      </c>
      <c r="AU47" s="1426">
        <v>9.9201829861302819</v>
      </c>
      <c r="AV47" s="1426">
        <v>9.917547712621186</v>
      </c>
      <c r="AW47" s="1426">
        <v>9.91491243911209</v>
      </c>
      <c r="AX47" s="1426">
        <v>9.9122771656029922</v>
      </c>
      <c r="AY47" s="1426">
        <v>9.909641892093898</v>
      </c>
      <c r="AZ47" s="1426">
        <v>9.907006618584802</v>
      </c>
      <c r="BA47" s="1426">
        <v>9.9043713450757043</v>
      </c>
      <c r="BB47" s="1426">
        <v>9.9017360715666101</v>
      </c>
      <c r="BC47" s="1431">
        <v>9.8991007980575123</v>
      </c>
    </row>
    <row r="48" spans="2:55" x14ac:dyDescent="0.8">
      <c r="B48" s="1685"/>
      <c r="C48" s="1687"/>
      <c r="D48" s="1377">
        <v>0.1</v>
      </c>
      <c r="E48" s="1354">
        <v>10.68410914287319</v>
      </c>
      <c r="F48" s="1354">
        <v>10.692315812473494</v>
      </c>
      <c r="G48" s="1354">
        <v>10.700602114879981</v>
      </c>
      <c r="H48" s="1354">
        <v>10.708969050563407</v>
      </c>
      <c r="I48" s="1354">
        <v>10.717417636008511</v>
      </c>
      <c r="J48" s="1529">
        <v>10.725948904035109</v>
      </c>
      <c r="K48" s="1354">
        <v>10.734563904126814</v>
      </c>
      <c r="L48" s="1354">
        <v>10.743263702767702</v>
      </c>
      <c r="M48" s="1354">
        <v>10.752049383787066</v>
      </c>
      <c r="N48" s="1354">
        <v>10.760922048712619</v>
      </c>
      <c r="O48" s="1365">
        <v>10.769882817132208</v>
      </c>
      <c r="P48" s="1693"/>
      <c r="Q48" s="1691"/>
      <c r="R48" s="1377">
        <f t="shared" si="22"/>
        <v>0.1</v>
      </c>
      <c r="S48" s="1354">
        <v>10.690769597165158</v>
      </c>
      <c r="T48" s="1354">
        <v>10.705294361081524</v>
      </c>
      <c r="U48" s="1354">
        <v>10.719970701979081</v>
      </c>
      <c r="V48" s="1354">
        <v>10.734800321417055</v>
      </c>
      <c r="W48" s="1354">
        <v>10.74978493890938</v>
      </c>
      <c r="X48" s="1529">
        <v>10.764926292090818</v>
      </c>
      <c r="Y48" s="1354">
        <v>10.780226136884117</v>
      </c>
      <c r="Z48" s="1354">
        <v>10.795686247668396</v>
      </c>
      <c r="AA48" s="1354">
        <v>10.811308417448762</v>
      </c>
      <c r="AB48" s="1354">
        <v>10.827094458026961</v>
      </c>
      <c r="AC48" s="1365">
        <v>10.843046200173408</v>
      </c>
      <c r="AF48" s="1679"/>
      <c r="AG48" s="1680"/>
      <c r="AH48" s="1437">
        <f t="shared" si="23"/>
        <v>7.9537537707466591E-2</v>
      </c>
      <c r="AI48" s="1426">
        <v>9.6477474641153087</v>
      </c>
      <c r="AJ48" s="1426">
        <v>9.6451908340801307</v>
      </c>
      <c r="AK48" s="1426">
        <v>9.6426342040449544</v>
      </c>
      <c r="AL48" s="1426">
        <v>9.6400775740097764</v>
      </c>
      <c r="AM48" s="1426">
        <v>9.6375209439745984</v>
      </c>
      <c r="AN48" s="1426">
        <v>9.6349643139394203</v>
      </c>
      <c r="AO48" s="1426">
        <v>9.6324076839042423</v>
      </c>
      <c r="AP48" s="1426">
        <v>9.6298510538690643</v>
      </c>
      <c r="AQ48" s="1426">
        <v>9.627294423833888</v>
      </c>
      <c r="AR48" s="1426">
        <v>9.62473779379871</v>
      </c>
      <c r="AS48" s="1533">
        <v>9.6221811637635319</v>
      </c>
      <c r="AT48" s="1426">
        <v>9.6196245337283521</v>
      </c>
      <c r="AU48" s="1426">
        <v>9.6170679036931759</v>
      </c>
      <c r="AV48" s="1426">
        <v>9.6145112736579996</v>
      </c>
      <c r="AW48" s="1426">
        <v>9.6119546436228198</v>
      </c>
      <c r="AX48" s="1426">
        <v>9.6093980135876418</v>
      </c>
      <c r="AY48" s="1426">
        <v>9.6068413835524638</v>
      </c>
      <c r="AZ48" s="1426">
        <v>9.6042847535172875</v>
      </c>
      <c r="BA48" s="1426">
        <v>9.6017281234821095</v>
      </c>
      <c r="BB48" s="1426">
        <v>9.5991714934469314</v>
      </c>
      <c r="BC48" s="1431">
        <v>9.5966148634117534</v>
      </c>
    </row>
    <row r="49" spans="2:55" ht="16.75" thickBot="1" x14ac:dyDescent="0.95">
      <c r="B49" s="1686"/>
      <c r="C49" s="1688"/>
      <c r="D49" s="1379">
        <v>0.125</v>
      </c>
      <c r="E49" s="1367">
        <v>10.701971069845651</v>
      </c>
      <c r="F49" s="1367">
        <v>10.710272865041803</v>
      </c>
      <c r="G49" s="1367">
        <v>10.718655264191753</v>
      </c>
      <c r="H49" s="1367">
        <v>10.727119281001826</v>
      </c>
      <c r="I49" s="1367">
        <v>10.735665945423801</v>
      </c>
      <c r="J49" s="1530">
        <v>10.744296303980999</v>
      </c>
      <c r="K49" s="1367">
        <v>10.753011420102107</v>
      </c>
      <c r="L49" s="1367">
        <v>10.761812374463068</v>
      </c>
      <c r="M49" s="1367">
        <v>10.770700265337243</v>
      </c>
      <c r="N49" s="1367">
        <v>10.779676208954021</v>
      </c>
      <c r="O49" s="1369">
        <v>10.788741339866279</v>
      </c>
      <c r="P49" s="1694"/>
      <c r="Q49" s="1692"/>
      <c r="R49" s="1379">
        <f t="shared" si="22"/>
        <v>0.125</v>
      </c>
      <c r="S49" s="1367">
        <v>10.718202442457345</v>
      </c>
      <c r="T49" s="1367">
        <v>10.73296750310846</v>
      </c>
      <c r="U49" s="1367">
        <v>10.747886751426391</v>
      </c>
      <c r="V49" s="1367">
        <v>10.762961918508354</v>
      </c>
      <c r="W49" s="1367">
        <v>10.778194753703316</v>
      </c>
      <c r="X49" s="1530">
        <v>10.793587024780363</v>
      </c>
      <c r="Y49" s="1367">
        <v>10.809140518098395</v>
      </c>
      <c r="Z49" s="1367">
        <v>10.824857038776916</v>
      </c>
      <c r="AA49" s="1367">
        <v>10.840738410867978</v>
      </c>
      <c r="AB49" s="1367">
        <v>10.856786477529472</v>
      </c>
      <c r="AC49" s="1369">
        <v>10.873003101199501</v>
      </c>
      <c r="AF49" s="1679"/>
      <c r="AG49" s="1680"/>
      <c r="AH49" s="1437">
        <f t="shared" si="23"/>
        <v>8.4537537707466595E-2</v>
      </c>
      <c r="AI49" s="1426">
        <v>9.3764135527057473</v>
      </c>
      <c r="AJ49" s="1426">
        <v>9.3739328117578289</v>
      </c>
      <c r="AK49" s="1426">
        <v>9.3714520708099105</v>
      </c>
      <c r="AL49" s="1426">
        <v>9.3689713298619921</v>
      </c>
      <c r="AM49" s="1426">
        <v>9.3664905889140737</v>
      </c>
      <c r="AN49" s="1426">
        <v>9.3640098479661553</v>
      </c>
      <c r="AO49" s="1426">
        <v>9.3615291070182369</v>
      </c>
      <c r="AP49" s="1426">
        <v>9.3590483660703185</v>
      </c>
      <c r="AQ49" s="1426">
        <v>9.3565676251224001</v>
      </c>
      <c r="AR49" s="1426">
        <v>9.3540868841744818</v>
      </c>
      <c r="AS49" s="1533">
        <v>9.3516061432265634</v>
      </c>
      <c r="AT49" s="1426">
        <v>9.3491254022786432</v>
      </c>
      <c r="AU49" s="1426">
        <v>9.3466446613307248</v>
      </c>
      <c r="AV49" s="1426">
        <v>9.3441639203828064</v>
      </c>
      <c r="AW49" s="1426">
        <v>9.341683179434888</v>
      </c>
      <c r="AX49" s="1426">
        <v>9.3392024384869696</v>
      </c>
      <c r="AY49" s="1426">
        <v>9.3367216975390512</v>
      </c>
      <c r="AZ49" s="1426">
        <v>9.3342409565911328</v>
      </c>
      <c r="BA49" s="1426">
        <v>9.3317602156432145</v>
      </c>
      <c r="BB49" s="1426">
        <v>9.3292794746952961</v>
      </c>
      <c r="BC49" s="1431">
        <v>9.3267987337473777</v>
      </c>
    </row>
    <row r="50" spans="2:55" x14ac:dyDescent="0.8">
      <c r="B50" s="1363"/>
      <c r="C50" s="1363"/>
      <c r="D50" s="1370"/>
      <c r="E50" s="1371"/>
      <c r="F50" s="1371"/>
      <c r="G50" s="1371"/>
      <c r="H50" s="1371"/>
      <c r="I50" s="1371"/>
      <c r="J50" s="1371"/>
      <c r="K50" s="1371"/>
      <c r="L50" s="1371"/>
      <c r="M50" s="1371"/>
      <c r="N50" s="1371"/>
      <c r="O50" s="1371"/>
      <c r="AF50" s="1679"/>
      <c r="AG50" s="1680"/>
      <c r="AH50" s="1437">
        <f t="shared" si="23"/>
        <v>8.95375377074666E-2</v>
      </c>
      <c r="AI50" s="1426">
        <v>9.133222370700576</v>
      </c>
      <c r="AJ50" s="1426">
        <v>9.1308148746804711</v>
      </c>
      <c r="AK50" s="1426">
        <v>9.1284073786603628</v>
      </c>
      <c r="AL50" s="1426">
        <v>9.1259998826402544</v>
      </c>
      <c r="AM50" s="1426">
        <v>9.1235923866201478</v>
      </c>
      <c r="AN50" s="1426">
        <v>9.1211848906000412</v>
      </c>
      <c r="AO50" s="1426">
        <v>9.1187773945799329</v>
      </c>
      <c r="AP50" s="1426">
        <v>9.1163698985598263</v>
      </c>
      <c r="AQ50" s="1426">
        <v>9.1139624025397197</v>
      </c>
      <c r="AR50" s="1426">
        <v>9.1115549065196113</v>
      </c>
      <c r="AS50" s="1533">
        <v>9.1091474104995047</v>
      </c>
      <c r="AT50" s="1426">
        <v>9.1067399144793963</v>
      </c>
      <c r="AU50" s="1426">
        <v>9.1043324184592898</v>
      </c>
      <c r="AV50" s="1426">
        <v>9.1019249224391832</v>
      </c>
      <c r="AW50" s="1426">
        <v>9.0995174264190766</v>
      </c>
      <c r="AX50" s="1426">
        <v>9.0971099303989664</v>
      </c>
      <c r="AY50" s="1426">
        <v>9.0947024343788616</v>
      </c>
      <c r="AZ50" s="1426">
        <v>9.092294938358755</v>
      </c>
      <c r="BA50" s="1426">
        <v>9.0898874423386467</v>
      </c>
      <c r="BB50" s="1426">
        <v>9.0874799463185401</v>
      </c>
      <c r="BC50" s="1431">
        <v>9.0850724502984335</v>
      </c>
    </row>
    <row r="51" spans="2:55" ht="16.75" thickBot="1" x14ac:dyDescent="0.95">
      <c r="B51" s="1363"/>
      <c r="C51" s="1363"/>
      <c r="D51" s="1370"/>
      <c r="E51" s="1371"/>
      <c r="F51" s="1371"/>
      <c r="G51" s="1371"/>
      <c r="H51" s="1371"/>
      <c r="I51" s="1371"/>
      <c r="J51" s="1371"/>
      <c r="K51" s="1371"/>
      <c r="L51" s="1371"/>
      <c r="M51" s="1371"/>
      <c r="N51" s="1371"/>
      <c r="O51" s="1371"/>
      <c r="AF51" s="1681"/>
      <c r="AG51" s="1682"/>
      <c r="AH51" s="1438">
        <f t="shared" si="23"/>
        <v>9.4537537707466604E-2</v>
      </c>
      <c r="AI51" s="1433">
        <v>8.9143762111841713</v>
      </c>
      <c r="AJ51" s="1433">
        <v>8.9120394212149119</v>
      </c>
      <c r="AK51" s="1433">
        <v>8.9097026312456507</v>
      </c>
      <c r="AL51" s="1433">
        <v>8.907365841276393</v>
      </c>
      <c r="AM51" s="1433">
        <v>8.9050290513071317</v>
      </c>
      <c r="AN51" s="1433">
        <v>8.9026922613378705</v>
      </c>
      <c r="AO51" s="1433">
        <v>8.9003554713686128</v>
      </c>
      <c r="AP51" s="1433">
        <v>8.8980186813993516</v>
      </c>
      <c r="AQ51" s="1433">
        <v>8.8956818914300939</v>
      </c>
      <c r="AR51" s="1433">
        <v>8.8933451014608327</v>
      </c>
      <c r="AS51" s="1535">
        <v>8.891008311491575</v>
      </c>
      <c r="AT51" s="1433">
        <v>8.8886715215223138</v>
      </c>
      <c r="AU51" s="1433">
        <v>8.8863347315530525</v>
      </c>
      <c r="AV51" s="1433">
        <v>8.8839979415837949</v>
      </c>
      <c r="AW51" s="1433">
        <v>8.8816611516145336</v>
      </c>
      <c r="AX51" s="1433">
        <v>8.8793243616452742</v>
      </c>
      <c r="AY51" s="1433">
        <v>8.8769875716760147</v>
      </c>
      <c r="AZ51" s="1433">
        <v>8.8746507817067535</v>
      </c>
      <c r="BA51" s="1433">
        <v>8.872313991737494</v>
      </c>
      <c r="BB51" s="1433">
        <v>8.8699772017682346</v>
      </c>
      <c r="BC51" s="1434">
        <v>8.8676404117989751</v>
      </c>
    </row>
    <row r="52" spans="2:55" x14ac:dyDescent="0.8">
      <c r="B52" s="36" t="s">
        <v>708</v>
      </c>
      <c r="C52" s="21"/>
      <c r="D52" s="21"/>
      <c r="E52" s="21"/>
      <c r="F52" s="21"/>
      <c r="G52" s="21"/>
      <c r="H52" s="21"/>
      <c r="I52" s="21"/>
      <c r="J52" s="21"/>
      <c r="K52" s="21"/>
      <c r="L52" s="21"/>
      <c r="M52" s="21"/>
      <c r="N52" s="21"/>
      <c r="O52" s="171"/>
      <c r="P52" s="36" t="s">
        <v>709</v>
      </c>
      <c r="Q52" s="21"/>
      <c r="R52" s="21"/>
      <c r="S52" s="21"/>
      <c r="T52" s="21"/>
      <c r="U52" s="21"/>
      <c r="V52" s="21"/>
      <c r="W52" s="21"/>
      <c r="X52" s="21"/>
      <c r="Y52" s="21"/>
      <c r="Z52" s="21"/>
      <c r="AA52" s="21"/>
      <c r="AB52" s="21"/>
      <c r="AC52" s="171"/>
      <c r="AF52" s="1435" t="s">
        <v>715</v>
      </c>
      <c r="AG52" s="1030"/>
      <c r="AH52" s="1030"/>
      <c r="AI52" s="1030"/>
      <c r="AJ52" s="1030"/>
      <c r="AK52" s="1030"/>
      <c r="AL52" s="1030"/>
      <c r="AM52" s="1030"/>
      <c r="AN52" s="1030"/>
      <c r="AO52" s="1030"/>
      <c r="AP52" s="1030"/>
      <c r="AQ52" s="1030"/>
      <c r="AR52" s="1030"/>
      <c r="AS52" s="1030"/>
      <c r="AT52" s="1030"/>
      <c r="AU52" s="1030"/>
      <c r="AV52" s="1030"/>
      <c r="AW52" s="1030"/>
      <c r="AX52" s="1030"/>
      <c r="AY52" s="1030"/>
      <c r="AZ52" s="1030"/>
      <c r="BA52" s="1030"/>
      <c r="BB52" s="1030"/>
      <c r="BC52" s="1037"/>
    </row>
    <row r="53" spans="2:55" x14ac:dyDescent="0.8">
      <c r="B53" s="366"/>
      <c r="C53" s="156"/>
      <c r="D53" s="156"/>
      <c r="E53" s="1717" t="s">
        <v>693</v>
      </c>
      <c r="F53" s="1717"/>
      <c r="G53" s="1717"/>
      <c r="H53" s="1717"/>
      <c r="I53" s="1717"/>
      <c r="J53" s="1717"/>
      <c r="K53" s="1717"/>
      <c r="L53" s="1717"/>
      <c r="M53" s="1717"/>
      <c r="N53" s="1717"/>
      <c r="O53" s="1718"/>
      <c r="P53" s="366"/>
      <c r="Q53" s="156"/>
      <c r="R53" s="156"/>
      <c r="S53" s="1644" t="s">
        <v>693</v>
      </c>
      <c r="T53" s="1644"/>
      <c r="U53" s="1644"/>
      <c r="V53" s="1644"/>
      <c r="W53" s="1644"/>
      <c r="X53" s="1644"/>
      <c r="Y53" s="1644"/>
      <c r="Z53" s="1644"/>
      <c r="AA53" s="1644"/>
      <c r="AB53" s="1644"/>
      <c r="AC53" s="1645"/>
      <c r="AF53" s="1429"/>
      <c r="AG53" s="1425"/>
      <c r="AH53" s="1683" t="s">
        <v>743</v>
      </c>
      <c r="AI53" s="1683"/>
      <c r="AJ53" s="1683"/>
      <c r="AK53" s="1683"/>
      <c r="AL53" s="1683"/>
      <c r="AM53" s="1683"/>
      <c r="AN53" s="1683"/>
      <c r="AO53" s="1683"/>
      <c r="AP53" s="1683"/>
      <c r="AQ53" s="1683"/>
      <c r="AR53" s="1683"/>
      <c r="AS53" s="1683"/>
      <c r="AT53" s="1683"/>
      <c r="AU53" s="1683"/>
      <c r="AV53" s="1683"/>
      <c r="AW53" s="1683"/>
      <c r="AX53" s="1683"/>
      <c r="AY53" s="1683"/>
      <c r="AZ53" s="1683"/>
      <c r="BA53" s="1683"/>
      <c r="BB53" s="1683"/>
      <c r="BC53" s="1684"/>
    </row>
    <row r="54" spans="2:55" x14ac:dyDescent="0.8">
      <c r="B54" s="22"/>
      <c r="C54" s="185"/>
      <c r="D54" s="156"/>
      <c r="E54" s="1689" t="s">
        <v>699</v>
      </c>
      <c r="F54" s="1689"/>
      <c r="G54" s="1689"/>
      <c r="H54" s="1689"/>
      <c r="I54" s="1689"/>
      <c r="J54" s="1689"/>
      <c r="K54" s="1689"/>
      <c r="L54" s="1689"/>
      <c r="M54" s="1689"/>
      <c r="N54" s="1689"/>
      <c r="O54" s="1690"/>
      <c r="P54" s="22"/>
      <c r="Q54" s="185"/>
      <c r="R54" s="156"/>
      <c r="S54" s="1695" t="s">
        <v>703</v>
      </c>
      <c r="T54" s="1695"/>
      <c r="U54" s="1695"/>
      <c r="V54" s="1695"/>
      <c r="W54" s="1695"/>
      <c r="X54" s="1695"/>
      <c r="Y54" s="1695"/>
      <c r="Z54" s="1695"/>
      <c r="AA54" s="1695"/>
      <c r="AB54" s="1695"/>
      <c r="AC54" s="1696"/>
      <c r="AF54" s="1429"/>
      <c r="AG54" s="1425"/>
      <c r="AH54" s="1677" t="s">
        <v>713</v>
      </c>
      <c r="AI54" s="1677"/>
      <c r="AJ54" s="1677"/>
      <c r="AK54" s="1677"/>
      <c r="AL54" s="1677"/>
      <c r="AM54" s="1677"/>
      <c r="AN54" s="1677"/>
      <c r="AO54" s="1677"/>
      <c r="AP54" s="1677"/>
      <c r="AQ54" s="1677"/>
      <c r="AR54" s="1677"/>
      <c r="AS54" s="1677"/>
      <c r="AT54" s="1677"/>
      <c r="AU54" s="1677"/>
      <c r="AV54" s="1677"/>
      <c r="AW54" s="1677"/>
      <c r="AX54" s="1677"/>
      <c r="AY54" s="1677"/>
      <c r="AZ54" s="1677"/>
      <c r="BA54" s="1677"/>
      <c r="BB54" s="1677"/>
      <c r="BC54" s="1678"/>
    </row>
    <row r="55" spans="2:55" x14ac:dyDescent="0.8">
      <c r="B55" s="22"/>
      <c r="C55" s="131"/>
      <c r="D55" s="1376">
        <v>10.653657453279301</v>
      </c>
      <c r="E55" s="1377">
        <v>-0.125</v>
      </c>
      <c r="F55" s="1377">
        <v>-0.1</v>
      </c>
      <c r="G55" s="1377">
        <v>-7.5000000000000011E-2</v>
      </c>
      <c r="H55" s="1377">
        <v>-0.05</v>
      </c>
      <c r="I55" s="1377">
        <v>-2.5000000000000001E-2</v>
      </c>
      <c r="J55" s="1528">
        <v>0</v>
      </c>
      <c r="K55" s="1377">
        <v>2.5000000000000001E-2</v>
      </c>
      <c r="L55" s="1377">
        <v>0.05</v>
      </c>
      <c r="M55" s="1377">
        <v>7.5000000000000011E-2</v>
      </c>
      <c r="N55" s="1377">
        <v>0.1</v>
      </c>
      <c r="O55" s="1378">
        <v>0.125</v>
      </c>
      <c r="P55" s="22"/>
      <c r="Q55" s="131"/>
      <c r="R55" s="1376">
        <v>10.653657453279301</v>
      </c>
      <c r="S55" s="1377">
        <v>-0.125</v>
      </c>
      <c r="T55" s="1377">
        <v>-0.1</v>
      </c>
      <c r="U55" s="1377">
        <v>-7.5000000000000011E-2</v>
      </c>
      <c r="V55" s="1377">
        <v>-0.05</v>
      </c>
      <c r="W55" s="1377">
        <v>-2.5000000000000001E-2</v>
      </c>
      <c r="X55" s="1528">
        <v>0</v>
      </c>
      <c r="Y55" s="1377">
        <v>2.5000000000000001E-2</v>
      </c>
      <c r="Z55" s="1377">
        <v>0.05</v>
      </c>
      <c r="AA55" s="1377">
        <v>7.5000000000000011E-2</v>
      </c>
      <c r="AB55" s="1377">
        <v>0.1</v>
      </c>
      <c r="AC55" s="1378">
        <v>0.125</v>
      </c>
      <c r="AF55" s="1430"/>
      <c r="AG55" s="1034"/>
      <c r="AH55" s="1436">
        <f>'APV Valuation'!B36</f>
        <v>10.653657453279301</v>
      </c>
      <c r="AI55" s="1439">
        <f t="shared" ref="AI55:AQ55" si="24">AJ55-0.005</f>
        <v>0.29999999999999993</v>
      </c>
      <c r="AJ55" s="1439">
        <f t="shared" si="24"/>
        <v>0.30499999999999994</v>
      </c>
      <c r="AK55" s="1439">
        <f t="shared" si="24"/>
        <v>0.30999999999999994</v>
      </c>
      <c r="AL55" s="1439">
        <f t="shared" si="24"/>
        <v>0.31499999999999995</v>
      </c>
      <c r="AM55" s="1439">
        <f t="shared" si="24"/>
        <v>0.31999999999999995</v>
      </c>
      <c r="AN55" s="1439">
        <f t="shared" si="24"/>
        <v>0.32499999999999996</v>
      </c>
      <c r="AO55" s="1439">
        <f t="shared" si="24"/>
        <v>0.32999999999999996</v>
      </c>
      <c r="AP55" s="1439">
        <f t="shared" si="24"/>
        <v>0.33499999999999996</v>
      </c>
      <c r="AQ55" s="1439">
        <f t="shared" si="24"/>
        <v>0.33999999999999997</v>
      </c>
      <c r="AR55" s="1439">
        <f>AS55-0.005</f>
        <v>0.34499999999999997</v>
      </c>
      <c r="AS55" s="1534">
        <v>0.35</v>
      </c>
      <c r="AT55" s="1439">
        <f>AS55+0.005</f>
        <v>0.35499999999999998</v>
      </c>
      <c r="AU55" s="1439">
        <f t="shared" ref="AU55:BC55" si="25">AT55+0.005</f>
        <v>0.36</v>
      </c>
      <c r="AV55" s="1439">
        <f t="shared" si="25"/>
        <v>0.36499999999999999</v>
      </c>
      <c r="AW55" s="1439">
        <f t="shared" si="25"/>
        <v>0.37</v>
      </c>
      <c r="AX55" s="1439">
        <f t="shared" si="25"/>
        <v>0.375</v>
      </c>
      <c r="AY55" s="1439">
        <f t="shared" si="25"/>
        <v>0.38</v>
      </c>
      <c r="AZ55" s="1439">
        <f t="shared" si="25"/>
        <v>0.38500000000000001</v>
      </c>
      <c r="BA55" s="1439">
        <f t="shared" si="25"/>
        <v>0.39</v>
      </c>
      <c r="BB55" s="1439">
        <f t="shared" si="25"/>
        <v>0.39500000000000002</v>
      </c>
      <c r="BC55" s="1440">
        <f t="shared" si="25"/>
        <v>0.4</v>
      </c>
    </row>
    <row r="56" spans="2:55" x14ac:dyDescent="0.8">
      <c r="B56" s="1685" t="s">
        <v>695</v>
      </c>
      <c r="C56" s="1687" t="s">
        <v>699</v>
      </c>
      <c r="D56" s="1377">
        <v>-0.125</v>
      </c>
      <c r="E56" s="1354">
        <v>10.632310336617893</v>
      </c>
      <c r="F56" s="1354">
        <v>10.633886190946672</v>
      </c>
      <c r="G56" s="1354">
        <v>10.635474019474913</v>
      </c>
      <c r="H56" s="1354">
        <v>10.637073929944743</v>
      </c>
      <c r="I56" s="1354">
        <v>10.638686031211584</v>
      </c>
      <c r="J56" s="1529">
        <v>10.640310433258316</v>
      </c>
      <c r="K56" s="1354">
        <v>10.641947247209508</v>
      </c>
      <c r="L56" s="1354">
        <v>10.643596585346041</v>
      </c>
      <c r="M56" s="1354">
        <v>10.645258561119826</v>
      </c>
      <c r="N56" s="1354">
        <v>10.646933289168848</v>
      </c>
      <c r="O56" s="1365">
        <v>10.648620885332384</v>
      </c>
      <c r="P56" s="1693" t="s">
        <v>695</v>
      </c>
      <c r="Q56" s="1691" t="s">
        <v>703</v>
      </c>
      <c r="R56" s="1377">
        <v>-0.125</v>
      </c>
      <c r="S56" s="1354">
        <v>10.613215356997733</v>
      </c>
      <c r="T56" s="1354">
        <v>10.614008971304754</v>
      </c>
      <c r="U56" s="1354">
        <v>10.614805235148873</v>
      </c>
      <c r="V56" s="1354">
        <v>10.615604157548031</v>
      </c>
      <c r="W56" s="1354">
        <v>10.616405747549587</v>
      </c>
      <c r="X56" s="1529">
        <v>10.61721001423037</v>
      </c>
      <c r="Y56" s="1354">
        <v>10.618016966696761</v>
      </c>
      <c r="Z56" s="1354">
        <v>10.618826614084803</v>
      </c>
      <c r="AA56" s="1354">
        <v>10.619638965560306</v>
      </c>
      <c r="AB56" s="1354">
        <v>10.620454030318907</v>
      </c>
      <c r="AC56" s="1365">
        <v>10.621271817586212</v>
      </c>
      <c r="AF56" s="1571"/>
      <c r="AG56" s="1428"/>
      <c r="AH56" s="1437">
        <f t="shared" ref="AH56:AH60" si="26">AH57-0.005</f>
        <v>3.4537537707466592E-2</v>
      </c>
      <c r="AI56" s="1426">
        <v>14.72594883454013</v>
      </c>
      <c r="AJ56" s="1426">
        <v>14.71328251645561</v>
      </c>
      <c r="AK56" s="1426">
        <v>14.700616224180346</v>
      </c>
      <c r="AL56" s="1426">
        <v>14.68794995789016</v>
      </c>
      <c r="AM56" s="1426">
        <v>14.675283717762422</v>
      </c>
      <c r="AN56" s="1426">
        <v>14.66261750397619</v>
      </c>
      <c r="AO56" s="1426">
        <v>14.649951316712112</v>
      </c>
      <c r="AP56" s="1426">
        <v>14.637285156152505</v>
      </c>
      <c r="AQ56" s="1426">
        <v>14.624619022481371</v>
      </c>
      <c r="AR56" s="1426">
        <v>14.611952915884395</v>
      </c>
      <c r="AS56" s="1533">
        <v>14.599286836548965</v>
      </c>
      <c r="AT56" s="1426">
        <v>14.586620784664241</v>
      </c>
      <c r="AU56" s="1426">
        <v>14.573954760421094</v>
      </c>
      <c r="AV56" s="1426">
        <v>14.561288764012192</v>
      </c>
      <c r="AW56" s="1426">
        <v>14.54862279563198</v>
      </c>
      <c r="AX56" s="1426">
        <v>14.535956855476739</v>
      </c>
      <c r="AY56" s="1426">
        <v>14.523290943744602</v>
      </c>
      <c r="AZ56" s="1426">
        <v>14.510625060635496</v>
      </c>
      <c r="BA56" s="1426">
        <v>14.497959206351293</v>
      </c>
      <c r="BB56" s="1426">
        <v>14.485293381095742</v>
      </c>
      <c r="BC56" s="1431">
        <v>14.47262758507452</v>
      </c>
    </row>
    <row r="57" spans="2:55" x14ac:dyDescent="0.8">
      <c r="B57" s="1685"/>
      <c r="C57" s="1687"/>
      <c r="D57" s="1377">
        <v>-0.1</v>
      </c>
      <c r="E57" s="1354">
        <v>10.634895797296378</v>
      </c>
      <c r="F57" s="1354">
        <v>10.636483323635787</v>
      </c>
      <c r="G57" s="1354">
        <v>10.638082915842219</v>
      </c>
      <c r="H57" s="1354">
        <v>10.639694682547395</v>
      </c>
      <c r="I57" s="1354">
        <v>10.641318733506868</v>
      </c>
      <c r="J57" s="1529">
        <v>10.64295517961436</v>
      </c>
      <c r="K57" s="1354">
        <v>10.644604132916177</v>
      </c>
      <c r="L57" s="1354">
        <v>10.646265706625931</v>
      </c>
      <c r="M57" s="1354">
        <v>10.64794001513949</v>
      </c>
      <c r="N57" s="1354">
        <v>10.649627174050119</v>
      </c>
      <c r="O57" s="1365">
        <v>10.651327300163976</v>
      </c>
      <c r="P57" s="1693"/>
      <c r="Q57" s="1691"/>
      <c r="R57" s="1377">
        <v>-0.1</v>
      </c>
      <c r="S57" s="1354">
        <v>10.620291016421314</v>
      </c>
      <c r="T57" s="1354">
        <v>10.621100364034932</v>
      </c>
      <c r="U57" s="1354">
        <v>10.62191241455332</v>
      </c>
      <c r="V57" s="1354">
        <v>10.622727177180757</v>
      </c>
      <c r="W57" s="1354">
        <v>10.623544661151541</v>
      </c>
      <c r="X57" s="1529">
        <v>10.624364875730043</v>
      </c>
      <c r="Y57" s="1354">
        <v>10.625187830210889</v>
      </c>
      <c r="Z57" s="1354">
        <v>10.626013533918963</v>
      </c>
      <c r="AA57" s="1354">
        <v>10.626841996209553</v>
      </c>
      <c r="AB57" s="1354">
        <v>10.62767322646847</v>
      </c>
      <c r="AC57" s="1365">
        <v>10.62850723411206</v>
      </c>
      <c r="AF57" s="1679" t="s">
        <v>712</v>
      </c>
      <c r="AG57" s="1680"/>
      <c r="AH57" s="1437">
        <f t="shared" si="26"/>
        <v>3.953753770746659E-2</v>
      </c>
      <c r="AI57" s="1426">
        <v>13.764224775419759</v>
      </c>
      <c r="AJ57" s="1426">
        <v>13.75324500889276</v>
      </c>
      <c r="AK57" s="1426">
        <v>13.742265259746366</v>
      </c>
      <c r="AL57" s="1426">
        <v>13.731285528098665</v>
      </c>
      <c r="AM57" s="1426">
        <v>13.720305814068771</v>
      </c>
      <c r="AN57" s="1426">
        <v>13.709326117776941</v>
      </c>
      <c r="AO57" s="1426">
        <v>13.69834643934449</v>
      </c>
      <c r="AP57" s="1426">
        <v>13.687366778893855</v>
      </c>
      <c r="AQ57" s="1426">
        <v>13.6763871365486</v>
      </c>
      <c r="AR57" s="1426">
        <v>13.665407512433417</v>
      </c>
      <c r="AS57" s="1533">
        <v>13.654427906674131</v>
      </c>
      <c r="AT57" s="1426">
        <v>13.643448319397766</v>
      </c>
      <c r="AU57" s="1426">
        <v>13.632468750732487</v>
      </c>
      <c r="AV57" s="1426">
        <v>13.621489200807659</v>
      </c>
      <c r="AW57" s="1426">
        <v>13.610509669753833</v>
      </c>
      <c r="AX57" s="1426">
        <v>13.599530157702803</v>
      </c>
      <c r="AY57" s="1426">
        <v>13.588550664787595</v>
      </c>
      <c r="AZ57" s="1426">
        <v>13.577571191142434</v>
      </c>
      <c r="BA57" s="1426">
        <v>13.566591736902849</v>
      </c>
      <c r="BB57" s="1426">
        <v>13.555612302205628</v>
      </c>
      <c r="BC57" s="1431">
        <v>13.544632887188845</v>
      </c>
    </row>
    <row r="58" spans="2:55" x14ac:dyDescent="0.8">
      <c r="B58" s="1685"/>
      <c r="C58" s="1687"/>
      <c r="D58" s="1377">
        <v>-7.5000000000000011E-2</v>
      </c>
      <c r="E58" s="1354">
        <v>10.637493192666794</v>
      </c>
      <c r="F58" s="1354">
        <v>10.639092458688156</v>
      </c>
      <c r="G58" s="1354">
        <v>10.640703882815316</v>
      </c>
      <c r="H58" s="1354">
        <v>10.642327574575967</v>
      </c>
      <c r="I58" s="1354">
        <v>10.643963644632267</v>
      </c>
      <c r="J58" s="1529">
        <v>10.645612204795336</v>
      </c>
      <c r="K58" s="1354">
        <v>10.647273368039853</v>
      </c>
      <c r="L58" s="1354">
        <v>10.64894724851891</v>
      </c>
      <c r="M58" s="1354">
        <v>10.650633961579159</v>
      </c>
      <c r="N58" s="1354">
        <v>10.652333623776132</v>
      </c>
      <c r="O58" s="1365">
        <v>10.654046352889848</v>
      </c>
      <c r="P58" s="1693"/>
      <c r="Q58" s="1691"/>
      <c r="R58" s="1377">
        <v>-7.5000000000000011E-2</v>
      </c>
      <c r="S58" s="1354">
        <v>10.627432431161871</v>
      </c>
      <c r="T58" s="1354">
        <v>10.628257709439776</v>
      </c>
      <c r="U58" s="1354">
        <v>10.629085744688018</v>
      </c>
      <c r="V58" s="1354">
        <v>10.629916546299745</v>
      </c>
      <c r="W58" s="1354">
        <v>10.630750123698782</v>
      </c>
      <c r="X58" s="1529">
        <v>10.631586486339698</v>
      </c>
      <c r="Y58" s="1354">
        <v>10.632425643707892</v>
      </c>
      <c r="Z58" s="1354">
        <v>10.633267605319757</v>
      </c>
      <c r="AA58" s="1354">
        <v>10.634112380722678</v>
      </c>
      <c r="AB58" s="1354">
        <v>10.634959979495219</v>
      </c>
      <c r="AC58" s="1365">
        <v>10.635810411247192</v>
      </c>
      <c r="AF58" s="1679"/>
      <c r="AG58" s="1680"/>
      <c r="AH58" s="1437">
        <f t="shared" si="26"/>
        <v>4.4537537707466587E-2</v>
      </c>
      <c r="AI58" s="1426">
        <v>12.954338344718527</v>
      </c>
      <c r="AJ58" s="1426">
        <v>12.94475475975811</v>
      </c>
      <c r="AK58" s="1426">
        <v>12.93517118672295</v>
      </c>
      <c r="AL58" s="1426">
        <v>12.925587625693892</v>
      </c>
      <c r="AM58" s="1426">
        <v>12.916004076752467</v>
      </c>
      <c r="AN58" s="1426">
        <v>12.906420539980997</v>
      </c>
      <c r="AO58" s="1426">
        <v>12.896837015462525</v>
      </c>
      <c r="AP58" s="1426">
        <v>12.887253503280849</v>
      </c>
      <c r="AQ58" s="1426">
        <v>12.877670003520549</v>
      </c>
      <c r="AR58" s="1426">
        <v>12.868086516266974</v>
      </c>
      <c r="AS58" s="1533">
        <v>12.858503041606243</v>
      </c>
      <c r="AT58" s="1426">
        <v>12.848919579625292</v>
      </c>
      <c r="AU58" s="1426">
        <v>12.839336130411835</v>
      </c>
      <c r="AV58" s="1426">
        <v>12.829752694054415</v>
      </c>
      <c r="AW58" s="1426">
        <v>12.820169270642381</v>
      </c>
      <c r="AX58" s="1426">
        <v>12.810585860265924</v>
      </c>
      <c r="AY58" s="1426">
        <v>12.801002463016079</v>
      </c>
      <c r="AZ58" s="1426">
        <v>12.791419078984703</v>
      </c>
      <c r="BA58" s="1426">
        <v>12.781835708264545</v>
      </c>
      <c r="BB58" s="1426">
        <v>12.772252350949206</v>
      </c>
      <c r="BC58" s="1431">
        <v>12.762669007133171</v>
      </c>
    </row>
    <row r="59" spans="2:55" x14ac:dyDescent="0.8">
      <c r="B59" s="1685"/>
      <c r="C59" s="1687"/>
      <c r="D59" s="1377">
        <v>-0.05</v>
      </c>
      <c r="E59" s="1354">
        <v>10.640102571066739</v>
      </c>
      <c r="F59" s="1354">
        <v>10.641713644752015</v>
      </c>
      <c r="G59" s="1354">
        <v>10.643336969356167</v>
      </c>
      <c r="H59" s="1354">
        <v>10.644972655309225</v>
      </c>
      <c r="I59" s="1354">
        <v>10.646620814186477</v>
      </c>
      <c r="J59" s="1529">
        <v>10.648281558723033</v>
      </c>
      <c r="K59" s="1354">
        <v>10.649955002828628</v>
      </c>
      <c r="L59" s="1354">
        <v>10.651641261602627</v>
      </c>
      <c r="M59" s="1354">
        <v>10.653340451349376</v>
      </c>
      <c r="N59" s="1354">
        <v>10.655052689593623</v>
      </c>
      <c r="O59" s="1365">
        <v>10.656778095096405</v>
      </c>
      <c r="P59" s="1693"/>
      <c r="Q59" s="1691"/>
      <c r="R59" s="1377">
        <v>-0.05</v>
      </c>
      <c r="S59" s="1354">
        <v>10.634640154565494</v>
      </c>
      <c r="T59" s="1354">
        <v>10.635481562663138</v>
      </c>
      <c r="U59" s="1354">
        <v>10.636325782501494</v>
      </c>
      <c r="V59" s="1354">
        <v>10.637172823665182</v>
      </c>
      <c r="W59" s="1354">
        <v>10.638022695770168</v>
      </c>
      <c r="X59" s="1529">
        <v>10.638875408463816</v>
      </c>
      <c r="Y59" s="1354">
        <v>10.639730971424981</v>
      </c>
      <c r="Z59" s="1354">
        <v>10.640589394364131</v>
      </c>
      <c r="AA59" s="1354">
        <v>10.641450687023463</v>
      </c>
      <c r="AB59" s="1354">
        <v>10.642314859176942</v>
      </c>
      <c r="AC59" s="1365">
        <v>10.643181920630481</v>
      </c>
      <c r="AF59" s="1679"/>
      <c r="AG59" s="1680"/>
      <c r="AH59" s="1437">
        <f t="shared" si="26"/>
        <v>4.9537537707466585E-2</v>
      </c>
      <c r="AI59" s="1426">
        <v>12.26499214960579</v>
      </c>
      <c r="AJ59" s="1426">
        <v>12.256575895476228</v>
      </c>
      <c r="AK59" s="1426">
        <v>12.248159649662423</v>
      </c>
      <c r="AL59" s="1426">
        <v>12.239743412220632</v>
      </c>
      <c r="AM59" s="1426">
        <v>12.231327183207592</v>
      </c>
      <c r="AN59" s="1426">
        <v>12.222910962680595</v>
      </c>
      <c r="AO59" s="1426">
        <v>12.214494750697433</v>
      </c>
      <c r="AP59" s="1426">
        <v>12.206078547316409</v>
      </c>
      <c r="AQ59" s="1426">
        <v>12.197662352596389</v>
      </c>
      <c r="AR59" s="1426">
        <v>12.189246166596751</v>
      </c>
      <c r="AS59" s="1533">
        <v>12.180829989377433</v>
      </c>
      <c r="AT59" s="1426">
        <v>12.172413820998919</v>
      </c>
      <c r="AU59" s="1426">
        <v>12.16399766152225</v>
      </c>
      <c r="AV59" s="1426">
        <v>12.155581511009027</v>
      </c>
      <c r="AW59" s="1426">
        <v>12.147165369521414</v>
      </c>
      <c r="AX59" s="1426">
        <v>12.138749237122168</v>
      </c>
      <c r="AY59" s="1426">
        <v>12.130333113874633</v>
      </c>
      <c r="AZ59" s="1426">
        <v>12.121916999842711</v>
      </c>
      <c r="BA59" s="1426">
        <v>12.113500895090931</v>
      </c>
      <c r="BB59" s="1426">
        <v>12.105084799684418</v>
      </c>
      <c r="BC59" s="1431">
        <v>12.096668713688899</v>
      </c>
    </row>
    <row r="60" spans="2:55" x14ac:dyDescent="0.8">
      <c r="B60" s="1685"/>
      <c r="C60" s="1687"/>
      <c r="D60" s="1377">
        <v>-2.5000000000000001E-2</v>
      </c>
      <c r="E60" s="1354">
        <v>10.642723980982497</v>
      </c>
      <c r="F60" s="1354">
        <v>10.644346930625513</v>
      </c>
      <c r="G60" s="1354">
        <v>10.645982224577772</v>
      </c>
      <c r="H60" s="1354">
        <v>10.647629974178159</v>
      </c>
      <c r="I60" s="1354">
        <v>10.649290291921599</v>
      </c>
      <c r="J60" s="1529">
        <v>10.650963291473866</v>
      </c>
      <c r="K60" s="1354">
        <v>10.652649087686454</v>
      </c>
      <c r="L60" s="1354">
        <v>10.654347796611878</v>
      </c>
      <c r="M60" s="1354">
        <v>10.656059535519065</v>
      </c>
      <c r="N60" s="1354">
        <v>10.657784422909065</v>
      </c>
      <c r="O60" s="1365">
        <v>10.659522578531018</v>
      </c>
      <c r="P60" s="1693"/>
      <c r="Q60" s="1691"/>
      <c r="R60" s="1377">
        <v>-2.5000000000000001E-2</v>
      </c>
      <c r="S60" s="1354">
        <v>10.641914743192533</v>
      </c>
      <c r="T60" s="1354">
        <v>10.642772482075813</v>
      </c>
      <c r="U60" s="1354">
        <v>10.643633088181923</v>
      </c>
      <c r="V60" s="1354">
        <v>10.644496571289633</v>
      </c>
      <c r="W60" s="1354">
        <v>10.645362941209692</v>
      </c>
      <c r="X60" s="1529">
        <v>10.646232207784884</v>
      </c>
      <c r="Y60" s="1354">
        <v>10.647104380890186</v>
      </c>
      <c r="Z60" s="1354">
        <v>10.64797947043286</v>
      </c>
      <c r="AA60" s="1354">
        <v>10.648857486352519</v>
      </c>
      <c r="AB60" s="1354">
        <v>10.649738438621272</v>
      </c>
      <c r="AC60" s="1365">
        <v>10.65062233724381</v>
      </c>
      <c r="AF60" s="1679"/>
      <c r="AG60" s="1680"/>
      <c r="AH60" s="1437">
        <f t="shared" si="26"/>
        <v>5.4537537707466582E-2</v>
      </c>
      <c r="AI60" s="1426">
        <v>11.672784094242619</v>
      </c>
      <c r="AJ60" s="1426">
        <v>11.665352364856888</v>
      </c>
      <c r="AK60" s="1426">
        <v>11.657920641352725</v>
      </c>
      <c r="AL60" s="1426">
        <v>11.650488923769858</v>
      </c>
      <c r="AM60" s="1426">
        <v>11.64305721214834</v>
      </c>
      <c r="AN60" s="1426">
        <v>11.635625506528623</v>
      </c>
      <c r="AO60" s="1426">
        <v>11.628193806951499</v>
      </c>
      <c r="AP60" s="1426">
        <v>11.620762113458145</v>
      </c>
      <c r="AQ60" s="1426">
        <v>11.61333042609011</v>
      </c>
      <c r="AR60" s="1426">
        <v>11.605898744889318</v>
      </c>
      <c r="AS60" s="1533">
        <v>11.598467069898074</v>
      </c>
      <c r="AT60" s="1426">
        <v>11.591035401159088</v>
      </c>
      <c r="AU60" s="1426">
        <v>11.583603738715441</v>
      </c>
      <c r="AV60" s="1426">
        <v>11.576172082610627</v>
      </c>
      <c r="AW60" s="1426">
        <v>11.568740432888521</v>
      </c>
      <c r="AX60" s="1426">
        <v>11.561308789593435</v>
      </c>
      <c r="AY60" s="1426">
        <v>11.553877152770067</v>
      </c>
      <c r="AZ60" s="1426">
        <v>11.546445522463534</v>
      </c>
      <c r="BA60" s="1426">
        <v>11.539013898719386</v>
      </c>
      <c r="BB60" s="1426">
        <v>11.531582281583583</v>
      </c>
      <c r="BC60" s="1431">
        <v>11.524150671102534</v>
      </c>
    </row>
    <row r="61" spans="2:55" x14ac:dyDescent="0.8">
      <c r="B61" s="1685"/>
      <c r="C61" s="1687"/>
      <c r="D61" s="1528">
        <v>0</v>
      </c>
      <c r="E61" s="1529">
        <v>10.645357471049467</v>
      </c>
      <c r="F61" s="1529">
        <v>10.64699236525699</v>
      </c>
      <c r="G61" s="1529">
        <v>10.648639697744565</v>
      </c>
      <c r="H61" s="1529">
        <v>10.650299580766367</v>
      </c>
      <c r="I61" s="1529">
        <v>10.651972127743592</v>
      </c>
      <c r="J61" s="1593">
        <v>10.653657453279301</v>
      </c>
      <c r="K61" s="1529">
        <v>10.655355673173613</v>
      </c>
      <c r="L61" s="1529">
        <v>10.657066904438992</v>
      </c>
      <c r="M61" s="1529">
        <v>10.65879126531599</v>
      </c>
      <c r="N61" s="1529">
        <v>10.660528875288993</v>
      </c>
      <c r="O61" s="1531">
        <v>10.662279855102463</v>
      </c>
      <c r="P61" s="1693"/>
      <c r="Q61" s="1691"/>
      <c r="R61" s="1528">
        <v>0</v>
      </c>
      <c r="S61" s="1529">
        <v>10.649256756833312</v>
      </c>
      <c r="T61" s="1529">
        <v>10.650131029291172</v>
      </c>
      <c r="U61" s="1529">
        <v>10.651008225172829</v>
      </c>
      <c r="V61" s="1529">
        <v>10.651888354453821</v>
      </c>
      <c r="W61" s="1529">
        <v>10.652771427142339</v>
      </c>
      <c r="X61" s="1356">
        <v>10.653657453279301</v>
      </c>
      <c r="Y61" s="1529">
        <v>10.654546442938495</v>
      </c>
      <c r="Z61" s="1529">
        <v>10.655438406226622</v>
      </c>
      <c r="AA61" s="1529">
        <v>10.656333353283468</v>
      </c>
      <c r="AB61" s="1529">
        <v>10.65723129428198</v>
      </c>
      <c r="AC61" s="1531">
        <v>10.658132239428364</v>
      </c>
      <c r="AF61" s="1679"/>
      <c r="AG61" s="1680"/>
      <c r="AH61" s="1437">
        <f>AH62-0.005</f>
        <v>5.953753770746658E-2</v>
      </c>
      <c r="AI61" s="1426">
        <v>11.159876733230288</v>
      </c>
      <c r="AJ61" s="1426">
        <v>11.153281782222916</v>
      </c>
      <c r="AK61" s="1426">
        <v>11.146686835427932</v>
      </c>
      <c r="AL61" s="1426">
        <v>11.140091892873743</v>
      </c>
      <c r="AM61" s="1426">
        <v>11.133496954588999</v>
      </c>
      <c r="AN61" s="1426">
        <v>11.126902020602627</v>
      </c>
      <c r="AO61" s="1426">
        <v>11.120307090943784</v>
      </c>
      <c r="AP61" s="1426">
        <v>11.113712165641923</v>
      </c>
      <c r="AQ61" s="1426">
        <v>11.10711724472675</v>
      </c>
      <c r="AR61" s="1426">
        <v>11.100522328228241</v>
      </c>
      <c r="AS61" s="1533">
        <v>11.093927416176649</v>
      </c>
      <c r="AT61" s="1426">
        <v>11.087332508602509</v>
      </c>
      <c r="AU61" s="1426">
        <v>11.080737605536626</v>
      </c>
      <c r="AV61" s="1426">
        <v>11.074142707010092</v>
      </c>
      <c r="AW61" s="1426">
        <v>11.067547813054286</v>
      </c>
      <c r="AX61" s="1426">
        <v>11.06095292370088</v>
      </c>
      <c r="AY61" s="1426">
        <v>11.054358038981846</v>
      </c>
      <c r="AZ61" s="1426">
        <v>11.047763158929422</v>
      </c>
      <c r="BA61" s="1426">
        <v>11.041168283576184</v>
      </c>
      <c r="BB61" s="1426">
        <v>11.034573412954988</v>
      </c>
      <c r="BC61" s="1431">
        <v>11.027978547099007</v>
      </c>
    </row>
    <row r="62" spans="2:55" x14ac:dyDescent="0.8">
      <c r="B62" s="1685"/>
      <c r="C62" s="1687"/>
      <c r="D62" s="1377">
        <v>2.5000000000000001E-2</v>
      </c>
      <c r="E62" s="1354">
        <v>10.648003090052457</v>
      </c>
      <c r="F62" s="1354">
        <v>10.649649997745437</v>
      </c>
      <c r="G62" s="1354">
        <v>10.651309438272738</v>
      </c>
      <c r="H62" s="1354">
        <v>10.65298152481043</v>
      </c>
      <c r="I62" s="1354">
        <v>10.654666371712558</v>
      </c>
      <c r="J62" s="1529">
        <v>10.656364094526246</v>
      </c>
      <c r="K62" s="1354">
        <v>10.658074810006994</v>
      </c>
      <c r="L62" s="1354">
        <v>10.659798636134225</v>
      </c>
      <c r="M62" s="1354">
        <v>10.661535692127053</v>
      </c>
      <c r="N62" s="1354">
        <v>10.66328609846042</v>
      </c>
      <c r="O62" s="1365">
        <v>10.665049976881303</v>
      </c>
      <c r="P62" s="1693"/>
      <c r="Q62" s="1691"/>
      <c r="R62" s="1377">
        <v>2.5000000000000001E-2</v>
      </c>
      <c r="S62" s="1354">
        <v>10.656666758523787</v>
      </c>
      <c r="T62" s="1354">
        <v>10.657557769181054</v>
      </c>
      <c r="U62" s="1354">
        <v>10.658451760188958</v>
      </c>
      <c r="V62" s="1354">
        <v>10.65934874172255</v>
      </c>
      <c r="W62" s="1354">
        <v>10.660248723990128</v>
      </c>
      <c r="X62" s="1529">
        <v>10.661151717233468</v>
      </c>
      <c r="Y62" s="1354">
        <v>10.66205773172784</v>
      </c>
      <c r="Z62" s="1354">
        <v>10.662966777782177</v>
      </c>
      <c r="AA62" s="1354">
        <v>10.663878865739134</v>
      </c>
      <c r="AB62" s="1354">
        <v>10.66479400597524</v>
      </c>
      <c r="AC62" s="1365">
        <v>10.665712208900995</v>
      </c>
      <c r="AF62" s="1679"/>
      <c r="AG62" s="1680"/>
      <c r="AH62" s="1532">
        <v>6.4537537707466577E-2</v>
      </c>
      <c r="AI62" s="1533">
        <v>10.712445519887204</v>
      </c>
      <c r="AJ62" s="1533">
        <v>10.706566699247309</v>
      </c>
      <c r="AK62" s="1533">
        <v>10.700687881658231</v>
      </c>
      <c r="AL62" s="1533">
        <v>10.694809067140518</v>
      </c>
      <c r="AM62" s="1533">
        <v>10.688930255714887</v>
      </c>
      <c r="AN62" s="1533">
        <v>10.683051447402255</v>
      </c>
      <c r="AO62" s="1533">
        <v>10.67717264222372</v>
      </c>
      <c r="AP62" s="1533">
        <v>10.671293840200573</v>
      </c>
      <c r="AQ62" s="1533">
        <v>10.665415041354304</v>
      </c>
      <c r="AR62" s="1533">
        <v>10.659536245706587</v>
      </c>
      <c r="AS62" s="1441">
        <v>10.653657453279301</v>
      </c>
      <c r="AT62" s="1533">
        <v>10.647778664094533</v>
      </c>
      <c r="AU62" s="1533">
        <v>10.64189987817455</v>
      </c>
      <c r="AV62" s="1533">
        <v>10.636021095541853</v>
      </c>
      <c r="AW62" s="1533">
        <v>10.630142316219116</v>
      </c>
      <c r="AX62" s="1533">
        <v>10.624263540229256</v>
      </c>
      <c r="AY62" s="1533">
        <v>10.618384767595378</v>
      </c>
      <c r="AZ62" s="1533">
        <v>10.612505998340811</v>
      </c>
      <c r="BA62" s="1533">
        <v>10.606627232489101</v>
      </c>
      <c r="BB62" s="1533">
        <v>10.600748470064008</v>
      </c>
      <c r="BC62" s="1536">
        <v>10.594869711089521</v>
      </c>
    </row>
    <row r="63" spans="2:55" x14ac:dyDescent="0.8">
      <c r="B63" s="1685"/>
      <c r="C63" s="1687"/>
      <c r="D63" s="1377">
        <v>0.05</v>
      </c>
      <c r="E63" s="1354">
        <v>10.650660886926078</v>
      </c>
      <c r="F63" s="1354">
        <v>10.65231987734078</v>
      </c>
      <c r="G63" s="1354">
        <v>10.653991495730688</v>
      </c>
      <c r="H63" s="1354">
        <v>10.655675856200292</v>
      </c>
      <c r="I63" s="1354">
        <v>10.657373074043203</v>
      </c>
      <c r="J63" s="1529">
        <v>10.659083265757376</v>
      </c>
      <c r="K63" s="1354">
        <v>10.660806549060579</v>
      </c>
      <c r="L63" s="1354">
        <v>10.662543042906119</v>
      </c>
      <c r="M63" s="1354">
        <v>10.664292867498819</v>
      </c>
      <c r="N63" s="1354">
        <v>10.666056144311282</v>
      </c>
      <c r="O63" s="1365">
        <v>10.667832996100316</v>
      </c>
      <c r="P63" s="1693"/>
      <c r="Q63" s="1691"/>
      <c r="R63" s="1377">
        <v>0.05</v>
      </c>
      <c r="S63" s="1354">
        <v>10.664145314561344</v>
      </c>
      <c r="T63" s="1354">
        <v>10.665053269891478</v>
      </c>
      <c r="U63" s="1354">
        <v>10.665964263232185</v>
      </c>
      <c r="V63" s="1354">
        <v>10.666878304960646</v>
      </c>
      <c r="W63" s="1354">
        <v>10.667795405488079</v>
      </c>
      <c r="X63" s="1529">
        <v>10.668715575259791</v>
      </c>
      <c r="Y63" s="1354">
        <v>10.669638824755316</v>
      </c>
      <c r="Z63" s="1354">
        <v>10.670565164488554</v>
      </c>
      <c r="AA63" s="1354">
        <v>10.671494605007814</v>
      </c>
      <c r="AB63" s="1354">
        <v>10.672427156895978</v>
      </c>
      <c r="AC63" s="1365">
        <v>10.673362830770598</v>
      </c>
      <c r="AF63" s="1679"/>
      <c r="AG63" s="1680"/>
      <c r="AH63" s="1437">
        <f>AH62+0.005</f>
        <v>6.9537537707466582E-2</v>
      </c>
      <c r="AI63" s="1426">
        <v>10.319618290523469</v>
      </c>
      <c r="AJ63" s="1426">
        <v>10.314356174760624</v>
      </c>
      <c r="AK63" s="1426">
        <v>10.309094061229604</v>
      </c>
      <c r="AL63" s="1426">
        <v>10.303831949945426</v>
      </c>
      <c r="AM63" s="1426">
        <v>10.298569840923225</v>
      </c>
      <c r="AN63" s="1426">
        <v>10.293307734178283</v>
      </c>
      <c r="AO63" s="1426">
        <v>10.288045629726014</v>
      </c>
      <c r="AP63" s="1426">
        <v>10.282783527581975</v>
      </c>
      <c r="AQ63" s="1426">
        <v>10.277521427761863</v>
      </c>
      <c r="AR63" s="1426">
        <v>10.272259330281519</v>
      </c>
      <c r="AS63" s="1533">
        <v>10.266997235156927</v>
      </c>
      <c r="AT63" s="1426">
        <v>10.261735142404216</v>
      </c>
      <c r="AU63" s="1426">
        <v>10.256473052039665</v>
      </c>
      <c r="AV63" s="1426">
        <v>10.251210964079698</v>
      </c>
      <c r="AW63" s="1426">
        <v>10.245948878540892</v>
      </c>
      <c r="AX63" s="1426">
        <v>10.240686795439983</v>
      </c>
      <c r="AY63" s="1426">
        <v>10.235424714793854</v>
      </c>
      <c r="AZ63" s="1426">
        <v>10.230162636619545</v>
      </c>
      <c r="BA63" s="1426">
        <v>10.224900560934252</v>
      </c>
      <c r="BB63" s="1426">
        <v>10.219638487755342</v>
      </c>
      <c r="BC63" s="1431">
        <v>10.214376417100334</v>
      </c>
    </row>
    <row r="64" spans="2:55" x14ac:dyDescent="0.8">
      <c r="B64" s="1685"/>
      <c r="C64" s="1687"/>
      <c r="D64" s="1377">
        <v>7.5000000000000011E-2</v>
      </c>
      <c r="E64" s="1354">
        <v>10.653330910755114</v>
      </c>
      <c r="F64" s="1354">
        <v>10.655002053444303</v>
      </c>
      <c r="G64" s="1354">
        <v>10.656685919839274</v>
      </c>
      <c r="H64" s="1354">
        <v>10.658382624979602</v>
      </c>
      <c r="I64" s="1354">
        <v>10.660092285105167</v>
      </c>
      <c r="J64" s="1529">
        <v>10.661815017671561</v>
      </c>
      <c r="K64" s="1354">
        <v>10.663550941365745</v>
      </c>
      <c r="L64" s="1354">
        <v>10.665300176121937</v>
      </c>
      <c r="M64" s="1354">
        <v>10.667062843137771</v>
      </c>
      <c r="N64" s="1354">
        <v>10.668839064890744</v>
      </c>
      <c r="O64" s="1365">
        <v>10.670628965154831</v>
      </c>
      <c r="P64" s="1693"/>
      <c r="Q64" s="1691"/>
      <c r="R64" s="1377">
        <v>7.5000000000000011E-2</v>
      </c>
      <c r="S64" s="1354">
        <v>10.671692994520605</v>
      </c>
      <c r="T64" s="1354">
        <v>10.672618102858635</v>
      </c>
      <c r="U64" s="1354">
        <v>10.673546307607385</v>
      </c>
      <c r="V64" s="1354">
        <v>10.674477619348991</v>
      </c>
      <c r="W64" s="1354">
        <v>10.675412048700272</v>
      </c>
      <c r="X64" s="1529">
        <v>10.676349606312865</v>
      </c>
      <c r="Y64" s="1354">
        <v>10.677290302873358</v>
      </c>
      <c r="Z64" s="1354">
        <v>10.678234149103348</v>
      </c>
      <c r="AA64" s="1354">
        <v>10.679181155759624</v>
      </c>
      <c r="AB64" s="1354">
        <v>10.680131333634222</v>
      </c>
      <c r="AC64" s="1365">
        <v>10.681084693554551</v>
      </c>
      <c r="AF64" s="1679"/>
      <c r="AG64" s="1680"/>
      <c r="AH64" s="1437">
        <f t="shared" ref="AH64:AH68" si="27">AH63+0.005</f>
        <v>7.4537537707466586E-2</v>
      </c>
      <c r="AI64" s="1426">
        <v>9.972733663128249</v>
      </c>
      <c r="AJ64" s="1426">
        <v>9.968005642581323</v>
      </c>
      <c r="AK64" s="1426">
        <v>9.9632776236819609</v>
      </c>
      <c r="AL64" s="1426">
        <v>9.9585496064412347</v>
      </c>
      <c r="AM64" s="1426">
        <v>9.9538215908702998</v>
      </c>
      <c r="AN64" s="1426">
        <v>9.9490935769804256</v>
      </c>
      <c r="AO64" s="1426">
        <v>9.9443655647829843</v>
      </c>
      <c r="AP64" s="1426">
        <v>9.9396375542894368</v>
      </c>
      <c r="AQ64" s="1426">
        <v>9.9349095455113705</v>
      </c>
      <c r="AR64" s="1426">
        <v>9.9301815384604524</v>
      </c>
      <c r="AS64" s="1533">
        <v>9.9254535331484757</v>
      </c>
      <c r="AT64" s="1426">
        <v>9.9207255295873331</v>
      </c>
      <c r="AU64" s="1426">
        <v>9.915997527789024</v>
      </c>
      <c r="AV64" s="1426">
        <v>9.9112695277656613</v>
      </c>
      <c r="AW64" s="1426">
        <v>9.9065415295294645</v>
      </c>
      <c r="AX64" s="1426">
        <v>9.9018135330927723</v>
      </c>
      <c r="AY64" s="1426">
        <v>9.8970855384680387</v>
      </c>
      <c r="AZ64" s="1426">
        <v>9.892357545667819</v>
      </c>
      <c r="BA64" s="1426">
        <v>9.8876295547047981</v>
      </c>
      <c r="BB64" s="1426">
        <v>9.8829015655917747</v>
      </c>
      <c r="BC64" s="1431">
        <v>9.8781735783416664</v>
      </c>
    </row>
    <row r="65" spans="2:55" x14ac:dyDescent="0.8">
      <c r="B65" s="1685"/>
      <c r="C65" s="1687"/>
      <c r="D65" s="1377">
        <v>0.1</v>
      </c>
      <c r="E65" s="1354">
        <v>10.656013210774894</v>
      </c>
      <c r="F65" s="1354">
        <v>10.657696575608988</v>
      </c>
      <c r="G65" s="1354">
        <v>10.659392760472317</v>
      </c>
      <c r="H65" s="1354">
        <v>10.661101881346166</v>
      </c>
      <c r="I65" s="1354">
        <v>10.662824055423435</v>
      </c>
      <c r="J65" s="1529">
        <v>10.664559401124245</v>
      </c>
      <c r="K65" s="1354">
        <v>10.666308038111705</v>
      </c>
      <c r="L65" s="1354">
        <v>10.668070087308013</v>
      </c>
      <c r="M65" s="1354">
        <v>10.669845670910791</v>
      </c>
      <c r="N65" s="1354">
        <v>10.671634912409676</v>
      </c>
      <c r="O65" s="1365">
        <v>10.673437936603232</v>
      </c>
      <c r="P65" s="1693"/>
      <c r="Q65" s="1691"/>
      <c r="R65" s="1377">
        <v>0.1</v>
      </c>
      <c r="S65" s="1354">
        <v>10.679310371269279</v>
      </c>
      <c r="T65" s="1354">
        <v>10.680252842824704</v>
      </c>
      <c r="U65" s="1354">
        <v>10.68119846993852</v>
      </c>
      <c r="V65" s="1354">
        <v>10.682147263400537</v>
      </c>
      <c r="W65" s="1354">
        <v>10.683099234035987</v>
      </c>
      <c r="X65" s="1529">
        <v>10.684054392705661</v>
      </c>
      <c r="Y65" s="1354">
        <v>10.685012750305919</v>
      </c>
      <c r="Z65" s="1354">
        <v>10.685974317768961</v>
      </c>
      <c r="AA65" s="1354">
        <v>10.68693910606282</v>
      </c>
      <c r="AB65" s="1354">
        <v>10.687907126191526</v>
      </c>
      <c r="AC65" s="1365">
        <v>10.688878389195214</v>
      </c>
      <c r="AF65" s="1679"/>
      <c r="AG65" s="1680"/>
      <c r="AH65" s="1437">
        <f t="shared" si="27"/>
        <v>7.9537537707466591E-2</v>
      </c>
      <c r="AI65" s="1426">
        <v>9.664811821797775</v>
      </c>
      <c r="AJ65" s="1426">
        <v>9.660548750375618</v>
      </c>
      <c r="AK65" s="1426">
        <v>9.6562856801797796</v>
      </c>
      <c r="AL65" s="1426">
        <v>9.6520226112184844</v>
      </c>
      <c r="AM65" s="1426">
        <v>9.647759543500035</v>
      </c>
      <c r="AN65" s="1426">
        <v>9.6434964770328051</v>
      </c>
      <c r="AO65" s="1426">
        <v>9.6392334118252521</v>
      </c>
      <c r="AP65" s="1426">
        <v>9.6349703478859041</v>
      </c>
      <c r="AQ65" s="1426">
        <v>9.6307072852233642</v>
      </c>
      <c r="AR65" s="1426">
        <v>9.6264442238463204</v>
      </c>
      <c r="AS65" s="1533">
        <v>9.6221811637635319</v>
      </c>
      <c r="AT65" s="1426">
        <v>9.6179181049838434</v>
      </c>
      <c r="AU65" s="1426">
        <v>9.6136550475161791</v>
      </c>
      <c r="AV65" s="1426">
        <v>9.6093919913695416</v>
      </c>
      <c r="AW65" s="1426">
        <v>9.6051289365530188</v>
      </c>
      <c r="AX65" s="1426">
        <v>9.6008658830757856</v>
      </c>
      <c r="AY65" s="1426">
        <v>9.596602830947095</v>
      </c>
      <c r="AZ65" s="1426">
        <v>9.5923397801762889</v>
      </c>
      <c r="BA65" s="1426">
        <v>9.5880767307727925</v>
      </c>
      <c r="BB65" s="1426">
        <v>9.5838136827461238</v>
      </c>
      <c r="BC65" s="1431">
        <v>9.5795506361058838</v>
      </c>
    </row>
    <row r="66" spans="2:55" ht="16.75" thickBot="1" x14ac:dyDescent="0.95">
      <c r="B66" s="1686"/>
      <c r="C66" s="1688"/>
      <c r="D66" s="1379">
        <v>0.125</v>
      </c>
      <c r="E66" s="1367">
        <v>10.658707836371601</v>
      </c>
      <c r="F66" s="1367">
        <v>10.660403493539908</v>
      </c>
      <c r="G66" s="1367">
        <v>10.662112067656857</v>
      </c>
      <c r="H66" s="1367">
        <v>10.663833675652192</v>
      </c>
      <c r="I66" s="1367">
        <v>10.665568435678672</v>
      </c>
      <c r="J66" s="1530">
        <v>10.667316467127806</v>
      </c>
      <c r="K66" s="1367">
        <v>10.669077890645882</v>
      </c>
      <c r="L66" s="1367">
        <v>10.670852828150178</v>
      </c>
      <c r="M66" s="1367">
        <v>10.672641402845514</v>
      </c>
      <c r="N66" s="1367">
        <v>10.674443739241033</v>
      </c>
      <c r="O66" s="1369">
        <v>10.676259963167258</v>
      </c>
      <c r="P66" s="1694"/>
      <c r="Q66" s="1692"/>
      <c r="R66" s="1379">
        <v>0.125</v>
      </c>
      <c r="S66" s="1367">
        <v>10.686998020984104</v>
      </c>
      <c r="T66" s="1367">
        <v>10.687958067853906</v>
      </c>
      <c r="U66" s="1367">
        <v>10.688921330184563</v>
      </c>
      <c r="V66" s="1367">
        <v>10.689887818976404</v>
      </c>
      <c r="W66" s="1367">
        <v>10.690857545265869</v>
      </c>
      <c r="X66" s="1530">
        <v>10.691830520125666</v>
      </c>
      <c r="Y66" s="1367">
        <v>10.692806754664838</v>
      </c>
      <c r="Z66" s="1367">
        <v>10.693786260028981</v>
      </c>
      <c r="AA66" s="1367">
        <v>10.69476904740023</v>
      </c>
      <c r="AB66" s="1367">
        <v>10.695755127997494</v>
      </c>
      <c r="AC66" s="1369">
        <v>10.696744513076474</v>
      </c>
      <c r="AF66" s="1679"/>
      <c r="AG66" s="1680"/>
      <c r="AH66" s="1437">
        <f t="shared" si="27"/>
        <v>8.4537537707466595E-2</v>
      </c>
      <c r="AI66" s="1426">
        <v>9.3901699769861526</v>
      </c>
      <c r="AJ66" s="1426">
        <v>9.3863135893965222</v>
      </c>
      <c r="AK66" s="1426">
        <v>9.3824572027265578</v>
      </c>
      <c r="AL66" s="1426">
        <v>9.3786008169824306</v>
      </c>
      <c r="AM66" s="1426">
        <v>9.3747444321703615</v>
      </c>
      <c r="AN66" s="1426">
        <v>9.3708880482966208</v>
      </c>
      <c r="AO66" s="1426">
        <v>9.3670316653675449</v>
      </c>
      <c r="AP66" s="1426">
        <v>9.3631752833895252</v>
      </c>
      <c r="AQ66" s="1426">
        <v>9.3593189023690098</v>
      </c>
      <c r="AR66" s="1426">
        <v>9.3554625223124965</v>
      </c>
      <c r="AS66" s="1533">
        <v>9.3516061432265634</v>
      </c>
      <c r="AT66" s="1426">
        <v>9.3477497651178272</v>
      </c>
      <c r="AU66" s="1426">
        <v>9.3438933879929742</v>
      </c>
      <c r="AV66" s="1426">
        <v>9.3400370118587563</v>
      </c>
      <c r="AW66" s="1426">
        <v>9.3361806367219735</v>
      </c>
      <c r="AX66" s="1426">
        <v>9.332324262589502</v>
      </c>
      <c r="AY66" s="1426">
        <v>9.3284678894682784</v>
      </c>
      <c r="AZ66" s="1426">
        <v>9.3246115173652946</v>
      </c>
      <c r="BA66" s="1426">
        <v>9.3207551462876186</v>
      </c>
      <c r="BB66" s="1426">
        <v>9.3168987762423754</v>
      </c>
      <c r="BC66" s="1431">
        <v>9.313042407236761</v>
      </c>
    </row>
    <row r="67" spans="2:55" ht="16.75" thickBot="1" x14ac:dyDescent="0.95">
      <c r="AF67" s="1679"/>
      <c r="AG67" s="1680"/>
      <c r="AH67" s="1437">
        <f t="shared" si="27"/>
        <v>8.95375377074666E-2</v>
      </c>
      <c r="AI67" s="1426">
        <v>9.1441383889970762</v>
      </c>
      <c r="AJ67" s="1426">
        <v>9.1406392879654188</v>
      </c>
      <c r="AK67" s="1426">
        <v>9.1371401876282512</v>
      </c>
      <c r="AL67" s="1426">
        <v>9.1336410879902203</v>
      </c>
      <c r="AM67" s="1426">
        <v>9.1301419890560229</v>
      </c>
      <c r="AN67" s="1426">
        <v>9.1266428908303912</v>
      </c>
      <c r="AO67" s="1426">
        <v>9.1231437933181088</v>
      </c>
      <c r="AP67" s="1426">
        <v>9.1196446965239879</v>
      </c>
      <c r="AQ67" s="1426">
        <v>9.1161456004529029</v>
      </c>
      <c r="AR67" s="1426">
        <v>9.1126465051097565</v>
      </c>
      <c r="AS67" s="1533">
        <v>9.1091474104995047</v>
      </c>
      <c r="AT67" s="1426">
        <v>9.1056483166271462</v>
      </c>
      <c r="AU67" s="1426">
        <v>9.1021492234977242</v>
      </c>
      <c r="AV67" s="1426">
        <v>9.0986501311163277</v>
      </c>
      <c r="AW67" s="1426">
        <v>9.0951510394880941</v>
      </c>
      <c r="AX67" s="1426">
        <v>9.091651948618205</v>
      </c>
      <c r="AY67" s="1426">
        <v>9.0881528585118971</v>
      </c>
      <c r="AZ67" s="1426">
        <v>9.084653769174448</v>
      </c>
      <c r="BA67" s="1426">
        <v>9.0811546806111831</v>
      </c>
      <c r="BB67" s="1426">
        <v>9.0776555928274814</v>
      </c>
      <c r="BC67" s="1431">
        <v>9.074156505828773</v>
      </c>
    </row>
    <row r="68" spans="2:55" ht="16.75" thickBot="1" x14ac:dyDescent="0.95">
      <c r="B68" s="36" t="s">
        <v>700</v>
      </c>
      <c r="C68" s="21"/>
      <c r="D68" s="21"/>
      <c r="E68" s="21"/>
      <c r="F68" s="21"/>
      <c r="G68" s="21"/>
      <c r="H68" s="21"/>
      <c r="I68" s="21"/>
      <c r="J68" s="21"/>
      <c r="K68" s="21"/>
      <c r="L68" s="21"/>
      <c r="M68" s="21"/>
      <c r="N68" s="171"/>
      <c r="AF68" s="1681"/>
      <c r="AG68" s="1682"/>
      <c r="AH68" s="1438">
        <f t="shared" si="27"/>
        <v>9.4537537707466604E-2</v>
      </c>
      <c r="AI68" s="1433">
        <v>8.9228475731250292</v>
      </c>
      <c r="AJ68" s="1433">
        <v>8.9196636445435455</v>
      </c>
      <c r="AK68" s="1433">
        <v>8.9164797164898548</v>
      </c>
      <c r="AL68" s="1433">
        <v>8.913295788967492</v>
      </c>
      <c r="AM68" s="1433">
        <v>8.9101118619800204</v>
      </c>
      <c r="AN68" s="1433">
        <v>8.9069279355310389</v>
      </c>
      <c r="AO68" s="1433">
        <v>8.9037440096241696</v>
      </c>
      <c r="AP68" s="1433">
        <v>8.9005600842630788</v>
      </c>
      <c r="AQ68" s="1433">
        <v>8.8973761594514578</v>
      </c>
      <c r="AR68" s="1433">
        <v>8.8941922351930334</v>
      </c>
      <c r="AS68" s="1535">
        <v>8.891008311491575</v>
      </c>
      <c r="AT68" s="1433">
        <v>8.8878243883508681</v>
      </c>
      <c r="AU68" s="1433">
        <v>8.884640465774746</v>
      </c>
      <c r="AV68" s="1433">
        <v>8.8814565437670741</v>
      </c>
      <c r="AW68" s="1433">
        <v>8.8782726223317567</v>
      </c>
      <c r="AX68" s="1433">
        <v>8.8750887014727216</v>
      </c>
      <c r="AY68" s="1433">
        <v>8.8719047811939493</v>
      </c>
      <c r="AZ68" s="1433">
        <v>8.8687208614994475</v>
      </c>
      <c r="BA68" s="1433">
        <v>8.8655369423932573</v>
      </c>
      <c r="BB68" s="1433">
        <v>8.8623530238794643</v>
      </c>
      <c r="BC68" s="1434">
        <v>8.8591691059621915</v>
      </c>
    </row>
    <row r="69" spans="2:55" x14ac:dyDescent="0.8">
      <c r="B69" s="366"/>
      <c r="C69" s="156"/>
      <c r="D69" s="1669" t="s">
        <v>681</v>
      </c>
      <c r="E69" s="1669"/>
      <c r="F69" s="1669"/>
      <c r="G69" s="1669"/>
      <c r="H69" s="1669"/>
      <c r="I69" s="1669"/>
      <c r="J69" s="1669"/>
      <c r="K69" s="1669"/>
      <c r="L69" s="1669"/>
      <c r="M69" s="1669"/>
      <c r="N69" s="1670"/>
    </row>
    <row r="70" spans="2:55" x14ac:dyDescent="0.8">
      <c r="B70" s="22"/>
      <c r="C70" s="1376">
        <v>10.653657453279301</v>
      </c>
      <c r="D70" s="1510">
        <f t="shared" ref="D70:G70" si="28">E70-0.005</f>
        <v>3.953753770746659E-2</v>
      </c>
      <c r="E70" s="1510">
        <f t="shared" si="28"/>
        <v>4.4537537707466587E-2</v>
      </c>
      <c r="F70" s="1510">
        <f t="shared" si="28"/>
        <v>4.9537537707466585E-2</v>
      </c>
      <c r="G70" s="1510">
        <f t="shared" si="28"/>
        <v>5.4537537707466582E-2</v>
      </c>
      <c r="H70" s="1510">
        <f>I70-0.005</f>
        <v>5.953753770746658E-2</v>
      </c>
      <c r="I70" s="1517">
        <v>6.4537537707466577E-2</v>
      </c>
      <c r="J70" s="1510">
        <f>I70+0.005</f>
        <v>6.9537537707466582E-2</v>
      </c>
      <c r="K70" s="1510">
        <f t="shared" ref="K70:N70" si="29">J70+0.005</f>
        <v>7.4537537707466586E-2</v>
      </c>
      <c r="L70" s="1510">
        <f t="shared" si="29"/>
        <v>7.9537537707466591E-2</v>
      </c>
      <c r="M70" s="1510">
        <f t="shared" si="29"/>
        <v>8.4537537707466595E-2</v>
      </c>
      <c r="N70" s="1511">
        <f t="shared" si="29"/>
        <v>8.95375377074666E-2</v>
      </c>
    </row>
    <row r="71" spans="2:55" x14ac:dyDescent="0.8">
      <c r="B71" s="1671" t="s">
        <v>682</v>
      </c>
      <c r="C71" s="1512">
        <f t="shared" ref="C71:C74" si="30">C72-0.005</f>
        <v>3.3782000000000013E-2</v>
      </c>
      <c r="D71" s="1520">
        <v>13.659467301840289</v>
      </c>
      <c r="E71" s="1520">
        <v>12.8635424367724</v>
      </c>
      <c r="F71" s="1520">
        <v>12.18586938454359</v>
      </c>
      <c r="G71" s="1520">
        <v>11.603506465064232</v>
      </c>
      <c r="H71" s="1520">
        <v>11.098966811342805</v>
      </c>
      <c r="I71" s="1521">
        <v>10.658696848445457</v>
      </c>
      <c r="J71" s="1520">
        <v>10.272036630323083</v>
      </c>
      <c r="K71" s="1520">
        <v>9.9304929283146315</v>
      </c>
      <c r="L71" s="1520">
        <v>9.6272205589296878</v>
      </c>
      <c r="M71" s="1520">
        <v>9.3566455383927192</v>
      </c>
      <c r="N71" s="1522">
        <v>9.1141868056656623</v>
      </c>
    </row>
    <row r="72" spans="2:55" x14ac:dyDescent="0.8">
      <c r="B72" s="1671"/>
      <c r="C72" s="1512">
        <f t="shared" si="30"/>
        <v>3.8782000000000011E-2</v>
      </c>
      <c r="D72" s="1520">
        <v>13.657876768685213</v>
      </c>
      <c r="E72" s="1520">
        <v>12.861951903617324</v>
      </c>
      <c r="F72" s="1520">
        <v>12.184278851388514</v>
      </c>
      <c r="G72" s="1520">
        <v>11.601915931909156</v>
      </c>
      <c r="H72" s="1520">
        <v>11.097376278187731</v>
      </c>
      <c r="I72" s="1521">
        <v>10.657106315290383</v>
      </c>
      <c r="J72" s="1520">
        <v>10.270446097168008</v>
      </c>
      <c r="K72" s="1520">
        <v>9.9289023951595539</v>
      </c>
      <c r="L72" s="1520">
        <v>9.6256300257746137</v>
      </c>
      <c r="M72" s="1520">
        <v>9.3550550052376433</v>
      </c>
      <c r="N72" s="1522">
        <v>9.1125962725105865</v>
      </c>
    </row>
    <row r="73" spans="2:55" x14ac:dyDescent="0.8">
      <c r="B73" s="1671"/>
      <c r="C73" s="1512">
        <f t="shared" si="30"/>
        <v>4.3782000000000008E-2</v>
      </c>
      <c r="D73" s="1520">
        <v>13.656661831678038</v>
      </c>
      <c r="E73" s="1520">
        <v>12.860736966610149</v>
      </c>
      <c r="F73" s="1520">
        <v>12.183063914381339</v>
      </c>
      <c r="G73" s="1520">
        <v>11.600700994901981</v>
      </c>
      <c r="H73" s="1520">
        <v>11.096161341180554</v>
      </c>
      <c r="I73" s="1521">
        <v>10.655891378283206</v>
      </c>
      <c r="J73" s="1520">
        <v>10.269231160160832</v>
      </c>
      <c r="K73" s="1520">
        <v>9.9276874581523806</v>
      </c>
      <c r="L73" s="1520">
        <v>9.6244150887674369</v>
      </c>
      <c r="M73" s="1520">
        <v>9.3538400682304683</v>
      </c>
      <c r="N73" s="1522">
        <v>9.1113813355034114</v>
      </c>
    </row>
    <row r="74" spans="2:55" x14ac:dyDescent="0.8">
      <c r="B74" s="1671"/>
      <c r="C74" s="1512">
        <f t="shared" si="30"/>
        <v>4.8782000000000006E-2</v>
      </c>
      <c r="D74" s="1520">
        <v>13.655725223725879</v>
      </c>
      <c r="E74" s="1520">
        <v>12.859800358657989</v>
      </c>
      <c r="F74" s="1520">
        <v>12.182127306429178</v>
      </c>
      <c r="G74" s="1520">
        <v>11.599764386949822</v>
      </c>
      <c r="H74" s="1520">
        <v>11.095224733228395</v>
      </c>
      <c r="I74" s="1521">
        <v>10.654954770331047</v>
      </c>
      <c r="J74" s="1520">
        <v>10.268294552208671</v>
      </c>
      <c r="K74" s="1520">
        <v>9.9267508502002215</v>
      </c>
      <c r="L74" s="1520">
        <v>9.623478480815276</v>
      </c>
      <c r="M74" s="1520">
        <v>9.3529034602783074</v>
      </c>
      <c r="N74" s="1522">
        <v>9.1104447275512488</v>
      </c>
    </row>
    <row r="75" spans="2:55" x14ac:dyDescent="0.8">
      <c r="B75" s="1671"/>
      <c r="C75" s="1512">
        <f>C76-0.005</f>
        <v>5.3782000000000003E-2</v>
      </c>
      <c r="D75" s="1520">
        <v>13.654997415429612</v>
      </c>
      <c r="E75" s="1520">
        <v>12.859072550361724</v>
      </c>
      <c r="F75" s="1520">
        <v>12.181399498132913</v>
      </c>
      <c r="G75" s="1520">
        <v>11.599036578653555</v>
      </c>
      <c r="H75" s="1520">
        <v>11.09449692493213</v>
      </c>
      <c r="I75" s="1521">
        <v>10.654226962034782</v>
      </c>
      <c r="J75" s="1520">
        <v>10.267566743912408</v>
      </c>
      <c r="K75" s="1520">
        <v>9.9260230419039548</v>
      </c>
      <c r="L75" s="1520">
        <v>9.6227506725190128</v>
      </c>
      <c r="M75" s="1520">
        <v>9.3521756519820425</v>
      </c>
      <c r="N75" s="1522">
        <v>9.1097169192549856</v>
      </c>
    </row>
    <row r="76" spans="2:55" x14ac:dyDescent="0.8">
      <c r="B76" s="1671"/>
      <c r="C76" s="1519">
        <v>5.8782000000000001E-2</v>
      </c>
      <c r="D76" s="1521">
        <v>13.654427906674131</v>
      </c>
      <c r="E76" s="1521">
        <v>12.858503041606243</v>
      </c>
      <c r="F76" s="1521">
        <v>12.180829989377433</v>
      </c>
      <c r="G76" s="1521">
        <v>11.598467069898074</v>
      </c>
      <c r="H76" s="1521">
        <v>11.093927416176649</v>
      </c>
      <c r="I76" s="1523">
        <v>10.653657453279301</v>
      </c>
      <c r="J76" s="1521">
        <v>10.266997235156927</v>
      </c>
      <c r="K76" s="1521">
        <v>9.9254535331484757</v>
      </c>
      <c r="L76" s="1521">
        <v>9.6221811637635319</v>
      </c>
      <c r="M76" s="1521">
        <v>9.3516061432265634</v>
      </c>
      <c r="N76" s="1524">
        <v>9.1091474104995047</v>
      </c>
    </row>
    <row r="77" spans="2:55" x14ac:dyDescent="0.8">
      <c r="B77" s="1671"/>
      <c r="C77" s="1512">
        <f>C76+0.005</f>
        <v>6.3782000000000005E-2</v>
      </c>
      <c r="D77" s="1520">
        <v>13.653979514631461</v>
      </c>
      <c r="E77" s="1520">
        <v>12.858054649563572</v>
      </c>
      <c r="F77" s="1520">
        <v>12.180381597334762</v>
      </c>
      <c r="G77" s="1520">
        <v>11.598018677855404</v>
      </c>
      <c r="H77" s="1520">
        <v>11.093479024133979</v>
      </c>
      <c r="I77" s="1521">
        <v>10.65320906123663</v>
      </c>
      <c r="J77" s="1520">
        <v>10.266548843114254</v>
      </c>
      <c r="K77" s="1520">
        <v>9.9250051411058031</v>
      </c>
      <c r="L77" s="1520">
        <v>9.6217327717208612</v>
      </c>
      <c r="M77" s="1520">
        <v>9.3511577511838908</v>
      </c>
      <c r="N77" s="1522">
        <v>9.1086990184568339</v>
      </c>
    </row>
    <row r="78" spans="2:55" x14ac:dyDescent="0.8">
      <c r="B78" s="1671"/>
      <c r="C78" s="1512">
        <f t="shared" ref="C78:C81" si="31">C77+0.005</f>
        <v>6.878200000000001E-2</v>
      </c>
      <c r="D78" s="1520">
        <v>13.65362453683538</v>
      </c>
      <c r="E78" s="1520">
        <v>12.85769967176749</v>
      </c>
      <c r="F78" s="1520">
        <v>12.18002661953868</v>
      </c>
      <c r="G78" s="1520">
        <v>11.597663700059323</v>
      </c>
      <c r="H78" s="1520">
        <v>11.093124046337897</v>
      </c>
      <c r="I78" s="1521">
        <v>10.652854083440548</v>
      </c>
      <c r="J78" s="1520">
        <v>10.266193865318174</v>
      </c>
      <c r="K78" s="1520">
        <v>9.9246501633097211</v>
      </c>
      <c r="L78" s="1520">
        <v>9.6213777939247791</v>
      </c>
      <c r="M78" s="1520">
        <v>9.3508027733878105</v>
      </c>
      <c r="N78" s="1522">
        <v>9.1083440406607536</v>
      </c>
    </row>
    <row r="79" spans="2:55" x14ac:dyDescent="0.8">
      <c r="B79" s="1671"/>
      <c r="C79" s="1512">
        <f t="shared" si="31"/>
        <v>7.3782000000000014E-2</v>
      </c>
      <c r="D79" s="1520">
        <v>13.653342120259731</v>
      </c>
      <c r="E79" s="1520">
        <v>12.857417255191843</v>
      </c>
      <c r="F79" s="1520">
        <v>12.179744202963033</v>
      </c>
      <c r="G79" s="1520">
        <v>11.597381283483674</v>
      </c>
      <c r="H79" s="1520">
        <v>11.092841629762249</v>
      </c>
      <c r="I79" s="1521">
        <v>10.652571666864899</v>
      </c>
      <c r="J79" s="1520">
        <v>10.265911448742523</v>
      </c>
      <c r="K79" s="1520">
        <v>9.9243677467340738</v>
      </c>
      <c r="L79" s="1520">
        <v>9.6210953773491301</v>
      </c>
      <c r="M79" s="1520">
        <v>9.3505203568121598</v>
      </c>
      <c r="N79" s="1522">
        <v>9.1080616240851029</v>
      </c>
    </row>
    <row r="80" spans="2:55" x14ac:dyDescent="0.8">
      <c r="B80" s="1671"/>
      <c r="C80" s="1512">
        <f t="shared" si="31"/>
        <v>7.8782000000000019E-2</v>
      </c>
      <c r="D80" s="1520">
        <v>13.653116424787189</v>
      </c>
      <c r="E80" s="1520">
        <v>12.8571915597193</v>
      </c>
      <c r="F80" s="1520">
        <v>12.17951850749049</v>
      </c>
      <c r="G80" s="1520">
        <v>11.597155588011132</v>
      </c>
      <c r="H80" s="1520">
        <v>11.092615934289707</v>
      </c>
      <c r="I80" s="1521">
        <v>10.652345971392359</v>
      </c>
      <c r="J80" s="1520">
        <v>10.265685753269985</v>
      </c>
      <c r="K80" s="1520">
        <v>9.9241420512615335</v>
      </c>
      <c r="L80" s="1520">
        <v>9.6208696818765898</v>
      </c>
      <c r="M80" s="1520">
        <v>9.3502946613396212</v>
      </c>
      <c r="N80" s="1522">
        <v>9.1078359286125625</v>
      </c>
    </row>
    <row r="81" spans="2:14" ht="16.75" thickBot="1" x14ac:dyDescent="0.95">
      <c r="B81" s="1672"/>
      <c r="C81" s="1513">
        <f t="shared" si="31"/>
        <v>8.3782000000000023E-2</v>
      </c>
      <c r="D81" s="1525">
        <v>13.652935320972782</v>
      </c>
      <c r="E81" s="1525">
        <v>12.857010455904891</v>
      </c>
      <c r="F81" s="1525">
        <v>12.179337403676081</v>
      </c>
      <c r="G81" s="1525">
        <v>11.596974484196725</v>
      </c>
      <c r="H81" s="1525">
        <v>11.092434830475298</v>
      </c>
      <c r="I81" s="1526">
        <v>10.65216486757795</v>
      </c>
      <c r="J81" s="1525">
        <v>10.265504649455576</v>
      </c>
      <c r="K81" s="1525">
        <v>9.9239609474471244</v>
      </c>
      <c r="L81" s="1525">
        <v>9.6206885780621807</v>
      </c>
      <c r="M81" s="1525">
        <v>9.3501135575252121</v>
      </c>
      <c r="N81" s="1527">
        <v>9.1076548247981535</v>
      </c>
    </row>
  </sheetData>
  <mergeCells count="57">
    <mergeCell ref="D3:N3"/>
    <mergeCell ref="B5:B15"/>
    <mergeCell ref="E19:O19"/>
    <mergeCell ref="S19:AC19"/>
    <mergeCell ref="E20:O20"/>
    <mergeCell ref="S20:AC20"/>
    <mergeCell ref="V3:AE3"/>
    <mergeCell ref="V4:AE4"/>
    <mergeCell ref="T5:T14"/>
    <mergeCell ref="U5:U14"/>
    <mergeCell ref="E53:O53"/>
    <mergeCell ref="B22:B32"/>
    <mergeCell ref="C22:C32"/>
    <mergeCell ref="P22:P32"/>
    <mergeCell ref="Q22:Q32"/>
    <mergeCell ref="E36:O36"/>
    <mergeCell ref="AN4:AV4"/>
    <mergeCell ref="AL6:AL14"/>
    <mergeCell ref="AH4:AH5"/>
    <mergeCell ref="AG6:AG14"/>
    <mergeCell ref="AG3:AJ3"/>
    <mergeCell ref="AI4:AJ4"/>
    <mergeCell ref="AI5:AJ5"/>
    <mergeCell ref="AI6:AJ6"/>
    <mergeCell ref="AI7:AJ7"/>
    <mergeCell ref="AI8:AJ8"/>
    <mergeCell ref="AI9:AJ9"/>
    <mergeCell ref="AI10:AJ10"/>
    <mergeCell ref="Q56:Q66"/>
    <mergeCell ref="P56:P66"/>
    <mergeCell ref="AF57:AG68"/>
    <mergeCell ref="AH19:BC19"/>
    <mergeCell ref="AH20:BC20"/>
    <mergeCell ref="Q39:Q49"/>
    <mergeCell ref="P39:P49"/>
    <mergeCell ref="AF23:AG34"/>
    <mergeCell ref="S54:AC54"/>
    <mergeCell ref="S37:AC37"/>
    <mergeCell ref="S36:AC36"/>
    <mergeCell ref="AH37:BC37"/>
    <mergeCell ref="AH53:BC53"/>
    <mergeCell ref="D69:N69"/>
    <mergeCell ref="B71:B81"/>
    <mergeCell ref="AI11:AJ11"/>
    <mergeCell ref="AI12:AJ12"/>
    <mergeCell ref="AI13:AJ13"/>
    <mergeCell ref="AI14:AJ14"/>
    <mergeCell ref="AH54:BC54"/>
    <mergeCell ref="AF40:AG51"/>
    <mergeCell ref="AH36:BC36"/>
    <mergeCell ref="S53:AC53"/>
    <mergeCell ref="B56:B66"/>
    <mergeCell ref="C56:C66"/>
    <mergeCell ref="E37:O37"/>
    <mergeCell ref="B39:B49"/>
    <mergeCell ref="C39:C49"/>
    <mergeCell ref="E54:O54"/>
  </mergeCells>
  <hyperlinks>
    <hyperlink ref="A16" location="'Cover Page '!A1" display="Back to cover page "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sheetPr>
  <dimension ref="A1:XFD26"/>
  <sheetViews>
    <sheetView showGridLines="0" zoomScale="85" zoomScaleNormal="85" zoomScalePageLayoutView="90" workbookViewId="0">
      <pane xSplit="1" ySplit="3" topLeftCell="B4" activePane="bottomRight" state="frozen"/>
      <selection pane="topRight" activeCell="B1" sqref="B1"/>
      <selection pane="bottomLeft" activeCell="A2" sqref="A2"/>
      <selection pane="bottomRight" activeCell="H3" activeCellId="1" sqref="H26:AO26 H3:AO3"/>
    </sheetView>
  </sheetViews>
  <sheetFormatPr defaultColWidth="8.83203125" defaultRowHeight="16" x14ac:dyDescent="0.8"/>
  <cols>
    <col min="1" max="1" width="29.1640625" bestFit="1" customWidth="1"/>
    <col min="2" max="41" width="10" bestFit="1" customWidth="1"/>
  </cols>
  <sheetData>
    <row r="1" spans="1:16384" ht="18.5" x14ac:dyDescent="0.9">
      <c r="A1" s="1195" t="s">
        <v>534</v>
      </c>
      <c r="B1" s="1652" t="s">
        <v>445</v>
      </c>
      <c r="C1" s="1652"/>
      <c r="D1" s="1652"/>
      <c r="E1" s="1652"/>
      <c r="F1" s="1652"/>
      <c r="G1" s="1653"/>
      <c r="H1" s="1663" t="s">
        <v>443</v>
      </c>
      <c r="I1" s="1664"/>
      <c r="J1" s="1664"/>
      <c r="K1" s="1664"/>
      <c r="L1" s="1664"/>
      <c r="M1" s="1665"/>
      <c r="N1" s="1666" t="s">
        <v>444</v>
      </c>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1667"/>
    </row>
    <row r="2" spans="1:16384" x14ac:dyDescent="0.8">
      <c r="B2" s="1652"/>
      <c r="C2" s="1652"/>
      <c r="D2" s="1652"/>
      <c r="E2" s="1652"/>
      <c r="F2" s="1652"/>
      <c r="G2" s="1653"/>
      <c r="H2" s="1663"/>
      <c r="I2" s="1664"/>
      <c r="J2" s="1664"/>
      <c r="K2" s="1664"/>
      <c r="L2" s="1664"/>
      <c r="M2" s="1665"/>
      <c r="N2" s="1666"/>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667"/>
      <c r="AO2" s="1667"/>
    </row>
    <row r="3" spans="1:16384" ht="16.75" thickBot="1" x14ac:dyDescent="0.95">
      <c r="A3" s="7"/>
      <c r="B3" s="379">
        <v>2011</v>
      </c>
      <c r="C3" s="280">
        <v>2012</v>
      </c>
      <c r="D3" s="280">
        <v>2013</v>
      </c>
      <c r="E3" s="280">
        <v>2014</v>
      </c>
      <c r="F3" s="280">
        <v>2015</v>
      </c>
      <c r="G3" s="280">
        <v>2016</v>
      </c>
      <c r="H3" s="281">
        <v>2017</v>
      </c>
      <c r="I3" s="282">
        <v>2018</v>
      </c>
      <c r="J3" s="282">
        <v>2019</v>
      </c>
      <c r="K3" s="282">
        <v>2020</v>
      </c>
      <c r="L3" s="282">
        <v>2021</v>
      </c>
      <c r="M3" s="282">
        <v>2022</v>
      </c>
      <c r="N3" s="283">
        <v>2023</v>
      </c>
      <c r="O3" s="284">
        <v>2024</v>
      </c>
      <c r="P3" s="284">
        <v>2025</v>
      </c>
      <c r="Q3" s="284">
        <v>2026</v>
      </c>
      <c r="R3" s="284">
        <v>2027</v>
      </c>
      <c r="S3" s="284">
        <v>2028</v>
      </c>
      <c r="T3" s="284">
        <v>2029</v>
      </c>
      <c r="U3" s="284">
        <v>2030</v>
      </c>
      <c r="V3" s="284">
        <v>2031</v>
      </c>
      <c r="W3" s="284">
        <v>2032</v>
      </c>
      <c r="X3" s="284">
        <v>2033</v>
      </c>
      <c r="Y3" s="284">
        <v>2034</v>
      </c>
      <c r="Z3" s="284">
        <v>2035</v>
      </c>
      <c r="AA3" s="284">
        <v>2036</v>
      </c>
      <c r="AB3" s="284">
        <v>2037</v>
      </c>
      <c r="AC3" s="284">
        <v>2038</v>
      </c>
      <c r="AD3" s="284">
        <v>2039</v>
      </c>
      <c r="AE3" s="284">
        <v>2040</v>
      </c>
      <c r="AF3" s="284">
        <v>2041</v>
      </c>
      <c r="AG3" s="284">
        <v>2042</v>
      </c>
      <c r="AH3" s="284">
        <v>2043</v>
      </c>
      <c r="AI3" s="284">
        <v>2044</v>
      </c>
      <c r="AJ3" s="284">
        <v>2045</v>
      </c>
      <c r="AK3" s="284">
        <v>2046</v>
      </c>
      <c r="AL3" s="284">
        <v>2047</v>
      </c>
      <c r="AM3" s="284">
        <v>2048</v>
      </c>
      <c r="AN3" s="284">
        <v>2049</v>
      </c>
      <c r="AO3" s="284">
        <v>2050</v>
      </c>
    </row>
    <row r="4" spans="1:16384" ht="16.75" thickBot="1" x14ac:dyDescent="0.95"/>
    <row r="5" spans="1:16384" x14ac:dyDescent="0.8">
      <c r="A5" s="36" t="s">
        <v>408</v>
      </c>
      <c r="B5" s="21"/>
      <c r="C5" s="21"/>
      <c r="D5" s="21"/>
      <c r="E5" s="21"/>
      <c r="F5" s="21"/>
      <c r="G5" s="21"/>
      <c r="H5" s="287"/>
      <c r="I5" s="21"/>
      <c r="J5" s="21"/>
      <c r="K5" s="21"/>
      <c r="L5" s="21"/>
      <c r="M5" s="21"/>
      <c r="N5" s="287"/>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171"/>
    </row>
    <row r="6" spans="1:16384" x14ac:dyDescent="0.8">
      <c r="A6" s="55" t="s">
        <v>106</v>
      </c>
      <c r="B6" s="1159">
        <f>'Income Statement '!B4</f>
        <v>363273</v>
      </c>
      <c r="C6" s="1159">
        <f>'Income Statement '!C4</f>
        <v>368004</v>
      </c>
      <c r="D6" s="1159">
        <f>'Income Statement '!D4</f>
        <v>280014</v>
      </c>
      <c r="E6" s="1159">
        <f>'Income Statement '!E4</f>
        <v>336330</v>
      </c>
      <c r="F6" s="1159">
        <f>'Income Statement '!F4</f>
        <v>338767</v>
      </c>
      <c r="G6" s="1159">
        <f>'Income Statement '!G4</f>
        <v>317209</v>
      </c>
      <c r="H6" s="1160">
        <f>'Income Statement '!H4</f>
        <v>291763.03818999999</v>
      </c>
      <c r="I6" s="1159">
        <f>'Income Statement '!I4</f>
        <v>319369.93508804729</v>
      </c>
      <c r="J6" s="1159">
        <f>'Income Statement '!J4</f>
        <v>314708.11557549465</v>
      </c>
      <c r="K6" s="1159">
        <f>'Income Statement '!K4</f>
        <v>324651.60766909434</v>
      </c>
      <c r="L6" s="1159">
        <f>'Income Statement '!L4</f>
        <v>312451.74932822911</v>
      </c>
      <c r="M6" s="1159">
        <f>'Income Statement '!M4</f>
        <v>322466.60144494905</v>
      </c>
      <c r="N6" s="1160">
        <f>'Income Statement '!N4</f>
        <v>286915.31118180917</v>
      </c>
      <c r="O6" s="1159">
        <f>'Income Statement '!O4</f>
        <v>294488.44780073955</v>
      </c>
      <c r="P6" s="1159">
        <f>'Income Statement '!P4</f>
        <v>273444.68735097966</v>
      </c>
      <c r="Q6" s="1159">
        <f>'Income Statement '!Q4</f>
        <v>278720.87784781202</v>
      </c>
      <c r="R6" s="1159">
        <f>'Income Statement '!R4</f>
        <v>257500.73366735392</v>
      </c>
      <c r="S6" s="1159">
        <f>'Income Statement '!S4</f>
        <v>261004.29044669532</v>
      </c>
      <c r="T6" s="1159">
        <f>'Income Statement '!T4</f>
        <v>246163.29288861965</v>
      </c>
      <c r="U6" s="1159">
        <f>'Income Statement '!U4</f>
        <v>248475.8250123013</v>
      </c>
      <c r="V6" s="1159">
        <f>'Income Statement '!V4</f>
        <v>237494.91545295209</v>
      </c>
      <c r="W6" s="1159">
        <f>'Income Statement '!W4</f>
        <v>237851.95979960077</v>
      </c>
      <c r="X6" s="1159">
        <f>'Income Statement '!X4</f>
        <v>229391.84087552084</v>
      </c>
      <c r="Y6" s="1159">
        <f>'Income Statement '!Y4</f>
        <v>222694.88456047879</v>
      </c>
      <c r="Z6" s="1159">
        <f>'Income Statement '!Z4</f>
        <v>214711.16629245068</v>
      </c>
      <c r="AA6" s="1159">
        <f>'Income Statement '!AA4</f>
        <v>208346.53842971148</v>
      </c>
      <c r="AB6" s="1159">
        <f>'Income Statement '!AB4</f>
        <v>201232.34259039053</v>
      </c>
      <c r="AC6" s="1159">
        <f>'Income Statement '!AC4</f>
        <v>195257.58669014435</v>
      </c>
      <c r="AD6" s="1159">
        <f>'Income Statement '!AD4</f>
        <v>188875.77665320638</v>
      </c>
      <c r="AE6" s="1159">
        <f>'Income Statement '!AE4</f>
        <v>183313.02962467581</v>
      </c>
      <c r="AF6" s="1159">
        <f>'Income Statement '!AF4</f>
        <v>177559.09572133946</v>
      </c>
      <c r="AG6" s="1159">
        <f>'Income Statement '!AG4</f>
        <v>172408.5268987974</v>
      </c>
      <c r="AH6" s="1159">
        <f>'Income Statement '!AH4</f>
        <v>167475.46132339531</v>
      </c>
      <c r="AI6" s="1159">
        <f>'Income Statement '!AI4</f>
        <v>162777.8523998661</v>
      </c>
      <c r="AJ6" s="1159">
        <f>'Income Statement '!AJ4</f>
        <v>158279.63126125847</v>
      </c>
      <c r="AK6" s="1159">
        <f>'Income Statement '!AK4</f>
        <v>153991.885608543</v>
      </c>
      <c r="AL6" s="1159">
        <f>'Income Statement '!AL4</f>
        <v>149887.72430216079</v>
      </c>
      <c r="AM6" s="1159">
        <f>'Income Statement '!AM4</f>
        <v>145972.44433238992</v>
      </c>
      <c r="AN6" s="1159">
        <f>'Income Statement '!AN4</f>
        <v>142225.62260075682</v>
      </c>
      <c r="AO6" s="1161">
        <f>'Income Statement '!AO4</f>
        <v>138648.83194314165</v>
      </c>
    </row>
    <row r="7" spans="1:16384" x14ac:dyDescent="0.8">
      <c r="A7" s="449" t="s">
        <v>409</v>
      </c>
      <c r="B7" s="450"/>
      <c r="C7" s="451">
        <f>(C6-B6)/B6</f>
        <v>1.3023263496048426E-2</v>
      </c>
      <c r="D7" s="451">
        <f t="shared" ref="D7:AO7" si="0">(D6-C6)/C6</f>
        <v>-0.23910066194932664</v>
      </c>
      <c r="E7" s="451">
        <f t="shared" si="0"/>
        <v>0.2011185155027963</v>
      </c>
      <c r="F7" s="451">
        <f t="shared" si="0"/>
        <v>7.2458597211072463E-3</v>
      </c>
      <c r="G7" s="451">
        <f t="shared" si="0"/>
        <v>-6.3636658824501799E-2</v>
      </c>
      <c r="H7" s="454">
        <f t="shared" si="0"/>
        <v>-8.0218284506429538E-2</v>
      </c>
      <c r="I7" s="451">
        <f t="shared" si="0"/>
        <v>9.46209535975195E-2</v>
      </c>
      <c r="J7" s="451">
        <f t="shared" si="0"/>
        <v>-1.459692663702806E-2</v>
      </c>
      <c r="K7" s="451">
        <f t="shared" si="0"/>
        <v>3.1595918889528507E-2</v>
      </c>
      <c r="L7" s="451">
        <f t="shared" si="0"/>
        <v>-3.7578308724409919E-2</v>
      </c>
      <c r="M7" s="451">
        <f t="shared" si="0"/>
        <v>3.2052475744660913E-2</v>
      </c>
      <c r="N7" s="454">
        <f t="shared" si="0"/>
        <v>-0.11024797639146866</v>
      </c>
      <c r="O7" s="451">
        <f t="shared" si="0"/>
        <v>2.6395024328734841E-2</v>
      </c>
      <c r="P7" s="451">
        <f t="shared" si="0"/>
        <v>-7.1458695941780323E-2</v>
      </c>
      <c r="Q7" s="451">
        <f t="shared" si="0"/>
        <v>1.9295275208840008E-2</v>
      </c>
      <c r="R7" s="451">
        <f t="shared" si="0"/>
        <v>-7.6134031811010514E-2</v>
      </c>
      <c r="S7" s="451">
        <f t="shared" si="0"/>
        <v>1.3606006978867014E-2</v>
      </c>
      <c r="T7" s="451">
        <f t="shared" si="0"/>
        <v>-5.6861124898276862E-2</v>
      </c>
      <c r="U7" s="451">
        <f t="shared" si="0"/>
        <v>9.3943012239765308E-3</v>
      </c>
      <c r="V7" s="451">
        <f t="shared" si="0"/>
        <v>-4.419307012585863E-2</v>
      </c>
      <c r="W7" s="451">
        <f t="shared" si="0"/>
        <v>1.5033768026895152E-3</v>
      </c>
      <c r="X7" s="451">
        <f t="shared" si="0"/>
        <v>-3.5568842616255494E-2</v>
      </c>
      <c r="Y7" s="451">
        <f t="shared" si="0"/>
        <v>-2.919439631977206E-2</v>
      </c>
      <c r="Z7" s="451">
        <f t="shared" si="0"/>
        <v>-3.5850478935720312E-2</v>
      </c>
      <c r="AA7" s="451">
        <f t="shared" si="0"/>
        <v>-2.9642742725686479E-2</v>
      </c>
      <c r="AB7" s="451">
        <f t="shared" si="0"/>
        <v>-3.4145975704420066E-2</v>
      </c>
      <c r="AC7" s="451">
        <f t="shared" si="0"/>
        <v>-2.9690833110300886E-2</v>
      </c>
      <c r="AD7" s="451">
        <f t="shared" si="0"/>
        <v>-3.2684056712558411E-2</v>
      </c>
      <c r="AE7" s="451">
        <f t="shared" si="0"/>
        <v>-2.9451881692295036E-2</v>
      </c>
      <c r="AF7" s="451">
        <f t="shared" si="0"/>
        <v>-3.1388570223934653E-2</v>
      </c>
      <c r="AG7" s="451">
        <f t="shared" si="0"/>
        <v>-2.9007631524691602E-2</v>
      </c>
      <c r="AH7" s="451">
        <f t="shared" si="0"/>
        <v>-2.8612654281871798E-2</v>
      </c>
      <c r="AI7" s="451">
        <f t="shared" si="0"/>
        <v>-2.8049535653812161E-2</v>
      </c>
      <c r="AJ7" s="451">
        <f t="shared" si="0"/>
        <v>-2.7634110367531325E-2</v>
      </c>
      <c r="AK7" s="451">
        <f t="shared" si="0"/>
        <v>-2.7089686894948988E-2</v>
      </c>
      <c r="AL7" s="451">
        <f t="shared" si="0"/>
        <v>-2.6651802399609872E-2</v>
      </c>
      <c r="AM7" s="451">
        <f t="shared" si="0"/>
        <v>-2.6121418468386379E-2</v>
      </c>
      <c r="AN7" s="451">
        <f t="shared" si="0"/>
        <v>-2.5668007059615392E-2</v>
      </c>
      <c r="AO7" s="452">
        <f t="shared" si="0"/>
        <v>-2.5148708033120186E-2</v>
      </c>
    </row>
    <row r="8" spans="1:16384" s="239" customFormat="1" x14ac:dyDescent="0.8">
      <c r="A8" s="55" t="s">
        <v>410</v>
      </c>
      <c r="B8" s="298">
        <f>'Income Statement '!B23/'Income Statement '!B4</f>
        <v>0.10088005439435356</v>
      </c>
      <c r="C8" s="298">
        <f>'Income Statement '!C23/'Income Statement '!C4</f>
        <v>8.2352365735155059E-2</v>
      </c>
      <c r="D8" s="298">
        <f>'Income Statement '!D23/'Income Statement '!D4</f>
        <v>2.7312920068282301E-2</v>
      </c>
      <c r="E8" s="298">
        <f>'Income Statement '!E23/'Income Statement '!E4</f>
        <v>1.7976392233817976E-2</v>
      </c>
      <c r="F8" s="298">
        <f>'Income Statement '!F23/'Income Statement '!F4</f>
        <v>7.0077663999149858E-2</v>
      </c>
      <c r="G8" s="298">
        <f>'Income Statement '!G23/'Income Statement '!G4</f>
        <v>4.6470938718636612E-2</v>
      </c>
      <c r="H8" s="299">
        <f>'Income Statement '!H23/'Income Statement '!H4</f>
        <v>3.9973514968986656E-2</v>
      </c>
      <c r="I8" s="298">
        <f>'Income Statement '!I23/'Income Statement '!I4</f>
        <v>5.8893357304529749E-2</v>
      </c>
      <c r="J8" s="298">
        <f>'Income Statement '!J23/'Income Statement '!J4</f>
        <v>4.6835600640726456E-2</v>
      </c>
      <c r="K8" s="298">
        <f>'Income Statement '!K23/'Income Statement '!K4</f>
        <v>4.4959920218587586E-2</v>
      </c>
      <c r="L8" s="298">
        <f>'Income Statement '!L23/'Income Statement '!L4</f>
        <v>2.4851855024961074E-2</v>
      </c>
      <c r="M8" s="298">
        <f>'Income Statement '!M23/'Income Statement '!M4</f>
        <v>3.8868932114552314E-2</v>
      </c>
      <c r="N8" s="299">
        <f>'Income Statement '!N23/'Income Statement '!N4</f>
        <v>4.5784947442054143E-2</v>
      </c>
      <c r="O8" s="298">
        <f>'Income Statement '!O23/'Income Statement '!O4</f>
        <v>4.029110307653986E-2</v>
      </c>
      <c r="P8" s="298">
        <f>'Income Statement '!P23/'Income Statement '!P4</f>
        <v>4.1086443863623298E-2</v>
      </c>
      <c r="Q8" s="298">
        <f>'Income Statement '!Q23/'Income Statement '!Q4</f>
        <v>3.1291481730877133E-2</v>
      </c>
      <c r="R8" s="298">
        <f>'Income Statement '!R23/'Income Statement '!R4</f>
        <v>1.3163867156455801E-2</v>
      </c>
      <c r="S8" s="298">
        <f>'Income Statement '!S23/'Income Statement '!S4</f>
        <v>8.22169590577293E-3</v>
      </c>
      <c r="T8" s="298">
        <f>'Income Statement '!T23/'Income Statement '!T4</f>
        <v>9.085849725609333E-3</v>
      </c>
      <c r="U8" s="298">
        <f>'Income Statement '!U23/'Income Statement '!U4</f>
        <v>1.2529958458534106E-2</v>
      </c>
      <c r="V8" s="298">
        <f>'Income Statement '!V23/'Income Statement '!V4</f>
        <v>2.0467530542039935E-2</v>
      </c>
      <c r="W8" s="298">
        <f>'Income Statement '!W23/'Income Statement '!W4</f>
        <v>2.3745696196639642E-2</v>
      </c>
      <c r="X8" s="298">
        <f>'Income Statement '!X23/'Income Statement '!X4</f>
        <v>2.5502344208070321E-2</v>
      </c>
      <c r="Y8" s="298">
        <f>'Income Statement '!Y23/'Income Statement '!Y4</f>
        <v>2.8175150371389002E-2</v>
      </c>
      <c r="Z8" s="298">
        <f>'Income Statement '!Z23/'Income Statement '!Z4</f>
        <v>3.2910598609555954E-2</v>
      </c>
      <c r="AA8" s="298">
        <f>'Income Statement '!AA23/'Income Statement '!AA4</f>
        <v>3.740354399771019E-2</v>
      </c>
      <c r="AB8" s="298">
        <f>'Income Statement '!AB23/'Income Statement '!AB4</f>
        <v>4.4677093000858051E-2</v>
      </c>
      <c r="AC8" s="298">
        <f>'Income Statement '!AC23/'Income Statement '!AC4</f>
        <v>5.1126570939006279E-2</v>
      </c>
      <c r="AD8" s="298">
        <f>'Income Statement '!AD23/'Income Statement '!AD4</f>
        <v>5.6594608344616867E-2</v>
      </c>
      <c r="AE8" s="298">
        <f>'Income Statement '!AE23/'Income Statement '!AE4</f>
        <v>6.068780091331321E-2</v>
      </c>
      <c r="AF8" s="298">
        <f>'Income Statement '!AF23/'Income Statement '!AF4</f>
        <v>6.4110867251536655E-2</v>
      </c>
      <c r="AG8" s="298">
        <f>'Income Statement '!AG23/'Income Statement '!AG4</f>
        <v>6.7004351675555587E-2</v>
      </c>
      <c r="AH8" s="298">
        <f>'Income Statement '!AH23/'Income Statement '!AH4</f>
        <v>6.9406045933358071E-2</v>
      </c>
      <c r="AI8" s="298">
        <f>'Income Statement '!AI23/'Income Statement '!AI4</f>
        <v>6.916203935340684E-2</v>
      </c>
      <c r="AJ8" s="298">
        <f>'Income Statement '!AJ23/'Income Statement '!AJ4</f>
        <v>6.8872046093436917E-2</v>
      </c>
      <c r="AK8" s="298">
        <f>'Income Statement '!AK23/'Income Statement '!AK4</f>
        <v>6.8721931234801761E-2</v>
      </c>
      <c r="AL8" s="298">
        <f>'Income Statement '!AL23/'Income Statement '!AL4</f>
        <v>6.8569466072506774E-2</v>
      </c>
      <c r="AM8" s="298">
        <f>'Income Statement '!AM23/'Income Statement '!AM4</f>
        <v>6.8416091595654205E-2</v>
      </c>
      <c r="AN8" s="298">
        <f>'Income Statement '!AN23/'Income Statement '!AN4</f>
        <v>6.8261268083152915E-2</v>
      </c>
      <c r="AO8" s="312">
        <f>'Income Statement '!AO23/'Income Statement '!AO4</f>
        <v>6.810569849473036E-2</v>
      </c>
    </row>
    <row r="9" spans="1:16384" s="239" customFormat="1" x14ac:dyDescent="0.8">
      <c r="A9" s="449" t="s">
        <v>409</v>
      </c>
      <c r="B9" s="450"/>
      <c r="C9" s="451">
        <f>(C8-B8)/B8</f>
        <v>-0.18366057364294533</v>
      </c>
      <c r="D9" s="451">
        <f t="shared" ref="D9:AO9" si="1">(D8-C8)/C8</f>
        <v>-0.66834079598732399</v>
      </c>
      <c r="E9" s="451">
        <f t="shared" si="1"/>
        <v>-0.34183557858782604</v>
      </c>
      <c r="F9" s="451">
        <f t="shared" si="1"/>
        <v>2.8983163633533038</v>
      </c>
      <c r="G9" s="451">
        <f t="shared" si="1"/>
        <v>-0.33686518547193056</v>
      </c>
      <c r="H9" s="454">
        <f t="shared" si="1"/>
        <v>-0.13981692491708247</v>
      </c>
      <c r="I9" s="451">
        <f t="shared" si="1"/>
        <v>0.47330944877431974</v>
      </c>
      <c r="J9" s="451">
        <f t="shared" si="1"/>
        <v>-0.20473882311470598</v>
      </c>
      <c r="K9" s="451">
        <f t="shared" si="1"/>
        <v>-4.004817695255198E-2</v>
      </c>
      <c r="L9" s="451">
        <f t="shared" si="1"/>
        <v>-0.44724423655256668</v>
      </c>
      <c r="M9" s="451">
        <f t="shared" si="1"/>
        <v>0.56402538464483076</v>
      </c>
      <c r="N9" s="454">
        <f t="shared" si="1"/>
        <v>0.17793170409517145</v>
      </c>
      <c r="O9" s="451">
        <f t="shared" si="1"/>
        <v>-0.11999237025372464</v>
      </c>
      <c r="P9" s="451">
        <f t="shared" si="1"/>
        <v>1.9739861318081871E-2</v>
      </c>
      <c r="Q9" s="451">
        <f t="shared" si="1"/>
        <v>-0.23839887835652601</v>
      </c>
      <c r="R9" s="451">
        <f t="shared" si="1"/>
        <v>-0.57931467516713198</v>
      </c>
      <c r="S9" s="451">
        <f t="shared" si="1"/>
        <v>-0.37543460382454102</v>
      </c>
      <c r="T9" s="451">
        <f t="shared" si="1"/>
        <v>0.10510651692063076</v>
      </c>
      <c r="U9" s="451">
        <f t="shared" si="1"/>
        <v>0.37906292057827284</v>
      </c>
      <c r="V9" s="451">
        <f t="shared" si="1"/>
        <v>0.63348750195572912</v>
      </c>
      <c r="W9" s="451">
        <f t="shared" si="1"/>
        <v>0.16016419996864861</v>
      </c>
      <c r="X9" s="451">
        <f t="shared" si="1"/>
        <v>7.3977532470884969E-2</v>
      </c>
      <c r="Y9" s="451">
        <f t="shared" si="1"/>
        <v>0.10480629315923282</v>
      </c>
      <c r="Z9" s="451">
        <f t="shared" si="1"/>
        <v>0.16807179999918131</v>
      </c>
      <c r="AA9" s="451">
        <f t="shared" si="1"/>
        <v>0.13651971030541085</v>
      </c>
      <c r="AB9" s="451">
        <f t="shared" si="1"/>
        <v>0.19446149283589653</v>
      </c>
      <c r="AC9" s="451">
        <f t="shared" si="1"/>
        <v>0.14435760039321183</v>
      </c>
      <c r="AD9" s="451">
        <f t="shared" si="1"/>
        <v>0.10695099055506632</v>
      </c>
      <c r="AE9" s="451">
        <f t="shared" si="1"/>
        <v>7.2324779487332139E-2</v>
      </c>
      <c r="AF9" s="451">
        <f t="shared" si="1"/>
        <v>5.6404520953279746E-2</v>
      </c>
      <c r="AG9" s="451">
        <f t="shared" si="1"/>
        <v>4.5132511040077684E-2</v>
      </c>
      <c r="AH9" s="451">
        <f t="shared" si="1"/>
        <v>3.5843854880229599E-2</v>
      </c>
      <c r="AI9" s="451">
        <f t="shared" si="1"/>
        <v>-3.5156386834876E-3</v>
      </c>
      <c r="AJ9" s="451">
        <f t="shared" si="1"/>
        <v>-4.1929541505869167E-3</v>
      </c>
      <c r="AK9" s="451">
        <f t="shared" si="1"/>
        <v>-2.1796195575705547E-3</v>
      </c>
      <c r="AL9" s="451">
        <f t="shared" si="1"/>
        <v>-2.2185808744818406E-3</v>
      </c>
      <c r="AM9" s="451">
        <f t="shared" si="1"/>
        <v>-2.2367751367698818E-3</v>
      </c>
      <c r="AN9" s="451">
        <f t="shared" si="1"/>
        <v>-2.2629692648377503E-3</v>
      </c>
      <c r="AO9" s="452">
        <f t="shared" si="1"/>
        <v>-2.279031620582361E-3</v>
      </c>
      <c r="AP9" s="447"/>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c r="BP9" s="448"/>
      <c r="BQ9" s="448"/>
      <c r="BR9" s="448"/>
      <c r="BS9" s="448"/>
      <c r="BT9" s="448"/>
      <c r="BU9" s="448"/>
      <c r="BV9" s="448"/>
      <c r="BW9" s="448"/>
      <c r="BX9" s="448"/>
      <c r="BY9" s="448"/>
      <c r="BZ9" s="448"/>
      <c r="CA9" s="448"/>
      <c r="CB9" s="448"/>
      <c r="CC9" s="448"/>
      <c r="CD9" s="448"/>
      <c r="CE9" s="446"/>
      <c r="CF9" s="447"/>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6"/>
      <c r="DU9" s="447"/>
      <c r="DV9" s="448"/>
      <c r="DW9" s="448"/>
      <c r="DX9" s="448"/>
      <c r="DY9" s="448"/>
      <c r="DZ9" s="448"/>
      <c r="EA9" s="448"/>
      <c r="EB9" s="448"/>
      <c r="EC9" s="448"/>
      <c r="ED9" s="448"/>
      <c r="EE9" s="448"/>
      <c r="EF9" s="448"/>
      <c r="EG9" s="448"/>
      <c r="EH9" s="448"/>
      <c r="EI9" s="448"/>
      <c r="EJ9" s="448"/>
      <c r="EK9" s="448"/>
      <c r="EL9" s="448"/>
      <c r="EM9" s="448"/>
      <c r="EN9" s="448"/>
      <c r="EO9" s="448"/>
      <c r="EP9" s="448"/>
      <c r="EQ9" s="448"/>
      <c r="ER9" s="448"/>
      <c r="ES9" s="448"/>
      <c r="ET9" s="448"/>
      <c r="EU9" s="448"/>
      <c r="EV9" s="448"/>
      <c r="EW9" s="448"/>
      <c r="EX9" s="448"/>
      <c r="EY9" s="448"/>
      <c r="EZ9" s="448"/>
      <c r="FA9" s="448"/>
      <c r="FB9" s="448"/>
      <c r="FC9" s="448"/>
      <c r="FD9" s="448"/>
      <c r="FE9" s="448"/>
      <c r="FF9" s="448"/>
      <c r="FG9" s="448"/>
      <c r="FH9" s="448"/>
      <c r="FI9" s="446"/>
      <c r="FJ9" s="447"/>
      <c r="FK9" s="448"/>
      <c r="FL9" s="448"/>
      <c r="FM9" s="448"/>
      <c r="FN9" s="448"/>
      <c r="FO9" s="448"/>
      <c r="FP9" s="448"/>
      <c r="FQ9" s="448"/>
      <c r="FR9" s="448"/>
      <c r="FS9" s="448"/>
      <c r="FT9" s="448"/>
      <c r="FU9" s="448"/>
      <c r="FV9" s="448"/>
      <c r="FW9" s="448"/>
      <c r="FX9" s="448"/>
      <c r="FY9" s="448"/>
      <c r="FZ9" s="448"/>
      <c r="GA9" s="448"/>
      <c r="GB9" s="448"/>
      <c r="GC9" s="448"/>
      <c r="GD9" s="448"/>
      <c r="GE9" s="448"/>
      <c r="GF9" s="448"/>
      <c r="GG9" s="448"/>
      <c r="GH9" s="448"/>
      <c r="GI9" s="448"/>
      <c r="GJ9" s="448"/>
      <c r="GK9" s="448"/>
      <c r="GL9" s="448"/>
      <c r="GM9" s="448"/>
      <c r="GN9" s="448"/>
      <c r="GO9" s="448"/>
      <c r="GP9" s="448"/>
      <c r="GQ9" s="448"/>
      <c r="GR9" s="448"/>
      <c r="GS9" s="448"/>
      <c r="GT9" s="448"/>
      <c r="GU9" s="448"/>
      <c r="GV9" s="448"/>
      <c r="GW9" s="448"/>
      <c r="GX9" s="446"/>
      <c r="GY9" s="447"/>
      <c r="GZ9" s="448"/>
      <c r="HA9" s="448"/>
      <c r="HB9" s="448"/>
      <c r="HC9" s="448"/>
      <c r="HD9" s="448"/>
      <c r="HE9" s="448"/>
      <c r="HF9" s="448"/>
      <c r="HG9" s="448"/>
      <c r="HH9" s="448"/>
      <c r="HI9" s="448"/>
      <c r="HJ9" s="448"/>
      <c r="HK9" s="448"/>
      <c r="HL9" s="448"/>
      <c r="HM9" s="448"/>
      <c r="HN9" s="448"/>
      <c r="HO9" s="448"/>
      <c r="HP9" s="448"/>
      <c r="HQ9" s="448"/>
      <c r="HR9" s="448"/>
      <c r="HS9" s="448"/>
      <c r="HT9" s="448"/>
      <c r="HU9" s="448"/>
      <c r="HV9" s="448"/>
      <c r="HW9" s="448"/>
      <c r="HX9" s="448"/>
      <c r="HY9" s="448"/>
      <c r="HZ9" s="448"/>
      <c r="IA9" s="448"/>
      <c r="IB9" s="448"/>
      <c r="IC9" s="448"/>
      <c r="ID9" s="448"/>
      <c r="IE9" s="448"/>
      <c r="IF9" s="448"/>
      <c r="IG9" s="448"/>
      <c r="IH9" s="448"/>
      <c r="II9" s="448"/>
      <c r="IJ9" s="448"/>
      <c r="IK9" s="448"/>
      <c r="IL9" s="448"/>
      <c r="IM9" s="446"/>
      <c r="IN9" s="447"/>
      <c r="IO9" s="448"/>
      <c r="IP9" s="448"/>
      <c r="IQ9" s="448"/>
      <c r="IR9" s="448"/>
      <c r="IS9" s="448"/>
      <c r="IT9" s="448"/>
      <c r="IU9" s="448"/>
      <c r="IV9" s="448"/>
      <c r="IW9" s="448"/>
      <c r="IX9" s="448"/>
      <c r="IY9" s="448"/>
      <c r="IZ9" s="448"/>
      <c r="JA9" s="448"/>
      <c r="JB9" s="448"/>
      <c r="JC9" s="448"/>
      <c r="JD9" s="448"/>
      <c r="JE9" s="448"/>
      <c r="JF9" s="448"/>
      <c r="JG9" s="448"/>
      <c r="JH9" s="448"/>
      <c r="JI9" s="448"/>
      <c r="JJ9" s="448"/>
      <c r="JK9" s="448"/>
      <c r="JL9" s="448"/>
      <c r="JM9" s="448"/>
      <c r="JN9" s="448"/>
      <c r="JO9" s="448"/>
      <c r="JP9" s="448"/>
      <c r="JQ9" s="448"/>
      <c r="JR9" s="448"/>
      <c r="JS9" s="448"/>
      <c r="JT9" s="448"/>
      <c r="JU9" s="448"/>
      <c r="JV9" s="448"/>
      <c r="JW9" s="448"/>
      <c r="JX9" s="448"/>
      <c r="JY9" s="448"/>
      <c r="JZ9" s="448"/>
      <c r="KA9" s="448"/>
      <c r="KB9" s="446"/>
      <c r="KC9" s="447"/>
      <c r="KD9" s="448"/>
      <c r="KE9" s="448"/>
      <c r="KF9" s="448"/>
      <c r="KG9" s="448"/>
      <c r="KH9" s="448"/>
      <c r="KI9" s="448"/>
      <c r="KJ9" s="448"/>
      <c r="KK9" s="448"/>
      <c r="KL9" s="448"/>
      <c r="KM9" s="448"/>
      <c r="KN9" s="448"/>
      <c r="KO9" s="448"/>
      <c r="KP9" s="448"/>
      <c r="KQ9" s="448"/>
      <c r="KR9" s="448"/>
      <c r="KS9" s="448"/>
      <c r="KT9" s="448"/>
      <c r="KU9" s="448"/>
      <c r="KV9" s="448"/>
      <c r="KW9" s="448"/>
      <c r="KX9" s="448"/>
      <c r="KY9" s="448"/>
      <c r="KZ9" s="448"/>
      <c r="LA9" s="448"/>
      <c r="LB9" s="448"/>
      <c r="LC9" s="448"/>
      <c r="LD9" s="448"/>
      <c r="LE9" s="448"/>
      <c r="LF9" s="448"/>
      <c r="LG9" s="448"/>
      <c r="LH9" s="448"/>
      <c r="LI9" s="448"/>
      <c r="LJ9" s="448"/>
      <c r="LK9" s="448"/>
      <c r="LL9" s="448"/>
      <c r="LM9" s="448"/>
      <c r="LN9" s="448"/>
      <c r="LO9" s="448"/>
      <c r="LP9" s="448"/>
      <c r="LQ9" s="446"/>
      <c r="LR9" s="447"/>
      <c r="LS9" s="448"/>
      <c r="LT9" s="448"/>
      <c r="LU9" s="448"/>
      <c r="LV9" s="448"/>
      <c r="LW9" s="448"/>
      <c r="LX9" s="448"/>
      <c r="LY9" s="448"/>
      <c r="LZ9" s="448"/>
      <c r="MA9" s="448"/>
      <c r="MB9" s="448"/>
      <c r="MC9" s="448"/>
      <c r="MD9" s="448"/>
      <c r="ME9" s="448"/>
      <c r="MF9" s="448"/>
      <c r="MG9" s="448"/>
      <c r="MH9" s="448"/>
      <c r="MI9" s="448"/>
      <c r="MJ9" s="448"/>
      <c r="MK9" s="448"/>
      <c r="ML9" s="448"/>
      <c r="MM9" s="448"/>
      <c r="MN9" s="448"/>
      <c r="MO9" s="448"/>
      <c r="MP9" s="448"/>
      <c r="MQ9" s="448"/>
      <c r="MR9" s="448"/>
      <c r="MS9" s="448"/>
      <c r="MT9" s="448"/>
      <c r="MU9" s="448"/>
      <c r="MV9" s="448"/>
      <c r="MW9" s="448"/>
      <c r="MX9" s="448"/>
      <c r="MY9" s="448"/>
      <c r="MZ9" s="448"/>
      <c r="NA9" s="448"/>
      <c r="NB9" s="448"/>
      <c r="NC9" s="448"/>
      <c r="ND9" s="448"/>
      <c r="NE9" s="448"/>
      <c r="NF9" s="446"/>
      <c r="NG9" s="447"/>
      <c r="NH9" s="448"/>
      <c r="NI9" s="448"/>
      <c r="NJ9" s="448"/>
      <c r="NK9" s="448"/>
      <c r="NL9" s="448"/>
      <c r="NM9" s="448"/>
      <c r="NN9" s="448"/>
      <c r="NO9" s="448"/>
      <c r="NP9" s="448"/>
      <c r="NQ9" s="448"/>
      <c r="NR9" s="448"/>
      <c r="NS9" s="448"/>
      <c r="NT9" s="448"/>
      <c r="NU9" s="448"/>
      <c r="NV9" s="448"/>
      <c r="NW9" s="448"/>
      <c r="NX9" s="448"/>
      <c r="NY9" s="448"/>
      <c r="NZ9" s="448"/>
      <c r="OA9" s="448"/>
      <c r="OB9" s="448"/>
      <c r="OC9" s="448"/>
      <c r="OD9" s="448"/>
      <c r="OE9" s="448"/>
      <c r="OF9" s="448"/>
      <c r="OG9" s="448"/>
      <c r="OH9" s="448"/>
      <c r="OI9" s="448"/>
      <c r="OJ9" s="448"/>
      <c r="OK9" s="448"/>
      <c r="OL9" s="448"/>
      <c r="OM9" s="448"/>
      <c r="ON9" s="448"/>
      <c r="OO9" s="448"/>
      <c r="OP9" s="448"/>
      <c r="OQ9" s="448"/>
      <c r="OR9" s="448"/>
      <c r="OS9" s="448"/>
      <c r="OT9" s="448"/>
      <c r="OU9" s="446"/>
      <c r="OV9" s="447"/>
      <c r="OW9" s="448"/>
      <c r="OX9" s="448"/>
      <c r="OY9" s="448"/>
      <c r="OZ9" s="448"/>
      <c r="PA9" s="448"/>
      <c r="PB9" s="448"/>
      <c r="PC9" s="448"/>
      <c r="PD9" s="448"/>
      <c r="PE9" s="448"/>
      <c r="PF9" s="448"/>
      <c r="PG9" s="448"/>
      <c r="PH9" s="448"/>
      <c r="PI9" s="448"/>
      <c r="PJ9" s="448"/>
      <c r="PK9" s="448"/>
      <c r="PL9" s="448"/>
      <c r="PM9" s="448"/>
      <c r="PN9" s="448"/>
      <c r="PO9" s="448"/>
      <c r="PP9" s="448"/>
      <c r="PQ9" s="448"/>
      <c r="PR9" s="448"/>
      <c r="PS9" s="448"/>
      <c r="PT9" s="448"/>
      <c r="PU9" s="448"/>
      <c r="PV9" s="448"/>
      <c r="PW9" s="448"/>
      <c r="PX9" s="448"/>
      <c r="PY9" s="448"/>
      <c r="PZ9" s="448"/>
      <c r="QA9" s="448"/>
      <c r="QB9" s="448"/>
      <c r="QC9" s="448"/>
      <c r="QD9" s="448"/>
      <c r="QE9" s="448"/>
      <c r="QF9" s="448"/>
      <c r="QG9" s="448"/>
      <c r="QH9" s="448"/>
      <c r="QI9" s="448"/>
      <c r="QJ9" s="446"/>
      <c r="QK9" s="447"/>
      <c r="QL9" s="448"/>
      <c r="QM9" s="448"/>
      <c r="QN9" s="448"/>
      <c r="QO9" s="448"/>
      <c r="QP9" s="448"/>
      <c r="QQ9" s="448"/>
      <c r="QR9" s="448"/>
      <c r="QS9" s="448"/>
      <c r="QT9" s="448"/>
      <c r="QU9" s="448"/>
      <c r="QV9" s="448"/>
      <c r="QW9" s="448"/>
      <c r="QX9" s="448"/>
      <c r="QY9" s="448"/>
      <c r="QZ9" s="448"/>
      <c r="RA9" s="448"/>
      <c r="RB9" s="448"/>
      <c r="RC9" s="448"/>
      <c r="RD9" s="448"/>
      <c r="RE9" s="448"/>
      <c r="RF9" s="448"/>
      <c r="RG9" s="448"/>
      <c r="RH9" s="448"/>
      <c r="RI9" s="448"/>
      <c r="RJ9" s="448"/>
      <c r="RK9" s="448"/>
      <c r="RL9" s="448"/>
      <c r="RM9" s="448"/>
      <c r="RN9" s="448"/>
      <c r="RO9" s="448"/>
      <c r="RP9" s="448"/>
      <c r="RQ9" s="448"/>
      <c r="RR9" s="448"/>
      <c r="RS9" s="448"/>
      <c r="RT9" s="448"/>
      <c r="RU9" s="448"/>
      <c r="RV9" s="448"/>
      <c r="RW9" s="448"/>
      <c r="RX9" s="448"/>
      <c r="RY9" s="446"/>
      <c r="RZ9" s="447"/>
      <c r="SA9" s="448"/>
      <c r="SB9" s="448"/>
      <c r="SC9" s="448"/>
      <c r="SD9" s="448"/>
      <c r="SE9" s="448"/>
      <c r="SF9" s="448"/>
      <c r="SG9" s="448"/>
      <c r="SH9" s="448"/>
      <c r="SI9" s="448"/>
      <c r="SJ9" s="448"/>
      <c r="SK9" s="448"/>
      <c r="SL9" s="448"/>
      <c r="SM9" s="448"/>
      <c r="SN9" s="448"/>
      <c r="SO9" s="448"/>
      <c r="SP9" s="448"/>
      <c r="SQ9" s="448"/>
      <c r="SR9" s="448"/>
      <c r="SS9" s="448"/>
      <c r="ST9" s="448"/>
      <c r="SU9" s="448"/>
      <c r="SV9" s="448"/>
      <c r="SW9" s="448"/>
      <c r="SX9" s="448"/>
      <c r="SY9" s="448"/>
      <c r="SZ9" s="448"/>
      <c r="TA9" s="448"/>
      <c r="TB9" s="448"/>
      <c r="TC9" s="448"/>
      <c r="TD9" s="448"/>
      <c r="TE9" s="448"/>
      <c r="TF9" s="448"/>
      <c r="TG9" s="448"/>
      <c r="TH9" s="448"/>
      <c r="TI9" s="448"/>
      <c r="TJ9" s="448"/>
      <c r="TK9" s="448"/>
      <c r="TL9" s="448"/>
      <c r="TM9" s="448"/>
      <c r="TN9" s="446"/>
      <c r="TO9" s="447"/>
      <c r="TP9" s="448"/>
      <c r="TQ9" s="448"/>
      <c r="TR9" s="448"/>
      <c r="TS9" s="448"/>
      <c r="TT9" s="448"/>
      <c r="TU9" s="448"/>
      <c r="TV9" s="448"/>
      <c r="TW9" s="448"/>
      <c r="TX9" s="448"/>
      <c r="TY9" s="448"/>
      <c r="TZ9" s="448"/>
      <c r="UA9" s="448"/>
      <c r="UB9" s="448"/>
      <c r="UC9" s="448"/>
      <c r="UD9" s="448"/>
      <c r="UE9" s="448"/>
      <c r="UF9" s="448"/>
      <c r="UG9" s="448"/>
      <c r="UH9" s="448"/>
      <c r="UI9" s="448"/>
      <c r="UJ9" s="448"/>
      <c r="UK9" s="448"/>
      <c r="UL9" s="448"/>
      <c r="UM9" s="448"/>
      <c r="UN9" s="448"/>
      <c r="UO9" s="448"/>
      <c r="UP9" s="448"/>
      <c r="UQ9" s="448"/>
      <c r="UR9" s="448"/>
      <c r="US9" s="448"/>
      <c r="UT9" s="448"/>
      <c r="UU9" s="448"/>
      <c r="UV9" s="448"/>
      <c r="UW9" s="448"/>
      <c r="UX9" s="448"/>
      <c r="UY9" s="448"/>
      <c r="UZ9" s="448"/>
      <c r="VA9" s="448"/>
      <c r="VB9" s="448"/>
      <c r="VC9" s="446"/>
      <c r="VD9" s="447"/>
      <c r="VE9" s="448"/>
      <c r="VF9" s="448"/>
      <c r="VG9" s="448"/>
      <c r="VH9" s="448"/>
      <c r="VI9" s="448"/>
      <c r="VJ9" s="448"/>
      <c r="VK9" s="448"/>
      <c r="VL9" s="448"/>
      <c r="VM9" s="448"/>
      <c r="VN9" s="448"/>
      <c r="VO9" s="448"/>
      <c r="VP9" s="448"/>
      <c r="VQ9" s="448"/>
      <c r="VR9" s="448"/>
      <c r="VS9" s="448"/>
      <c r="VT9" s="448"/>
      <c r="VU9" s="448"/>
      <c r="VV9" s="448"/>
      <c r="VW9" s="448"/>
      <c r="VX9" s="448"/>
      <c r="VY9" s="448"/>
      <c r="VZ9" s="448"/>
      <c r="WA9" s="448"/>
      <c r="WB9" s="448"/>
      <c r="WC9" s="448"/>
      <c r="WD9" s="448"/>
      <c r="WE9" s="448"/>
      <c r="WF9" s="448"/>
      <c r="WG9" s="448"/>
      <c r="WH9" s="448"/>
      <c r="WI9" s="448"/>
      <c r="WJ9" s="448"/>
      <c r="WK9" s="448"/>
      <c r="WL9" s="448"/>
      <c r="WM9" s="448"/>
      <c r="WN9" s="448"/>
      <c r="WO9" s="448"/>
      <c r="WP9" s="448"/>
      <c r="WQ9" s="448"/>
      <c r="WR9" s="446"/>
      <c r="WS9" s="447"/>
      <c r="WT9" s="448"/>
      <c r="WU9" s="448"/>
      <c r="WV9" s="448"/>
      <c r="WW9" s="448"/>
      <c r="WX9" s="448"/>
      <c r="WY9" s="448"/>
      <c r="WZ9" s="448"/>
      <c r="XA9" s="448"/>
      <c r="XB9" s="448"/>
      <c r="XC9" s="448"/>
      <c r="XD9" s="448"/>
      <c r="XE9" s="448"/>
      <c r="XF9" s="448"/>
      <c r="XG9" s="448"/>
      <c r="XH9" s="448"/>
      <c r="XI9" s="448"/>
      <c r="XJ9" s="448"/>
      <c r="XK9" s="448"/>
      <c r="XL9" s="448"/>
      <c r="XM9" s="448"/>
      <c r="XN9" s="448"/>
      <c r="XO9" s="448"/>
      <c r="XP9" s="448"/>
      <c r="XQ9" s="448"/>
      <c r="XR9" s="448"/>
      <c r="XS9" s="448"/>
      <c r="XT9" s="448"/>
      <c r="XU9" s="448"/>
      <c r="XV9" s="448"/>
      <c r="XW9" s="448"/>
      <c r="XX9" s="448"/>
      <c r="XY9" s="448"/>
      <c r="XZ9" s="448"/>
      <c r="YA9" s="448"/>
      <c r="YB9" s="448"/>
      <c r="YC9" s="448"/>
      <c r="YD9" s="448"/>
      <c r="YE9" s="448"/>
      <c r="YF9" s="448"/>
      <c r="YG9" s="446"/>
      <c r="YH9" s="447"/>
      <c r="YI9" s="448"/>
      <c r="YJ9" s="448"/>
      <c r="YK9" s="448"/>
      <c r="YL9" s="448"/>
      <c r="YM9" s="448"/>
      <c r="YN9" s="448"/>
      <c r="YO9" s="448"/>
      <c r="YP9" s="448"/>
      <c r="YQ9" s="448"/>
      <c r="YR9" s="448"/>
      <c r="YS9" s="448"/>
      <c r="YT9" s="448"/>
      <c r="YU9" s="448"/>
      <c r="YV9" s="448"/>
      <c r="YW9" s="448"/>
      <c r="YX9" s="448"/>
      <c r="YY9" s="448"/>
      <c r="YZ9" s="448"/>
      <c r="ZA9" s="448"/>
      <c r="ZB9" s="448"/>
      <c r="ZC9" s="448"/>
      <c r="ZD9" s="448"/>
      <c r="ZE9" s="448"/>
      <c r="ZF9" s="448"/>
      <c r="ZG9" s="448"/>
      <c r="ZH9" s="448"/>
      <c r="ZI9" s="448"/>
      <c r="ZJ9" s="448"/>
      <c r="ZK9" s="448"/>
      <c r="ZL9" s="448"/>
      <c r="ZM9" s="448"/>
      <c r="ZN9" s="448"/>
      <c r="ZO9" s="448"/>
      <c r="ZP9" s="448"/>
      <c r="ZQ9" s="448"/>
      <c r="ZR9" s="448"/>
      <c r="ZS9" s="448"/>
      <c r="ZT9" s="448"/>
      <c r="ZU9" s="448"/>
      <c r="ZV9" s="446"/>
      <c r="ZW9" s="447"/>
      <c r="ZX9" s="448"/>
      <c r="ZY9" s="448"/>
      <c r="ZZ9" s="448"/>
      <c r="AAA9" s="448"/>
      <c r="AAB9" s="448"/>
      <c r="AAC9" s="448"/>
      <c r="AAD9" s="448"/>
      <c r="AAE9" s="448"/>
      <c r="AAF9" s="448"/>
      <c r="AAG9" s="448"/>
      <c r="AAH9" s="448"/>
      <c r="AAI9" s="448"/>
      <c r="AAJ9" s="448"/>
      <c r="AAK9" s="448"/>
      <c r="AAL9" s="448"/>
      <c r="AAM9" s="448"/>
      <c r="AAN9" s="448"/>
      <c r="AAO9" s="448"/>
      <c r="AAP9" s="448"/>
      <c r="AAQ9" s="448"/>
      <c r="AAR9" s="448"/>
      <c r="AAS9" s="448"/>
      <c r="AAT9" s="448"/>
      <c r="AAU9" s="448"/>
      <c r="AAV9" s="448"/>
      <c r="AAW9" s="448"/>
      <c r="AAX9" s="448"/>
      <c r="AAY9" s="448"/>
      <c r="AAZ9" s="448"/>
      <c r="ABA9" s="448"/>
      <c r="ABB9" s="448"/>
      <c r="ABC9" s="448"/>
      <c r="ABD9" s="448"/>
      <c r="ABE9" s="448"/>
      <c r="ABF9" s="448"/>
      <c r="ABG9" s="448"/>
      <c r="ABH9" s="448"/>
      <c r="ABI9" s="448"/>
      <c r="ABJ9" s="448"/>
      <c r="ABK9" s="446"/>
      <c r="ABL9" s="447"/>
      <c r="ABM9" s="448"/>
      <c r="ABN9" s="448"/>
      <c r="ABO9" s="448"/>
      <c r="ABP9" s="448"/>
      <c r="ABQ9" s="448"/>
      <c r="ABR9" s="448"/>
      <c r="ABS9" s="448"/>
      <c r="ABT9" s="448"/>
      <c r="ABU9" s="448"/>
      <c r="ABV9" s="448"/>
      <c r="ABW9" s="448"/>
      <c r="ABX9" s="448"/>
      <c r="ABY9" s="448"/>
      <c r="ABZ9" s="448"/>
      <c r="ACA9" s="448"/>
      <c r="ACB9" s="448"/>
      <c r="ACC9" s="448"/>
      <c r="ACD9" s="448"/>
      <c r="ACE9" s="448"/>
      <c r="ACF9" s="448"/>
      <c r="ACG9" s="448"/>
      <c r="ACH9" s="448"/>
      <c r="ACI9" s="448"/>
      <c r="ACJ9" s="448"/>
      <c r="ACK9" s="448"/>
      <c r="ACL9" s="448"/>
      <c r="ACM9" s="448"/>
      <c r="ACN9" s="448"/>
      <c r="ACO9" s="448"/>
      <c r="ACP9" s="448"/>
      <c r="ACQ9" s="448"/>
      <c r="ACR9" s="448"/>
      <c r="ACS9" s="448"/>
      <c r="ACT9" s="448"/>
      <c r="ACU9" s="448"/>
      <c r="ACV9" s="448"/>
      <c r="ACW9" s="448"/>
      <c r="ACX9" s="448"/>
      <c r="ACY9" s="448"/>
      <c r="ACZ9" s="446"/>
      <c r="ADA9" s="447"/>
      <c r="ADB9" s="448"/>
      <c r="ADC9" s="448"/>
      <c r="ADD9" s="448"/>
      <c r="ADE9" s="448"/>
      <c r="ADF9" s="448"/>
      <c r="ADG9" s="448"/>
      <c r="ADH9" s="448"/>
      <c r="ADI9" s="448"/>
      <c r="ADJ9" s="448"/>
      <c r="ADK9" s="448"/>
      <c r="ADL9" s="448"/>
      <c r="ADM9" s="448"/>
      <c r="ADN9" s="448"/>
      <c r="ADO9" s="448"/>
      <c r="ADP9" s="448"/>
      <c r="ADQ9" s="448"/>
      <c r="ADR9" s="448"/>
      <c r="ADS9" s="448"/>
      <c r="ADT9" s="448"/>
      <c r="ADU9" s="448"/>
      <c r="ADV9" s="448"/>
      <c r="ADW9" s="448"/>
      <c r="ADX9" s="448"/>
      <c r="ADY9" s="448"/>
      <c r="ADZ9" s="448"/>
      <c r="AEA9" s="448"/>
      <c r="AEB9" s="448"/>
      <c r="AEC9" s="448"/>
      <c r="AED9" s="448"/>
      <c r="AEE9" s="448"/>
      <c r="AEF9" s="448"/>
      <c r="AEG9" s="448"/>
      <c r="AEH9" s="448"/>
      <c r="AEI9" s="448"/>
      <c r="AEJ9" s="448"/>
      <c r="AEK9" s="448"/>
      <c r="AEL9" s="448"/>
      <c r="AEM9" s="448"/>
      <c r="AEN9" s="448"/>
      <c r="AEO9" s="446"/>
      <c r="AEP9" s="447"/>
      <c r="AEQ9" s="448"/>
      <c r="AER9" s="448"/>
      <c r="AES9" s="448"/>
      <c r="AET9" s="448"/>
      <c r="AEU9" s="448"/>
      <c r="AEV9" s="448"/>
      <c r="AEW9" s="448"/>
      <c r="AEX9" s="448"/>
      <c r="AEY9" s="448"/>
      <c r="AEZ9" s="448"/>
      <c r="AFA9" s="448"/>
      <c r="AFB9" s="448"/>
      <c r="AFC9" s="448"/>
      <c r="AFD9" s="448"/>
      <c r="AFE9" s="448"/>
      <c r="AFF9" s="448"/>
      <c r="AFG9" s="448"/>
      <c r="AFH9" s="448"/>
      <c r="AFI9" s="448"/>
      <c r="AFJ9" s="448"/>
      <c r="AFK9" s="448"/>
      <c r="AFL9" s="448"/>
      <c r="AFM9" s="448"/>
      <c r="AFN9" s="448"/>
      <c r="AFO9" s="448"/>
      <c r="AFP9" s="448"/>
      <c r="AFQ9" s="448"/>
      <c r="AFR9" s="448"/>
      <c r="AFS9" s="448"/>
      <c r="AFT9" s="448"/>
      <c r="AFU9" s="448"/>
      <c r="AFV9" s="448"/>
      <c r="AFW9" s="448"/>
      <c r="AFX9" s="448"/>
      <c r="AFY9" s="448"/>
      <c r="AFZ9" s="448"/>
      <c r="AGA9" s="448"/>
      <c r="AGB9" s="448"/>
      <c r="AGC9" s="448"/>
      <c r="AGD9" s="446"/>
      <c r="AGE9" s="447"/>
      <c r="AGF9" s="448"/>
      <c r="AGG9" s="448"/>
      <c r="AGH9" s="448"/>
      <c r="AGI9" s="448"/>
      <c r="AGJ9" s="448"/>
      <c r="AGK9" s="448"/>
      <c r="AGL9" s="448"/>
      <c r="AGM9" s="448"/>
      <c r="AGN9" s="448"/>
      <c r="AGO9" s="448"/>
      <c r="AGP9" s="448"/>
      <c r="AGQ9" s="448"/>
      <c r="AGR9" s="448"/>
      <c r="AGS9" s="448"/>
      <c r="AGT9" s="448"/>
      <c r="AGU9" s="448"/>
      <c r="AGV9" s="448"/>
      <c r="AGW9" s="448"/>
      <c r="AGX9" s="448"/>
      <c r="AGY9" s="448"/>
      <c r="AGZ9" s="448"/>
      <c r="AHA9" s="448"/>
      <c r="AHB9" s="448"/>
      <c r="AHC9" s="448"/>
      <c r="AHD9" s="448"/>
      <c r="AHE9" s="448"/>
      <c r="AHF9" s="448"/>
      <c r="AHG9" s="448"/>
      <c r="AHH9" s="448"/>
      <c r="AHI9" s="448"/>
      <c r="AHJ9" s="448"/>
      <c r="AHK9" s="448"/>
      <c r="AHL9" s="448"/>
      <c r="AHM9" s="448"/>
      <c r="AHN9" s="448"/>
      <c r="AHO9" s="448"/>
      <c r="AHP9" s="448"/>
      <c r="AHQ9" s="448"/>
      <c r="AHR9" s="448"/>
      <c r="AHS9" s="446"/>
      <c r="AHT9" s="447"/>
      <c r="AHU9" s="448"/>
      <c r="AHV9" s="448"/>
      <c r="AHW9" s="448"/>
      <c r="AHX9" s="448"/>
      <c r="AHY9" s="448"/>
      <c r="AHZ9" s="448"/>
      <c r="AIA9" s="448"/>
      <c r="AIB9" s="448"/>
      <c r="AIC9" s="448"/>
      <c r="AID9" s="448"/>
      <c r="AIE9" s="448"/>
      <c r="AIF9" s="448"/>
      <c r="AIG9" s="448"/>
      <c r="AIH9" s="448"/>
      <c r="AII9" s="448"/>
      <c r="AIJ9" s="448"/>
      <c r="AIK9" s="448"/>
      <c r="AIL9" s="448"/>
      <c r="AIM9" s="448"/>
      <c r="AIN9" s="448"/>
      <c r="AIO9" s="448"/>
      <c r="AIP9" s="448"/>
      <c r="AIQ9" s="448"/>
      <c r="AIR9" s="448"/>
      <c r="AIS9" s="448"/>
      <c r="AIT9" s="448"/>
      <c r="AIU9" s="448"/>
      <c r="AIV9" s="448"/>
      <c r="AIW9" s="448"/>
      <c r="AIX9" s="448"/>
      <c r="AIY9" s="448"/>
      <c r="AIZ9" s="448"/>
      <c r="AJA9" s="448"/>
      <c r="AJB9" s="448"/>
      <c r="AJC9" s="448"/>
      <c r="AJD9" s="448"/>
      <c r="AJE9" s="448"/>
      <c r="AJF9" s="448"/>
      <c r="AJG9" s="448"/>
      <c r="AJH9" s="446"/>
      <c r="AJI9" s="447"/>
      <c r="AJJ9" s="448"/>
      <c r="AJK9" s="448"/>
      <c r="AJL9" s="448"/>
      <c r="AJM9" s="448"/>
      <c r="AJN9" s="448"/>
      <c r="AJO9" s="448"/>
      <c r="AJP9" s="448"/>
      <c r="AJQ9" s="448"/>
      <c r="AJR9" s="448"/>
      <c r="AJS9" s="448"/>
      <c r="AJT9" s="448"/>
      <c r="AJU9" s="448"/>
      <c r="AJV9" s="448"/>
      <c r="AJW9" s="448"/>
      <c r="AJX9" s="448"/>
      <c r="AJY9" s="448"/>
      <c r="AJZ9" s="448"/>
      <c r="AKA9" s="448"/>
      <c r="AKB9" s="448"/>
      <c r="AKC9" s="448"/>
      <c r="AKD9" s="448"/>
      <c r="AKE9" s="448"/>
      <c r="AKF9" s="448"/>
      <c r="AKG9" s="448"/>
      <c r="AKH9" s="448"/>
      <c r="AKI9" s="448"/>
      <c r="AKJ9" s="448"/>
      <c r="AKK9" s="448"/>
      <c r="AKL9" s="448"/>
      <c r="AKM9" s="448"/>
      <c r="AKN9" s="448"/>
      <c r="AKO9" s="448"/>
      <c r="AKP9" s="448"/>
      <c r="AKQ9" s="448"/>
      <c r="AKR9" s="448"/>
      <c r="AKS9" s="448"/>
      <c r="AKT9" s="448"/>
      <c r="AKU9" s="448"/>
      <c r="AKV9" s="448"/>
      <c r="AKW9" s="446"/>
      <c r="AKX9" s="447"/>
      <c r="AKY9" s="448"/>
      <c r="AKZ9" s="448"/>
      <c r="ALA9" s="448"/>
      <c r="ALB9" s="448"/>
      <c r="ALC9" s="448"/>
      <c r="ALD9" s="448"/>
      <c r="ALE9" s="448"/>
      <c r="ALF9" s="448"/>
      <c r="ALG9" s="448"/>
      <c r="ALH9" s="448"/>
      <c r="ALI9" s="448"/>
      <c r="ALJ9" s="448"/>
      <c r="ALK9" s="448"/>
      <c r="ALL9" s="448"/>
      <c r="ALM9" s="448"/>
      <c r="ALN9" s="448"/>
      <c r="ALO9" s="448"/>
      <c r="ALP9" s="448"/>
      <c r="ALQ9" s="448"/>
      <c r="ALR9" s="448"/>
      <c r="ALS9" s="448"/>
      <c r="ALT9" s="448"/>
      <c r="ALU9" s="448"/>
      <c r="ALV9" s="448"/>
      <c r="ALW9" s="448"/>
      <c r="ALX9" s="448"/>
      <c r="ALY9" s="448"/>
      <c r="ALZ9" s="448"/>
      <c r="AMA9" s="448"/>
      <c r="AMB9" s="448"/>
      <c r="AMC9" s="448"/>
      <c r="AMD9" s="448"/>
      <c r="AME9" s="448"/>
      <c r="AMF9" s="448"/>
      <c r="AMG9" s="448"/>
      <c r="AMH9" s="448"/>
      <c r="AMI9" s="448"/>
      <c r="AMJ9" s="448"/>
      <c r="AMK9" s="448"/>
      <c r="AML9" s="446"/>
      <c r="AMM9" s="447"/>
      <c r="AMN9" s="448"/>
      <c r="AMO9" s="448"/>
      <c r="AMP9" s="448"/>
      <c r="AMQ9" s="448"/>
      <c r="AMR9" s="448"/>
      <c r="AMS9" s="448"/>
      <c r="AMT9" s="448"/>
      <c r="AMU9" s="448"/>
      <c r="AMV9" s="448"/>
      <c r="AMW9" s="448"/>
      <c r="AMX9" s="448"/>
      <c r="AMY9" s="448"/>
      <c r="AMZ9" s="448"/>
      <c r="ANA9" s="448"/>
      <c r="ANB9" s="448"/>
      <c r="ANC9" s="448"/>
      <c r="AND9" s="448"/>
      <c r="ANE9" s="448"/>
      <c r="ANF9" s="448"/>
      <c r="ANG9" s="448"/>
      <c r="ANH9" s="448"/>
      <c r="ANI9" s="448"/>
      <c r="ANJ9" s="448"/>
      <c r="ANK9" s="448"/>
      <c r="ANL9" s="448"/>
      <c r="ANM9" s="448"/>
      <c r="ANN9" s="448"/>
      <c r="ANO9" s="448"/>
      <c r="ANP9" s="448"/>
      <c r="ANQ9" s="448"/>
      <c r="ANR9" s="448"/>
      <c r="ANS9" s="448"/>
      <c r="ANT9" s="448"/>
      <c r="ANU9" s="448"/>
      <c r="ANV9" s="448"/>
      <c r="ANW9" s="448"/>
      <c r="ANX9" s="448"/>
      <c r="ANY9" s="448"/>
      <c r="ANZ9" s="448"/>
      <c r="AOA9" s="446"/>
      <c r="AOB9" s="447"/>
      <c r="AOC9" s="448"/>
      <c r="AOD9" s="448"/>
      <c r="AOE9" s="448"/>
      <c r="AOF9" s="448"/>
      <c r="AOG9" s="448"/>
      <c r="AOH9" s="448"/>
      <c r="AOI9" s="448"/>
      <c r="AOJ9" s="448"/>
      <c r="AOK9" s="448"/>
      <c r="AOL9" s="448"/>
      <c r="AOM9" s="448"/>
      <c r="AON9" s="448"/>
      <c r="AOO9" s="448"/>
      <c r="AOP9" s="448"/>
      <c r="AOQ9" s="448"/>
      <c r="AOR9" s="448"/>
      <c r="AOS9" s="448"/>
      <c r="AOT9" s="448"/>
      <c r="AOU9" s="448"/>
      <c r="AOV9" s="448"/>
      <c r="AOW9" s="448"/>
      <c r="AOX9" s="448"/>
      <c r="AOY9" s="448"/>
      <c r="AOZ9" s="448"/>
      <c r="APA9" s="448"/>
      <c r="APB9" s="448"/>
      <c r="APC9" s="448"/>
      <c r="APD9" s="448"/>
      <c r="APE9" s="448"/>
      <c r="APF9" s="448"/>
      <c r="APG9" s="448"/>
      <c r="APH9" s="448"/>
      <c r="API9" s="448"/>
      <c r="APJ9" s="448"/>
      <c r="APK9" s="448"/>
      <c r="APL9" s="448"/>
      <c r="APM9" s="448"/>
      <c r="APN9" s="448"/>
      <c r="APO9" s="448"/>
      <c r="APP9" s="446"/>
      <c r="APQ9" s="447"/>
      <c r="APR9" s="448"/>
      <c r="APS9" s="448"/>
      <c r="APT9" s="448"/>
      <c r="APU9" s="448"/>
      <c r="APV9" s="448"/>
      <c r="APW9" s="448"/>
      <c r="APX9" s="448"/>
      <c r="APY9" s="448"/>
      <c r="APZ9" s="448"/>
      <c r="AQA9" s="448"/>
      <c r="AQB9" s="448"/>
      <c r="AQC9" s="448"/>
      <c r="AQD9" s="448"/>
      <c r="AQE9" s="448"/>
      <c r="AQF9" s="448"/>
      <c r="AQG9" s="448"/>
      <c r="AQH9" s="448"/>
      <c r="AQI9" s="448"/>
      <c r="AQJ9" s="448"/>
      <c r="AQK9" s="448"/>
      <c r="AQL9" s="448"/>
      <c r="AQM9" s="448"/>
      <c r="AQN9" s="448"/>
      <c r="AQO9" s="448"/>
      <c r="AQP9" s="448"/>
      <c r="AQQ9" s="448"/>
      <c r="AQR9" s="448"/>
      <c r="AQS9" s="448"/>
      <c r="AQT9" s="448"/>
      <c r="AQU9" s="448"/>
      <c r="AQV9" s="448"/>
      <c r="AQW9" s="448"/>
      <c r="AQX9" s="448"/>
      <c r="AQY9" s="448"/>
      <c r="AQZ9" s="448"/>
      <c r="ARA9" s="448"/>
      <c r="ARB9" s="448"/>
      <c r="ARC9" s="448"/>
      <c r="ARD9" s="448"/>
      <c r="ARE9" s="446"/>
      <c r="ARF9" s="447"/>
      <c r="ARG9" s="448"/>
      <c r="ARH9" s="448"/>
      <c r="ARI9" s="448"/>
      <c r="ARJ9" s="448"/>
      <c r="ARK9" s="448"/>
      <c r="ARL9" s="448"/>
      <c r="ARM9" s="448"/>
      <c r="ARN9" s="448"/>
      <c r="ARO9" s="448"/>
      <c r="ARP9" s="448"/>
      <c r="ARQ9" s="448"/>
      <c r="ARR9" s="448"/>
      <c r="ARS9" s="448"/>
      <c r="ART9" s="448"/>
      <c r="ARU9" s="448"/>
      <c r="ARV9" s="448"/>
      <c r="ARW9" s="448"/>
      <c r="ARX9" s="448"/>
      <c r="ARY9" s="448"/>
      <c r="ARZ9" s="448"/>
      <c r="ASA9" s="448"/>
      <c r="ASB9" s="448"/>
      <c r="ASC9" s="448"/>
      <c r="ASD9" s="448"/>
      <c r="ASE9" s="448"/>
      <c r="ASF9" s="448"/>
      <c r="ASG9" s="448"/>
      <c r="ASH9" s="448"/>
      <c r="ASI9" s="448"/>
      <c r="ASJ9" s="448"/>
      <c r="ASK9" s="448"/>
      <c r="ASL9" s="448"/>
      <c r="ASM9" s="448"/>
      <c r="ASN9" s="448"/>
      <c r="ASO9" s="448"/>
      <c r="ASP9" s="448"/>
      <c r="ASQ9" s="448"/>
      <c r="ASR9" s="448"/>
      <c r="ASS9" s="448"/>
      <c r="AST9" s="446"/>
      <c r="ASU9" s="447"/>
      <c r="ASV9" s="448"/>
      <c r="ASW9" s="448"/>
      <c r="ASX9" s="448"/>
      <c r="ASY9" s="448"/>
      <c r="ASZ9" s="448"/>
      <c r="ATA9" s="448"/>
      <c r="ATB9" s="448"/>
      <c r="ATC9" s="448"/>
      <c r="ATD9" s="448"/>
      <c r="ATE9" s="448"/>
      <c r="ATF9" s="448"/>
      <c r="ATG9" s="448"/>
      <c r="ATH9" s="448"/>
      <c r="ATI9" s="448"/>
      <c r="ATJ9" s="448"/>
      <c r="ATK9" s="448"/>
      <c r="ATL9" s="448"/>
      <c r="ATM9" s="448"/>
      <c r="ATN9" s="448"/>
      <c r="ATO9" s="448"/>
      <c r="ATP9" s="448"/>
      <c r="ATQ9" s="448"/>
      <c r="ATR9" s="448"/>
      <c r="ATS9" s="448"/>
      <c r="ATT9" s="448"/>
      <c r="ATU9" s="448"/>
      <c r="ATV9" s="448"/>
      <c r="ATW9" s="448"/>
      <c r="ATX9" s="448"/>
      <c r="ATY9" s="448"/>
      <c r="ATZ9" s="448"/>
      <c r="AUA9" s="448"/>
      <c r="AUB9" s="448"/>
      <c r="AUC9" s="448"/>
      <c r="AUD9" s="448"/>
      <c r="AUE9" s="448"/>
      <c r="AUF9" s="448"/>
      <c r="AUG9" s="448"/>
      <c r="AUH9" s="448"/>
      <c r="AUI9" s="446"/>
      <c r="AUJ9" s="447"/>
      <c r="AUK9" s="448"/>
      <c r="AUL9" s="448"/>
      <c r="AUM9" s="448"/>
      <c r="AUN9" s="448"/>
      <c r="AUO9" s="448"/>
      <c r="AUP9" s="448"/>
      <c r="AUQ9" s="448"/>
      <c r="AUR9" s="448"/>
      <c r="AUS9" s="448"/>
      <c r="AUT9" s="448"/>
      <c r="AUU9" s="448"/>
      <c r="AUV9" s="448"/>
      <c r="AUW9" s="448"/>
      <c r="AUX9" s="448"/>
      <c r="AUY9" s="448"/>
      <c r="AUZ9" s="448"/>
      <c r="AVA9" s="448"/>
      <c r="AVB9" s="448"/>
      <c r="AVC9" s="448"/>
      <c r="AVD9" s="448"/>
      <c r="AVE9" s="448"/>
      <c r="AVF9" s="448"/>
      <c r="AVG9" s="448"/>
      <c r="AVH9" s="448"/>
      <c r="AVI9" s="448"/>
      <c r="AVJ9" s="448"/>
      <c r="AVK9" s="448"/>
      <c r="AVL9" s="448"/>
      <c r="AVM9" s="448"/>
      <c r="AVN9" s="448"/>
      <c r="AVO9" s="448"/>
      <c r="AVP9" s="448"/>
      <c r="AVQ9" s="448"/>
      <c r="AVR9" s="448"/>
      <c r="AVS9" s="448"/>
      <c r="AVT9" s="448"/>
      <c r="AVU9" s="448"/>
      <c r="AVV9" s="448"/>
      <c r="AVW9" s="448"/>
      <c r="AVX9" s="446"/>
      <c r="AVY9" s="447"/>
      <c r="AVZ9" s="448"/>
      <c r="AWA9" s="448"/>
      <c r="AWB9" s="448"/>
      <c r="AWC9" s="448"/>
      <c r="AWD9" s="448"/>
      <c r="AWE9" s="448"/>
      <c r="AWF9" s="448"/>
      <c r="AWG9" s="448"/>
      <c r="AWH9" s="448"/>
      <c r="AWI9" s="448"/>
      <c r="AWJ9" s="448"/>
      <c r="AWK9" s="448"/>
      <c r="AWL9" s="448"/>
      <c r="AWM9" s="448"/>
      <c r="AWN9" s="448"/>
      <c r="AWO9" s="448"/>
      <c r="AWP9" s="448"/>
      <c r="AWQ9" s="448"/>
      <c r="AWR9" s="448"/>
      <c r="AWS9" s="448"/>
      <c r="AWT9" s="448"/>
      <c r="AWU9" s="448"/>
      <c r="AWV9" s="448"/>
      <c r="AWW9" s="448"/>
      <c r="AWX9" s="448"/>
      <c r="AWY9" s="448"/>
      <c r="AWZ9" s="448"/>
      <c r="AXA9" s="448"/>
      <c r="AXB9" s="448"/>
      <c r="AXC9" s="448"/>
      <c r="AXD9" s="448"/>
      <c r="AXE9" s="448"/>
      <c r="AXF9" s="448"/>
      <c r="AXG9" s="448"/>
      <c r="AXH9" s="448"/>
      <c r="AXI9" s="448"/>
      <c r="AXJ9" s="448"/>
      <c r="AXK9" s="448"/>
      <c r="AXL9" s="448"/>
      <c r="AXM9" s="446"/>
      <c r="AXN9" s="447"/>
      <c r="AXO9" s="448"/>
      <c r="AXP9" s="448"/>
      <c r="AXQ9" s="448"/>
      <c r="AXR9" s="448"/>
      <c r="AXS9" s="448"/>
      <c r="AXT9" s="448"/>
      <c r="AXU9" s="448"/>
      <c r="AXV9" s="448"/>
      <c r="AXW9" s="448"/>
      <c r="AXX9" s="448"/>
      <c r="AXY9" s="448"/>
      <c r="AXZ9" s="448"/>
      <c r="AYA9" s="448"/>
      <c r="AYB9" s="448"/>
      <c r="AYC9" s="448"/>
      <c r="AYD9" s="448"/>
      <c r="AYE9" s="448"/>
      <c r="AYF9" s="448"/>
      <c r="AYG9" s="448"/>
      <c r="AYH9" s="448"/>
      <c r="AYI9" s="448"/>
      <c r="AYJ9" s="448"/>
      <c r="AYK9" s="448"/>
      <c r="AYL9" s="448"/>
      <c r="AYM9" s="448"/>
      <c r="AYN9" s="448"/>
      <c r="AYO9" s="448"/>
      <c r="AYP9" s="448"/>
      <c r="AYQ9" s="448"/>
      <c r="AYR9" s="448"/>
      <c r="AYS9" s="448"/>
      <c r="AYT9" s="448"/>
      <c r="AYU9" s="448"/>
      <c r="AYV9" s="448"/>
      <c r="AYW9" s="448"/>
      <c r="AYX9" s="448"/>
      <c r="AYY9" s="448"/>
      <c r="AYZ9" s="448"/>
      <c r="AZA9" s="448"/>
      <c r="AZB9" s="446"/>
      <c r="AZC9" s="447"/>
      <c r="AZD9" s="448"/>
      <c r="AZE9" s="448"/>
      <c r="AZF9" s="448"/>
      <c r="AZG9" s="448"/>
      <c r="AZH9" s="448"/>
      <c r="AZI9" s="448"/>
      <c r="AZJ9" s="448"/>
      <c r="AZK9" s="448"/>
      <c r="AZL9" s="448"/>
      <c r="AZM9" s="448"/>
      <c r="AZN9" s="448"/>
      <c r="AZO9" s="448"/>
      <c r="AZP9" s="448"/>
      <c r="AZQ9" s="448"/>
      <c r="AZR9" s="448"/>
      <c r="AZS9" s="448"/>
      <c r="AZT9" s="448"/>
      <c r="AZU9" s="448"/>
      <c r="AZV9" s="448"/>
      <c r="AZW9" s="448"/>
      <c r="AZX9" s="448"/>
      <c r="AZY9" s="448"/>
      <c r="AZZ9" s="448"/>
      <c r="BAA9" s="448"/>
      <c r="BAB9" s="448"/>
      <c r="BAC9" s="448"/>
      <c r="BAD9" s="448"/>
      <c r="BAE9" s="448"/>
      <c r="BAF9" s="448"/>
      <c r="BAG9" s="448"/>
      <c r="BAH9" s="448"/>
      <c r="BAI9" s="448"/>
      <c r="BAJ9" s="448"/>
      <c r="BAK9" s="448"/>
      <c r="BAL9" s="448"/>
      <c r="BAM9" s="448"/>
      <c r="BAN9" s="448"/>
      <c r="BAO9" s="448"/>
      <c r="BAP9" s="448"/>
      <c r="BAQ9" s="446"/>
      <c r="BAR9" s="447"/>
      <c r="BAS9" s="448"/>
      <c r="BAT9" s="448"/>
      <c r="BAU9" s="448"/>
      <c r="BAV9" s="448"/>
      <c r="BAW9" s="448"/>
      <c r="BAX9" s="448"/>
      <c r="BAY9" s="448"/>
      <c r="BAZ9" s="448"/>
      <c r="BBA9" s="448"/>
      <c r="BBB9" s="448"/>
      <c r="BBC9" s="448"/>
      <c r="BBD9" s="448"/>
      <c r="BBE9" s="448"/>
      <c r="BBF9" s="448"/>
      <c r="BBG9" s="448"/>
      <c r="BBH9" s="448"/>
      <c r="BBI9" s="448"/>
      <c r="BBJ9" s="448"/>
      <c r="BBK9" s="448"/>
      <c r="BBL9" s="448"/>
      <c r="BBM9" s="448"/>
      <c r="BBN9" s="448"/>
      <c r="BBO9" s="448"/>
      <c r="BBP9" s="448"/>
      <c r="BBQ9" s="448"/>
      <c r="BBR9" s="448"/>
      <c r="BBS9" s="448"/>
      <c r="BBT9" s="448"/>
      <c r="BBU9" s="448"/>
      <c r="BBV9" s="448"/>
      <c r="BBW9" s="448"/>
      <c r="BBX9" s="448"/>
      <c r="BBY9" s="448"/>
      <c r="BBZ9" s="448"/>
      <c r="BCA9" s="448"/>
      <c r="BCB9" s="448"/>
      <c r="BCC9" s="448"/>
      <c r="BCD9" s="448"/>
      <c r="BCE9" s="448"/>
      <c r="BCF9" s="446"/>
      <c r="BCG9" s="447"/>
      <c r="BCH9" s="448"/>
      <c r="BCI9" s="448"/>
      <c r="BCJ9" s="448"/>
      <c r="BCK9" s="448"/>
      <c r="BCL9" s="448"/>
      <c r="BCM9" s="448"/>
      <c r="BCN9" s="448"/>
      <c r="BCO9" s="448"/>
      <c r="BCP9" s="448"/>
      <c r="BCQ9" s="448"/>
      <c r="BCR9" s="448"/>
      <c r="BCS9" s="448"/>
      <c r="BCT9" s="448"/>
      <c r="BCU9" s="448"/>
      <c r="BCV9" s="448"/>
      <c r="BCW9" s="448"/>
      <c r="BCX9" s="448"/>
      <c r="BCY9" s="448"/>
      <c r="BCZ9" s="448"/>
      <c r="BDA9" s="448"/>
      <c r="BDB9" s="448"/>
      <c r="BDC9" s="448"/>
      <c r="BDD9" s="448"/>
      <c r="BDE9" s="448"/>
      <c r="BDF9" s="448"/>
      <c r="BDG9" s="448"/>
      <c r="BDH9" s="448"/>
      <c r="BDI9" s="448"/>
      <c r="BDJ9" s="448"/>
      <c r="BDK9" s="448"/>
      <c r="BDL9" s="448"/>
      <c r="BDM9" s="448"/>
      <c r="BDN9" s="448"/>
      <c r="BDO9" s="448"/>
      <c r="BDP9" s="448"/>
      <c r="BDQ9" s="448"/>
      <c r="BDR9" s="448"/>
      <c r="BDS9" s="448"/>
      <c r="BDT9" s="448"/>
      <c r="BDU9" s="446"/>
      <c r="BDV9" s="447"/>
      <c r="BDW9" s="448"/>
      <c r="BDX9" s="448"/>
      <c r="BDY9" s="448"/>
      <c r="BDZ9" s="448"/>
      <c r="BEA9" s="448"/>
      <c r="BEB9" s="448"/>
      <c r="BEC9" s="448"/>
      <c r="BED9" s="448"/>
      <c r="BEE9" s="448"/>
      <c r="BEF9" s="448"/>
      <c r="BEG9" s="448"/>
      <c r="BEH9" s="448"/>
      <c r="BEI9" s="448"/>
      <c r="BEJ9" s="448"/>
      <c r="BEK9" s="448"/>
      <c r="BEL9" s="448"/>
      <c r="BEM9" s="448"/>
      <c r="BEN9" s="448"/>
      <c r="BEO9" s="448"/>
      <c r="BEP9" s="448"/>
      <c r="BEQ9" s="448"/>
      <c r="BER9" s="448"/>
      <c r="BES9" s="448"/>
      <c r="BET9" s="448"/>
      <c r="BEU9" s="448"/>
      <c r="BEV9" s="448"/>
      <c r="BEW9" s="448"/>
      <c r="BEX9" s="448"/>
      <c r="BEY9" s="448"/>
      <c r="BEZ9" s="448"/>
      <c r="BFA9" s="448"/>
      <c r="BFB9" s="448"/>
      <c r="BFC9" s="448"/>
      <c r="BFD9" s="448"/>
      <c r="BFE9" s="448"/>
      <c r="BFF9" s="448"/>
      <c r="BFG9" s="448"/>
      <c r="BFH9" s="448"/>
      <c r="BFI9" s="448"/>
      <c r="BFJ9" s="446"/>
      <c r="BFK9" s="447"/>
      <c r="BFL9" s="448"/>
      <c r="BFM9" s="448"/>
      <c r="BFN9" s="448"/>
      <c r="BFO9" s="448"/>
      <c r="BFP9" s="448"/>
      <c r="BFQ9" s="448"/>
      <c r="BFR9" s="448"/>
      <c r="BFS9" s="448"/>
      <c r="BFT9" s="448"/>
      <c r="BFU9" s="448"/>
      <c r="BFV9" s="448"/>
      <c r="BFW9" s="448"/>
      <c r="BFX9" s="448"/>
      <c r="BFY9" s="448"/>
      <c r="BFZ9" s="448"/>
      <c r="BGA9" s="448"/>
      <c r="BGB9" s="448"/>
      <c r="BGC9" s="448"/>
      <c r="BGD9" s="448"/>
      <c r="BGE9" s="448"/>
      <c r="BGF9" s="448"/>
      <c r="BGG9" s="448"/>
      <c r="BGH9" s="448"/>
      <c r="BGI9" s="448"/>
      <c r="BGJ9" s="448"/>
      <c r="BGK9" s="448"/>
      <c r="BGL9" s="448"/>
      <c r="BGM9" s="448"/>
      <c r="BGN9" s="448"/>
      <c r="BGO9" s="448"/>
      <c r="BGP9" s="448"/>
      <c r="BGQ9" s="448"/>
      <c r="BGR9" s="448"/>
      <c r="BGS9" s="448"/>
      <c r="BGT9" s="448"/>
      <c r="BGU9" s="448"/>
      <c r="BGV9" s="448"/>
      <c r="BGW9" s="448"/>
      <c r="BGX9" s="448"/>
      <c r="BGY9" s="446"/>
      <c r="BGZ9" s="447"/>
      <c r="BHA9" s="448"/>
      <c r="BHB9" s="448"/>
      <c r="BHC9" s="448"/>
      <c r="BHD9" s="448"/>
      <c r="BHE9" s="448"/>
      <c r="BHF9" s="448"/>
      <c r="BHG9" s="448"/>
      <c r="BHH9" s="448"/>
      <c r="BHI9" s="448"/>
      <c r="BHJ9" s="448"/>
      <c r="BHK9" s="448"/>
      <c r="BHL9" s="448"/>
      <c r="BHM9" s="448"/>
      <c r="BHN9" s="448"/>
      <c r="BHO9" s="448"/>
      <c r="BHP9" s="448"/>
      <c r="BHQ9" s="448"/>
      <c r="BHR9" s="448"/>
      <c r="BHS9" s="448"/>
      <c r="BHT9" s="448"/>
      <c r="BHU9" s="448"/>
      <c r="BHV9" s="448"/>
      <c r="BHW9" s="448"/>
      <c r="BHX9" s="448"/>
      <c r="BHY9" s="448"/>
      <c r="BHZ9" s="448"/>
      <c r="BIA9" s="448"/>
      <c r="BIB9" s="448"/>
      <c r="BIC9" s="448"/>
      <c r="BID9" s="448"/>
      <c r="BIE9" s="448"/>
      <c r="BIF9" s="448"/>
      <c r="BIG9" s="448"/>
      <c r="BIH9" s="448"/>
      <c r="BII9" s="448"/>
      <c r="BIJ9" s="448"/>
      <c r="BIK9" s="448"/>
      <c r="BIL9" s="448"/>
      <c r="BIM9" s="448"/>
      <c r="BIN9" s="446"/>
      <c r="BIO9" s="447"/>
      <c r="BIP9" s="448"/>
      <c r="BIQ9" s="448"/>
      <c r="BIR9" s="448"/>
      <c r="BIS9" s="448"/>
      <c r="BIT9" s="448"/>
      <c r="BIU9" s="448"/>
      <c r="BIV9" s="448"/>
      <c r="BIW9" s="448"/>
      <c r="BIX9" s="448"/>
      <c r="BIY9" s="448"/>
      <c r="BIZ9" s="448"/>
      <c r="BJA9" s="448"/>
      <c r="BJB9" s="448"/>
      <c r="BJC9" s="448"/>
      <c r="BJD9" s="448"/>
      <c r="BJE9" s="448"/>
      <c r="BJF9" s="448"/>
      <c r="BJG9" s="448"/>
      <c r="BJH9" s="448"/>
      <c r="BJI9" s="448"/>
      <c r="BJJ9" s="448"/>
      <c r="BJK9" s="448"/>
      <c r="BJL9" s="448"/>
      <c r="BJM9" s="448"/>
      <c r="BJN9" s="448"/>
      <c r="BJO9" s="448"/>
      <c r="BJP9" s="448"/>
      <c r="BJQ9" s="448"/>
      <c r="BJR9" s="448"/>
      <c r="BJS9" s="448"/>
      <c r="BJT9" s="448"/>
      <c r="BJU9" s="448"/>
      <c r="BJV9" s="448"/>
      <c r="BJW9" s="448"/>
      <c r="BJX9" s="448"/>
      <c r="BJY9" s="448"/>
      <c r="BJZ9" s="448"/>
      <c r="BKA9" s="448"/>
      <c r="BKB9" s="448"/>
      <c r="BKC9" s="446"/>
      <c r="BKD9" s="447"/>
      <c r="BKE9" s="448"/>
      <c r="BKF9" s="448"/>
      <c r="BKG9" s="448"/>
      <c r="BKH9" s="448"/>
      <c r="BKI9" s="448"/>
      <c r="BKJ9" s="448"/>
      <c r="BKK9" s="448"/>
      <c r="BKL9" s="448"/>
      <c r="BKM9" s="448"/>
      <c r="BKN9" s="448"/>
      <c r="BKO9" s="448"/>
      <c r="BKP9" s="448"/>
      <c r="BKQ9" s="448"/>
      <c r="BKR9" s="448"/>
      <c r="BKS9" s="448"/>
      <c r="BKT9" s="448"/>
      <c r="BKU9" s="448"/>
      <c r="BKV9" s="448"/>
      <c r="BKW9" s="448"/>
      <c r="BKX9" s="448"/>
      <c r="BKY9" s="448"/>
      <c r="BKZ9" s="448"/>
      <c r="BLA9" s="448"/>
      <c r="BLB9" s="448"/>
      <c r="BLC9" s="448"/>
      <c r="BLD9" s="448"/>
      <c r="BLE9" s="448"/>
      <c r="BLF9" s="448"/>
      <c r="BLG9" s="448"/>
      <c r="BLH9" s="448"/>
      <c r="BLI9" s="448"/>
      <c r="BLJ9" s="448"/>
      <c r="BLK9" s="448"/>
      <c r="BLL9" s="448"/>
      <c r="BLM9" s="448"/>
      <c r="BLN9" s="448"/>
      <c r="BLO9" s="448"/>
      <c r="BLP9" s="448"/>
      <c r="BLQ9" s="448"/>
      <c r="BLR9" s="446"/>
      <c r="BLS9" s="447"/>
      <c r="BLT9" s="448"/>
      <c r="BLU9" s="448"/>
      <c r="BLV9" s="448"/>
      <c r="BLW9" s="448"/>
      <c r="BLX9" s="448"/>
      <c r="BLY9" s="448"/>
      <c r="BLZ9" s="448"/>
      <c r="BMA9" s="448"/>
      <c r="BMB9" s="448"/>
      <c r="BMC9" s="448"/>
      <c r="BMD9" s="448"/>
      <c r="BME9" s="448"/>
      <c r="BMF9" s="448"/>
      <c r="BMG9" s="448"/>
      <c r="BMH9" s="448"/>
      <c r="BMI9" s="448"/>
      <c r="BMJ9" s="448"/>
      <c r="BMK9" s="448"/>
      <c r="BML9" s="448"/>
      <c r="BMM9" s="448"/>
      <c r="BMN9" s="448"/>
      <c r="BMO9" s="448"/>
      <c r="BMP9" s="448"/>
      <c r="BMQ9" s="448"/>
      <c r="BMR9" s="448"/>
      <c r="BMS9" s="448"/>
      <c r="BMT9" s="448"/>
      <c r="BMU9" s="448"/>
      <c r="BMV9" s="448"/>
      <c r="BMW9" s="448"/>
      <c r="BMX9" s="448"/>
      <c r="BMY9" s="448"/>
      <c r="BMZ9" s="448"/>
      <c r="BNA9" s="448"/>
      <c r="BNB9" s="448"/>
      <c r="BNC9" s="448"/>
      <c r="BND9" s="448"/>
      <c r="BNE9" s="448"/>
      <c r="BNF9" s="448"/>
      <c r="BNG9" s="446"/>
      <c r="BNH9" s="447"/>
      <c r="BNI9" s="448"/>
      <c r="BNJ9" s="448"/>
      <c r="BNK9" s="448"/>
      <c r="BNL9" s="448"/>
      <c r="BNM9" s="448"/>
      <c r="BNN9" s="448"/>
      <c r="BNO9" s="448"/>
      <c r="BNP9" s="448"/>
      <c r="BNQ9" s="448"/>
      <c r="BNR9" s="448"/>
      <c r="BNS9" s="448"/>
      <c r="BNT9" s="448"/>
      <c r="BNU9" s="448"/>
      <c r="BNV9" s="448"/>
      <c r="BNW9" s="448"/>
      <c r="BNX9" s="448"/>
      <c r="BNY9" s="448"/>
      <c r="BNZ9" s="448"/>
      <c r="BOA9" s="448"/>
      <c r="BOB9" s="448"/>
      <c r="BOC9" s="448"/>
      <c r="BOD9" s="448"/>
      <c r="BOE9" s="448"/>
      <c r="BOF9" s="448"/>
      <c r="BOG9" s="448"/>
      <c r="BOH9" s="448"/>
      <c r="BOI9" s="448"/>
      <c r="BOJ9" s="448"/>
      <c r="BOK9" s="448"/>
      <c r="BOL9" s="448"/>
      <c r="BOM9" s="448"/>
      <c r="BON9" s="448"/>
      <c r="BOO9" s="448"/>
      <c r="BOP9" s="448"/>
      <c r="BOQ9" s="448"/>
      <c r="BOR9" s="448"/>
      <c r="BOS9" s="448"/>
      <c r="BOT9" s="448"/>
      <c r="BOU9" s="448"/>
      <c r="BOV9" s="446"/>
      <c r="BOW9" s="447"/>
      <c r="BOX9" s="448"/>
      <c r="BOY9" s="448"/>
      <c r="BOZ9" s="448"/>
      <c r="BPA9" s="448"/>
      <c r="BPB9" s="448"/>
      <c r="BPC9" s="448"/>
      <c r="BPD9" s="448"/>
      <c r="BPE9" s="448"/>
      <c r="BPF9" s="448"/>
      <c r="BPG9" s="448"/>
      <c r="BPH9" s="448"/>
      <c r="BPI9" s="448"/>
      <c r="BPJ9" s="448"/>
      <c r="BPK9" s="448"/>
      <c r="BPL9" s="448"/>
      <c r="BPM9" s="448"/>
      <c r="BPN9" s="448"/>
      <c r="BPO9" s="448"/>
      <c r="BPP9" s="448"/>
      <c r="BPQ9" s="448"/>
      <c r="BPR9" s="448"/>
      <c r="BPS9" s="448"/>
      <c r="BPT9" s="448"/>
      <c r="BPU9" s="448"/>
      <c r="BPV9" s="448"/>
      <c r="BPW9" s="448"/>
      <c r="BPX9" s="448"/>
      <c r="BPY9" s="448"/>
      <c r="BPZ9" s="448"/>
      <c r="BQA9" s="448"/>
      <c r="BQB9" s="448"/>
      <c r="BQC9" s="448"/>
      <c r="BQD9" s="448"/>
      <c r="BQE9" s="448"/>
      <c r="BQF9" s="448"/>
      <c r="BQG9" s="448"/>
      <c r="BQH9" s="448"/>
      <c r="BQI9" s="448"/>
      <c r="BQJ9" s="448"/>
      <c r="BQK9" s="446"/>
      <c r="BQL9" s="447"/>
      <c r="BQM9" s="448"/>
      <c r="BQN9" s="448"/>
      <c r="BQO9" s="448"/>
      <c r="BQP9" s="448"/>
      <c r="BQQ9" s="448"/>
      <c r="BQR9" s="448"/>
      <c r="BQS9" s="448"/>
      <c r="BQT9" s="448"/>
      <c r="BQU9" s="448"/>
      <c r="BQV9" s="448"/>
      <c r="BQW9" s="448"/>
      <c r="BQX9" s="448"/>
      <c r="BQY9" s="448"/>
      <c r="BQZ9" s="448"/>
      <c r="BRA9" s="448"/>
      <c r="BRB9" s="448"/>
      <c r="BRC9" s="448"/>
      <c r="BRD9" s="448"/>
      <c r="BRE9" s="448"/>
      <c r="BRF9" s="448"/>
      <c r="BRG9" s="448"/>
      <c r="BRH9" s="448"/>
      <c r="BRI9" s="448"/>
      <c r="BRJ9" s="448"/>
      <c r="BRK9" s="448"/>
      <c r="BRL9" s="448"/>
      <c r="BRM9" s="448"/>
      <c r="BRN9" s="448"/>
      <c r="BRO9" s="448"/>
      <c r="BRP9" s="448"/>
      <c r="BRQ9" s="448"/>
      <c r="BRR9" s="448"/>
      <c r="BRS9" s="448"/>
      <c r="BRT9" s="448"/>
      <c r="BRU9" s="448"/>
      <c r="BRV9" s="448"/>
      <c r="BRW9" s="448"/>
      <c r="BRX9" s="448"/>
      <c r="BRY9" s="448"/>
      <c r="BRZ9" s="446"/>
      <c r="BSA9" s="447"/>
      <c r="BSB9" s="448"/>
      <c r="BSC9" s="448"/>
      <c r="BSD9" s="448"/>
      <c r="BSE9" s="448"/>
      <c r="BSF9" s="448"/>
      <c r="BSG9" s="448"/>
      <c r="BSH9" s="448"/>
      <c r="BSI9" s="448"/>
      <c r="BSJ9" s="448"/>
      <c r="BSK9" s="448"/>
      <c r="BSL9" s="448"/>
      <c r="BSM9" s="448"/>
      <c r="BSN9" s="448"/>
      <c r="BSO9" s="448"/>
      <c r="BSP9" s="448"/>
      <c r="BSQ9" s="448"/>
      <c r="BSR9" s="448"/>
      <c r="BSS9" s="448"/>
      <c r="BST9" s="448"/>
      <c r="BSU9" s="448"/>
      <c r="BSV9" s="448"/>
      <c r="BSW9" s="448"/>
      <c r="BSX9" s="448"/>
      <c r="BSY9" s="448"/>
      <c r="BSZ9" s="448"/>
      <c r="BTA9" s="448"/>
      <c r="BTB9" s="448"/>
      <c r="BTC9" s="448"/>
      <c r="BTD9" s="448"/>
      <c r="BTE9" s="448"/>
      <c r="BTF9" s="448"/>
      <c r="BTG9" s="448"/>
      <c r="BTH9" s="448"/>
      <c r="BTI9" s="448"/>
      <c r="BTJ9" s="448"/>
      <c r="BTK9" s="448"/>
      <c r="BTL9" s="448"/>
      <c r="BTM9" s="448"/>
      <c r="BTN9" s="448"/>
      <c r="BTO9" s="446"/>
      <c r="BTP9" s="447"/>
      <c r="BTQ9" s="448"/>
      <c r="BTR9" s="448"/>
      <c r="BTS9" s="448"/>
      <c r="BTT9" s="448"/>
      <c r="BTU9" s="448"/>
      <c r="BTV9" s="448"/>
      <c r="BTW9" s="448"/>
      <c r="BTX9" s="448"/>
      <c r="BTY9" s="448"/>
      <c r="BTZ9" s="448"/>
      <c r="BUA9" s="448"/>
      <c r="BUB9" s="448"/>
      <c r="BUC9" s="448"/>
      <c r="BUD9" s="448"/>
      <c r="BUE9" s="448"/>
      <c r="BUF9" s="448"/>
      <c r="BUG9" s="448"/>
      <c r="BUH9" s="448"/>
      <c r="BUI9" s="448"/>
      <c r="BUJ9" s="448"/>
      <c r="BUK9" s="448"/>
      <c r="BUL9" s="448"/>
      <c r="BUM9" s="448"/>
      <c r="BUN9" s="448"/>
      <c r="BUO9" s="448"/>
      <c r="BUP9" s="448"/>
      <c r="BUQ9" s="448"/>
      <c r="BUR9" s="448"/>
      <c r="BUS9" s="448"/>
      <c r="BUT9" s="448"/>
      <c r="BUU9" s="448"/>
      <c r="BUV9" s="448"/>
      <c r="BUW9" s="448"/>
      <c r="BUX9" s="448"/>
      <c r="BUY9" s="448"/>
      <c r="BUZ9" s="448"/>
      <c r="BVA9" s="448"/>
      <c r="BVB9" s="448"/>
      <c r="BVC9" s="448"/>
      <c r="BVD9" s="446"/>
      <c r="BVE9" s="447"/>
      <c r="BVF9" s="448"/>
      <c r="BVG9" s="448"/>
      <c r="BVH9" s="448"/>
      <c r="BVI9" s="448"/>
      <c r="BVJ9" s="448"/>
      <c r="BVK9" s="448"/>
      <c r="BVL9" s="448"/>
      <c r="BVM9" s="448"/>
      <c r="BVN9" s="448"/>
      <c r="BVO9" s="448"/>
      <c r="BVP9" s="448"/>
      <c r="BVQ9" s="448"/>
      <c r="BVR9" s="448"/>
      <c r="BVS9" s="448"/>
      <c r="BVT9" s="448"/>
      <c r="BVU9" s="448"/>
      <c r="BVV9" s="448"/>
      <c r="BVW9" s="448"/>
      <c r="BVX9" s="448"/>
      <c r="BVY9" s="448"/>
      <c r="BVZ9" s="448"/>
      <c r="BWA9" s="448"/>
      <c r="BWB9" s="448"/>
      <c r="BWC9" s="448"/>
      <c r="BWD9" s="448"/>
      <c r="BWE9" s="448"/>
      <c r="BWF9" s="448"/>
      <c r="BWG9" s="448"/>
      <c r="BWH9" s="448"/>
      <c r="BWI9" s="448"/>
      <c r="BWJ9" s="448"/>
      <c r="BWK9" s="448"/>
      <c r="BWL9" s="448"/>
      <c r="BWM9" s="448"/>
      <c r="BWN9" s="448"/>
      <c r="BWO9" s="448"/>
      <c r="BWP9" s="448"/>
      <c r="BWQ9" s="448"/>
      <c r="BWR9" s="448"/>
      <c r="BWS9" s="446"/>
      <c r="BWT9" s="447"/>
      <c r="BWU9" s="448"/>
      <c r="BWV9" s="448"/>
      <c r="BWW9" s="448"/>
      <c r="BWX9" s="448"/>
      <c r="BWY9" s="448"/>
      <c r="BWZ9" s="448"/>
      <c r="BXA9" s="448"/>
      <c r="BXB9" s="448"/>
      <c r="BXC9" s="448"/>
      <c r="BXD9" s="448"/>
      <c r="BXE9" s="448"/>
      <c r="BXF9" s="448"/>
      <c r="BXG9" s="448"/>
      <c r="BXH9" s="448"/>
      <c r="BXI9" s="448"/>
      <c r="BXJ9" s="448"/>
      <c r="BXK9" s="448"/>
      <c r="BXL9" s="448"/>
      <c r="BXM9" s="448"/>
      <c r="BXN9" s="448"/>
      <c r="BXO9" s="448"/>
      <c r="BXP9" s="448"/>
      <c r="BXQ9" s="448"/>
      <c r="BXR9" s="448"/>
      <c r="BXS9" s="448"/>
      <c r="BXT9" s="448"/>
      <c r="BXU9" s="448"/>
      <c r="BXV9" s="448"/>
      <c r="BXW9" s="448"/>
      <c r="BXX9" s="448"/>
      <c r="BXY9" s="448"/>
      <c r="BXZ9" s="448"/>
      <c r="BYA9" s="448"/>
      <c r="BYB9" s="448"/>
      <c r="BYC9" s="448"/>
      <c r="BYD9" s="448"/>
      <c r="BYE9" s="448"/>
      <c r="BYF9" s="448"/>
      <c r="BYG9" s="448"/>
      <c r="BYH9" s="446"/>
      <c r="BYI9" s="447"/>
      <c r="BYJ9" s="448"/>
      <c r="BYK9" s="448"/>
      <c r="BYL9" s="448"/>
      <c r="BYM9" s="448"/>
      <c r="BYN9" s="448"/>
      <c r="BYO9" s="448"/>
      <c r="BYP9" s="448"/>
      <c r="BYQ9" s="448"/>
      <c r="BYR9" s="448"/>
      <c r="BYS9" s="448"/>
      <c r="BYT9" s="448"/>
      <c r="BYU9" s="448"/>
      <c r="BYV9" s="448"/>
      <c r="BYW9" s="448"/>
      <c r="BYX9" s="448"/>
      <c r="BYY9" s="448"/>
      <c r="BYZ9" s="448"/>
      <c r="BZA9" s="448"/>
      <c r="BZB9" s="448"/>
      <c r="BZC9" s="448"/>
      <c r="BZD9" s="448"/>
      <c r="BZE9" s="448"/>
      <c r="BZF9" s="448"/>
      <c r="BZG9" s="448"/>
      <c r="BZH9" s="448"/>
      <c r="BZI9" s="448"/>
      <c r="BZJ9" s="448"/>
      <c r="BZK9" s="448"/>
      <c r="BZL9" s="448"/>
      <c r="BZM9" s="448"/>
      <c r="BZN9" s="448"/>
      <c r="BZO9" s="448"/>
      <c r="BZP9" s="448"/>
      <c r="BZQ9" s="448"/>
      <c r="BZR9" s="448"/>
      <c r="BZS9" s="448"/>
      <c r="BZT9" s="448"/>
      <c r="BZU9" s="448"/>
      <c r="BZV9" s="448"/>
      <c r="BZW9" s="446"/>
      <c r="BZX9" s="447"/>
      <c r="BZY9" s="448"/>
      <c r="BZZ9" s="448"/>
      <c r="CAA9" s="448"/>
      <c r="CAB9" s="448"/>
      <c r="CAC9" s="448"/>
      <c r="CAD9" s="448"/>
      <c r="CAE9" s="448"/>
      <c r="CAF9" s="448"/>
      <c r="CAG9" s="448"/>
      <c r="CAH9" s="448"/>
      <c r="CAI9" s="448"/>
      <c r="CAJ9" s="448"/>
      <c r="CAK9" s="448"/>
      <c r="CAL9" s="448"/>
      <c r="CAM9" s="448"/>
      <c r="CAN9" s="448"/>
      <c r="CAO9" s="448"/>
      <c r="CAP9" s="448"/>
      <c r="CAQ9" s="448"/>
      <c r="CAR9" s="448"/>
      <c r="CAS9" s="448"/>
      <c r="CAT9" s="448"/>
      <c r="CAU9" s="448"/>
      <c r="CAV9" s="448"/>
      <c r="CAW9" s="448"/>
      <c r="CAX9" s="448"/>
      <c r="CAY9" s="448"/>
      <c r="CAZ9" s="448"/>
      <c r="CBA9" s="448"/>
      <c r="CBB9" s="448"/>
      <c r="CBC9" s="448"/>
      <c r="CBD9" s="448"/>
      <c r="CBE9" s="448"/>
      <c r="CBF9" s="448"/>
      <c r="CBG9" s="448"/>
      <c r="CBH9" s="448"/>
      <c r="CBI9" s="448"/>
      <c r="CBJ9" s="448"/>
      <c r="CBK9" s="448"/>
      <c r="CBL9" s="446"/>
      <c r="CBM9" s="447"/>
      <c r="CBN9" s="448"/>
      <c r="CBO9" s="448"/>
      <c r="CBP9" s="448"/>
      <c r="CBQ9" s="448"/>
      <c r="CBR9" s="448"/>
      <c r="CBS9" s="448"/>
      <c r="CBT9" s="448"/>
      <c r="CBU9" s="448"/>
      <c r="CBV9" s="448"/>
      <c r="CBW9" s="448"/>
      <c r="CBX9" s="448"/>
      <c r="CBY9" s="448"/>
      <c r="CBZ9" s="448"/>
      <c r="CCA9" s="448"/>
      <c r="CCB9" s="448"/>
      <c r="CCC9" s="448"/>
      <c r="CCD9" s="448"/>
      <c r="CCE9" s="448"/>
      <c r="CCF9" s="448"/>
      <c r="CCG9" s="448"/>
      <c r="CCH9" s="448"/>
      <c r="CCI9" s="448"/>
      <c r="CCJ9" s="448"/>
      <c r="CCK9" s="448"/>
      <c r="CCL9" s="448"/>
      <c r="CCM9" s="448"/>
      <c r="CCN9" s="448"/>
      <c r="CCO9" s="448"/>
      <c r="CCP9" s="448"/>
      <c r="CCQ9" s="448"/>
      <c r="CCR9" s="448"/>
      <c r="CCS9" s="448"/>
      <c r="CCT9" s="448"/>
      <c r="CCU9" s="448"/>
      <c r="CCV9" s="448"/>
      <c r="CCW9" s="448"/>
      <c r="CCX9" s="448"/>
      <c r="CCY9" s="448"/>
      <c r="CCZ9" s="448"/>
      <c r="CDA9" s="446"/>
      <c r="CDB9" s="447"/>
      <c r="CDC9" s="448"/>
      <c r="CDD9" s="448"/>
      <c r="CDE9" s="448"/>
      <c r="CDF9" s="448"/>
      <c r="CDG9" s="448"/>
      <c r="CDH9" s="448"/>
      <c r="CDI9" s="448"/>
      <c r="CDJ9" s="448"/>
      <c r="CDK9" s="448"/>
      <c r="CDL9" s="448"/>
      <c r="CDM9" s="448"/>
      <c r="CDN9" s="448"/>
      <c r="CDO9" s="448"/>
      <c r="CDP9" s="448"/>
      <c r="CDQ9" s="448"/>
      <c r="CDR9" s="448"/>
      <c r="CDS9" s="448"/>
      <c r="CDT9" s="448"/>
      <c r="CDU9" s="448"/>
      <c r="CDV9" s="448"/>
      <c r="CDW9" s="448"/>
      <c r="CDX9" s="448"/>
      <c r="CDY9" s="448"/>
      <c r="CDZ9" s="448"/>
      <c r="CEA9" s="448"/>
      <c r="CEB9" s="448"/>
      <c r="CEC9" s="448"/>
      <c r="CED9" s="448"/>
      <c r="CEE9" s="448"/>
      <c r="CEF9" s="448"/>
      <c r="CEG9" s="448"/>
      <c r="CEH9" s="448"/>
      <c r="CEI9" s="448"/>
      <c r="CEJ9" s="448"/>
      <c r="CEK9" s="448"/>
      <c r="CEL9" s="448"/>
      <c r="CEM9" s="448"/>
      <c r="CEN9" s="448"/>
      <c r="CEO9" s="448"/>
      <c r="CEP9" s="446"/>
      <c r="CEQ9" s="447"/>
      <c r="CER9" s="448"/>
      <c r="CES9" s="448"/>
      <c r="CET9" s="448"/>
      <c r="CEU9" s="448"/>
      <c r="CEV9" s="448"/>
      <c r="CEW9" s="448"/>
      <c r="CEX9" s="448"/>
      <c r="CEY9" s="448"/>
      <c r="CEZ9" s="448"/>
      <c r="CFA9" s="448"/>
      <c r="CFB9" s="448"/>
      <c r="CFC9" s="448"/>
      <c r="CFD9" s="448"/>
      <c r="CFE9" s="448"/>
      <c r="CFF9" s="448"/>
      <c r="CFG9" s="448"/>
      <c r="CFH9" s="448"/>
      <c r="CFI9" s="448"/>
      <c r="CFJ9" s="448"/>
      <c r="CFK9" s="448"/>
      <c r="CFL9" s="448"/>
      <c r="CFM9" s="448"/>
      <c r="CFN9" s="448"/>
      <c r="CFO9" s="448"/>
      <c r="CFP9" s="448"/>
      <c r="CFQ9" s="448"/>
      <c r="CFR9" s="448"/>
      <c r="CFS9" s="448"/>
      <c r="CFT9" s="448"/>
      <c r="CFU9" s="448"/>
      <c r="CFV9" s="448"/>
      <c r="CFW9" s="448"/>
      <c r="CFX9" s="448"/>
      <c r="CFY9" s="448"/>
      <c r="CFZ9" s="448"/>
      <c r="CGA9" s="448"/>
      <c r="CGB9" s="448"/>
      <c r="CGC9" s="448"/>
      <c r="CGD9" s="448"/>
      <c r="CGE9" s="446"/>
      <c r="CGF9" s="447"/>
      <c r="CGG9" s="448"/>
      <c r="CGH9" s="448"/>
      <c r="CGI9" s="448"/>
      <c r="CGJ9" s="448"/>
      <c r="CGK9" s="448"/>
      <c r="CGL9" s="448"/>
      <c r="CGM9" s="448"/>
      <c r="CGN9" s="448"/>
      <c r="CGO9" s="448"/>
      <c r="CGP9" s="448"/>
      <c r="CGQ9" s="448"/>
      <c r="CGR9" s="448"/>
      <c r="CGS9" s="448"/>
      <c r="CGT9" s="448"/>
      <c r="CGU9" s="448"/>
      <c r="CGV9" s="448"/>
      <c r="CGW9" s="448"/>
      <c r="CGX9" s="448"/>
      <c r="CGY9" s="448"/>
      <c r="CGZ9" s="448"/>
      <c r="CHA9" s="448"/>
      <c r="CHB9" s="448"/>
      <c r="CHC9" s="448"/>
      <c r="CHD9" s="448"/>
      <c r="CHE9" s="448"/>
      <c r="CHF9" s="448"/>
      <c r="CHG9" s="448"/>
      <c r="CHH9" s="448"/>
      <c r="CHI9" s="448"/>
      <c r="CHJ9" s="448"/>
      <c r="CHK9" s="448"/>
      <c r="CHL9" s="448"/>
      <c r="CHM9" s="448"/>
      <c r="CHN9" s="448"/>
      <c r="CHO9" s="448"/>
      <c r="CHP9" s="448"/>
      <c r="CHQ9" s="448"/>
      <c r="CHR9" s="448"/>
      <c r="CHS9" s="448"/>
      <c r="CHT9" s="446"/>
      <c r="CHU9" s="447"/>
      <c r="CHV9" s="448"/>
      <c r="CHW9" s="448"/>
      <c r="CHX9" s="448"/>
      <c r="CHY9" s="448"/>
      <c r="CHZ9" s="448"/>
      <c r="CIA9" s="448"/>
      <c r="CIB9" s="448"/>
      <c r="CIC9" s="448"/>
      <c r="CID9" s="448"/>
      <c r="CIE9" s="448"/>
      <c r="CIF9" s="448"/>
      <c r="CIG9" s="448"/>
      <c r="CIH9" s="448"/>
      <c r="CII9" s="448"/>
      <c r="CIJ9" s="448"/>
      <c r="CIK9" s="448"/>
      <c r="CIL9" s="448"/>
      <c r="CIM9" s="448"/>
      <c r="CIN9" s="448"/>
      <c r="CIO9" s="448"/>
      <c r="CIP9" s="448"/>
      <c r="CIQ9" s="448"/>
      <c r="CIR9" s="448"/>
      <c r="CIS9" s="448"/>
      <c r="CIT9" s="448"/>
      <c r="CIU9" s="448"/>
      <c r="CIV9" s="448"/>
      <c r="CIW9" s="448"/>
      <c r="CIX9" s="448"/>
      <c r="CIY9" s="448"/>
      <c r="CIZ9" s="448"/>
      <c r="CJA9" s="448"/>
      <c r="CJB9" s="448"/>
      <c r="CJC9" s="448"/>
      <c r="CJD9" s="448"/>
      <c r="CJE9" s="448"/>
      <c r="CJF9" s="448"/>
      <c r="CJG9" s="448"/>
      <c r="CJH9" s="448"/>
      <c r="CJI9" s="446"/>
      <c r="CJJ9" s="447"/>
      <c r="CJK9" s="448"/>
      <c r="CJL9" s="448"/>
      <c r="CJM9" s="448"/>
      <c r="CJN9" s="448"/>
      <c r="CJO9" s="448"/>
      <c r="CJP9" s="448"/>
      <c r="CJQ9" s="448"/>
      <c r="CJR9" s="448"/>
      <c r="CJS9" s="448"/>
      <c r="CJT9" s="448"/>
      <c r="CJU9" s="448"/>
      <c r="CJV9" s="448"/>
      <c r="CJW9" s="448"/>
      <c r="CJX9" s="448"/>
      <c r="CJY9" s="448"/>
      <c r="CJZ9" s="448"/>
      <c r="CKA9" s="448"/>
      <c r="CKB9" s="448"/>
      <c r="CKC9" s="448"/>
      <c r="CKD9" s="448"/>
      <c r="CKE9" s="448"/>
      <c r="CKF9" s="448"/>
      <c r="CKG9" s="448"/>
      <c r="CKH9" s="448"/>
      <c r="CKI9" s="448"/>
      <c r="CKJ9" s="448"/>
      <c r="CKK9" s="448"/>
      <c r="CKL9" s="448"/>
      <c r="CKM9" s="448"/>
      <c r="CKN9" s="448"/>
      <c r="CKO9" s="448"/>
      <c r="CKP9" s="448"/>
      <c r="CKQ9" s="448"/>
      <c r="CKR9" s="448"/>
      <c r="CKS9" s="448"/>
      <c r="CKT9" s="448"/>
      <c r="CKU9" s="448"/>
      <c r="CKV9" s="448"/>
      <c r="CKW9" s="448"/>
      <c r="CKX9" s="446"/>
      <c r="CKY9" s="447"/>
      <c r="CKZ9" s="448"/>
      <c r="CLA9" s="448"/>
      <c r="CLB9" s="448"/>
      <c r="CLC9" s="448"/>
      <c r="CLD9" s="448"/>
      <c r="CLE9" s="448"/>
      <c r="CLF9" s="448"/>
      <c r="CLG9" s="448"/>
      <c r="CLH9" s="448"/>
      <c r="CLI9" s="448"/>
      <c r="CLJ9" s="448"/>
      <c r="CLK9" s="448"/>
      <c r="CLL9" s="448"/>
      <c r="CLM9" s="448"/>
      <c r="CLN9" s="448"/>
      <c r="CLO9" s="448"/>
      <c r="CLP9" s="448"/>
      <c r="CLQ9" s="448"/>
      <c r="CLR9" s="448"/>
      <c r="CLS9" s="448"/>
      <c r="CLT9" s="448"/>
      <c r="CLU9" s="448"/>
      <c r="CLV9" s="448"/>
      <c r="CLW9" s="448"/>
      <c r="CLX9" s="448"/>
      <c r="CLY9" s="448"/>
      <c r="CLZ9" s="448"/>
      <c r="CMA9" s="448"/>
      <c r="CMB9" s="448"/>
      <c r="CMC9" s="448"/>
      <c r="CMD9" s="448"/>
      <c r="CME9" s="448"/>
      <c r="CMF9" s="448"/>
      <c r="CMG9" s="448"/>
      <c r="CMH9" s="448"/>
      <c r="CMI9" s="448"/>
      <c r="CMJ9" s="448"/>
      <c r="CMK9" s="448"/>
      <c r="CML9" s="448"/>
      <c r="CMM9" s="446"/>
      <c r="CMN9" s="447"/>
      <c r="CMO9" s="448"/>
      <c r="CMP9" s="448"/>
      <c r="CMQ9" s="448"/>
      <c r="CMR9" s="448"/>
      <c r="CMS9" s="448"/>
      <c r="CMT9" s="448"/>
      <c r="CMU9" s="448"/>
      <c r="CMV9" s="448"/>
      <c r="CMW9" s="448"/>
      <c r="CMX9" s="448"/>
      <c r="CMY9" s="448"/>
      <c r="CMZ9" s="448"/>
      <c r="CNA9" s="448"/>
      <c r="CNB9" s="448"/>
      <c r="CNC9" s="448"/>
      <c r="CND9" s="448"/>
      <c r="CNE9" s="448"/>
      <c r="CNF9" s="448"/>
      <c r="CNG9" s="448"/>
      <c r="CNH9" s="448"/>
      <c r="CNI9" s="448"/>
      <c r="CNJ9" s="448"/>
      <c r="CNK9" s="448"/>
      <c r="CNL9" s="448"/>
      <c r="CNM9" s="448"/>
      <c r="CNN9" s="448"/>
      <c r="CNO9" s="448"/>
      <c r="CNP9" s="448"/>
      <c r="CNQ9" s="448"/>
      <c r="CNR9" s="448"/>
      <c r="CNS9" s="448"/>
      <c r="CNT9" s="448"/>
      <c r="CNU9" s="448"/>
      <c r="CNV9" s="448"/>
      <c r="CNW9" s="448"/>
      <c r="CNX9" s="448"/>
      <c r="CNY9" s="448"/>
      <c r="CNZ9" s="448"/>
      <c r="COA9" s="448"/>
      <c r="COB9" s="446"/>
      <c r="COC9" s="447"/>
      <c r="COD9" s="448"/>
      <c r="COE9" s="448"/>
      <c r="COF9" s="448"/>
      <c r="COG9" s="448"/>
      <c r="COH9" s="448"/>
      <c r="COI9" s="448"/>
      <c r="COJ9" s="448"/>
      <c r="COK9" s="448"/>
      <c r="COL9" s="448"/>
      <c r="COM9" s="448"/>
      <c r="CON9" s="448"/>
      <c r="COO9" s="448"/>
      <c r="COP9" s="448"/>
      <c r="COQ9" s="448"/>
      <c r="COR9" s="448"/>
      <c r="COS9" s="448"/>
      <c r="COT9" s="448"/>
      <c r="COU9" s="448"/>
      <c r="COV9" s="448"/>
      <c r="COW9" s="448"/>
      <c r="COX9" s="448"/>
      <c r="COY9" s="448"/>
      <c r="COZ9" s="448"/>
      <c r="CPA9" s="448"/>
      <c r="CPB9" s="448"/>
      <c r="CPC9" s="448"/>
      <c r="CPD9" s="448"/>
      <c r="CPE9" s="448"/>
      <c r="CPF9" s="448"/>
      <c r="CPG9" s="448"/>
      <c r="CPH9" s="448"/>
      <c r="CPI9" s="448"/>
      <c r="CPJ9" s="448"/>
      <c r="CPK9" s="448"/>
      <c r="CPL9" s="448"/>
      <c r="CPM9" s="448"/>
      <c r="CPN9" s="448"/>
      <c r="CPO9" s="448"/>
      <c r="CPP9" s="448"/>
      <c r="CPQ9" s="446"/>
      <c r="CPR9" s="447"/>
      <c r="CPS9" s="448"/>
      <c r="CPT9" s="448"/>
      <c r="CPU9" s="448"/>
      <c r="CPV9" s="448"/>
      <c r="CPW9" s="448"/>
      <c r="CPX9" s="448"/>
      <c r="CPY9" s="448"/>
      <c r="CPZ9" s="448"/>
      <c r="CQA9" s="448"/>
      <c r="CQB9" s="448"/>
      <c r="CQC9" s="448"/>
      <c r="CQD9" s="448"/>
      <c r="CQE9" s="448"/>
      <c r="CQF9" s="448"/>
      <c r="CQG9" s="448"/>
      <c r="CQH9" s="448"/>
      <c r="CQI9" s="448"/>
      <c r="CQJ9" s="448"/>
      <c r="CQK9" s="448"/>
      <c r="CQL9" s="448"/>
      <c r="CQM9" s="448"/>
      <c r="CQN9" s="448"/>
      <c r="CQO9" s="448"/>
      <c r="CQP9" s="448"/>
      <c r="CQQ9" s="448"/>
      <c r="CQR9" s="448"/>
      <c r="CQS9" s="448"/>
      <c r="CQT9" s="448"/>
      <c r="CQU9" s="448"/>
      <c r="CQV9" s="448"/>
      <c r="CQW9" s="448"/>
      <c r="CQX9" s="448"/>
      <c r="CQY9" s="448"/>
      <c r="CQZ9" s="448"/>
      <c r="CRA9" s="448"/>
      <c r="CRB9" s="448"/>
      <c r="CRC9" s="448"/>
      <c r="CRD9" s="448"/>
      <c r="CRE9" s="448"/>
      <c r="CRF9" s="446"/>
      <c r="CRG9" s="447"/>
      <c r="CRH9" s="448"/>
      <c r="CRI9" s="448"/>
      <c r="CRJ9" s="448"/>
      <c r="CRK9" s="448"/>
      <c r="CRL9" s="448"/>
      <c r="CRM9" s="448"/>
      <c r="CRN9" s="448"/>
      <c r="CRO9" s="448"/>
      <c r="CRP9" s="448"/>
      <c r="CRQ9" s="448"/>
      <c r="CRR9" s="448"/>
      <c r="CRS9" s="448"/>
      <c r="CRT9" s="448"/>
      <c r="CRU9" s="448"/>
      <c r="CRV9" s="448"/>
      <c r="CRW9" s="448"/>
      <c r="CRX9" s="448"/>
      <c r="CRY9" s="448"/>
      <c r="CRZ9" s="448"/>
      <c r="CSA9" s="448"/>
      <c r="CSB9" s="448"/>
      <c r="CSC9" s="448"/>
      <c r="CSD9" s="448"/>
      <c r="CSE9" s="448"/>
      <c r="CSF9" s="448"/>
      <c r="CSG9" s="448"/>
      <c r="CSH9" s="448"/>
      <c r="CSI9" s="448"/>
      <c r="CSJ9" s="448"/>
      <c r="CSK9" s="448"/>
      <c r="CSL9" s="448"/>
      <c r="CSM9" s="448"/>
      <c r="CSN9" s="448"/>
      <c r="CSO9" s="448"/>
      <c r="CSP9" s="448"/>
      <c r="CSQ9" s="448"/>
      <c r="CSR9" s="448"/>
      <c r="CSS9" s="448"/>
      <c r="CST9" s="448"/>
      <c r="CSU9" s="446"/>
      <c r="CSV9" s="447"/>
      <c r="CSW9" s="448"/>
      <c r="CSX9" s="448"/>
      <c r="CSY9" s="448"/>
      <c r="CSZ9" s="448"/>
      <c r="CTA9" s="448"/>
      <c r="CTB9" s="448"/>
      <c r="CTC9" s="448"/>
      <c r="CTD9" s="448"/>
      <c r="CTE9" s="448"/>
      <c r="CTF9" s="448"/>
      <c r="CTG9" s="448"/>
      <c r="CTH9" s="448"/>
      <c r="CTI9" s="448"/>
      <c r="CTJ9" s="448"/>
      <c r="CTK9" s="448"/>
      <c r="CTL9" s="448"/>
      <c r="CTM9" s="448"/>
      <c r="CTN9" s="448"/>
      <c r="CTO9" s="448"/>
      <c r="CTP9" s="448"/>
      <c r="CTQ9" s="448"/>
      <c r="CTR9" s="448"/>
      <c r="CTS9" s="448"/>
      <c r="CTT9" s="448"/>
      <c r="CTU9" s="448"/>
      <c r="CTV9" s="448"/>
      <c r="CTW9" s="448"/>
      <c r="CTX9" s="448"/>
      <c r="CTY9" s="448"/>
      <c r="CTZ9" s="448"/>
      <c r="CUA9" s="448"/>
      <c r="CUB9" s="448"/>
      <c r="CUC9" s="448"/>
      <c r="CUD9" s="448"/>
      <c r="CUE9" s="448"/>
      <c r="CUF9" s="448"/>
      <c r="CUG9" s="448"/>
      <c r="CUH9" s="448"/>
      <c r="CUI9" s="448"/>
      <c r="CUJ9" s="446"/>
      <c r="CUK9" s="447"/>
      <c r="CUL9" s="448"/>
      <c r="CUM9" s="448"/>
      <c r="CUN9" s="448"/>
      <c r="CUO9" s="448"/>
      <c r="CUP9" s="448"/>
      <c r="CUQ9" s="448"/>
      <c r="CUR9" s="448"/>
      <c r="CUS9" s="448"/>
      <c r="CUT9" s="448"/>
      <c r="CUU9" s="448"/>
      <c r="CUV9" s="448"/>
      <c r="CUW9" s="448"/>
      <c r="CUX9" s="448"/>
      <c r="CUY9" s="448"/>
      <c r="CUZ9" s="448"/>
      <c r="CVA9" s="448"/>
      <c r="CVB9" s="448"/>
      <c r="CVC9" s="448"/>
      <c r="CVD9" s="448"/>
      <c r="CVE9" s="448"/>
      <c r="CVF9" s="448"/>
      <c r="CVG9" s="448"/>
      <c r="CVH9" s="448"/>
      <c r="CVI9" s="448"/>
      <c r="CVJ9" s="448"/>
      <c r="CVK9" s="448"/>
      <c r="CVL9" s="448"/>
      <c r="CVM9" s="448"/>
      <c r="CVN9" s="448"/>
      <c r="CVO9" s="448"/>
      <c r="CVP9" s="448"/>
      <c r="CVQ9" s="448"/>
      <c r="CVR9" s="448"/>
      <c r="CVS9" s="448"/>
      <c r="CVT9" s="448"/>
      <c r="CVU9" s="448"/>
      <c r="CVV9" s="448"/>
      <c r="CVW9" s="448"/>
      <c r="CVX9" s="448"/>
      <c r="CVY9" s="446"/>
      <c r="CVZ9" s="447"/>
      <c r="CWA9" s="448"/>
      <c r="CWB9" s="448"/>
      <c r="CWC9" s="448"/>
      <c r="CWD9" s="448"/>
      <c r="CWE9" s="448"/>
      <c r="CWF9" s="448"/>
      <c r="CWG9" s="448"/>
      <c r="CWH9" s="448"/>
      <c r="CWI9" s="448"/>
      <c r="CWJ9" s="448"/>
      <c r="CWK9" s="448"/>
      <c r="CWL9" s="448"/>
      <c r="CWM9" s="448"/>
      <c r="CWN9" s="448"/>
      <c r="CWO9" s="448"/>
      <c r="CWP9" s="448"/>
      <c r="CWQ9" s="448"/>
      <c r="CWR9" s="448"/>
      <c r="CWS9" s="448"/>
      <c r="CWT9" s="448"/>
      <c r="CWU9" s="448"/>
      <c r="CWV9" s="448"/>
      <c r="CWW9" s="448"/>
      <c r="CWX9" s="448"/>
      <c r="CWY9" s="448"/>
      <c r="CWZ9" s="448"/>
      <c r="CXA9" s="448"/>
      <c r="CXB9" s="448"/>
      <c r="CXC9" s="448"/>
      <c r="CXD9" s="448"/>
      <c r="CXE9" s="448"/>
      <c r="CXF9" s="448"/>
      <c r="CXG9" s="448"/>
      <c r="CXH9" s="448"/>
      <c r="CXI9" s="448"/>
      <c r="CXJ9" s="448"/>
      <c r="CXK9" s="448"/>
      <c r="CXL9" s="448"/>
      <c r="CXM9" s="448"/>
      <c r="CXN9" s="446"/>
      <c r="CXO9" s="447"/>
      <c r="CXP9" s="448"/>
      <c r="CXQ9" s="448"/>
      <c r="CXR9" s="448"/>
      <c r="CXS9" s="448"/>
      <c r="CXT9" s="448"/>
      <c r="CXU9" s="448"/>
      <c r="CXV9" s="448"/>
      <c r="CXW9" s="448"/>
      <c r="CXX9" s="448"/>
      <c r="CXY9" s="448"/>
      <c r="CXZ9" s="448"/>
      <c r="CYA9" s="448"/>
      <c r="CYB9" s="448"/>
      <c r="CYC9" s="448"/>
      <c r="CYD9" s="448"/>
      <c r="CYE9" s="448"/>
      <c r="CYF9" s="448"/>
      <c r="CYG9" s="448"/>
      <c r="CYH9" s="448"/>
      <c r="CYI9" s="448"/>
      <c r="CYJ9" s="448"/>
      <c r="CYK9" s="448"/>
      <c r="CYL9" s="448"/>
      <c r="CYM9" s="448"/>
      <c r="CYN9" s="448"/>
      <c r="CYO9" s="448"/>
      <c r="CYP9" s="448"/>
      <c r="CYQ9" s="448"/>
      <c r="CYR9" s="448"/>
      <c r="CYS9" s="448"/>
      <c r="CYT9" s="448"/>
      <c r="CYU9" s="448"/>
      <c r="CYV9" s="448"/>
      <c r="CYW9" s="448"/>
      <c r="CYX9" s="448"/>
      <c r="CYY9" s="448"/>
      <c r="CYZ9" s="448"/>
      <c r="CZA9" s="448"/>
      <c r="CZB9" s="448"/>
      <c r="CZC9" s="446"/>
      <c r="CZD9" s="447"/>
      <c r="CZE9" s="448"/>
      <c r="CZF9" s="448"/>
      <c r="CZG9" s="448"/>
      <c r="CZH9" s="448"/>
      <c r="CZI9" s="448"/>
      <c r="CZJ9" s="448"/>
      <c r="CZK9" s="448"/>
      <c r="CZL9" s="448"/>
      <c r="CZM9" s="448"/>
      <c r="CZN9" s="448"/>
      <c r="CZO9" s="448"/>
      <c r="CZP9" s="448"/>
      <c r="CZQ9" s="448"/>
      <c r="CZR9" s="448"/>
      <c r="CZS9" s="448"/>
      <c r="CZT9" s="448"/>
      <c r="CZU9" s="448"/>
      <c r="CZV9" s="448"/>
      <c r="CZW9" s="448"/>
      <c r="CZX9" s="448"/>
      <c r="CZY9" s="448"/>
      <c r="CZZ9" s="448"/>
      <c r="DAA9" s="448"/>
      <c r="DAB9" s="448"/>
      <c r="DAC9" s="448"/>
      <c r="DAD9" s="448"/>
      <c r="DAE9" s="448"/>
      <c r="DAF9" s="448"/>
      <c r="DAG9" s="448"/>
      <c r="DAH9" s="448"/>
      <c r="DAI9" s="448"/>
      <c r="DAJ9" s="448"/>
      <c r="DAK9" s="448"/>
      <c r="DAL9" s="448"/>
      <c r="DAM9" s="448"/>
      <c r="DAN9" s="448"/>
      <c r="DAO9" s="448"/>
      <c r="DAP9" s="448"/>
      <c r="DAQ9" s="448"/>
      <c r="DAR9" s="446"/>
      <c r="DAS9" s="447"/>
      <c r="DAT9" s="448"/>
      <c r="DAU9" s="448"/>
      <c r="DAV9" s="448"/>
      <c r="DAW9" s="448"/>
      <c r="DAX9" s="448"/>
      <c r="DAY9" s="448"/>
      <c r="DAZ9" s="448"/>
      <c r="DBA9" s="448"/>
      <c r="DBB9" s="448"/>
      <c r="DBC9" s="448"/>
      <c r="DBD9" s="448"/>
      <c r="DBE9" s="448"/>
      <c r="DBF9" s="448"/>
      <c r="DBG9" s="448"/>
      <c r="DBH9" s="448"/>
      <c r="DBI9" s="448"/>
      <c r="DBJ9" s="448"/>
      <c r="DBK9" s="448"/>
      <c r="DBL9" s="448"/>
      <c r="DBM9" s="448"/>
      <c r="DBN9" s="448"/>
      <c r="DBO9" s="448"/>
      <c r="DBP9" s="448"/>
      <c r="DBQ9" s="448"/>
      <c r="DBR9" s="448"/>
      <c r="DBS9" s="448"/>
      <c r="DBT9" s="448"/>
      <c r="DBU9" s="448"/>
      <c r="DBV9" s="448"/>
      <c r="DBW9" s="448"/>
      <c r="DBX9" s="448"/>
      <c r="DBY9" s="448"/>
      <c r="DBZ9" s="448"/>
      <c r="DCA9" s="448"/>
      <c r="DCB9" s="448"/>
      <c r="DCC9" s="448"/>
      <c r="DCD9" s="448"/>
      <c r="DCE9" s="448"/>
      <c r="DCF9" s="448"/>
      <c r="DCG9" s="446"/>
      <c r="DCH9" s="447"/>
      <c r="DCI9" s="448"/>
      <c r="DCJ9" s="448"/>
      <c r="DCK9" s="448"/>
      <c r="DCL9" s="448"/>
      <c r="DCM9" s="448"/>
      <c r="DCN9" s="448"/>
      <c r="DCO9" s="448"/>
      <c r="DCP9" s="448"/>
      <c r="DCQ9" s="448"/>
      <c r="DCR9" s="448"/>
      <c r="DCS9" s="448"/>
      <c r="DCT9" s="448"/>
      <c r="DCU9" s="448"/>
      <c r="DCV9" s="448"/>
      <c r="DCW9" s="448"/>
      <c r="DCX9" s="448"/>
      <c r="DCY9" s="448"/>
      <c r="DCZ9" s="448"/>
      <c r="DDA9" s="448"/>
      <c r="DDB9" s="448"/>
      <c r="DDC9" s="448"/>
      <c r="DDD9" s="448"/>
      <c r="DDE9" s="448"/>
      <c r="DDF9" s="448"/>
      <c r="DDG9" s="448"/>
      <c r="DDH9" s="448"/>
      <c r="DDI9" s="448"/>
      <c r="DDJ9" s="448"/>
      <c r="DDK9" s="448"/>
      <c r="DDL9" s="448"/>
      <c r="DDM9" s="448"/>
      <c r="DDN9" s="448"/>
      <c r="DDO9" s="448"/>
      <c r="DDP9" s="448"/>
      <c r="DDQ9" s="448"/>
      <c r="DDR9" s="448"/>
      <c r="DDS9" s="448"/>
      <c r="DDT9" s="448"/>
      <c r="DDU9" s="448"/>
      <c r="DDV9" s="446"/>
      <c r="DDW9" s="447"/>
      <c r="DDX9" s="448"/>
      <c r="DDY9" s="448"/>
      <c r="DDZ9" s="448"/>
      <c r="DEA9" s="448"/>
      <c r="DEB9" s="448"/>
      <c r="DEC9" s="448"/>
      <c r="DED9" s="448"/>
      <c r="DEE9" s="448"/>
      <c r="DEF9" s="448"/>
      <c r="DEG9" s="448"/>
      <c r="DEH9" s="448"/>
      <c r="DEI9" s="448"/>
      <c r="DEJ9" s="448"/>
      <c r="DEK9" s="448"/>
      <c r="DEL9" s="448"/>
      <c r="DEM9" s="448"/>
      <c r="DEN9" s="448"/>
      <c r="DEO9" s="448"/>
      <c r="DEP9" s="448"/>
      <c r="DEQ9" s="448"/>
      <c r="DER9" s="448"/>
      <c r="DES9" s="448"/>
      <c r="DET9" s="448"/>
      <c r="DEU9" s="448"/>
      <c r="DEV9" s="448"/>
      <c r="DEW9" s="448"/>
      <c r="DEX9" s="448"/>
      <c r="DEY9" s="448"/>
      <c r="DEZ9" s="448"/>
      <c r="DFA9" s="448"/>
      <c r="DFB9" s="448"/>
      <c r="DFC9" s="448"/>
      <c r="DFD9" s="448"/>
      <c r="DFE9" s="448"/>
      <c r="DFF9" s="448"/>
      <c r="DFG9" s="448"/>
      <c r="DFH9" s="448"/>
      <c r="DFI9" s="448"/>
      <c r="DFJ9" s="448"/>
      <c r="DFK9" s="446"/>
      <c r="DFL9" s="447"/>
      <c r="DFM9" s="448"/>
      <c r="DFN9" s="448"/>
      <c r="DFO9" s="448"/>
      <c r="DFP9" s="448"/>
      <c r="DFQ9" s="448"/>
      <c r="DFR9" s="448"/>
      <c r="DFS9" s="448"/>
      <c r="DFT9" s="448"/>
      <c r="DFU9" s="448"/>
      <c r="DFV9" s="448"/>
      <c r="DFW9" s="448"/>
      <c r="DFX9" s="448"/>
      <c r="DFY9" s="448"/>
      <c r="DFZ9" s="448"/>
      <c r="DGA9" s="448"/>
      <c r="DGB9" s="448"/>
      <c r="DGC9" s="448"/>
      <c r="DGD9" s="448"/>
      <c r="DGE9" s="448"/>
      <c r="DGF9" s="448"/>
      <c r="DGG9" s="448"/>
      <c r="DGH9" s="448"/>
      <c r="DGI9" s="448"/>
      <c r="DGJ9" s="448"/>
      <c r="DGK9" s="448"/>
      <c r="DGL9" s="448"/>
      <c r="DGM9" s="448"/>
      <c r="DGN9" s="448"/>
      <c r="DGO9" s="448"/>
      <c r="DGP9" s="448"/>
      <c r="DGQ9" s="448"/>
      <c r="DGR9" s="448"/>
      <c r="DGS9" s="448"/>
      <c r="DGT9" s="448"/>
      <c r="DGU9" s="448"/>
      <c r="DGV9" s="448"/>
      <c r="DGW9" s="448"/>
      <c r="DGX9" s="448"/>
      <c r="DGY9" s="448"/>
      <c r="DGZ9" s="446"/>
      <c r="DHA9" s="447"/>
      <c r="DHB9" s="448"/>
      <c r="DHC9" s="448"/>
      <c r="DHD9" s="448"/>
      <c r="DHE9" s="448"/>
      <c r="DHF9" s="448"/>
      <c r="DHG9" s="448"/>
      <c r="DHH9" s="448"/>
      <c r="DHI9" s="448"/>
      <c r="DHJ9" s="448"/>
      <c r="DHK9" s="448"/>
      <c r="DHL9" s="448"/>
      <c r="DHM9" s="448"/>
      <c r="DHN9" s="448"/>
      <c r="DHO9" s="448"/>
      <c r="DHP9" s="448"/>
      <c r="DHQ9" s="448"/>
      <c r="DHR9" s="448"/>
      <c r="DHS9" s="448"/>
      <c r="DHT9" s="448"/>
      <c r="DHU9" s="448"/>
      <c r="DHV9" s="448"/>
      <c r="DHW9" s="448"/>
      <c r="DHX9" s="448"/>
      <c r="DHY9" s="448"/>
      <c r="DHZ9" s="448"/>
      <c r="DIA9" s="448"/>
      <c r="DIB9" s="448"/>
      <c r="DIC9" s="448"/>
      <c r="DID9" s="448"/>
      <c r="DIE9" s="448"/>
      <c r="DIF9" s="448"/>
      <c r="DIG9" s="448"/>
      <c r="DIH9" s="448"/>
      <c r="DII9" s="448"/>
      <c r="DIJ9" s="448"/>
      <c r="DIK9" s="448"/>
      <c r="DIL9" s="448"/>
      <c r="DIM9" s="448"/>
      <c r="DIN9" s="448"/>
      <c r="DIO9" s="446"/>
      <c r="DIP9" s="447"/>
      <c r="DIQ9" s="448"/>
      <c r="DIR9" s="448"/>
      <c r="DIS9" s="448"/>
      <c r="DIT9" s="448"/>
      <c r="DIU9" s="448"/>
      <c r="DIV9" s="448"/>
      <c r="DIW9" s="448"/>
      <c r="DIX9" s="448"/>
      <c r="DIY9" s="448"/>
      <c r="DIZ9" s="448"/>
      <c r="DJA9" s="448"/>
      <c r="DJB9" s="448"/>
      <c r="DJC9" s="448"/>
      <c r="DJD9" s="448"/>
      <c r="DJE9" s="448"/>
      <c r="DJF9" s="448"/>
      <c r="DJG9" s="448"/>
      <c r="DJH9" s="448"/>
      <c r="DJI9" s="448"/>
      <c r="DJJ9" s="448"/>
      <c r="DJK9" s="448"/>
      <c r="DJL9" s="448"/>
      <c r="DJM9" s="448"/>
      <c r="DJN9" s="448"/>
      <c r="DJO9" s="448"/>
      <c r="DJP9" s="448"/>
      <c r="DJQ9" s="448"/>
      <c r="DJR9" s="448"/>
      <c r="DJS9" s="448"/>
      <c r="DJT9" s="448"/>
      <c r="DJU9" s="448"/>
      <c r="DJV9" s="448"/>
      <c r="DJW9" s="448"/>
      <c r="DJX9" s="448"/>
      <c r="DJY9" s="448"/>
      <c r="DJZ9" s="448"/>
      <c r="DKA9" s="448"/>
      <c r="DKB9" s="448"/>
      <c r="DKC9" s="448"/>
      <c r="DKD9" s="446"/>
      <c r="DKE9" s="447"/>
      <c r="DKF9" s="448"/>
      <c r="DKG9" s="448"/>
      <c r="DKH9" s="448"/>
      <c r="DKI9" s="448"/>
      <c r="DKJ9" s="448"/>
      <c r="DKK9" s="448"/>
      <c r="DKL9" s="448"/>
      <c r="DKM9" s="448"/>
      <c r="DKN9" s="448"/>
      <c r="DKO9" s="448"/>
      <c r="DKP9" s="448"/>
      <c r="DKQ9" s="448"/>
      <c r="DKR9" s="448"/>
      <c r="DKS9" s="448"/>
      <c r="DKT9" s="448"/>
      <c r="DKU9" s="448"/>
      <c r="DKV9" s="448"/>
      <c r="DKW9" s="448"/>
      <c r="DKX9" s="448"/>
      <c r="DKY9" s="448"/>
      <c r="DKZ9" s="448"/>
      <c r="DLA9" s="448"/>
      <c r="DLB9" s="448"/>
      <c r="DLC9" s="448"/>
      <c r="DLD9" s="448"/>
      <c r="DLE9" s="448"/>
      <c r="DLF9" s="448"/>
      <c r="DLG9" s="448"/>
      <c r="DLH9" s="448"/>
      <c r="DLI9" s="448"/>
      <c r="DLJ9" s="448"/>
      <c r="DLK9" s="448"/>
      <c r="DLL9" s="448"/>
      <c r="DLM9" s="448"/>
      <c r="DLN9" s="448"/>
      <c r="DLO9" s="448"/>
      <c r="DLP9" s="448"/>
      <c r="DLQ9" s="448"/>
      <c r="DLR9" s="448"/>
      <c r="DLS9" s="446"/>
      <c r="DLT9" s="447"/>
      <c r="DLU9" s="448"/>
      <c r="DLV9" s="448"/>
      <c r="DLW9" s="448"/>
      <c r="DLX9" s="448"/>
      <c r="DLY9" s="448"/>
      <c r="DLZ9" s="448"/>
      <c r="DMA9" s="448"/>
      <c r="DMB9" s="448"/>
      <c r="DMC9" s="448"/>
      <c r="DMD9" s="448"/>
      <c r="DME9" s="448"/>
      <c r="DMF9" s="448"/>
      <c r="DMG9" s="448"/>
      <c r="DMH9" s="448"/>
      <c r="DMI9" s="448"/>
      <c r="DMJ9" s="448"/>
      <c r="DMK9" s="448"/>
      <c r="DML9" s="448"/>
      <c r="DMM9" s="448"/>
      <c r="DMN9" s="448"/>
      <c r="DMO9" s="448"/>
      <c r="DMP9" s="448"/>
      <c r="DMQ9" s="448"/>
      <c r="DMR9" s="448"/>
      <c r="DMS9" s="448"/>
      <c r="DMT9" s="448"/>
      <c r="DMU9" s="448"/>
      <c r="DMV9" s="448"/>
      <c r="DMW9" s="448"/>
      <c r="DMX9" s="448"/>
      <c r="DMY9" s="448"/>
      <c r="DMZ9" s="448"/>
      <c r="DNA9" s="448"/>
      <c r="DNB9" s="448"/>
      <c r="DNC9" s="448"/>
      <c r="DND9" s="448"/>
      <c r="DNE9" s="448"/>
      <c r="DNF9" s="448"/>
      <c r="DNG9" s="448"/>
      <c r="DNH9" s="446"/>
      <c r="DNI9" s="447"/>
      <c r="DNJ9" s="448"/>
      <c r="DNK9" s="448"/>
      <c r="DNL9" s="448"/>
      <c r="DNM9" s="448"/>
      <c r="DNN9" s="448"/>
      <c r="DNO9" s="448"/>
      <c r="DNP9" s="448"/>
      <c r="DNQ9" s="448"/>
      <c r="DNR9" s="448"/>
      <c r="DNS9" s="448"/>
      <c r="DNT9" s="448"/>
      <c r="DNU9" s="448"/>
      <c r="DNV9" s="448"/>
      <c r="DNW9" s="448"/>
      <c r="DNX9" s="448"/>
      <c r="DNY9" s="448"/>
      <c r="DNZ9" s="448"/>
      <c r="DOA9" s="448"/>
      <c r="DOB9" s="448"/>
      <c r="DOC9" s="448"/>
      <c r="DOD9" s="448"/>
      <c r="DOE9" s="448"/>
      <c r="DOF9" s="448"/>
      <c r="DOG9" s="448"/>
      <c r="DOH9" s="448"/>
      <c r="DOI9" s="448"/>
      <c r="DOJ9" s="448"/>
      <c r="DOK9" s="448"/>
      <c r="DOL9" s="448"/>
      <c r="DOM9" s="448"/>
      <c r="DON9" s="448"/>
      <c r="DOO9" s="448"/>
      <c r="DOP9" s="448"/>
      <c r="DOQ9" s="448"/>
      <c r="DOR9" s="448"/>
      <c r="DOS9" s="448"/>
      <c r="DOT9" s="448"/>
      <c r="DOU9" s="448"/>
      <c r="DOV9" s="448"/>
      <c r="DOW9" s="446"/>
      <c r="DOX9" s="447"/>
      <c r="DOY9" s="448"/>
      <c r="DOZ9" s="448"/>
      <c r="DPA9" s="448"/>
      <c r="DPB9" s="448"/>
      <c r="DPC9" s="448"/>
      <c r="DPD9" s="448"/>
      <c r="DPE9" s="448"/>
      <c r="DPF9" s="448"/>
      <c r="DPG9" s="448"/>
      <c r="DPH9" s="448"/>
      <c r="DPI9" s="448"/>
      <c r="DPJ9" s="448"/>
      <c r="DPK9" s="448"/>
      <c r="DPL9" s="448"/>
      <c r="DPM9" s="448"/>
      <c r="DPN9" s="448"/>
      <c r="DPO9" s="448"/>
      <c r="DPP9" s="448"/>
      <c r="DPQ9" s="448"/>
      <c r="DPR9" s="448"/>
      <c r="DPS9" s="448"/>
      <c r="DPT9" s="448"/>
      <c r="DPU9" s="448"/>
      <c r="DPV9" s="448"/>
      <c r="DPW9" s="448"/>
      <c r="DPX9" s="448"/>
      <c r="DPY9" s="448"/>
      <c r="DPZ9" s="448"/>
      <c r="DQA9" s="448"/>
      <c r="DQB9" s="448"/>
      <c r="DQC9" s="448"/>
      <c r="DQD9" s="448"/>
      <c r="DQE9" s="448"/>
      <c r="DQF9" s="448"/>
      <c r="DQG9" s="448"/>
      <c r="DQH9" s="448"/>
      <c r="DQI9" s="448"/>
      <c r="DQJ9" s="448"/>
      <c r="DQK9" s="448"/>
      <c r="DQL9" s="446"/>
      <c r="DQM9" s="447"/>
      <c r="DQN9" s="448"/>
      <c r="DQO9" s="448"/>
      <c r="DQP9" s="448"/>
      <c r="DQQ9" s="448"/>
      <c r="DQR9" s="448"/>
      <c r="DQS9" s="448"/>
      <c r="DQT9" s="448"/>
      <c r="DQU9" s="448"/>
      <c r="DQV9" s="448"/>
      <c r="DQW9" s="448"/>
      <c r="DQX9" s="448"/>
      <c r="DQY9" s="448"/>
      <c r="DQZ9" s="448"/>
      <c r="DRA9" s="448"/>
      <c r="DRB9" s="448"/>
      <c r="DRC9" s="448"/>
      <c r="DRD9" s="448"/>
      <c r="DRE9" s="448"/>
      <c r="DRF9" s="448"/>
      <c r="DRG9" s="448"/>
      <c r="DRH9" s="448"/>
      <c r="DRI9" s="448"/>
      <c r="DRJ9" s="448"/>
      <c r="DRK9" s="448"/>
      <c r="DRL9" s="448"/>
      <c r="DRM9" s="448"/>
      <c r="DRN9" s="448"/>
      <c r="DRO9" s="448"/>
      <c r="DRP9" s="448"/>
      <c r="DRQ9" s="448"/>
      <c r="DRR9" s="448"/>
      <c r="DRS9" s="448"/>
      <c r="DRT9" s="448"/>
      <c r="DRU9" s="448"/>
      <c r="DRV9" s="448"/>
      <c r="DRW9" s="448"/>
      <c r="DRX9" s="448"/>
      <c r="DRY9" s="448"/>
      <c r="DRZ9" s="448"/>
      <c r="DSA9" s="446"/>
      <c r="DSB9" s="447"/>
      <c r="DSC9" s="448"/>
      <c r="DSD9" s="448"/>
      <c r="DSE9" s="448"/>
      <c r="DSF9" s="448"/>
      <c r="DSG9" s="448"/>
      <c r="DSH9" s="448"/>
      <c r="DSI9" s="448"/>
      <c r="DSJ9" s="448"/>
      <c r="DSK9" s="448"/>
      <c r="DSL9" s="448"/>
      <c r="DSM9" s="448"/>
      <c r="DSN9" s="448"/>
      <c r="DSO9" s="448"/>
      <c r="DSP9" s="448"/>
      <c r="DSQ9" s="448"/>
      <c r="DSR9" s="448"/>
      <c r="DSS9" s="448"/>
      <c r="DST9" s="448"/>
      <c r="DSU9" s="448"/>
      <c r="DSV9" s="448"/>
      <c r="DSW9" s="448"/>
      <c r="DSX9" s="448"/>
      <c r="DSY9" s="448"/>
      <c r="DSZ9" s="448"/>
      <c r="DTA9" s="448"/>
      <c r="DTB9" s="448"/>
      <c r="DTC9" s="448"/>
      <c r="DTD9" s="448"/>
      <c r="DTE9" s="448"/>
      <c r="DTF9" s="448"/>
      <c r="DTG9" s="448"/>
      <c r="DTH9" s="448"/>
      <c r="DTI9" s="448"/>
      <c r="DTJ9" s="448"/>
      <c r="DTK9" s="448"/>
      <c r="DTL9" s="448"/>
      <c r="DTM9" s="448"/>
      <c r="DTN9" s="448"/>
      <c r="DTO9" s="448"/>
      <c r="DTP9" s="446"/>
      <c r="DTQ9" s="447"/>
      <c r="DTR9" s="448"/>
      <c r="DTS9" s="448"/>
      <c r="DTT9" s="448"/>
      <c r="DTU9" s="448"/>
      <c r="DTV9" s="448"/>
      <c r="DTW9" s="448"/>
      <c r="DTX9" s="448"/>
      <c r="DTY9" s="448"/>
      <c r="DTZ9" s="448"/>
      <c r="DUA9" s="448"/>
      <c r="DUB9" s="448"/>
      <c r="DUC9" s="448"/>
      <c r="DUD9" s="448"/>
      <c r="DUE9" s="448"/>
      <c r="DUF9" s="448"/>
      <c r="DUG9" s="448"/>
      <c r="DUH9" s="448"/>
      <c r="DUI9" s="448"/>
      <c r="DUJ9" s="448"/>
      <c r="DUK9" s="448"/>
      <c r="DUL9" s="448"/>
      <c r="DUM9" s="448"/>
      <c r="DUN9" s="448"/>
      <c r="DUO9" s="448"/>
      <c r="DUP9" s="448"/>
      <c r="DUQ9" s="448"/>
      <c r="DUR9" s="448"/>
      <c r="DUS9" s="448"/>
      <c r="DUT9" s="448"/>
      <c r="DUU9" s="448"/>
      <c r="DUV9" s="448"/>
      <c r="DUW9" s="448"/>
      <c r="DUX9" s="448"/>
      <c r="DUY9" s="448"/>
      <c r="DUZ9" s="448"/>
      <c r="DVA9" s="448"/>
      <c r="DVB9" s="448"/>
      <c r="DVC9" s="448"/>
      <c r="DVD9" s="448"/>
      <c r="DVE9" s="446"/>
      <c r="DVF9" s="447"/>
      <c r="DVG9" s="448"/>
      <c r="DVH9" s="448"/>
      <c r="DVI9" s="448"/>
      <c r="DVJ9" s="448"/>
      <c r="DVK9" s="448"/>
      <c r="DVL9" s="448"/>
      <c r="DVM9" s="448"/>
      <c r="DVN9" s="448"/>
      <c r="DVO9" s="448"/>
      <c r="DVP9" s="448"/>
      <c r="DVQ9" s="448"/>
      <c r="DVR9" s="448"/>
      <c r="DVS9" s="448"/>
      <c r="DVT9" s="448"/>
      <c r="DVU9" s="448"/>
      <c r="DVV9" s="448"/>
      <c r="DVW9" s="448"/>
      <c r="DVX9" s="448"/>
      <c r="DVY9" s="448"/>
      <c r="DVZ9" s="448"/>
      <c r="DWA9" s="448"/>
      <c r="DWB9" s="448"/>
      <c r="DWC9" s="448"/>
      <c r="DWD9" s="448"/>
      <c r="DWE9" s="448"/>
      <c r="DWF9" s="448"/>
      <c r="DWG9" s="448"/>
      <c r="DWH9" s="448"/>
      <c r="DWI9" s="448"/>
      <c r="DWJ9" s="448"/>
      <c r="DWK9" s="448"/>
      <c r="DWL9" s="448"/>
      <c r="DWM9" s="448"/>
      <c r="DWN9" s="448"/>
      <c r="DWO9" s="448"/>
      <c r="DWP9" s="448"/>
      <c r="DWQ9" s="448"/>
      <c r="DWR9" s="448"/>
      <c r="DWS9" s="448"/>
      <c r="DWT9" s="446"/>
      <c r="DWU9" s="447"/>
      <c r="DWV9" s="448"/>
      <c r="DWW9" s="448"/>
      <c r="DWX9" s="448"/>
      <c r="DWY9" s="448"/>
      <c r="DWZ9" s="448"/>
      <c r="DXA9" s="448"/>
      <c r="DXB9" s="448"/>
      <c r="DXC9" s="448"/>
      <c r="DXD9" s="448"/>
      <c r="DXE9" s="448"/>
      <c r="DXF9" s="448"/>
      <c r="DXG9" s="448"/>
      <c r="DXH9" s="448"/>
      <c r="DXI9" s="448"/>
      <c r="DXJ9" s="448"/>
      <c r="DXK9" s="448"/>
      <c r="DXL9" s="448"/>
      <c r="DXM9" s="448"/>
      <c r="DXN9" s="448"/>
      <c r="DXO9" s="448"/>
      <c r="DXP9" s="448"/>
      <c r="DXQ9" s="448"/>
      <c r="DXR9" s="448"/>
      <c r="DXS9" s="448"/>
      <c r="DXT9" s="448"/>
      <c r="DXU9" s="448"/>
      <c r="DXV9" s="448"/>
      <c r="DXW9" s="448"/>
      <c r="DXX9" s="448"/>
      <c r="DXY9" s="448"/>
      <c r="DXZ9" s="448"/>
      <c r="DYA9" s="448"/>
      <c r="DYB9" s="448"/>
      <c r="DYC9" s="448"/>
      <c r="DYD9" s="448"/>
      <c r="DYE9" s="448"/>
      <c r="DYF9" s="448"/>
      <c r="DYG9" s="448"/>
      <c r="DYH9" s="448"/>
      <c r="DYI9" s="446"/>
      <c r="DYJ9" s="447"/>
      <c r="DYK9" s="448"/>
      <c r="DYL9" s="448"/>
      <c r="DYM9" s="448"/>
      <c r="DYN9" s="448"/>
      <c r="DYO9" s="448"/>
      <c r="DYP9" s="448"/>
      <c r="DYQ9" s="448"/>
      <c r="DYR9" s="448"/>
      <c r="DYS9" s="448"/>
      <c r="DYT9" s="448"/>
      <c r="DYU9" s="448"/>
      <c r="DYV9" s="448"/>
      <c r="DYW9" s="448"/>
      <c r="DYX9" s="448"/>
      <c r="DYY9" s="448"/>
      <c r="DYZ9" s="448"/>
      <c r="DZA9" s="448"/>
      <c r="DZB9" s="448"/>
      <c r="DZC9" s="448"/>
      <c r="DZD9" s="448"/>
      <c r="DZE9" s="448"/>
      <c r="DZF9" s="448"/>
      <c r="DZG9" s="448"/>
      <c r="DZH9" s="448"/>
      <c r="DZI9" s="448"/>
      <c r="DZJ9" s="448"/>
      <c r="DZK9" s="448"/>
      <c r="DZL9" s="448"/>
      <c r="DZM9" s="448"/>
      <c r="DZN9" s="448"/>
      <c r="DZO9" s="448"/>
      <c r="DZP9" s="448"/>
      <c r="DZQ9" s="448"/>
      <c r="DZR9" s="448"/>
      <c r="DZS9" s="448"/>
      <c r="DZT9" s="448"/>
      <c r="DZU9" s="448"/>
      <c r="DZV9" s="448"/>
      <c r="DZW9" s="448"/>
      <c r="DZX9" s="446"/>
      <c r="DZY9" s="447"/>
      <c r="DZZ9" s="448"/>
      <c r="EAA9" s="448"/>
      <c r="EAB9" s="448"/>
      <c r="EAC9" s="448"/>
      <c r="EAD9" s="448"/>
      <c r="EAE9" s="448"/>
      <c r="EAF9" s="448"/>
      <c r="EAG9" s="448"/>
      <c r="EAH9" s="448"/>
      <c r="EAI9" s="448"/>
      <c r="EAJ9" s="448"/>
      <c r="EAK9" s="448"/>
      <c r="EAL9" s="448"/>
      <c r="EAM9" s="448"/>
      <c r="EAN9" s="448"/>
      <c r="EAO9" s="448"/>
      <c r="EAP9" s="448"/>
      <c r="EAQ9" s="448"/>
      <c r="EAR9" s="448"/>
      <c r="EAS9" s="448"/>
      <c r="EAT9" s="448"/>
      <c r="EAU9" s="448"/>
      <c r="EAV9" s="448"/>
      <c r="EAW9" s="448"/>
      <c r="EAX9" s="448"/>
      <c r="EAY9" s="448"/>
      <c r="EAZ9" s="448"/>
      <c r="EBA9" s="448"/>
      <c r="EBB9" s="448"/>
      <c r="EBC9" s="448"/>
      <c r="EBD9" s="448"/>
      <c r="EBE9" s="448"/>
      <c r="EBF9" s="448"/>
      <c r="EBG9" s="448"/>
      <c r="EBH9" s="448"/>
      <c r="EBI9" s="448"/>
      <c r="EBJ9" s="448"/>
      <c r="EBK9" s="448"/>
      <c r="EBL9" s="448"/>
      <c r="EBM9" s="446"/>
      <c r="EBN9" s="447"/>
      <c r="EBO9" s="448"/>
      <c r="EBP9" s="448"/>
      <c r="EBQ9" s="448"/>
      <c r="EBR9" s="448"/>
      <c r="EBS9" s="448"/>
      <c r="EBT9" s="448"/>
      <c r="EBU9" s="448"/>
      <c r="EBV9" s="448"/>
      <c r="EBW9" s="448"/>
      <c r="EBX9" s="448"/>
      <c r="EBY9" s="448"/>
      <c r="EBZ9" s="448"/>
      <c r="ECA9" s="448"/>
      <c r="ECB9" s="448"/>
      <c r="ECC9" s="448"/>
      <c r="ECD9" s="448"/>
      <c r="ECE9" s="448"/>
      <c r="ECF9" s="448"/>
      <c r="ECG9" s="448"/>
      <c r="ECH9" s="448"/>
      <c r="ECI9" s="448"/>
      <c r="ECJ9" s="448"/>
      <c r="ECK9" s="448"/>
      <c r="ECL9" s="448"/>
      <c r="ECM9" s="448"/>
      <c r="ECN9" s="448"/>
      <c r="ECO9" s="448"/>
      <c r="ECP9" s="448"/>
      <c r="ECQ9" s="448"/>
      <c r="ECR9" s="448"/>
      <c r="ECS9" s="448"/>
      <c r="ECT9" s="448"/>
      <c r="ECU9" s="448"/>
      <c r="ECV9" s="448"/>
      <c r="ECW9" s="448"/>
      <c r="ECX9" s="448"/>
      <c r="ECY9" s="448"/>
      <c r="ECZ9" s="448"/>
      <c r="EDA9" s="448"/>
      <c r="EDB9" s="446"/>
      <c r="EDC9" s="447"/>
      <c r="EDD9" s="448"/>
      <c r="EDE9" s="448"/>
      <c r="EDF9" s="448"/>
      <c r="EDG9" s="448"/>
      <c r="EDH9" s="448"/>
      <c r="EDI9" s="448"/>
      <c r="EDJ9" s="448"/>
      <c r="EDK9" s="448"/>
      <c r="EDL9" s="448"/>
      <c r="EDM9" s="448"/>
      <c r="EDN9" s="448"/>
      <c r="EDO9" s="448"/>
      <c r="EDP9" s="448"/>
      <c r="EDQ9" s="448"/>
      <c r="EDR9" s="448"/>
      <c r="EDS9" s="448"/>
      <c r="EDT9" s="448"/>
      <c r="EDU9" s="448"/>
      <c r="EDV9" s="448"/>
      <c r="EDW9" s="448"/>
      <c r="EDX9" s="448"/>
      <c r="EDY9" s="448"/>
      <c r="EDZ9" s="448"/>
      <c r="EEA9" s="448"/>
      <c r="EEB9" s="448"/>
      <c r="EEC9" s="448"/>
      <c r="EED9" s="448"/>
      <c r="EEE9" s="448"/>
      <c r="EEF9" s="448"/>
      <c r="EEG9" s="448"/>
      <c r="EEH9" s="448"/>
      <c r="EEI9" s="448"/>
      <c r="EEJ9" s="448"/>
      <c r="EEK9" s="448"/>
      <c r="EEL9" s="448"/>
      <c r="EEM9" s="448"/>
      <c r="EEN9" s="448"/>
      <c r="EEO9" s="448"/>
      <c r="EEP9" s="448"/>
      <c r="EEQ9" s="446"/>
      <c r="EER9" s="447"/>
      <c r="EES9" s="448"/>
      <c r="EET9" s="448"/>
      <c r="EEU9" s="448"/>
      <c r="EEV9" s="448"/>
      <c r="EEW9" s="448"/>
      <c r="EEX9" s="448"/>
      <c r="EEY9" s="448"/>
      <c r="EEZ9" s="448"/>
      <c r="EFA9" s="448"/>
      <c r="EFB9" s="448"/>
      <c r="EFC9" s="448"/>
      <c r="EFD9" s="448"/>
      <c r="EFE9" s="448"/>
      <c r="EFF9" s="448"/>
      <c r="EFG9" s="448"/>
      <c r="EFH9" s="448"/>
      <c r="EFI9" s="448"/>
      <c r="EFJ9" s="448"/>
      <c r="EFK9" s="448"/>
      <c r="EFL9" s="448"/>
      <c r="EFM9" s="448"/>
      <c r="EFN9" s="448"/>
      <c r="EFO9" s="448"/>
      <c r="EFP9" s="448"/>
      <c r="EFQ9" s="448"/>
      <c r="EFR9" s="448"/>
      <c r="EFS9" s="448"/>
      <c r="EFT9" s="448"/>
      <c r="EFU9" s="448"/>
      <c r="EFV9" s="448"/>
      <c r="EFW9" s="448"/>
      <c r="EFX9" s="448"/>
      <c r="EFY9" s="448"/>
      <c r="EFZ9" s="448"/>
      <c r="EGA9" s="448"/>
      <c r="EGB9" s="448"/>
      <c r="EGC9" s="448"/>
      <c r="EGD9" s="448"/>
      <c r="EGE9" s="448"/>
      <c r="EGF9" s="446"/>
      <c r="EGG9" s="447"/>
      <c r="EGH9" s="448"/>
      <c r="EGI9" s="448"/>
      <c r="EGJ9" s="448"/>
      <c r="EGK9" s="448"/>
      <c r="EGL9" s="448"/>
      <c r="EGM9" s="448"/>
      <c r="EGN9" s="448"/>
      <c r="EGO9" s="448"/>
      <c r="EGP9" s="448"/>
      <c r="EGQ9" s="448"/>
      <c r="EGR9" s="448"/>
      <c r="EGS9" s="448"/>
      <c r="EGT9" s="448"/>
      <c r="EGU9" s="448"/>
      <c r="EGV9" s="448"/>
      <c r="EGW9" s="448"/>
      <c r="EGX9" s="448"/>
      <c r="EGY9" s="448"/>
      <c r="EGZ9" s="448"/>
      <c r="EHA9" s="448"/>
      <c r="EHB9" s="448"/>
      <c r="EHC9" s="448"/>
      <c r="EHD9" s="448"/>
      <c r="EHE9" s="448"/>
      <c r="EHF9" s="448"/>
      <c r="EHG9" s="448"/>
      <c r="EHH9" s="448"/>
      <c r="EHI9" s="448"/>
      <c r="EHJ9" s="448"/>
      <c r="EHK9" s="448"/>
      <c r="EHL9" s="448"/>
      <c r="EHM9" s="448"/>
      <c r="EHN9" s="448"/>
      <c r="EHO9" s="448"/>
      <c r="EHP9" s="448"/>
      <c r="EHQ9" s="448"/>
      <c r="EHR9" s="448"/>
      <c r="EHS9" s="448"/>
      <c r="EHT9" s="448"/>
      <c r="EHU9" s="446"/>
      <c r="EHV9" s="447"/>
      <c r="EHW9" s="448"/>
      <c r="EHX9" s="448"/>
      <c r="EHY9" s="448"/>
      <c r="EHZ9" s="448"/>
      <c r="EIA9" s="448"/>
      <c r="EIB9" s="448"/>
      <c r="EIC9" s="448"/>
      <c r="EID9" s="448"/>
      <c r="EIE9" s="448"/>
      <c r="EIF9" s="448"/>
      <c r="EIG9" s="448"/>
      <c r="EIH9" s="448"/>
      <c r="EII9" s="448"/>
      <c r="EIJ9" s="448"/>
      <c r="EIK9" s="448"/>
      <c r="EIL9" s="448"/>
      <c r="EIM9" s="448"/>
      <c r="EIN9" s="448"/>
      <c r="EIO9" s="448"/>
      <c r="EIP9" s="448"/>
      <c r="EIQ9" s="448"/>
      <c r="EIR9" s="448"/>
      <c r="EIS9" s="448"/>
      <c r="EIT9" s="448"/>
      <c r="EIU9" s="448"/>
      <c r="EIV9" s="448"/>
      <c r="EIW9" s="448"/>
      <c r="EIX9" s="448"/>
      <c r="EIY9" s="448"/>
      <c r="EIZ9" s="448"/>
      <c r="EJA9" s="448"/>
      <c r="EJB9" s="448"/>
      <c r="EJC9" s="448"/>
      <c r="EJD9" s="448"/>
      <c r="EJE9" s="448"/>
      <c r="EJF9" s="448"/>
      <c r="EJG9" s="448"/>
      <c r="EJH9" s="448"/>
      <c r="EJI9" s="448"/>
      <c r="EJJ9" s="446"/>
      <c r="EJK9" s="447"/>
      <c r="EJL9" s="448"/>
      <c r="EJM9" s="448"/>
      <c r="EJN9" s="448"/>
      <c r="EJO9" s="448"/>
      <c r="EJP9" s="448"/>
      <c r="EJQ9" s="448"/>
      <c r="EJR9" s="448"/>
      <c r="EJS9" s="448"/>
      <c r="EJT9" s="448"/>
      <c r="EJU9" s="448"/>
      <c r="EJV9" s="448"/>
      <c r="EJW9" s="448"/>
      <c r="EJX9" s="448"/>
      <c r="EJY9" s="448"/>
      <c r="EJZ9" s="448"/>
      <c r="EKA9" s="448"/>
      <c r="EKB9" s="448"/>
      <c r="EKC9" s="448"/>
      <c r="EKD9" s="448"/>
      <c r="EKE9" s="448"/>
      <c r="EKF9" s="448"/>
      <c r="EKG9" s="448"/>
      <c r="EKH9" s="448"/>
      <c r="EKI9" s="448"/>
      <c r="EKJ9" s="448"/>
      <c r="EKK9" s="448"/>
      <c r="EKL9" s="448"/>
      <c r="EKM9" s="448"/>
      <c r="EKN9" s="448"/>
      <c r="EKO9" s="448"/>
      <c r="EKP9" s="448"/>
      <c r="EKQ9" s="448"/>
      <c r="EKR9" s="448"/>
      <c r="EKS9" s="448"/>
      <c r="EKT9" s="448"/>
      <c r="EKU9" s="448"/>
      <c r="EKV9" s="448"/>
      <c r="EKW9" s="448"/>
      <c r="EKX9" s="448"/>
      <c r="EKY9" s="446"/>
      <c r="EKZ9" s="447"/>
      <c r="ELA9" s="448"/>
      <c r="ELB9" s="448"/>
      <c r="ELC9" s="448"/>
      <c r="ELD9" s="448"/>
      <c r="ELE9" s="448"/>
      <c r="ELF9" s="448"/>
      <c r="ELG9" s="448"/>
      <c r="ELH9" s="448"/>
      <c r="ELI9" s="448"/>
      <c r="ELJ9" s="448"/>
      <c r="ELK9" s="448"/>
      <c r="ELL9" s="448"/>
      <c r="ELM9" s="448"/>
      <c r="ELN9" s="448"/>
      <c r="ELO9" s="448"/>
      <c r="ELP9" s="448"/>
      <c r="ELQ9" s="448"/>
      <c r="ELR9" s="448"/>
      <c r="ELS9" s="448"/>
      <c r="ELT9" s="448"/>
      <c r="ELU9" s="448"/>
      <c r="ELV9" s="448"/>
      <c r="ELW9" s="448"/>
      <c r="ELX9" s="448"/>
      <c r="ELY9" s="448"/>
      <c r="ELZ9" s="448"/>
      <c r="EMA9" s="448"/>
      <c r="EMB9" s="448"/>
      <c r="EMC9" s="448"/>
      <c r="EMD9" s="448"/>
      <c r="EME9" s="448"/>
      <c r="EMF9" s="448"/>
      <c r="EMG9" s="448"/>
      <c r="EMH9" s="448"/>
      <c r="EMI9" s="448"/>
      <c r="EMJ9" s="448"/>
      <c r="EMK9" s="448"/>
      <c r="EML9" s="448"/>
      <c r="EMM9" s="448"/>
      <c r="EMN9" s="446"/>
      <c r="EMO9" s="447"/>
      <c r="EMP9" s="448"/>
      <c r="EMQ9" s="448"/>
      <c r="EMR9" s="448"/>
      <c r="EMS9" s="448"/>
      <c r="EMT9" s="448"/>
      <c r="EMU9" s="448"/>
      <c r="EMV9" s="448"/>
      <c r="EMW9" s="448"/>
      <c r="EMX9" s="448"/>
      <c r="EMY9" s="448"/>
      <c r="EMZ9" s="448"/>
      <c r="ENA9" s="448"/>
      <c r="ENB9" s="448"/>
      <c r="ENC9" s="448"/>
      <c r="END9" s="448"/>
      <c r="ENE9" s="448"/>
      <c r="ENF9" s="448"/>
      <c r="ENG9" s="448"/>
      <c r="ENH9" s="448"/>
      <c r="ENI9" s="448"/>
      <c r="ENJ9" s="448"/>
      <c r="ENK9" s="448"/>
      <c r="ENL9" s="448"/>
      <c r="ENM9" s="448"/>
      <c r="ENN9" s="448"/>
      <c r="ENO9" s="448"/>
      <c r="ENP9" s="448"/>
      <c r="ENQ9" s="448"/>
      <c r="ENR9" s="448"/>
      <c r="ENS9" s="448"/>
      <c r="ENT9" s="448"/>
      <c r="ENU9" s="448"/>
      <c r="ENV9" s="448"/>
      <c r="ENW9" s="448"/>
      <c r="ENX9" s="448"/>
      <c r="ENY9" s="448"/>
      <c r="ENZ9" s="448"/>
      <c r="EOA9" s="448"/>
      <c r="EOB9" s="448"/>
      <c r="EOC9" s="446"/>
      <c r="EOD9" s="447"/>
      <c r="EOE9" s="448"/>
      <c r="EOF9" s="448"/>
      <c r="EOG9" s="448"/>
      <c r="EOH9" s="448"/>
      <c r="EOI9" s="448"/>
      <c r="EOJ9" s="448"/>
      <c r="EOK9" s="448"/>
      <c r="EOL9" s="448"/>
      <c r="EOM9" s="448"/>
      <c r="EON9" s="448"/>
      <c r="EOO9" s="448"/>
      <c r="EOP9" s="448"/>
      <c r="EOQ9" s="448"/>
      <c r="EOR9" s="448"/>
      <c r="EOS9" s="448"/>
      <c r="EOT9" s="448"/>
      <c r="EOU9" s="448"/>
      <c r="EOV9" s="448"/>
      <c r="EOW9" s="448"/>
      <c r="EOX9" s="448"/>
      <c r="EOY9" s="448"/>
      <c r="EOZ9" s="448"/>
      <c r="EPA9" s="448"/>
      <c r="EPB9" s="448"/>
      <c r="EPC9" s="448"/>
      <c r="EPD9" s="448"/>
      <c r="EPE9" s="448"/>
      <c r="EPF9" s="448"/>
      <c r="EPG9" s="448"/>
      <c r="EPH9" s="448"/>
      <c r="EPI9" s="448"/>
      <c r="EPJ9" s="448"/>
      <c r="EPK9" s="448"/>
      <c r="EPL9" s="448"/>
      <c r="EPM9" s="448"/>
      <c r="EPN9" s="448"/>
      <c r="EPO9" s="448"/>
      <c r="EPP9" s="448"/>
      <c r="EPQ9" s="448"/>
      <c r="EPR9" s="446"/>
      <c r="EPS9" s="447"/>
      <c r="EPT9" s="448"/>
      <c r="EPU9" s="448"/>
      <c r="EPV9" s="448"/>
      <c r="EPW9" s="448"/>
      <c r="EPX9" s="448"/>
      <c r="EPY9" s="448"/>
      <c r="EPZ9" s="448"/>
      <c r="EQA9" s="448"/>
      <c r="EQB9" s="448"/>
      <c r="EQC9" s="448"/>
      <c r="EQD9" s="448"/>
      <c r="EQE9" s="448"/>
      <c r="EQF9" s="448"/>
      <c r="EQG9" s="448"/>
      <c r="EQH9" s="448"/>
      <c r="EQI9" s="448"/>
      <c r="EQJ9" s="448"/>
      <c r="EQK9" s="448"/>
      <c r="EQL9" s="448"/>
      <c r="EQM9" s="448"/>
      <c r="EQN9" s="448"/>
      <c r="EQO9" s="448"/>
      <c r="EQP9" s="448"/>
      <c r="EQQ9" s="448"/>
      <c r="EQR9" s="448"/>
      <c r="EQS9" s="448"/>
      <c r="EQT9" s="448"/>
      <c r="EQU9" s="448"/>
      <c r="EQV9" s="448"/>
      <c r="EQW9" s="448"/>
      <c r="EQX9" s="448"/>
      <c r="EQY9" s="448"/>
      <c r="EQZ9" s="448"/>
      <c r="ERA9" s="448"/>
      <c r="ERB9" s="448"/>
      <c r="ERC9" s="448"/>
      <c r="ERD9" s="448"/>
      <c r="ERE9" s="448"/>
      <c r="ERF9" s="448"/>
      <c r="ERG9" s="446"/>
      <c r="ERH9" s="447"/>
      <c r="ERI9" s="448"/>
      <c r="ERJ9" s="448"/>
      <c r="ERK9" s="448"/>
      <c r="ERL9" s="448"/>
      <c r="ERM9" s="448"/>
      <c r="ERN9" s="448"/>
      <c r="ERO9" s="448"/>
      <c r="ERP9" s="448"/>
      <c r="ERQ9" s="448"/>
      <c r="ERR9" s="448"/>
      <c r="ERS9" s="448"/>
      <c r="ERT9" s="448"/>
      <c r="ERU9" s="448"/>
      <c r="ERV9" s="448"/>
      <c r="ERW9" s="448"/>
      <c r="ERX9" s="448"/>
      <c r="ERY9" s="448"/>
      <c r="ERZ9" s="448"/>
      <c r="ESA9" s="448"/>
      <c r="ESB9" s="448"/>
      <c r="ESC9" s="448"/>
      <c r="ESD9" s="448"/>
      <c r="ESE9" s="448"/>
      <c r="ESF9" s="448"/>
      <c r="ESG9" s="448"/>
      <c r="ESH9" s="448"/>
      <c r="ESI9" s="448"/>
      <c r="ESJ9" s="448"/>
      <c r="ESK9" s="448"/>
      <c r="ESL9" s="448"/>
      <c r="ESM9" s="448"/>
      <c r="ESN9" s="448"/>
      <c r="ESO9" s="448"/>
      <c r="ESP9" s="448"/>
      <c r="ESQ9" s="448"/>
      <c r="ESR9" s="448"/>
      <c r="ESS9" s="448"/>
      <c r="EST9" s="448"/>
      <c r="ESU9" s="448"/>
      <c r="ESV9" s="446"/>
      <c r="ESW9" s="447"/>
      <c r="ESX9" s="448"/>
      <c r="ESY9" s="448"/>
      <c r="ESZ9" s="448"/>
      <c r="ETA9" s="448"/>
      <c r="ETB9" s="448"/>
      <c r="ETC9" s="448"/>
      <c r="ETD9" s="448"/>
      <c r="ETE9" s="448"/>
      <c r="ETF9" s="448"/>
      <c r="ETG9" s="448"/>
      <c r="ETH9" s="448"/>
      <c r="ETI9" s="448"/>
      <c r="ETJ9" s="448"/>
      <c r="ETK9" s="448"/>
      <c r="ETL9" s="448"/>
      <c r="ETM9" s="448"/>
      <c r="ETN9" s="448"/>
      <c r="ETO9" s="448"/>
      <c r="ETP9" s="448"/>
      <c r="ETQ9" s="448"/>
      <c r="ETR9" s="448"/>
      <c r="ETS9" s="448"/>
      <c r="ETT9" s="448"/>
      <c r="ETU9" s="448"/>
      <c r="ETV9" s="448"/>
      <c r="ETW9" s="448"/>
      <c r="ETX9" s="448"/>
      <c r="ETY9" s="448"/>
      <c r="ETZ9" s="448"/>
      <c r="EUA9" s="448"/>
      <c r="EUB9" s="448"/>
      <c r="EUC9" s="448"/>
      <c r="EUD9" s="448"/>
      <c r="EUE9" s="448"/>
      <c r="EUF9" s="448"/>
      <c r="EUG9" s="448"/>
      <c r="EUH9" s="448"/>
      <c r="EUI9" s="448"/>
      <c r="EUJ9" s="448"/>
      <c r="EUK9" s="446"/>
      <c r="EUL9" s="447"/>
      <c r="EUM9" s="448"/>
      <c r="EUN9" s="448"/>
      <c r="EUO9" s="448"/>
      <c r="EUP9" s="448"/>
      <c r="EUQ9" s="448"/>
      <c r="EUR9" s="448"/>
      <c r="EUS9" s="448"/>
      <c r="EUT9" s="448"/>
      <c r="EUU9" s="448"/>
      <c r="EUV9" s="448"/>
      <c r="EUW9" s="448"/>
      <c r="EUX9" s="448"/>
      <c r="EUY9" s="448"/>
      <c r="EUZ9" s="448"/>
      <c r="EVA9" s="448"/>
      <c r="EVB9" s="448"/>
      <c r="EVC9" s="448"/>
      <c r="EVD9" s="448"/>
      <c r="EVE9" s="448"/>
      <c r="EVF9" s="448"/>
      <c r="EVG9" s="448"/>
      <c r="EVH9" s="448"/>
      <c r="EVI9" s="448"/>
      <c r="EVJ9" s="448"/>
      <c r="EVK9" s="448"/>
      <c r="EVL9" s="448"/>
      <c r="EVM9" s="448"/>
      <c r="EVN9" s="448"/>
      <c r="EVO9" s="448"/>
      <c r="EVP9" s="448"/>
      <c r="EVQ9" s="448"/>
      <c r="EVR9" s="448"/>
      <c r="EVS9" s="448"/>
      <c r="EVT9" s="448"/>
      <c r="EVU9" s="448"/>
      <c r="EVV9" s="448"/>
      <c r="EVW9" s="448"/>
      <c r="EVX9" s="448"/>
      <c r="EVY9" s="448"/>
      <c r="EVZ9" s="446"/>
      <c r="EWA9" s="447"/>
      <c r="EWB9" s="448"/>
      <c r="EWC9" s="448"/>
      <c r="EWD9" s="448"/>
      <c r="EWE9" s="448"/>
      <c r="EWF9" s="448"/>
      <c r="EWG9" s="448"/>
      <c r="EWH9" s="448"/>
      <c r="EWI9" s="448"/>
      <c r="EWJ9" s="448"/>
      <c r="EWK9" s="448"/>
      <c r="EWL9" s="448"/>
      <c r="EWM9" s="448"/>
      <c r="EWN9" s="448"/>
      <c r="EWO9" s="448"/>
      <c r="EWP9" s="448"/>
      <c r="EWQ9" s="448"/>
      <c r="EWR9" s="448"/>
      <c r="EWS9" s="448"/>
      <c r="EWT9" s="448"/>
      <c r="EWU9" s="448"/>
      <c r="EWV9" s="448"/>
      <c r="EWW9" s="448"/>
      <c r="EWX9" s="448"/>
      <c r="EWY9" s="448"/>
      <c r="EWZ9" s="448"/>
      <c r="EXA9" s="448"/>
      <c r="EXB9" s="448"/>
      <c r="EXC9" s="448"/>
      <c r="EXD9" s="448"/>
      <c r="EXE9" s="448"/>
      <c r="EXF9" s="448"/>
      <c r="EXG9" s="448"/>
      <c r="EXH9" s="448"/>
      <c r="EXI9" s="448"/>
      <c r="EXJ9" s="448"/>
      <c r="EXK9" s="448"/>
      <c r="EXL9" s="448"/>
      <c r="EXM9" s="448"/>
      <c r="EXN9" s="448"/>
      <c r="EXO9" s="446"/>
      <c r="EXP9" s="447"/>
      <c r="EXQ9" s="448"/>
      <c r="EXR9" s="448"/>
      <c r="EXS9" s="448"/>
      <c r="EXT9" s="448"/>
      <c r="EXU9" s="448"/>
      <c r="EXV9" s="448"/>
      <c r="EXW9" s="448"/>
      <c r="EXX9" s="448"/>
      <c r="EXY9" s="448"/>
      <c r="EXZ9" s="448"/>
      <c r="EYA9" s="448"/>
      <c r="EYB9" s="448"/>
      <c r="EYC9" s="448"/>
      <c r="EYD9" s="448"/>
      <c r="EYE9" s="448"/>
      <c r="EYF9" s="448"/>
      <c r="EYG9" s="448"/>
      <c r="EYH9" s="448"/>
      <c r="EYI9" s="448"/>
      <c r="EYJ9" s="448"/>
      <c r="EYK9" s="448"/>
      <c r="EYL9" s="448"/>
      <c r="EYM9" s="448"/>
      <c r="EYN9" s="448"/>
      <c r="EYO9" s="448"/>
      <c r="EYP9" s="448"/>
      <c r="EYQ9" s="448"/>
      <c r="EYR9" s="448"/>
      <c r="EYS9" s="448"/>
      <c r="EYT9" s="448"/>
      <c r="EYU9" s="448"/>
      <c r="EYV9" s="448"/>
      <c r="EYW9" s="448"/>
      <c r="EYX9" s="448"/>
      <c r="EYY9" s="448"/>
      <c r="EYZ9" s="448"/>
      <c r="EZA9" s="448"/>
      <c r="EZB9" s="448"/>
      <c r="EZC9" s="448"/>
      <c r="EZD9" s="446"/>
      <c r="EZE9" s="447"/>
      <c r="EZF9" s="448"/>
      <c r="EZG9" s="448"/>
      <c r="EZH9" s="448"/>
      <c r="EZI9" s="448"/>
      <c r="EZJ9" s="448"/>
      <c r="EZK9" s="448"/>
      <c r="EZL9" s="448"/>
      <c r="EZM9" s="448"/>
      <c r="EZN9" s="448"/>
      <c r="EZO9" s="448"/>
      <c r="EZP9" s="448"/>
      <c r="EZQ9" s="448"/>
      <c r="EZR9" s="448"/>
      <c r="EZS9" s="448"/>
      <c r="EZT9" s="448"/>
      <c r="EZU9" s="448"/>
      <c r="EZV9" s="448"/>
      <c r="EZW9" s="448"/>
      <c r="EZX9" s="448"/>
      <c r="EZY9" s="448"/>
      <c r="EZZ9" s="448"/>
      <c r="FAA9" s="448"/>
      <c r="FAB9" s="448"/>
      <c r="FAC9" s="448"/>
      <c r="FAD9" s="448"/>
      <c r="FAE9" s="448"/>
      <c r="FAF9" s="448"/>
      <c r="FAG9" s="448"/>
      <c r="FAH9" s="448"/>
      <c r="FAI9" s="448"/>
      <c r="FAJ9" s="448"/>
      <c r="FAK9" s="448"/>
      <c r="FAL9" s="448"/>
      <c r="FAM9" s="448"/>
      <c r="FAN9" s="448"/>
      <c r="FAO9" s="448"/>
      <c r="FAP9" s="448"/>
      <c r="FAQ9" s="448"/>
      <c r="FAR9" s="448"/>
      <c r="FAS9" s="446"/>
      <c r="FAT9" s="447"/>
      <c r="FAU9" s="448"/>
      <c r="FAV9" s="448"/>
      <c r="FAW9" s="448"/>
      <c r="FAX9" s="448"/>
      <c r="FAY9" s="448"/>
      <c r="FAZ9" s="448"/>
      <c r="FBA9" s="448"/>
      <c r="FBB9" s="448"/>
      <c r="FBC9" s="448"/>
      <c r="FBD9" s="448"/>
      <c r="FBE9" s="448"/>
      <c r="FBF9" s="448"/>
      <c r="FBG9" s="448"/>
      <c r="FBH9" s="448"/>
      <c r="FBI9" s="448"/>
      <c r="FBJ9" s="448"/>
      <c r="FBK9" s="448"/>
      <c r="FBL9" s="448"/>
      <c r="FBM9" s="448"/>
      <c r="FBN9" s="448"/>
      <c r="FBO9" s="448"/>
      <c r="FBP9" s="448"/>
      <c r="FBQ9" s="448"/>
      <c r="FBR9" s="448"/>
      <c r="FBS9" s="448"/>
      <c r="FBT9" s="448"/>
      <c r="FBU9" s="448"/>
      <c r="FBV9" s="448"/>
      <c r="FBW9" s="448"/>
      <c r="FBX9" s="448"/>
      <c r="FBY9" s="448"/>
      <c r="FBZ9" s="448"/>
      <c r="FCA9" s="448"/>
      <c r="FCB9" s="448"/>
      <c r="FCC9" s="448"/>
      <c r="FCD9" s="448"/>
      <c r="FCE9" s="448"/>
      <c r="FCF9" s="448"/>
      <c r="FCG9" s="448"/>
      <c r="FCH9" s="446"/>
      <c r="FCI9" s="447"/>
      <c r="FCJ9" s="448"/>
      <c r="FCK9" s="448"/>
      <c r="FCL9" s="448"/>
      <c r="FCM9" s="448"/>
      <c r="FCN9" s="448"/>
      <c r="FCO9" s="448"/>
      <c r="FCP9" s="448"/>
      <c r="FCQ9" s="448"/>
      <c r="FCR9" s="448"/>
      <c r="FCS9" s="448"/>
      <c r="FCT9" s="448"/>
      <c r="FCU9" s="448"/>
      <c r="FCV9" s="448"/>
      <c r="FCW9" s="448"/>
      <c r="FCX9" s="448"/>
      <c r="FCY9" s="448"/>
      <c r="FCZ9" s="448"/>
      <c r="FDA9" s="448"/>
      <c r="FDB9" s="448"/>
      <c r="FDC9" s="448"/>
      <c r="FDD9" s="448"/>
      <c r="FDE9" s="448"/>
      <c r="FDF9" s="448"/>
      <c r="FDG9" s="448"/>
      <c r="FDH9" s="448"/>
      <c r="FDI9" s="448"/>
      <c r="FDJ9" s="448"/>
      <c r="FDK9" s="448"/>
      <c r="FDL9" s="448"/>
      <c r="FDM9" s="448"/>
      <c r="FDN9" s="448"/>
      <c r="FDO9" s="448"/>
      <c r="FDP9" s="448"/>
      <c r="FDQ9" s="448"/>
      <c r="FDR9" s="448"/>
      <c r="FDS9" s="448"/>
      <c r="FDT9" s="448"/>
      <c r="FDU9" s="448"/>
      <c r="FDV9" s="448"/>
      <c r="FDW9" s="446"/>
      <c r="FDX9" s="447"/>
      <c r="FDY9" s="448"/>
      <c r="FDZ9" s="448"/>
      <c r="FEA9" s="448"/>
      <c r="FEB9" s="448"/>
      <c r="FEC9" s="448"/>
      <c r="FED9" s="448"/>
      <c r="FEE9" s="448"/>
      <c r="FEF9" s="448"/>
      <c r="FEG9" s="448"/>
      <c r="FEH9" s="448"/>
      <c r="FEI9" s="448"/>
      <c r="FEJ9" s="448"/>
      <c r="FEK9" s="448"/>
      <c r="FEL9" s="448"/>
      <c r="FEM9" s="448"/>
      <c r="FEN9" s="448"/>
      <c r="FEO9" s="448"/>
      <c r="FEP9" s="448"/>
      <c r="FEQ9" s="448"/>
      <c r="FER9" s="448"/>
      <c r="FES9" s="448"/>
      <c r="FET9" s="448"/>
      <c r="FEU9" s="448"/>
      <c r="FEV9" s="448"/>
      <c r="FEW9" s="448"/>
      <c r="FEX9" s="448"/>
      <c r="FEY9" s="448"/>
      <c r="FEZ9" s="448"/>
      <c r="FFA9" s="448"/>
      <c r="FFB9" s="448"/>
      <c r="FFC9" s="448"/>
      <c r="FFD9" s="448"/>
      <c r="FFE9" s="448"/>
      <c r="FFF9" s="448"/>
      <c r="FFG9" s="448"/>
      <c r="FFH9" s="448"/>
      <c r="FFI9" s="448"/>
      <c r="FFJ9" s="448"/>
      <c r="FFK9" s="448"/>
      <c r="FFL9" s="446"/>
      <c r="FFM9" s="447"/>
      <c r="FFN9" s="448"/>
      <c r="FFO9" s="448"/>
      <c r="FFP9" s="448"/>
      <c r="FFQ9" s="448"/>
      <c r="FFR9" s="448"/>
      <c r="FFS9" s="448"/>
      <c r="FFT9" s="448"/>
      <c r="FFU9" s="448"/>
      <c r="FFV9" s="448"/>
      <c r="FFW9" s="448"/>
      <c r="FFX9" s="448"/>
      <c r="FFY9" s="448"/>
      <c r="FFZ9" s="448"/>
      <c r="FGA9" s="448"/>
      <c r="FGB9" s="448"/>
      <c r="FGC9" s="448"/>
      <c r="FGD9" s="448"/>
      <c r="FGE9" s="448"/>
      <c r="FGF9" s="448"/>
      <c r="FGG9" s="448"/>
      <c r="FGH9" s="448"/>
      <c r="FGI9" s="448"/>
      <c r="FGJ9" s="448"/>
      <c r="FGK9" s="448"/>
      <c r="FGL9" s="448"/>
      <c r="FGM9" s="448"/>
      <c r="FGN9" s="448"/>
      <c r="FGO9" s="448"/>
      <c r="FGP9" s="448"/>
      <c r="FGQ9" s="448"/>
      <c r="FGR9" s="448"/>
      <c r="FGS9" s="448"/>
      <c r="FGT9" s="448"/>
      <c r="FGU9" s="448"/>
      <c r="FGV9" s="448"/>
      <c r="FGW9" s="448"/>
      <c r="FGX9" s="448"/>
      <c r="FGY9" s="448"/>
      <c r="FGZ9" s="448"/>
      <c r="FHA9" s="446"/>
      <c r="FHB9" s="447"/>
      <c r="FHC9" s="448"/>
      <c r="FHD9" s="448"/>
      <c r="FHE9" s="448"/>
      <c r="FHF9" s="448"/>
      <c r="FHG9" s="448"/>
      <c r="FHH9" s="448"/>
      <c r="FHI9" s="448"/>
      <c r="FHJ9" s="448"/>
      <c r="FHK9" s="448"/>
      <c r="FHL9" s="448"/>
      <c r="FHM9" s="448"/>
      <c r="FHN9" s="448"/>
      <c r="FHO9" s="448"/>
      <c r="FHP9" s="448"/>
      <c r="FHQ9" s="448"/>
      <c r="FHR9" s="448"/>
      <c r="FHS9" s="448"/>
      <c r="FHT9" s="448"/>
      <c r="FHU9" s="448"/>
      <c r="FHV9" s="448"/>
      <c r="FHW9" s="448"/>
      <c r="FHX9" s="448"/>
      <c r="FHY9" s="448"/>
      <c r="FHZ9" s="448"/>
      <c r="FIA9" s="448"/>
      <c r="FIB9" s="448"/>
      <c r="FIC9" s="448"/>
      <c r="FID9" s="448"/>
      <c r="FIE9" s="448"/>
      <c r="FIF9" s="448"/>
      <c r="FIG9" s="448"/>
      <c r="FIH9" s="448"/>
      <c r="FII9" s="448"/>
      <c r="FIJ9" s="448"/>
      <c r="FIK9" s="448"/>
      <c r="FIL9" s="448"/>
      <c r="FIM9" s="448"/>
      <c r="FIN9" s="448"/>
      <c r="FIO9" s="448"/>
      <c r="FIP9" s="446"/>
      <c r="FIQ9" s="447"/>
      <c r="FIR9" s="448"/>
      <c r="FIS9" s="448"/>
      <c r="FIT9" s="448"/>
      <c r="FIU9" s="448"/>
      <c r="FIV9" s="448"/>
      <c r="FIW9" s="448"/>
      <c r="FIX9" s="448"/>
      <c r="FIY9" s="448"/>
      <c r="FIZ9" s="448"/>
      <c r="FJA9" s="448"/>
      <c r="FJB9" s="448"/>
      <c r="FJC9" s="448"/>
      <c r="FJD9" s="448"/>
      <c r="FJE9" s="448"/>
      <c r="FJF9" s="448"/>
      <c r="FJG9" s="448"/>
      <c r="FJH9" s="448"/>
      <c r="FJI9" s="448"/>
      <c r="FJJ9" s="448"/>
      <c r="FJK9" s="448"/>
      <c r="FJL9" s="448"/>
      <c r="FJM9" s="448"/>
      <c r="FJN9" s="448"/>
      <c r="FJO9" s="448"/>
      <c r="FJP9" s="448"/>
      <c r="FJQ9" s="448"/>
      <c r="FJR9" s="448"/>
      <c r="FJS9" s="448"/>
      <c r="FJT9" s="448"/>
      <c r="FJU9" s="448"/>
      <c r="FJV9" s="448"/>
      <c r="FJW9" s="448"/>
      <c r="FJX9" s="448"/>
      <c r="FJY9" s="448"/>
      <c r="FJZ9" s="448"/>
      <c r="FKA9" s="448"/>
      <c r="FKB9" s="448"/>
      <c r="FKC9" s="448"/>
      <c r="FKD9" s="448"/>
      <c r="FKE9" s="446"/>
      <c r="FKF9" s="447"/>
      <c r="FKG9" s="448"/>
      <c r="FKH9" s="448"/>
      <c r="FKI9" s="448"/>
      <c r="FKJ9" s="448"/>
      <c r="FKK9" s="448"/>
      <c r="FKL9" s="448"/>
      <c r="FKM9" s="448"/>
      <c r="FKN9" s="448"/>
      <c r="FKO9" s="448"/>
      <c r="FKP9" s="448"/>
      <c r="FKQ9" s="448"/>
      <c r="FKR9" s="448"/>
      <c r="FKS9" s="448"/>
      <c r="FKT9" s="448"/>
      <c r="FKU9" s="448"/>
      <c r="FKV9" s="448"/>
      <c r="FKW9" s="448"/>
      <c r="FKX9" s="448"/>
      <c r="FKY9" s="448"/>
      <c r="FKZ9" s="448"/>
      <c r="FLA9" s="448"/>
      <c r="FLB9" s="448"/>
      <c r="FLC9" s="448"/>
      <c r="FLD9" s="448"/>
      <c r="FLE9" s="448"/>
      <c r="FLF9" s="448"/>
      <c r="FLG9" s="448"/>
      <c r="FLH9" s="448"/>
      <c r="FLI9" s="448"/>
      <c r="FLJ9" s="448"/>
      <c r="FLK9" s="448"/>
      <c r="FLL9" s="448"/>
      <c r="FLM9" s="448"/>
      <c r="FLN9" s="448"/>
      <c r="FLO9" s="448"/>
      <c r="FLP9" s="448"/>
      <c r="FLQ9" s="448"/>
      <c r="FLR9" s="448"/>
      <c r="FLS9" s="448"/>
      <c r="FLT9" s="446"/>
      <c r="FLU9" s="447"/>
      <c r="FLV9" s="448"/>
      <c r="FLW9" s="448"/>
      <c r="FLX9" s="448"/>
      <c r="FLY9" s="448"/>
      <c r="FLZ9" s="448"/>
      <c r="FMA9" s="448"/>
      <c r="FMB9" s="448"/>
      <c r="FMC9" s="448"/>
      <c r="FMD9" s="448"/>
      <c r="FME9" s="448"/>
      <c r="FMF9" s="448"/>
      <c r="FMG9" s="448"/>
      <c r="FMH9" s="448"/>
      <c r="FMI9" s="448"/>
      <c r="FMJ9" s="448"/>
      <c r="FMK9" s="448"/>
      <c r="FML9" s="448"/>
      <c r="FMM9" s="448"/>
      <c r="FMN9" s="448"/>
      <c r="FMO9" s="448"/>
      <c r="FMP9" s="448"/>
      <c r="FMQ9" s="448"/>
      <c r="FMR9" s="448"/>
      <c r="FMS9" s="448"/>
      <c r="FMT9" s="448"/>
      <c r="FMU9" s="448"/>
      <c r="FMV9" s="448"/>
      <c r="FMW9" s="448"/>
      <c r="FMX9" s="448"/>
      <c r="FMY9" s="448"/>
      <c r="FMZ9" s="448"/>
      <c r="FNA9" s="448"/>
      <c r="FNB9" s="448"/>
      <c r="FNC9" s="448"/>
      <c r="FND9" s="448"/>
      <c r="FNE9" s="448"/>
      <c r="FNF9" s="448"/>
      <c r="FNG9" s="448"/>
      <c r="FNH9" s="448"/>
      <c r="FNI9" s="446"/>
      <c r="FNJ9" s="447"/>
      <c r="FNK9" s="448"/>
      <c r="FNL9" s="448"/>
      <c r="FNM9" s="448"/>
      <c r="FNN9" s="448"/>
      <c r="FNO9" s="448"/>
      <c r="FNP9" s="448"/>
      <c r="FNQ9" s="448"/>
      <c r="FNR9" s="448"/>
      <c r="FNS9" s="448"/>
      <c r="FNT9" s="448"/>
      <c r="FNU9" s="448"/>
      <c r="FNV9" s="448"/>
      <c r="FNW9" s="448"/>
      <c r="FNX9" s="448"/>
      <c r="FNY9" s="448"/>
      <c r="FNZ9" s="448"/>
      <c r="FOA9" s="448"/>
      <c r="FOB9" s="448"/>
      <c r="FOC9" s="448"/>
      <c r="FOD9" s="448"/>
      <c r="FOE9" s="448"/>
      <c r="FOF9" s="448"/>
      <c r="FOG9" s="448"/>
      <c r="FOH9" s="448"/>
      <c r="FOI9" s="448"/>
      <c r="FOJ9" s="448"/>
      <c r="FOK9" s="448"/>
      <c r="FOL9" s="448"/>
      <c r="FOM9" s="448"/>
      <c r="FON9" s="448"/>
      <c r="FOO9" s="448"/>
      <c r="FOP9" s="448"/>
      <c r="FOQ9" s="448"/>
      <c r="FOR9" s="448"/>
      <c r="FOS9" s="448"/>
      <c r="FOT9" s="448"/>
      <c r="FOU9" s="448"/>
      <c r="FOV9" s="448"/>
      <c r="FOW9" s="448"/>
      <c r="FOX9" s="446"/>
      <c r="FOY9" s="447"/>
      <c r="FOZ9" s="448"/>
      <c r="FPA9" s="448"/>
      <c r="FPB9" s="448"/>
      <c r="FPC9" s="448"/>
      <c r="FPD9" s="448"/>
      <c r="FPE9" s="448"/>
      <c r="FPF9" s="448"/>
      <c r="FPG9" s="448"/>
      <c r="FPH9" s="448"/>
      <c r="FPI9" s="448"/>
      <c r="FPJ9" s="448"/>
      <c r="FPK9" s="448"/>
      <c r="FPL9" s="448"/>
      <c r="FPM9" s="448"/>
      <c r="FPN9" s="448"/>
      <c r="FPO9" s="448"/>
      <c r="FPP9" s="448"/>
      <c r="FPQ9" s="448"/>
      <c r="FPR9" s="448"/>
      <c r="FPS9" s="448"/>
      <c r="FPT9" s="448"/>
      <c r="FPU9" s="448"/>
      <c r="FPV9" s="448"/>
      <c r="FPW9" s="448"/>
      <c r="FPX9" s="448"/>
      <c r="FPY9" s="448"/>
      <c r="FPZ9" s="448"/>
      <c r="FQA9" s="448"/>
      <c r="FQB9" s="448"/>
      <c r="FQC9" s="448"/>
      <c r="FQD9" s="448"/>
      <c r="FQE9" s="448"/>
      <c r="FQF9" s="448"/>
      <c r="FQG9" s="448"/>
      <c r="FQH9" s="448"/>
      <c r="FQI9" s="448"/>
      <c r="FQJ9" s="448"/>
      <c r="FQK9" s="448"/>
      <c r="FQL9" s="448"/>
      <c r="FQM9" s="446"/>
      <c r="FQN9" s="447"/>
      <c r="FQO9" s="448"/>
      <c r="FQP9" s="448"/>
      <c r="FQQ9" s="448"/>
      <c r="FQR9" s="448"/>
      <c r="FQS9" s="448"/>
      <c r="FQT9" s="448"/>
      <c r="FQU9" s="448"/>
      <c r="FQV9" s="448"/>
      <c r="FQW9" s="448"/>
      <c r="FQX9" s="448"/>
      <c r="FQY9" s="448"/>
      <c r="FQZ9" s="448"/>
      <c r="FRA9" s="448"/>
      <c r="FRB9" s="448"/>
      <c r="FRC9" s="448"/>
      <c r="FRD9" s="448"/>
      <c r="FRE9" s="448"/>
      <c r="FRF9" s="448"/>
      <c r="FRG9" s="448"/>
      <c r="FRH9" s="448"/>
      <c r="FRI9" s="448"/>
      <c r="FRJ9" s="448"/>
      <c r="FRK9" s="448"/>
      <c r="FRL9" s="448"/>
      <c r="FRM9" s="448"/>
      <c r="FRN9" s="448"/>
      <c r="FRO9" s="448"/>
      <c r="FRP9" s="448"/>
      <c r="FRQ9" s="448"/>
      <c r="FRR9" s="448"/>
      <c r="FRS9" s="448"/>
      <c r="FRT9" s="448"/>
      <c r="FRU9" s="448"/>
      <c r="FRV9" s="448"/>
      <c r="FRW9" s="448"/>
      <c r="FRX9" s="448"/>
      <c r="FRY9" s="448"/>
      <c r="FRZ9" s="448"/>
      <c r="FSA9" s="448"/>
      <c r="FSB9" s="446"/>
      <c r="FSC9" s="447"/>
      <c r="FSD9" s="448"/>
      <c r="FSE9" s="448"/>
      <c r="FSF9" s="448"/>
      <c r="FSG9" s="448"/>
      <c r="FSH9" s="448"/>
      <c r="FSI9" s="448"/>
      <c r="FSJ9" s="448"/>
      <c r="FSK9" s="448"/>
      <c r="FSL9" s="448"/>
      <c r="FSM9" s="448"/>
      <c r="FSN9" s="448"/>
      <c r="FSO9" s="448"/>
      <c r="FSP9" s="448"/>
      <c r="FSQ9" s="448"/>
      <c r="FSR9" s="448"/>
      <c r="FSS9" s="448"/>
      <c r="FST9" s="448"/>
      <c r="FSU9" s="448"/>
      <c r="FSV9" s="448"/>
      <c r="FSW9" s="448"/>
      <c r="FSX9" s="448"/>
      <c r="FSY9" s="448"/>
      <c r="FSZ9" s="448"/>
      <c r="FTA9" s="448"/>
      <c r="FTB9" s="448"/>
      <c r="FTC9" s="448"/>
      <c r="FTD9" s="448"/>
      <c r="FTE9" s="448"/>
      <c r="FTF9" s="448"/>
      <c r="FTG9" s="448"/>
      <c r="FTH9" s="448"/>
      <c r="FTI9" s="448"/>
      <c r="FTJ9" s="448"/>
      <c r="FTK9" s="448"/>
      <c r="FTL9" s="448"/>
      <c r="FTM9" s="448"/>
      <c r="FTN9" s="448"/>
      <c r="FTO9" s="448"/>
      <c r="FTP9" s="448"/>
      <c r="FTQ9" s="446"/>
      <c r="FTR9" s="447"/>
      <c r="FTS9" s="448"/>
      <c r="FTT9" s="448"/>
      <c r="FTU9" s="448"/>
      <c r="FTV9" s="448"/>
      <c r="FTW9" s="448"/>
      <c r="FTX9" s="448"/>
      <c r="FTY9" s="448"/>
      <c r="FTZ9" s="448"/>
      <c r="FUA9" s="448"/>
      <c r="FUB9" s="448"/>
      <c r="FUC9" s="448"/>
      <c r="FUD9" s="448"/>
      <c r="FUE9" s="448"/>
      <c r="FUF9" s="448"/>
      <c r="FUG9" s="448"/>
      <c r="FUH9" s="448"/>
      <c r="FUI9" s="448"/>
      <c r="FUJ9" s="448"/>
      <c r="FUK9" s="448"/>
      <c r="FUL9" s="448"/>
      <c r="FUM9" s="448"/>
      <c r="FUN9" s="448"/>
      <c r="FUO9" s="448"/>
      <c r="FUP9" s="448"/>
      <c r="FUQ9" s="448"/>
      <c r="FUR9" s="448"/>
      <c r="FUS9" s="448"/>
      <c r="FUT9" s="448"/>
      <c r="FUU9" s="448"/>
      <c r="FUV9" s="448"/>
      <c r="FUW9" s="448"/>
      <c r="FUX9" s="448"/>
      <c r="FUY9" s="448"/>
      <c r="FUZ9" s="448"/>
      <c r="FVA9" s="448"/>
      <c r="FVB9" s="448"/>
      <c r="FVC9" s="448"/>
      <c r="FVD9" s="448"/>
      <c r="FVE9" s="448"/>
      <c r="FVF9" s="446"/>
      <c r="FVG9" s="447"/>
      <c r="FVH9" s="448"/>
      <c r="FVI9" s="448"/>
      <c r="FVJ9" s="448"/>
      <c r="FVK9" s="448"/>
      <c r="FVL9" s="448"/>
      <c r="FVM9" s="448"/>
      <c r="FVN9" s="448"/>
      <c r="FVO9" s="448"/>
      <c r="FVP9" s="448"/>
      <c r="FVQ9" s="448"/>
      <c r="FVR9" s="448"/>
      <c r="FVS9" s="448"/>
      <c r="FVT9" s="448"/>
      <c r="FVU9" s="448"/>
      <c r="FVV9" s="448"/>
      <c r="FVW9" s="448"/>
      <c r="FVX9" s="448"/>
      <c r="FVY9" s="448"/>
      <c r="FVZ9" s="448"/>
      <c r="FWA9" s="448"/>
      <c r="FWB9" s="448"/>
      <c r="FWC9" s="448"/>
      <c r="FWD9" s="448"/>
      <c r="FWE9" s="448"/>
      <c r="FWF9" s="448"/>
      <c r="FWG9" s="448"/>
      <c r="FWH9" s="448"/>
      <c r="FWI9" s="448"/>
      <c r="FWJ9" s="448"/>
      <c r="FWK9" s="448"/>
      <c r="FWL9" s="448"/>
      <c r="FWM9" s="448"/>
      <c r="FWN9" s="448"/>
      <c r="FWO9" s="448"/>
      <c r="FWP9" s="448"/>
      <c r="FWQ9" s="448"/>
      <c r="FWR9" s="448"/>
      <c r="FWS9" s="448"/>
      <c r="FWT9" s="448"/>
      <c r="FWU9" s="446"/>
      <c r="FWV9" s="447"/>
      <c r="FWW9" s="448"/>
      <c r="FWX9" s="448"/>
      <c r="FWY9" s="448"/>
      <c r="FWZ9" s="448"/>
      <c r="FXA9" s="448"/>
      <c r="FXB9" s="448"/>
      <c r="FXC9" s="448"/>
      <c r="FXD9" s="448"/>
      <c r="FXE9" s="448"/>
      <c r="FXF9" s="448"/>
      <c r="FXG9" s="448"/>
      <c r="FXH9" s="448"/>
      <c r="FXI9" s="448"/>
      <c r="FXJ9" s="448"/>
      <c r="FXK9" s="448"/>
      <c r="FXL9" s="448"/>
      <c r="FXM9" s="448"/>
      <c r="FXN9" s="448"/>
      <c r="FXO9" s="448"/>
      <c r="FXP9" s="448"/>
      <c r="FXQ9" s="448"/>
      <c r="FXR9" s="448"/>
      <c r="FXS9" s="448"/>
      <c r="FXT9" s="448"/>
      <c r="FXU9" s="448"/>
      <c r="FXV9" s="448"/>
      <c r="FXW9" s="448"/>
      <c r="FXX9" s="448"/>
      <c r="FXY9" s="448"/>
      <c r="FXZ9" s="448"/>
      <c r="FYA9" s="448"/>
      <c r="FYB9" s="448"/>
      <c r="FYC9" s="448"/>
      <c r="FYD9" s="448"/>
      <c r="FYE9" s="448"/>
      <c r="FYF9" s="448"/>
      <c r="FYG9" s="448"/>
      <c r="FYH9" s="448"/>
      <c r="FYI9" s="448"/>
      <c r="FYJ9" s="446"/>
      <c r="FYK9" s="447"/>
      <c r="FYL9" s="448"/>
      <c r="FYM9" s="448"/>
      <c r="FYN9" s="448"/>
      <c r="FYO9" s="448"/>
      <c r="FYP9" s="448"/>
      <c r="FYQ9" s="448"/>
      <c r="FYR9" s="448"/>
      <c r="FYS9" s="448"/>
      <c r="FYT9" s="448"/>
      <c r="FYU9" s="448"/>
      <c r="FYV9" s="448"/>
      <c r="FYW9" s="448"/>
      <c r="FYX9" s="448"/>
      <c r="FYY9" s="448"/>
      <c r="FYZ9" s="448"/>
      <c r="FZA9" s="448"/>
      <c r="FZB9" s="448"/>
      <c r="FZC9" s="448"/>
      <c r="FZD9" s="448"/>
      <c r="FZE9" s="448"/>
      <c r="FZF9" s="448"/>
      <c r="FZG9" s="448"/>
      <c r="FZH9" s="448"/>
      <c r="FZI9" s="448"/>
      <c r="FZJ9" s="448"/>
      <c r="FZK9" s="448"/>
      <c r="FZL9" s="448"/>
      <c r="FZM9" s="448"/>
      <c r="FZN9" s="448"/>
      <c r="FZO9" s="448"/>
      <c r="FZP9" s="448"/>
      <c r="FZQ9" s="448"/>
      <c r="FZR9" s="448"/>
      <c r="FZS9" s="448"/>
      <c r="FZT9" s="448"/>
      <c r="FZU9" s="448"/>
      <c r="FZV9" s="448"/>
      <c r="FZW9" s="448"/>
      <c r="FZX9" s="448"/>
      <c r="FZY9" s="446"/>
      <c r="FZZ9" s="447"/>
      <c r="GAA9" s="448"/>
      <c r="GAB9" s="448"/>
      <c r="GAC9" s="448"/>
      <c r="GAD9" s="448"/>
      <c r="GAE9" s="448"/>
      <c r="GAF9" s="448"/>
      <c r="GAG9" s="448"/>
      <c r="GAH9" s="448"/>
      <c r="GAI9" s="448"/>
      <c r="GAJ9" s="448"/>
      <c r="GAK9" s="448"/>
      <c r="GAL9" s="448"/>
      <c r="GAM9" s="448"/>
      <c r="GAN9" s="448"/>
      <c r="GAO9" s="448"/>
      <c r="GAP9" s="448"/>
      <c r="GAQ9" s="448"/>
      <c r="GAR9" s="448"/>
      <c r="GAS9" s="448"/>
      <c r="GAT9" s="448"/>
      <c r="GAU9" s="448"/>
      <c r="GAV9" s="448"/>
      <c r="GAW9" s="448"/>
      <c r="GAX9" s="448"/>
      <c r="GAY9" s="448"/>
      <c r="GAZ9" s="448"/>
      <c r="GBA9" s="448"/>
      <c r="GBB9" s="448"/>
      <c r="GBC9" s="448"/>
      <c r="GBD9" s="448"/>
      <c r="GBE9" s="448"/>
      <c r="GBF9" s="448"/>
      <c r="GBG9" s="448"/>
      <c r="GBH9" s="448"/>
      <c r="GBI9" s="448"/>
      <c r="GBJ9" s="448"/>
      <c r="GBK9" s="448"/>
      <c r="GBL9" s="448"/>
      <c r="GBM9" s="448"/>
      <c r="GBN9" s="446"/>
      <c r="GBO9" s="447"/>
      <c r="GBP9" s="448"/>
      <c r="GBQ9" s="448"/>
      <c r="GBR9" s="448"/>
      <c r="GBS9" s="448"/>
      <c r="GBT9" s="448"/>
      <c r="GBU9" s="448"/>
      <c r="GBV9" s="448"/>
      <c r="GBW9" s="448"/>
      <c r="GBX9" s="448"/>
      <c r="GBY9" s="448"/>
      <c r="GBZ9" s="448"/>
      <c r="GCA9" s="448"/>
      <c r="GCB9" s="448"/>
      <c r="GCC9" s="448"/>
      <c r="GCD9" s="448"/>
      <c r="GCE9" s="448"/>
      <c r="GCF9" s="448"/>
      <c r="GCG9" s="448"/>
      <c r="GCH9" s="448"/>
      <c r="GCI9" s="448"/>
      <c r="GCJ9" s="448"/>
      <c r="GCK9" s="448"/>
      <c r="GCL9" s="448"/>
      <c r="GCM9" s="448"/>
      <c r="GCN9" s="448"/>
      <c r="GCO9" s="448"/>
      <c r="GCP9" s="448"/>
      <c r="GCQ9" s="448"/>
      <c r="GCR9" s="448"/>
      <c r="GCS9" s="448"/>
      <c r="GCT9" s="448"/>
      <c r="GCU9" s="448"/>
      <c r="GCV9" s="448"/>
      <c r="GCW9" s="448"/>
      <c r="GCX9" s="448"/>
      <c r="GCY9" s="448"/>
      <c r="GCZ9" s="448"/>
      <c r="GDA9" s="448"/>
      <c r="GDB9" s="448"/>
      <c r="GDC9" s="446"/>
      <c r="GDD9" s="447"/>
      <c r="GDE9" s="448"/>
      <c r="GDF9" s="448"/>
      <c r="GDG9" s="448"/>
      <c r="GDH9" s="448"/>
      <c r="GDI9" s="448"/>
      <c r="GDJ9" s="448"/>
      <c r="GDK9" s="448"/>
      <c r="GDL9" s="448"/>
      <c r="GDM9" s="448"/>
      <c r="GDN9" s="448"/>
      <c r="GDO9" s="448"/>
      <c r="GDP9" s="448"/>
      <c r="GDQ9" s="448"/>
      <c r="GDR9" s="448"/>
      <c r="GDS9" s="448"/>
      <c r="GDT9" s="448"/>
      <c r="GDU9" s="448"/>
      <c r="GDV9" s="448"/>
      <c r="GDW9" s="448"/>
      <c r="GDX9" s="448"/>
      <c r="GDY9" s="448"/>
      <c r="GDZ9" s="448"/>
      <c r="GEA9" s="448"/>
      <c r="GEB9" s="448"/>
      <c r="GEC9" s="448"/>
      <c r="GED9" s="448"/>
      <c r="GEE9" s="448"/>
      <c r="GEF9" s="448"/>
      <c r="GEG9" s="448"/>
      <c r="GEH9" s="448"/>
      <c r="GEI9" s="448"/>
      <c r="GEJ9" s="448"/>
      <c r="GEK9" s="448"/>
      <c r="GEL9" s="448"/>
      <c r="GEM9" s="448"/>
      <c r="GEN9" s="448"/>
      <c r="GEO9" s="448"/>
      <c r="GEP9" s="448"/>
      <c r="GEQ9" s="448"/>
      <c r="GER9" s="446"/>
      <c r="GES9" s="447"/>
      <c r="GET9" s="448"/>
      <c r="GEU9" s="448"/>
      <c r="GEV9" s="448"/>
      <c r="GEW9" s="448"/>
      <c r="GEX9" s="448"/>
      <c r="GEY9" s="448"/>
      <c r="GEZ9" s="448"/>
      <c r="GFA9" s="448"/>
      <c r="GFB9" s="448"/>
      <c r="GFC9" s="448"/>
      <c r="GFD9" s="448"/>
      <c r="GFE9" s="448"/>
      <c r="GFF9" s="448"/>
      <c r="GFG9" s="448"/>
      <c r="GFH9" s="448"/>
      <c r="GFI9" s="448"/>
      <c r="GFJ9" s="448"/>
      <c r="GFK9" s="448"/>
      <c r="GFL9" s="448"/>
      <c r="GFM9" s="448"/>
      <c r="GFN9" s="448"/>
      <c r="GFO9" s="448"/>
      <c r="GFP9" s="448"/>
      <c r="GFQ9" s="448"/>
      <c r="GFR9" s="448"/>
      <c r="GFS9" s="448"/>
      <c r="GFT9" s="448"/>
      <c r="GFU9" s="448"/>
      <c r="GFV9" s="448"/>
      <c r="GFW9" s="448"/>
      <c r="GFX9" s="448"/>
      <c r="GFY9" s="448"/>
      <c r="GFZ9" s="448"/>
      <c r="GGA9" s="448"/>
      <c r="GGB9" s="448"/>
      <c r="GGC9" s="448"/>
      <c r="GGD9" s="448"/>
      <c r="GGE9" s="448"/>
      <c r="GGF9" s="448"/>
      <c r="GGG9" s="446"/>
      <c r="GGH9" s="447"/>
      <c r="GGI9" s="448"/>
      <c r="GGJ9" s="448"/>
      <c r="GGK9" s="448"/>
      <c r="GGL9" s="448"/>
      <c r="GGM9" s="448"/>
      <c r="GGN9" s="448"/>
      <c r="GGO9" s="448"/>
      <c r="GGP9" s="448"/>
      <c r="GGQ9" s="448"/>
      <c r="GGR9" s="448"/>
      <c r="GGS9" s="448"/>
      <c r="GGT9" s="448"/>
      <c r="GGU9" s="448"/>
      <c r="GGV9" s="448"/>
      <c r="GGW9" s="448"/>
      <c r="GGX9" s="448"/>
      <c r="GGY9" s="448"/>
      <c r="GGZ9" s="448"/>
      <c r="GHA9" s="448"/>
      <c r="GHB9" s="448"/>
      <c r="GHC9" s="448"/>
      <c r="GHD9" s="448"/>
      <c r="GHE9" s="448"/>
      <c r="GHF9" s="448"/>
      <c r="GHG9" s="448"/>
      <c r="GHH9" s="448"/>
      <c r="GHI9" s="448"/>
      <c r="GHJ9" s="448"/>
      <c r="GHK9" s="448"/>
      <c r="GHL9" s="448"/>
      <c r="GHM9" s="448"/>
      <c r="GHN9" s="448"/>
      <c r="GHO9" s="448"/>
      <c r="GHP9" s="448"/>
      <c r="GHQ9" s="448"/>
      <c r="GHR9" s="448"/>
      <c r="GHS9" s="448"/>
      <c r="GHT9" s="448"/>
      <c r="GHU9" s="448"/>
      <c r="GHV9" s="446"/>
      <c r="GHW9" s="447"/>
      <c r="GHX9" s="448"/>
      <c r="GHY9" s="448"/>
      <c r="GHZ9" s="448"/>
      <c r="GIA9" s="448"/>
      <c r="GIB9" s="448"/>
      <c r="GIC9" s="448"/>
      <c r="GID9" s="448"/>
      <c r="GIE9" s="448"/>
      <c r="GIF9" s="448"/>
      <c r="GIG9" s="448"/>
      <c r="GIH9" s="448"/>
      <c r="GII9" s="448"/>
      <c r="GIJ9" s="448"/>
      <c r="GIK9" s="448"/>
      <c r="GIL9" s="448"/>
      <c r="GIM9" s="448"/>
      <c r="GIN9" s="448"/>
      <c r="GIO9" s="448"/>
      <c r="GIP9" s="448"/>
      <c r="GIQ9" s="448"/>
      <c r="GIR9" s="448"/>
      <c r="GIS9" s="448"/>
      <c r="GIT9" s="448"/>
      <c r="GIU9" s="448"/>
      <c r="GIV9" s="448"/>
      <c r="GIW9" s="448"/>
      <c r="GIX9" s="448"/>
      <c r="GIY9" s="448"/>
      <c r="GIZ9" s="448"/>
      <c r="GJA9" s="448"/>
      <c r="GJB9" s="448"/>
      <c r="GJC9" s="448"/>
      <c r="GJD9" s="448"/>
      <c r="GJE9" s="448"/>
      <c r="GJF9" s="448"/>
      <c r="GJG9" s="448"/>
      <c r="GJH9" s="448"/>
      <c r="GJI9" s="448"/>
      <c r="GJJ9" s="448"/>
      <c r="GJK9" s="446"/>
      <c r="GJL9" s="447"/>
      <c r="GJM9" s="448"/>
      <c r="GJN9" s="448"/>
      <c r="GJO9" s="448"/>
      <c r="GJP9" s="448"/>
      <c r="GJQ9" s="448"/>
      <c r="GJR9" s="448"/>
      <c r="GJS9" s="448"/>
      <c r="GJT9" s="448"/>
      <c r="GJU9" s="448"/>
      <c r="GJV9" s="448"/>
      <c r="GJW9" s="448"/>
      <c r="GJX9" s="448"/>
      <c r="GJY9" s="448"/>
      <c r="GJZ9" s="448"/>
      <c r="GKA9" s="448"/>
      <c r="GKB9" s="448"/>
      <c r="GKC9" s="448"/>
      <c r="GKD9" s="448"/>
      <c r="GKE9" s="448"/>
      <c r="GKF9" s="448"/>
      <c r="GKG9" s="448"/>
      <c r="GKH9" s="448"/>
      <c r="GKI9" s="448"/>
      <c r="GKJ9" s="448"/>
      <c r="GKK9" s="448"/>
      <c r="GKL9" s="448"/>
      <c r="GKM9" s="448"/>
      <c r="GKN9" s="448"/>
      <c r="GKO9" s="448"/>
      <c r="GKP9" s="448"/>
      <c r="GKQ9" s="448"/>
      <c r="GKR9" s="448"/>
      <c r="GKS9" s="448"/>
      <c r="GKT9" s="448"/>
      <c r="GKU9" s="448"/>
      <c r="GKV9" s="448"/>
      <c r="GKW9" s="448"/>
      <c r="GKX9" s="448"/>
      <c r="GKY9" s="448"/>
      <c r="GKZ9" s="446"/>
      <c r="GLA9" s="447"/>
      <c r="GLB9" s="448"/>
      <c r="GLC9" s="448"/>
      <c r="GLD9" s="448"/>
      <c r="GLE9" s="448"/>
      <c r="GLF9" s="448"/>
      <c r="GLG9" s="448"/>
      <c r="GLH9" s="448"/>
      <c r="GLI9" s="448"/>
      <c r="GLJ9" s="448"/>
      <c r="GLK9" s="448"/>
      <c r="GLL9" s="448"/>
      <c r="GLM9" s="448"/>
      <c r="GLN9" s="448"/>
      <c r="GLO9" s="448"/>
      <c r="GLP9" s="448"/>
      <c r="GLQ9" s="448"/>
      <c r="GLR9" s="448"/>
      <c r="GLS9" s="448"/>
      <c r="GLT9" s="448"/>
      <c r="GLU9" s="448"/>
      <c r="GLV9" s="448"/>
      <c r="GLW9" s="448"/>
      <c r="GLX9" s="448"/>
      <c r="GLY9" s="448"/>
      <c r="GLZ9" s="448"/>
      <c r="GMA9" s="448"/>
      <c r="GMB9" s="448"/>
      <c r="GMC9" s="448"/>
      <c r="GMD9" s="448"/>
      <c r="GME9" s="448"/>
      <c r="GMF9" s="448"/>
      <c r="GMG9" s="448"/>
      <c r="GMH9" s="448"/>
      <c r="GMI9" s="448"/>
      <c r="GMJ9" s="448"/>
      <c r="GMK9" s="448"/>
      <c r="GML9" s="448"/>
      <c r="GMM9" s="448"/>
      <c r="GMN9" s="448"/>
      <c r="GMO9" s="446"/>
      <c r="GMP9" s="447"/>
      <c r="GMQ9" s="448"/>
      <c r="GMR9" s="448"/>
      <c r="GMS9" s="448"/>
      <c r="GMT9" s="448"/>
      <c r="GMU9" s="448"/>
      <c r="GMV9" s="448"/>
      <c r="GMW9" s="448"/>
      <c r="GMX9" s="448"/>
      <c r="GMY9" s="448"/>
      <c r="GMZ9" s="448"/>
      <c r="GNA9" s="448"/>
      <c r="GNB9" s="448"/>
      <c r="GNC9" s="448"/>
      <c r="GND9" s="448"/>
      <c r="GNE9" s="448"/>
      <c r="GNF9" s="448"/>
      <c r="GNG9" s="448"/>
      <c r="GNH9" s="448"/>
      <c r="GNI9" s="448"/>
      <c r="GNJ9" s="448"/>
      <c r="GNK9" s="448"/>
      <c r="GNL9" s="448"/>
      <c r="GNM9" s="448"/>
      <c r="GNN9" s="448"/>
      <c r="GNO9" s="448"/>
      <c r="GNP9" s="448"/>
      <c r="GNQ9" s="448"/>
      <c r="GNR9" s="448"/>
      <c r="GNS9" s="448"/>
      <c r="GNT9" s="448"/>
      <c r="GNU9" s="448"/>
      <c r="GNV9" s="448"/>
      <c r="GNW9" s="448"/>
      <c r="GNX9" s="448"/>
      <c r="GNY9" s="448"/>
      <c r="GNZ9" s="448"/>
      <c r="GOA9" s="448"/>
      <c r="GOB9" s="448"/>
      <c r="GOC9" s="448"/>
      <c r="GOD9" s="446"/>
      <c r="GOE9" s="447"/>
      <c r="GOF9" s="448"/>
      <c r="GOG9" s="448"/>
      <c r="GOH9" s="448"/>
      <c r="GOI9" s="448"/>
      <c r="GOJ9" s="448"/>
      <c r="GOK9" s="448"/>
      <c r="GOL9" s="448"/>
      <c r="GOM9" s="448"/>
      <c r="GON9" s="448"/>
      <c r="GOO9" s="448"/>
      <c r="GOP9" s="448"/>
      <c r="GOQ9" s="448"/>
      <c r="GOR9" s="448"/>
      <c r="GOS9" s="448"/>
      <c r="GOT9" s="448"/>
      <c r="GOU9" s="448"/>
      <c r="GOV9" s="448"/>
      <c r="GOW9" s="448"/>
      <c r="GOX9" s="448"/>
      <c r="GOY9" s="448"/>
      <c r="GOZ9" s="448"/>
      <c r="GPA9" s="448"/>
      <c r="GPB9" s="448"/>
      <c r="GPC9" s="448"/>
      <c r="GPD9" s="448"/>
      <c r="GPE9" s="448"/>
      <c r="GPF9" s="448"/>
      <c r="GPG9" s="448"/>
      <c r="GPH9" s="448"/>
      <c r="GPI9" s="448"/>
      <c r="GPJ9" s="448"/>
      <c r="GPK9" s="448"/>
      <c r="GPL9" s="448"/>
      <c r="GPM9" s="448"/>
      <c r="GPN9" s="448"/>
      <c r="GPO9" s="448"/>
      <c r="GPP9" s="448"/>
      <c r="GPQ9" s="448"/>
      <c r="GPR9" s="448"/>
      <c r="GPS9" s="446"/>
      <c r="GPT9" s="447"/>
      <c r="GPU9" s="448"/>
      <c r="GPV9" s="448"/>
      <c r="GPW9" s="448"/>
      <c r="GPX9" s="448"/>
      <c r="GPY9" s="448"/>
      <c r="GPZ9" s="448"/>
      <c r="GQA9" s="448"/>
      <c r="GQB9" s="448"/>
      <c r="GQC9" s="448"/>
      <c r="GQD9" s="448"/>
      <c r="GQE9" s="448"/>
      <c r="GQF9" s="448"/>
      <c r="GQG9" s="448"/>
      <c r="GQH9" s="448"/>
      <c r="GQI9" s="448"/>
      <c r="GQJ9" s="448"/>
      <c r="GQK9" s="448"/>
      <c r="GQL9" s="448"/>
      <c r="GQM9" s="448"/>
      <c r="GQN9" s="448"/>
      <c r="GQO9" s="448"/>
      <c r="GQP9" s="448"/>
      <c r="GQQ9" s="448"/>
      <c r="GQR9" s="448"/>
      <c r="GQS9" s="448"/>
      <c r="GQT9" s="448"/>
      <c r="GQU9" s="448"/>
      <c r="GQV9" s="448"/>
      <c r="GQW9" s="448"/>
      <c r="GQX9" s="448"/>
      <c r="GQY9" s="448"/>
      <c r="GQZ9" s="448"/>
      <c r="GRA9" s="448"/>
      <c r="GRB9" s="448"/>
      <c r="GRC9" s="448"/>
      <c r="GRD9" s="448"/>
      <c r="GRE9" s="448"/>
      <c r="GRF9" s="448"/>
      <c r="GRG9" s="448"/>
      <c r="GRH9" s="446"/>
      <c r="GRI9" s="447"/>
      <c r="GRJ9" s="448"/>
      <c r="GRK9" s="448"/>
      <c r="GRL9" s="448"/>
      <c r="GRM9" s="448"/>
      <c r="GRN9" s="448"/>
      <c r="GRO9" s="448"/>
      <c r="GRP9" s="448"/>
      <c r="GRQ9" s="448"/>
      <c r="GRR9" s="448"/>
      <c r="GRS9" s="448"/>
      <c r="GRT9" s="448"/>
      <c r="GRU9" s="448"/>
      <c r="GRV9" s="448"/>
      <c r="GRW9" s="448"/>
      <c r="GRX9" s="448"/>
      <c r="GRY9" s="448"/>
      <c r="GRZ9" s="448"/>
      <c r="GSA9" s="448"/>
      <c r="GSB9" s="448"/>
      <c r="GSC9" s="448"/>
      <c r="GSD9" s="448"/>
      <c r="GSE9" s="448"/>
      <c r="GSF9" s="448"/>
      <c r="GSG9" s="448"/>
      <c r="GSH9" s="448"/>
      <c r="GSI9" s="448"/>
      <c r="GSJ9" s="448"/>
      <c r="GSK9" s="448"/>
      <c r="GSL9" s="448"/>
      <c r="GSM9" s="448"/>
      <c r="GSN9" s="448"/>
      <c r="GSO9" s="448"/>
      <c r="GSP9" s="448"/>
      <c r="GSQ9" s="448"/>
      <c r="GSR9" s="448"/>
      <c r="GSS9" s="448"/>
      <c r="GST9" s="448"/>
      <c r="GSU9" s="448"/>
      <c r="GSV9" s="448"/>
      <c r="GSW9" s="446"/>
      <c r="GSX9" s="447"/>
      <c r="GSY9" s="448"/>
      <c r="GSZ9" s="448"/>
      <c r="GTA9" s="448"/>
      <c r="GTB9" s="448"/>
      <c r="GTC9" s="448"/>
      <c r="GTD9" s="448"/>
      <c r="GTE9" s="448"/>
      <c r="GTF9" s="448"/>
      <c r="GTG9" s="448"/>
      <c r="GTH9" s="448"/>
      <c r="GTI9" s="448"/>
      <c r="GTJ9" s="448"/>
      <c r="GTK9" s="448"/>
      <c r="GTL9" s="448"/>
      <c r="GTM9" s="448"/>
      <c r="GTN9" s="448"/>
      <c r="GTO9" s="448"/>
      <c r="GTP9" s="448"/>
      <c r="GTQ9" s="448"/>
      <c r="GTR9" s="448"/>
      <c r="GTS9" s="448"/>
      <c r="GTT9" s="448"/>
      <c r="GTU9" s="448"/>
      <c r="GTV9" s="448"/>
      <c r="GTW9" s="448"/>
      <c r="GTX9" s="448"/>
      <c r="GTY9" s="448"/>
      <c r="GTZ9" s="448"/>
      <c r="GUA9" s="448"/>
      <c r="GUB9" s="448"/>
      <c r="GUC9" s="448"/>
      <c r="GUD9" s="448"/>
      <c r="GUE9" s="448"/>
      <c r="GUF9" s="448"/>
      <c r="GUG9" s="448"/>
      <c r="GUH9" s="448"/>
      <c r="GUI9" s="448"/>
      <c r="GUJ9" s="448"/>
      <c r="GUK9" s="448"/>
      <c r="GUL9" s="446"/>
      <c r="GUM9" s="447"/>
      <c r="GUN9" s="448"/>
      <c r="GUO9" s="448"/>
      <c r="GUP9" s="448"/>
      <c r="GUQ9" s="448"/>
      <c r="GUR9" s="448"/>
      <c r="GUS9" s="448"/>
      <c r="GUT9" s="448"/>
      <c r="GUU9" s="448"/>
      <c r="GUV9" s="448"/>
      <c r="GUW9" s="448"/>
      <c r="GUX9" s="448"/>
      <c r="GUY9" s="448"/>
      <c r="GUZ9" s="448"/>
      <c r="GVA9" s="448"/>
      <c r="GVB9" s="448"/>
      <c r="GVC9" s="448"/>
      <c r="GVD9" s="448"/>
      <c r="GVE9" s="448"/>
      <c r="GVF9" s="448"/>
      <c r="GVG9" s="448"/>
      <c r="GVH9" s="448"/>
      <c r="GVI9" s="448"/>
      <c r="GVJ9" s="448"/>
      <c r="GVK9" s="448"/>
      <c r="GVL9" s="448"/>
      <c r="GVM9" s="448"/>
      <c r="GVN9" s="448"/>
      <c r="GVO9" s="448"/>
      <c r="GVP9" s="448"/>
      <c r="GVQ9" s="448"/>
      <c r="GVR9" s="448"/>
      <c r="GVS9" s="448"/>
      <c r="GVT9" s="448"/>
      <c r="GVU9" s="448"/>
      <c r="GVV9" s="448"/>
      <c r="GVW9" s="448"/>
      <c r="GVX9" s="448"/>
      <c r="GVY9" s="448"/>
      <c r="GVZ9" s="448"/>
      <c r="GWA9" s="446"/>
      <c r="GWB9" s="447"/>
      <c r="GWC9" s="448"/>
      <c r="GWD9" s="448"/>
      <c r="GWE9" s="448"/>
      <c r="GWF9" s="448"/>
      <c r="GWG9" s="448"/>
      <c r="GWH9" s="448"/>
      <c r="GWI9" s="448"/>
      <c r="GWJ9" s="448"/>
      <c r="GWK9" s="448"/>
      <c r="GWL9" s="448"/>
      <c r="GWM9" s="448"/>
      <c r="GWN9" s="448"/>
      <c r="GWO9" s="448"/>
      <c r="GWP9" s="448"/>
      <c r="GWQ9" s="448"/>
      <c r="GWR9" s="448"/>
      <c r="GWS9" s="448"/>
      <c r="GWT9" s="448"/>
      <c r="GWU9" s="448"/>
      <c r="GWV9" s="448"/>
      <c r="GWW9" s="448"/>
      <c r="GWX9" s="448"/>
      <c r="GWY9" s="448"/>
      <c r="GWZ9" s="448"/>
      <c r="GXA9" s="448"/>
      <c r="GXB9" s="448"/>
      <c r="GXC9" s="448"/>
      <c r="GXD9" s="448"/>
      <c r="GXE9" s="448"/>
      <c r="GXF9" s="448"/>
      <c r="GXG9" s="448"/>
      <c r="GXH9" s="448"/>
      <c r="GXI9" s="448"/>
      <c r="GXJ9" s="448"/>
      <c r="GXK9" s="448"/>
      <c r="GXL9" s="448"/>
      <c r="GXM9" s="448"/>
      <c r="GXN9" s="448"/>
      <c r="GXO9" s="448"/>
      <c r="GXP9" s="446"/>
      <c r="GXQ9" s="447"/>
      <c r="GXR9" s="448"/>
      <c r="GXS9" s="448"/>
      <c r="GXT9" s="448"/>
      <c r="GXU9" s="448"/>
      <c r="GXV9" s="448"/>
      <c r="GXW9" s="448"/>
      <c r="GXX9" s="448"/>
      <c r="GXY9" s="448"/>
      <c r="GXZ9" s="448"/>
      <c r="GYA9" s="448"/>
      <c r="GYB9" s="448"/>
      <c r="GYC9" s="448"/>
      <c r="GYD9" s="448"/>
      <c r="GYE9" s="448"/>
      <c r="GYF9" s="448"/>
      <c r="GYG9" s="448"/>
      <c r="GYH9" s="448"/>
      <c r="GYI9" s="448"/>
      <c r="GYJ9" s="448"/>
      <c r="GYK9" s="448"/>
      <c r="GYL9" s="448"/>
      <c r="GYM9" s="448"/>
      <c r="GYN9" s="448"/>
      <c r="GYO9" s="448"/>
      <c r="GYP9" s="448"/>
      <c r="GYQ9" s="448"/>
      <c r="GYR9" s="448"/>
      <c r="GYS9" s="448"/>
      <c r="GYT9" s="448"/>
      <c r="GYU9" s="448"/>
      <c r="GYV9" s="448"/>
      <c r="GYW9" s="448"/>
      <c r="GYX9" s="448"/>
      <c r="GYY9" s="448"/>
      <c r="GYZ9" s="448"/>
      <c r="GZA9" s="448"/>
      <c r="GZB9" s="448"/>
      <c r="GZC9" s="448"/>
      <c r="GZD9" s="448"/>
      <c r="GZE9" s="446"/>
      <c r="GZF9" s="447"/>
      <c r="GZG9" s="448"/>
      <c r="GZH9" s="448"/>
      <c r="GZI9" s="448"/>
      <c r="GZJ9" s="448"/>
      <c r="GZK9" s="448"/>
      <c r="GZL9" s="448"/>
      <c r="GZM9" s="448"/>
      <c r="GZN9" s="448"/>
      <c r="GZO9" s="448"/>
      <c r="GZP9" s="448"/>
      <c r="GZQ9" s="448"/>
      <c r="GZR9" s="448"/>
      <c r="GZS9" s="448"/>
      <c r="GZT9" s="448"/>
      <c r="GZU9" s="448"/>
      <c r="GZV9" s="448"/>
      <c r="GZW9" s="448"/>
      <c r="GZX9" s="448"/>
      <c r="GZY9" s="448"/>
      <c r="GZZ9" s="448"/>
      <c r="HAA9" s="448"/>
      <c r="HAB9" s="448"/>
      <c r="HAC9" s="448"/>
      <c r="HAD9" s="448"/>
      <c r="HAE9" s="448"/>
      <c r="HAF9" s="448"/>
      <c r="HAG9" s="448"/>
      <c r="HAH9" s="448"/>
      <c r="HAI9" s="448"/>
      <c r="HAJ9" s="448"/>
      <c r="HAK9" s="448"/>
      <c r="HAL9" s="448"/>
      <c r="HAM9" s="448"/>
      <c r="HAN9" s="448"/>
      <c r="HAO9" s="448"/>
      <c r="HAP9" s="448"/>
      <c r="HAQ9" s="448"/>
      <c r="HAR9" s="448"/>
      <c r="HAS9" s="448"/>
      <c r="HAT9" s="446"/>
      <c r="HAU9" s="447"/>
      <c r="HAV9" s="448"/>
      <c r="HAW9" s="448"/>
      <c r="HAX9" s="448"/>
      <c r="HAY9" s="448"/>
      <c r="HAZ9" s="448"/>
      <c r="HBA9" s="448"/>
      <c r="HBB9" s="448"/>
      <c r="HBC9" s="448"/>
      <c r="HBD9" s="448"/>
      <c r="HBE9" s="448"/>
      <c r="HBF9" s="448"/>
      <c r="HBG9" s="448"/>
      <c r="HBH9" s="448"/>
      <c r="HBI9" s="448"/>
      <c r="HBJ9" s="448"/>
      <c r="HBK9" s="448"/>
      <c r="HBL9" s="448"/>
      <c r="HBM9" s="448"/>
      <c r="HBN9" s="448"/>
      <c r="HBO9" s="448"/>
      <c r="HBP9" s="448"/>
      <c r="HBQ9" s="448"/>
      <c r="HBR9" s="448"/>
      <c r="HBS9" s="448"/>
      <c r="HBT9" s="448"/>
      <c r="HBU9" s="448"/>
      <c r="HBV9" s="448"/>
      <c r="HBW9" s="448"/>
      <c r="HBX9" s="448"/>
      <c r="HBY9" s="448"/>
      <c r="HBZ9" s="448"/>
      <c r="HCA9" s="448"/>
      <c r="HCB9" s="448"/>
      <c r="HCC9" s="448"/>
      <c r="HCD9" s="448"/>
      <c r="HCE9" s="448"/>
      <c r="HCF9" s="448"/>
      <c r="HCG9" s="448"/>
      <c r="HCH9" s="448"/>
      <c r="HCI9" s="446"/>
      <c r="HCJ9" s="447"/>
      <c r="HCK9" s="448"/>
      <c r="HCL9" s="448"/>
      <c r="HCM9" s="448"/>
      <c r="HCN9" s="448"/>
      <c r="HCO9" s="448"/>
      <c r="HCP9" s="448"/>
      <c r="HCQ9" s="448"/>
      <c r="HCR9" s="448"/>
      <c r="HCS9" s="448"/>
      <c r="HCT9" s="448"/>
      <c r="HCU9" s="448"/>
      <c r="HCV9" s="448"/>
      <c r="HCW9" s="448"/>
      <c r="HCX9" s="448"/>
      <c r="HCY9" s="448"/>
      <c r="HCZ9" s="448"/>
      <c r="HDA9" s="448"/>
      <c r="HDB9" s="448"/>
      <c r="HDC9" s="448"/>
      <c r="HDD9" s="448"/>
      <c r="HDE9" s="448"/>
      <c r="HDF9" s="448"/>
      <c r="HDG9" s="448"/>
      <c r="HDH9" s="448"/>
      <c r="HDI9" s="448"/>
      <c r="HDJ9" s="448"/>
      <c r="HDK9" s="448"/>
      <c r="HDL9" s="448"/>
      <c r="HDM9" s="448"/>
      <c r="HDN9" s="448"/>
      <c r="HDO9" s="448"/>
      <c r="HDP9" s="448"/>
      <c r="HDQ9" s="448"/>
      <c r="HDR9" s="448"/>
      <c r="HDS9" s="448"/>
      <c r="HDT9" s="448"/>
      <c r="HDU9" s="448"/>
      <c r="HDV9" s="448"/>
      <c r="HDW9" s="448"/>
      <c r="HDX9" s="446"/>
      <c r="HDY9" s="447"/>
      <c r="HDZ9" s="448"/>
      <c r="HEA9" s="448"/>
      <c r="HEB9" s="448"/>
      <c r="HEC9" s="448"/>
      <c r="HED9" s="448"/>
      <c r="HEE9" s="448"/>
      <c r="HEF9" s="448"/>
      <c r="HEG9" s="448"/>
      <c r="HEH9" s="448"/>
      <c r="HEI9" s="448"/>
      <c r="HEJ9" s="448"/>
      <c r="HEK9" s="448"/>
      <c r="HEL9" s="448"/>
      <c r="HEM9" s="448"/>
      <c r="HEN9" s="448"/>
      <c r="HEO9" s="448"/>
      <c r="HEP9" s="448"/>
      <c r="HEQ9" s="448"/>
      <c r="HER9" s="448"/>
      <c r="HES9" s="448"/>
      <c r="HET9" s="448"/>
      <c r="HEU9" s="448"/>
      <c r="HEV9" s="448"/>
      <c r="HEW9" s="448"/>
      <c r="HEX9" s="448"/>
      <c r="HEY9" s="448"/>
      <c r="HEZ9" s="448"/>
      <c r="HFA9" s="448"/>
      <c r="HFB9" s="448"/>
      <c r="HFC9" s="448"/>
      <c r="HFD9" s="448"/>
      <c r="HFE9" s="448"/>
      <c r="HFF9" s="448"/>
      <c r="HFG9" s="448"/>
      <c r="HFH9" s="448"/>
      <c r="HFI9" s="448"/>
      <c r="HFJ9" s="448"/>
      <c r="HFK9" s="448"/>
      <c r="HFL9" s="448"/>
      <c r="HFM9" s="446"/>
      <c r="HFN9" s="447"/>
      <c r="HFO9" s="448"/>
      <c r="HFP9" s="448"/>
      <c r="HFQ9" s="448"/>
      <c r="HFR9" s="448"/>
      <c r="HFS9" s="448"/>
      <c r="HFT9" s="448"/>
      <c r="HFU9" s="448"/>
      <c r="HFV9" s="448"/>
      <c r="HFW9" s="448"/>
      <c r="HFX9" s="448"/>
      <c r="HFY9" s="448"/>
      <c r="HFZ9" s="448"/>
      <c r="HGA9" s="448"/>
      <c r="HGB9" s="448"/>
      <c r="HGC9" s="448"/>
      <c r="HGD9" s="448"/>
      <c r="HGE9" s="448"/>
      <c r="HGF9" s="448"/>
      <c r="HGG9" s="448"/>
      <c r="HGH9" s="448"/>
      <c r="HGI9" s="448"/>
      <c r="HGJ9" s="448"/>
      <c r="HGK9" s="448"/>
      <c r="HGL9" s="448"/>
      <c r="HGM9" s="448"/>
      <c r="HGN9" s="448"/>
      <c r="HGO9" s="448"/>
      <c r="HGP9" s="448"/>
      <c r="HGQ9" s="448"/>
      <c r="HGR9" s="448"/>
      <c r="HGS9" s="448"/>
      <c r="HGT9" s="448"/>
      <c r="HGU9" s="448"/>
      <c r="HGV9" s="448"/>
      <c r="HGW9" s="448"/>
      <c r="HGX9" s="448"/>
      <c r="HGY9" s="448"/>
      <c r="HGZ9" s="448"/>
      <c r="HHA9" s="448"/>
      <c r="HHB9" s="446"/>
      <c r="HHC9" s="447"/>
      <c r="HHD9" s="448"/>
      <c r="HHE9" s="448"/>
      <c r="HHF9" s="448"/>
      <c r="HHG9" s="448"/>
      <c r="HHH9" s="448"/>
      <c r="HHI9" s="448"/>
      <c r="HHJ9" s="448"/>
      <c r="HHK9" s="448"/>
      <c r="HHL9" s="448"/>
      <c r="HHM9" s="448"/>
      <c r="HHN9" s="448"/>
      <c r="HHO9" s="448"/>
      <c r="HHP9" s="448"/>
      <c r="HHQ9" s="448"/>
      <c r="HHR9" s="448"/>
      <c r="HHS9" s="448"/>
      <c r="HHT9" s="448"/>
      <c r="HHU9" s="448"/>
      <c r="HHV9" s="448"/>
      <c r="HHW9" s="448"/>
      <c r="HHX9" s="448"/>
      <c r="HHY9" s="448"/>
      <c r="HHZ9" s="448"/>
      <c r="HIA9" s="448"/>
      <c r="HIB9" s="448"/>
      <c r="HIC9" s="448"/>
      <c r="HID9" s="448"/>
      <c r="HIE9" s="448"/>
      <c r="HIF9" s="448"/>
      <c r="HIG9" s="448"/>
      <c r="HIH9" s="448"/>
      <c r="HII9" s="448"/>
      <c r="HIJ9" s="448"/>
      <c r="HIK9" s="448"/>
      <c r="HIL9" s="448"/>
      <c r="HIM9" s="448"/>
      <c r="HIN9" s="448"/>
      <c r="HIO9" s="448"/>
      <c r="HIP9" s="448"/>
      <c r="HIQ9" s="446"/>
      <c r="HIR9" s="447"/>
      <c r="HIS9" s="448"/>
      <c r="HIT9" s="448"/>
      <c r="HIU9" s="448"/>
      <c r="HIV9" s="448"/>
      <c r="HIW9" s="448"/>
      <c r="HIX9" s="448"/>
      <c r="HIY9" s="448"/>
      <c r="HIZ9" s="448"/>
      <c r="HJA9" s="448"/>
      <c r="HJB9" s="448"/>
      <c r="HJC9" s="448"/>
      <c r="HJD9" s="448"/>
      <c r="HJE9" s="448"/>
      <c r="HJF9" s="448"/>
      <c r="HJG9" s="448"/>
      <c r="HJH9" s="448"/>
      <c r="HJI9" s="448"/>
      <c r="HJJ9" s="448"/>
      <c r="HJK9" s="448"/>
      <c r="HJL9" s="448"/>
      <c r="HJM9" s="448"/>
      <c r="HJN9" s="448"/>
      <c r="HJO9" s="448"/>
      <c r="HJP9" s="448"/>
      <c r="HJQ9" s="448"/>
      <c r="HJR9" s="448"/>
      <c r="HJS9" s="448"/>
      <c r="HJT9" s="448"/>
      <c r="HJU9" s="448"/>
      <c r="HJV9" s="448"/>
      <c r="HJW9" s="448"/>
      <c r="HJX9" s="448"/>
      <c r="HJY9" s="448"/>
      <c r="HJZ9" s="448"/>
      <c r="HKA9" s="448"/>
      <c r="HKB9" s="448"/>
      <c r="HKC9" s="448"/>
      <c r="HKD9" s="448"/>
      <c r="HKE9" s="448"/>
      <c r="HKF9" s="446"/>
      <c r="HKG9" s="447"/>
      <c r="HKH9" s="448"/>
      <c r="HKI9" s="448"/>
      <c r="HKJ9" s="448"/>
      <c r="HKK9" s="448"/>
      <c r="HKL9" s="448"/>
      <c r="HKM9" s="448"/>
      <c r="HKN9" s="448"/>
      <c r="HKO9" s="448"/>
      <c r="HKP9" s="448"/>
      <c r="HKQ9" s="448"/>
      <c r="HKR9" s="448"/>
      <c r="HKS9" s="448"/>
      <c r="HKT9" s="448"/>
      <c r="HKU9" s="448"/>
      <c r="HKV9" s="448"/>
      <c r="HKW9" s="448"/>
      <c r="HKX9" s="448"/>
      <c r="HKY9" s="448"/>
      <c r="HKZ9" s="448"/>
      <c r="HLA9" s="448"/>
      <c r="HLB9" s="448"/>
      <c r="HLC9" s="448"/>
      <c r="HLD9" s="448"/>
      <c r="HLE9" s="448"/>
      <c r="HLF9" s="448"/>
      <c r="HLG9" s="448"/>
      <c r="HLH9" s="448"/>
      <c r="HLI9" s="448"/>
      <c r="HLJ9" s="448"/>
      <c r="HLK9" s="448"/>
      <c r="HLL9" s="448"/>
      <c r="HLM9" s="448"/>
      <c r="HLN9" s="448"/>
      <c r="HLO9" s="448"/>
      <c r="HLP9" s="448"/>
      <c r="HLQ9" s="448"/>
      <c r="HLR9" s="448"/>
      <c r="HLS9" s="448"/>
      <c r="HLT9" s="448"/>
      <c r="HLU9" s="446"/>
      <c r="HLV9" s="447"/>
      <c r="HLW9" s="448"/>
      <c r="HLX9" s="448"/>
      <c r="HLY9" s="448"/>
      <c r="HLZ9" s="448"/>
      <c r="HMA9" s="448"/>
      <c r="HMB9" s="448"/>
      <c r="HMC9" s="448"/>
      <c r="HMD9" s="448"/>
      <c r="HME9" s="448"/>
      <c r="HMF9" s="448"/>
      <c r="HMG9" s="448"/>
      <c r="HMH9" s="448"/>
      <c r="HMI9" s="448"/>
      <c r="HMJ9" s="448"/>
      <c r="HMK9" s="448"/>
      <c r="HML9" s="448"/>
      <c r="HMM9" s="448"/>
      <c r="HMN9" s="448"/>
      <c r="HMO9" s="448"/>
      <c r="HMP9" s="448"/>
      <c r="HMQ9" s="448"/>
      <c r="HMR9" s="448"/>
      <c r="HMS9" s="448"/>
      <c r="HMT9" s="448"/>
      <c r="HMU9" s="448"/>
      <c r="HMV9" s="448"/>
      <c r="HMW9" s="448"/>
      <c r="HMX9" s="448"/>
      <c r="HMY9" s="448"/>
      <c r="HMZ9" s="448"/>
      <c r="HNA9" s="448"/>
      <c r="HNB9" s="448"/>
      <c r="HNC9" s="448"/>
      <c r="HND9" s="448"/>
      <c r="HNE9" s="448"/>
      <c r="HNF9" s="448"/>
      <c r="HNG9" s="448"/>
      <c r="HNH9" s="448"/>
      <c r="HNI9" s="448"/>
      <c r="HNJ9" s="446"/>
      <c r="HNK9" s="447"/>
      <c r="HNL9" s="448"/>
      <c r="HNM9" s="448"/>
      <c r="HNN9" s="448"/>
      <c r="HNO9" s="448"/>
      <c r="HNP9" s="448"/>
      <c r="HNQ9" s="448"/>
      <c r="HNR9" s="448"/>
      <c r="HNS9" s="448"/>
      <c r="HNT9" s="448"/>
      <c r="HNU9" s="448"/>
      <c r="HNV9" s="448"/>
      <c r="HNW9" s="448"/>
      <c r="HNX9" s="448"/>
      <c r="HNY9" s="448"/>
      <c r="HNZ9" s="448"/>
      <c r="HOA9" s="448"/>
      <c r="HOB9" s="448"/>
      <c r="HOC9" s="448"/>
      <c r="HOD9" s="448"/>
      <c r="HOE9" s="448"/>
      <c r="HOF9" s="448"/>
      <c r="HOG9" s="448"/>
      <c r="HOH9" s="448"/>
      <c r="HOI9" s="448"/>
      <c r="HOJ9" s="448"/>
      <c r="HOK9" s="448"/>
      <c r="HOL9" s="448"/>
      <c r="HOM9" s="448"/>
      <c r="HON9" s="448"/>
      <c r="HOO9" s="448"/>
      <c r="HOP9" s="448"/>
      <c r="HOQ9" s="448"/>
      <c r="HOR9" s="448"/>
      <c r="HOS9" s="448"/>
      <c r="HOT9" s="448"/>
      <c r="HOU9" s="448"/>
      <c r="HOV9" s="448"/>
      <c r="HOW9" s="448"/>
      <c r="HOX9" s="448"/>
      <c r="HOY9" s="446"/>
      <c r="HOZ9" s="447"/>
      <c r="HPA9" s="448"/>
      <c r="HPB9" s="448"/>
      <c r="HPC9" s="448"/>
      <c r="HPD9" s="448"/>
      <c r="HPE9" s="448"/>
      <c r="HPF9" s="448"/>
      <c r="HPG9" s="448"/>
      <c r="HPH9" s="448"/>
      <c r="HPI9" s="448"/>
      <c r="HPJ9" s="448"/>
      <c r="HPK9" s="448"/>
      <c r="HPL9" s="448"/>
      <c r="HPM9" s="448"/>
      <c r="HPN9" s="448"/>
      <c r="HPO9" s="448"/>
      <c r="HPP9" s="448"/>
      <c r="HPQ9" s="448"/>
      <c r="HPR9" s="448"/>
      <c r="HPS9" s="448"/>
      <c r="HPT9" s="448"/>
      <c r="HPU9" s="448"/>
      <c r="HPV9" s="448"/>
      <c r="HPW9" s="448"/>
      <c r="HPX9" s="448"/>
      <c r="HPY9" s="448"/>
      <c r="HPZ9" s="448"/>
      <c r="HQA9" s="448"/>
      <c r="HQB9" s="448"/>
      <c r="HQC9" s="448"/>
      <c r="HQD9" s="448"/>
      <c r="HQE9" s="448"/>
      <c r="HQF9" s="448"/>
      <c r="HQG9" s="448"/>
      <c r="HQH9" s="448"/>
      <c r="HQI9" s="448"/>
      <c r="HQJ9" s="448"/>
      <c r="HQK9" s="448"/>
      <c r="HQL9" s="448"/>
      <c r="HQM9" s="448"/>
      <c r="HQN9" s="446"/>
      <c r="HQO9" s="447"/>
      <c r="HQP9" s="448"/>
      <c r="HQQ9" s="448"/>
      <c r="HQR9" s="448"/>
      <c r="HQS9" s="448"/>
      <c r="HQT9" s="448"/>
      <c r="HQU9" s="448"/>
      <c r="HQV9" s="448"/>
      <c r="HQW9" s="448"/>
      <c r="HQX9" s="448"/>
      <c r="HQY9" s="448"/>
      <c r="HQZ9" s="448"/>
      <c r="HRA9" s="448"/>
      <c r="HRB9" s="448"/>
      <c r="HRC9" s="448"/>
      <c r="HRD9" s="448"/>
      <c r="HRE9" s="448"/>
      <c r="HRF9" s="448"/>
      <c r="HRG9" s="448"/>
      <c r="HRH9" s="448"/>
      <c r="HRI9" s="448"/>
      <c r="HRJ9" s="448"/>
      <c r="HRK9" s="448"/>
      <c r="HRL9" s="448"/>
      <c r="HRM9" s="448"/>
      <c r="HRN9" s="448"/>
      <c r="HRO9" s="448"/>
      <c r="HRP9" s="448"/>
      <c r="HRQ9" s="448"/>
      <c r="HRR9" s="448"/>
      <c r="HRS9" s="448"/>
      <c r="HRT9" s="448"/>
      <c r="HRU9" s="448"/>
      <c r="HRV9" s="448"/>
      <c r="HRW9" s="448"/>
      <c r="HRX9" s="448"/>
      <c r="HRY9" s="448"/>
      <c r="HRZ9" s="448"/>
      <c r="HSA9" s="448"/>
      <c r="HSB9" s="448"/>
      <c r="HSC9" s="446"/>
      <c r="HSD9" s="447"/>
      <c r="HSE9" s="448"/>
      <c r="HSF9" s="448"/>
      <c r="HSG9" s="448"/>
      <c r="HSH9" s="448"/>
      <c r="HSI9" s="448"/>
      <c r="HSJ9" s="448"/>
      <c r="HSK9" s="448"/>
      <c r="HSL9" s="448"/>
      <c r="HSM9" s="448"/>
      <c r="HSN9" s="448"/>
      <c r="HSO9" s="448"/>
      <c r="HSP9" s="448"/>
      <c r="HSQ9" s="448"/>
      <c r="HSR9" s="448"/>
      <c r="HSS9" s="448"/>
      <c r="HST9" s="448"/>
      <c r="HSU9" s="448"/>
      <c r="HSV9" s="448"/>
      <c r="HSW9" s="448"/>
      <c r="HSX9" s="448"/>
      <c r="HSY9" s="448"/>
      <c r="HSZ9" s="448"/>
      <c r="HTA9" s="448"/>
      <c r="HTB9" s="448"/>
      <c r="HTC9" s="448"/>
      <c r="HTD9" s="448"/>
      <c r="HTE9" s="448"/>
      <c r="HTF9" s="448"/>
      <c r="HTG9" s="448"/>
      <c r="HTH9" s="448"/>
      <c r="HTI9" s="448"/>
      <c r="HTJ9" s="448"/>
      <c r="HTK9" s="448"/>
      <c r="HTL9" s="448"/>
      <c r="HTM9" s="448"/>
      <c r="HTN9" s="448"/>
      <c r="HTO9" s="448"/>
      <c r="HTP9" s="448"/>
      <c r="HTQ9" s="448"/>
      <c r="HTR9" s="446"/>
      <c r="HTS9" s="447"/>
      <c r="HTT9" s="448"/>
      <c r="HTU9" s="448"/>
      <c r="HTV9" s="448"/>
      <c r="HTW9" s="448"/>
      <c r="HTX9" s="448"/>
      <c r="HTY9" s="448"/>
      <c r="HTZ9" s="448"/>
      <c r="HUA9" s="448"/>
      <c r="HUB9" s="448"/>
      <c r="HUC9" s="448"/>
      <c r="HUD9" s="448"/>
      <c r="HUE9" s="448"/>
      <c r="HUF9" s="448"/>
      <c r="HUG9" s="448"/>
      <c r="HUH9" s="448"/>
      <c r="HUI9" s="448"/>
      <c r="HUJ9" s="448"/>
      <c r="HUK9" s="448"/>
      <c r="HUL9" s="448"/>
      <c r="HUM9" s="448"/>
      <c r="HUN9" s="448"/>
      <c r="HUO9" s="448"/>
      <c r="HUP9" s="448"/>
      <c r="HUQ9" s="448"/>
      <c r="HUR9" s="448"/>
      <c r="HUS9" s="448"/>
      <c r="HUT9" s="448"/>
      <c r="HUU9" s="448"/>
      <c r="HUV9" s="448"/>
      <c r="HUW9" s="448"/>
      <c r="HUX9" s="448"/>
      <c r="HUY9" s="448"/>
      <c r="HUZ9" s="448"/>
      <c r="HVA9" s="448"/>
      <c r="HVB9" s="448"/>
      <c r="HVC9" s="448"/>
      <c r="HVD9" s="448"/>
      <c r="HVE9" s="448"/>
      <c r="HVF9" s="448"/>
      <c r="HVG9" s="446"/>
      <c r="HVH9" s="447"/>
      <c r="HVI9" s="448"/>
      <c r="HVJ9" s="448"/>
      <c r="HVK9" s="448"/>
      <c r="HVL9" s="448"/>
      <c r="HVM9" s="448"/>
      <c r="HVN9" s="448"/>
      <c r="HVO9" s="448"/>
      <c r="HVP9" s="448"/>
      <c r="HVQ9" s="448"/>
      <c r="HVR9" s="448"/>
      <c r="HVS9" s="448"/>
      <c r="HVT9" s="448"/>
      <c r="HVU9" s="448"/>
      <c r="HVV9" s="448"/>
      <c r="HVW9" s="448"/>
      <c r="HVX9" s="448"/>
      <c r="HVY9" s="448"/>
      <c r="HVZ9" s="448"/>
      <c r="HWA9" s="448"/>
      <c r="HWB9" s="448"/>
      <c r="HWC9" s="448"/>
      <c r="HWD9" s="448"/>
      <c r="HWE9" s="448"/>
      <c r="HWF9" s="448"/>
      <c r="HWG9" s="448"/>
      <c r="HWH9" s="448"/>
      <c r="HWI9" s="448"/>
      <c r="HWJ9" s="448"/>
      <c r="HWK9" s="448"/>
      <c r="HWL9" s="448"/>
      <c r="HWM9" s="448"/>
      <c r="HWN9" s="448"/>
      <c r="HWO9" s="448"/>
      <c r="HWP9" s="448"/>
      <c r="HWQ9" s="448"/>
      <c r="HWR9" s="448"/>
      <c r="HWS9" s="448"/>
      <c r="HWT9" s="448"/>
      <c r="HWU9" s="448"/>
      <c r="HWV9" s="446"/>
      <c r="HWW9" s="447"/>
      <c r="HWX9" s="448"/>
      <c r="HWY9" s="448"/>
      <c r="HWZ9" s="448"/>
      <c r="HXA9" s="448"/>
      <c r="HXB9" s="448"/>
      <c r="HXC9" s="448"/>
      <c r="HXD9" s="448"/>
      <c r="HXE9" s="448"/>
      <c r="HXF9" s="448"/>
      <c r="HXG9" s="448"/>
      <c r="HXH9" s="448"/>
      <c r="HXI9" s="448"/>
      <c r="HXJ9" s="448"/>
      <c r="HXK9" s="448"/>
      <c r="HXL9" s="448"/>
      <c r="HXM9" s="448"/>
      <c r="HXN9" s="448"/>
      <c r="HXO9" s="448"/>
      <c r="HXP9" s="448"/>
      <c r="HXQ9" s="448"/>
      <c r="HXR9" s="448"/>
      <c r="HXS9" s="448"/>
      <c r="HXT9" s="448"/>
      <c r="HXU9" s="448"/>
      <c r="HXV9" s="448"/>
      <c r="HXW9" s="448"/>
      <c r="HXX9" s="448"/>
      <c r="HXY9" s="448"/>
      <c r="HXZ9" s="448"/>
      <c r="HYA9" s="448"/>
      <c r="HYB9" s="448"/>
      <c r="HYC9" s="448"/>
      <c r="HYD9" s="448"/>
      <c r="HYE9" s="448"/>
      <c r="HYF9" s="448"/>
      <c r="HYG9" s="448"/>
      <c r="HYH9" s="448"/>
      <c r="HYI9" s="448"/>
      <c r="HYJ9" s="448"/>
      <c r="HYK9" s="446"/>
      <c r="HYL9" s="447"/>
      <c r="HYM9" s="448"/>
      <c r="HYN9" s="448"/>
      <c r="HYO9" s="448"/>
      <c r="HYP9" s="448"/>
      <c r="HYQ9" s="448"/>
      <c r="HYR9" s="448"/>
      <c r="HYS9" s="448"/>
      <c r="HYT9" s="448"/>
      <c r="HYU9" s="448"/>
      <c r="HYV9" s="448"/>
      <c r="HYW9" s="448"/>
      <c r="HYX9" s="448"/>
      <c r="HYY9" s="448"/>
      <c r="HYZ9" s="448"/>
      <c r="HZA9" s="448"/>
      <c r="HZB9" s="448"/>
      <c r="HZC9" s="448"/>
      <c r="HZD9" s="448"/>
      <c r="HZE9" s="448"/>
      <c r="HZF9" s="448"/>
      <c r="HZG9" s="448"/>
      <c r="HZH9" s="448"/>
      <c r="HZI9" s="448"/>
      <c r="HZJ9" s="448"/>
      <c r="HZK9" s="448"/>
      <c r="HZL9" s="448"/>
      <c r="HZM9" s="448"/>
      <c r="HZN9" s="448"/>
      <c r="HZO9" s="448"/>
      <c r="HZP9" s="448"/>
      <c r="HZQ9" s="448"/>
      <c r="HZR9" s="448"/>
      <c r="HZS9" s="448"/>
      <c r="HZT9" s="448"/>
      <c r="HZU9" s="448"/>
      <c r="HZV9" s="448"/>
      <c r="HZW9" s="448"/>
      <c r="HZX9" s="448"/>
      <c r="HZY9" s="448"/>
      <c r="HZZ9" s="446"/>
      <c r="IAA9" s="447"/>
      <c r="IAB9" s="448"/>
      <c r="IAC9" s="448"/>
      <c r="IAD9" s="448"/>
      <c r="IAE9" s="448"/>
      <c r="IAF9" s="448"/>
      <c r="IAG9" s="448"/>
      <c r="IAH9" s="448"/>
      <c r="IAI9" s="448"/>
      <c r="IAJ9" s="448"/>
      <c r="IAK9" s="448"/>
      <c r="IAL9" s="448"/>
      <c r="IAM9" s="448"/>
      <c r="IAN9" s="448"/>
      <c r="IAO9" s="448"/>
      <c r="IAP9" s="448"/>
      <c r="IAQ9" s="448"/>
      <c r="IAR9" s="448"/>
      <c r="IAS9" s="448"/>
      <c r="IAT9" s="448"/>
      <c r="IAU9" s="448"/>
      <c r="IAV9" s="448"/>
      <c r="IAW9" s="448"/>
      <c r="IAX9" s="448"/>
      <c r="IAY9" s="448"/>
      <c r="IAZ9" s="448"/>
      <c r="IBA9" s="448"/>
      <c r="IBB9" s="448"/>
      <c r="IBC9" s="448"/>
      <c r="IBD9" s="448"/>
      <c r="IBE9" s="448"/>
      <c r="IBF9" s="448"/>
      <c r="IBG9" s="448"/>
      <c r="IBH9" s="448"/>
      <c r="IBI9" s="448"/>
      <c r="IBJ9" s="448"/>
      <c r="IBK9" s="448"/>
      <c r="IBL9" s="448"/>
      <c r="IBM9" s="448"/>
      <c r="IBN9" s="448"/>
      <c r="IBO9" s="446"/>
      <c r="IBP9" s="447"/>
      <c r="IBQ9" s="448"/>
      <c r="IBR9" s="448"/>
      <c r="IBS9" s="448"/>
      <c r="IBT9" s="448"/>
      <c r="IBU9" s="448"/>
      <c r="IBV9" s="448"/>
      <c r="IBW9" s="448"/>
      <c r="IBX9" s="448"/>
      <c r="IBY9" s="448"/>
      <c r="IBZ9" s="448"/>
      <c r="ICA9" s="448"/>
      <c r="ICB9" s="448"/>
      <c r="ICC9" s="448"/>
      <c r="ICD9" s="448"/>
      <c r="ICE9" s="448"/>
      <c r="ICF9" s="448"/>
      <c r="ICG9" s="448"/>
      <c r="ICH9" s="448"/>
      <c r="ICI9" s="448"/>
      <c r="ICJ9" s="448"/>
      <c r="ICK9" s="448"/>
      <c r="ICL9" s="448"/>
      <c r="ICM9" s="448"/>
      <c r="ICN9" s="448"/>
      <c r="ICO9" s="448"/>
      <c r="ICP9" s="448"/>
      <c r="ICQ9" s="448"/>
      <c r="ICR9" s="448"/>
      <c r="ICS9" s="448"/>
      <c r="ICT9" s="448"/>
      <c r="ICU9" s="448"/>
      <c r="ICV9" s="448"/>
      <c r="ICW9" s="448"/>
      <c r="ICX9" s="448"/>
      <c r="ICY9" s="448"/>
      <c r="ICZ9" s="448"/>
      <c r="IDA9" s="448"/>
      <c r="IDB9" s="448"/>
      <c r="IDC9" s="448"/>
      <c r="IDD9" s="446"/>
      <c r="IDE9" s="447"/>
      <c r="IDF9" s="448"/>
      <c r="IDG9" s="448"/>
      <c r="IDH9" s="448"/>
      <c r="IDI9" s="448"/>
      <c r="IDJ9" s="448"/>
      <c r="IDK9" s="448"/>
      <c r="IDL9" s="448"/>
      <c r="IDM9" s="448"/>
      <c r="IDN9" s="448"/>
      <c r="IDO9" s="448"/>
      <c r="IDP9" s="448"/>
      <c r="IDQ9" s="448"/>
      <c r="IDR9" s="448"/>
      <c r="IDS9" s="448"/>
      <c r="IDT9" s="448"/>
      <c r="IDU9" s="448"/>
      <c r="IDV9" s="448"/>
      <c r="IDW9" s="448"/>
      <c r="IDX9" s="448"/>
      <c r="IDY9" s="448"/>
      <c r="IDZ9" s="448"/>
      <c r="IEA9" s="448"/>
      <c r="IEB9" s="448"/>
      <c r="IEC9" s="448"/>
      <c r="IED9" s="448"/>
      <c r="IEE9" s="448"/>
      <c r="IEF9" s="448"/>
      <c r="IEG9" s="448"/>
      <c r="IEH9" s="448"/>
      <c r="IEI9" s="448"/>
      <c r="IEJ9" s="448"/>
      <c r="IEK9" s="448"/>
      <c r="IEL9" s="448"/>
      <c r="IEM9" s="448"/>
      <c r="IEN9" s="448"/>
      <c r="IEO9" s="448"/>
      <c r="IEP9" s="448"/>
      <c r="IEQ9" s="448"/>
      <c r="IER9" s="448"/>
      <c r="IES9" s="446"/>
      <c r="IET9" s="447"/>
      <c r="IEU9" s="448"/>
      <c r="IEV9" s="448"/>
      <c r="IEW9" s="448"/>
      <c r="IEX9" s="448"/>
      <c r="IEY9" s="448"/>
      <c r="IEZ9" s="448"/>
      <c r="IFA9" s="448"/>
      <c r="IFB9" s="448"/>
      <c r="IFC9" s="448"/>
      <c r="IFD9" s="448"/>
      <c r="IFE9" s="448"/>
      <c r="IFF9" s="448"/>
      <c r="IFG9" s="448"/>
      <c r="IFH9" s="448"/>
      <c r="IFI9" s="448"/>
      <c r="IFJ9" s="448"/>
      <c r="IFK9" s="448"/>
      <c r="IFL9" s="448"/>
      <c r="IFM9" s="448"/>
      <c r="IFN9" s="448"/>
      <c r="IFO9" s="448"/>
      <c r="IFP9" s="448"/>
      <c r="IFQ9" s="448"/>
      <c r="IFR9" s="448"/>
      <c r="IFS9" s="448"/>
      <c r="IFT9" s="448"/>
      <c r="IFU9" s="448"/>
      <c r="IFV9" s="448"/>
      <c r="IFW9" s="448"/>
      <c r="IFX9" s="448"/>
      <c r="IFY9" s="448"/>
      <c r="IFZ9" s="448"/>
      <c r="IGA9" s="448"/>
      <c r="IGB9" s="448"/>
      <c r="IGC9" s="448"/>
      <c r="IGD9" s="448"/>
      <c r="IGE9" s="448"/>
      <c r="IGF9" s="448"/>
      <c r="IGG9" s="448"/>
      <c r="IGH9" s="446"/>
      <c r="IGI9" s="447"/>
      <c r="IGJ9" s="448"/>
      <c r="IGK9" s="448"/>
      <c r="IGL9" s="448"/>
      <c r="IGM9" s="448"/>
      <c r="IGN9" s="448"/>
      <c r="IGO9" s="448"/>
      <c r="IGP9" s="448"/>
      <c r="IGQ9" s="448"/>
      <c r="IGR9" s="448"/>
      <c r="IGS9" s="448"/>
      <c r="IGT9" s="448"/>
      <c r="IGU9" s="448"/>
      <c r="IGV9" s="448"/>
      <c r="IGW9" s="448"/>
      <c r="IGX9" s="448"/>
      <c r="IGY9" s="448"/>
      <c r="IGZ9" s="448"/>
      <c r="IHA9" s="448"/>
      <c r="IHB9" s="448"/>
      <c r="IHC9" s="448"/>
      <c r="IHD9" s="448"/>
      <c r="IHE9" s="448"/>
      <c r="IHF9" s="448"/>
      <c r="IHG9" s="448"/>
      <c r="IHH9" s="448"/>
      <c r="IHI9" s="448"/>
      <c r="IHJ9" s="448"/>
      <c r="IHK9" s="448"/>
      <c r="IHL9" s="448"/>
      <c r="IHM9" s="448"/>
      <c r="IHN9" s="448"/>
      <c r="IHO9" s="448"/>
      <c r="IHP9" s="448"/>
      <c r="IHQ9" s="448"/>
      <c r="IHR9" s="448"/>
      <c r="IHS9" s="448"/>
      <c r="IHT9" s="448"/>
      <c r="IHU9" s="448"/>
      <c r="IHV9" s="448"/>
      <c r="IHW9" s="446"/>
      <c r="IHX9" s="447"/>
      <c r="IHY9" s="448"/>
      <c r="IHZ9" s="448"/>
      <c r="IIA9" s="448"/>
      <c r="IIB9" s="448"/>
      <c r="IIC9" s="448"/>
      <c r="IID9" s="448"/>
      <c r="IIE9" s="448"/>
      <c r="IIF9" s="448"/>
      <c r="IIG9" s="448"/>
      <c r="IIH9" s="448"/>
      <c r="III9" s="448"/>
      <c r="IIJ9" s="448"/>
      <c r="IIK9" s="448"/>
      <c r="IIL9" s="448"/>
      <c r="IIM9" s="448"/>
      <c r="IIN9" s="448"/>
      <c r="IIO9" s="448"/>
      <c r="IIP9" s="448"/>
      <c r="IIQ9" s="448"/>
      <c r="IIR9" s="448"/>
      <c r="IIS9" s="448"/>
      <c r="IIT9" s="448"/>
      <c r="IIU9" s="448"/>
      <c r="IIV9" s="448"/>
      <c r="IIW9" s="448"/>
      <c r="IIX9" s="448"/>
      <c r="IIY9" s="448"/>
      <c r="IIZ9" s="448"/>
      <c r="IJA9" s="448"/>
      <c r="IJB9" s="448"/>
      <c r="IJC9" s="448"/>
      <c r="IJD9" s="448"/>
      <c r="IJE9" s="448"/>
      <c r="IJF9" s="448"/>
      <c r="IJG9" s="448"/>
      <c r="IJH9" s="448"/>
      <c r="IJI9" s="448"/>
      <c r="IJJ9" s="448"/>
      <c r="IJK9" s="448"/>
      <c r="IJL9" s="446"/>
      <c r="IJM9" s="447"/>
      <c r="IJN9" s="448"/>
      <c r="IJO9" s="448"/>
      <c r="IJP9" s="448"/>
      <c r="IJQ9" s="448"/>
      <c r="IJR9" s="448"/>
      <c r="IJS9" s="448"/>
      <c r="IJT9" s="448"/>
      <c r="IJU9" s="448"/>
      <c r="IJV9" s="448"/>
      <c r="IJW9" s="448"/>
      <c r="IJX9" s="448"/>
      <c r="IJY9" s="448"/>
      <c r="IJZ9" s="448"/>
      <c r="IKA9" s="448"/>
      <c r="IKB9" s="448"/>
      <c r="IKC9" s="448"/>
      <c r="IKD9" s="448"/>
      <c r="IKE9" s="448"/>
      <c r="IKF9" s="448"/>
      <c r="IKG9" s="448"/>
      <c r="IKH9" s="448"/>
      <c r="IKI9" s="448"/>
      <c r="IKJ9" s="448"/>
      <c r="IKK9" s="448"/>
      <c r="IKL9" s="448"/>
      <c r="IKM9" s="448"/>
      <c r="IKN9" s="448"/>
      <c r="IKO9" s="448"/>
      <c r="IKP9" s="448"/>
      <c r="IKQ9" s="448"/>
      <c r="IKR9" s="448"/>
      <c r="IKS9" s="448"/>
      <c r="IKT9" s="448"/>
      <c r="IKU9" s="448"/>
      <c r="IKV9" s="448"/>
      <c r="IKW9" s="448"/>
      <c r="IKX9" s="448"/>
      <c r="IKY9" s="448"/>
      <c r="IKZ9" s="448"/>
      <c r="ILA9" s="446"/>
      <c r="ILB9" s="447"/>
      <c r="ILC9" s="448"/>
      <c r="ILD9" s="448"/>
      <c r="ILE9" s="448"/>
      <c r="ILF9" s="448"/>
      <c r="ILG9" s="448"/>
      <c r="ILH9" s="448"/>
      <c r="ILI9" s="448"/>
      <c r="ILJ9" s="448"/>
      <c r="ILK9" s="448"/>
      <c r="ILL9" s="448"/>
      <c r="ILM9" s="448"/>
      <c r="ILN9" s="448"/>
      <c r="ILO9" s="448"/>
      <c r="ILP9" s="448"/>
      <c r="ILQ9" s="448"/>
      <c r="ILR9" s="448"/>
      <c r="ILS9" s="448"/>
      <c r="ILT9" s="448"/>
      <c r="ILU9" s="448"/>
      <c r="ILV9" s="448"/>
      <c r="ILW9" s="448"/>
      <c r="ILX9" s="448"/>
      <c r="ILY9" s="448"/>
      <c r="ILZ9" s="448"/>
      <c r="IMA9" s="448"/>
      <c r="IMB9" s="448"/>
      <c r="IMC9" s="448"/>
      <c r="IMD9" s="448"/>
      <c r="IME9" s="448"/>
      <c r="IMF9" s="448"/>
      <c r="IMG9" s="448"/>
      <c r="IMH9" s="448"/>
      <c r="IMI9" s="448"/>
      <c r="IMJ9" s="448"/>
      <c r="IMK9" s="448"/>
      <c r="IML9" s="448"/>
      <c r="IMM9" s="448"/>
      <c r="IMN9" s="448"/>
      <c r="IMO9" s="448"/>
      <c r="IMP9" s="446"/>
      <c r="IMQ9" s="447"/>
      <c r="IMR9" s="448"/>
      <c r="IMS9" s="448"/>
      <c r="IMT9" s="448"/>
      <c r="IMU9" s="448"/>
      <c r="IMV9" s="448"/>
      <c r="IMW9" s="448"/>
      <c r="IMX9" s="448"/>
      <c r="IMY9" s="448"/>
      <c r="IMZ9" s="448"/>
      <c r="INA9" s="448"/>
      <c r="INB9" s="448"/>
      <c r="INC9" s="448"/>
      <c r="IND9" s="448"/>
      <c r="INE9" s="448"/>
      <c r="INF9" s="448"/>
      <c r="ING9" s="448"/>
      <c r="INH9" s="448"/>
      <c r="INI9" s="448"/>
      <c r="INJ9" s="448"/>
      <c r="INK9" s="448"/>
      <c r="INL9" s="448"/>
      <c r="INM9" s="448"/>
      <c r="INN9" s="448"/>
      <c r="INO9" s="448"/>
      <c r="INP9" s="448"/>
      <c r="INQ9" s="448"/>
      <c r="INR9" s="448"/>
      <c r="INS9" s="448"/>
      <c r="INT9" s="448"/>
      <c r="INU9" s="448"/>
      <c r="INV9" s="448"/>
      <c r="INW9" s="448"/>
      <c r="INX9" s="448"/>
      <c r="INY9" s="448"/>
      <c r="INZ9" s="448"/>
      <c r="IOA9" s="448"/>
      <c r="IOB9" s="448"/>
      <c r="IOC9" s="448"/>
      <c r="IOD9" s="448"/>
      <c r="IOE9" s="446"/>
      <c r="IOF9" s="447"/>
      <c r="IOG9" s="448"/>
      <c r="IOH9" s="448"/>
      <c r="IOI9" s="448"/>
      <c r="IOJ9" s="448"/>
      <c r="IOK9" s="448"/>
      <c r="IOL9" s="448"/>
      <c r="IOM9" s="448"/>
      <c r="ION9" s="448"/>
      <c r="IOO9" s="448"/>
      <c r="IOP9" s="448"/>
      <c r="IOQ9" s="448"/>
      <c r="IOR9" s="448"/>
      <c r="IOS9" s="448"/>
      <c r="IOT9" s="448"/>
      <c r="IOU9" s="448"/>
      <c r="IOV9" s="448"/>
      <c r="IOW9" s="448"/>
      <c r="IOX9" s="448"/>
      <c r="IOY9" s="448"/>
      <c r="IOZ9" s="448"/>
      <c r="IPA9" s="448"/>
      <c r="IPB9" s="448"/>
      <c r="IPC9" s="448"/>
      <c r="IPD9" s="448"/>
      <c r="IPE9" s="448"/>
      <c r="IPF9" s="448"/>
      <c r="IPG9" s="448"/>
      <c r="IPH9" s="448"/>
      <c r="IPI9" s="448"/>
      <c r="IPJ9" s="448"/>
      <c r="IPK9" s="448"/>
      <c r="IPL9" s="448"/>
      <c r="IPM9" s="448"/>
      <c r="IPN9" s="448"/>
      <c r="IPO9" s="448"/>
      <c r="IPP9" s="448"/>
      <c r="IPQ9" s="448"/>
      <c r="IPR9" s="448"/>
      <c r="IPS9" s="448"/>
      <c r="IPT9" s="446"/>
      <c r="IPU9" s="447"/>
      <c r="IPV9" s="448"/>
      <c r="IPW9" s="448"/>
      <c r="IPX9" s="448"/>
      <c r="IPY9" s="448"/>
      <c r="IPZ9" s="448"/>
      <c r="IQA9" s="448"/>
      <c r="IQB9" s="448"/>
      <c r="IQC9" s="448"/>
      <c r="IQD9" s="448"/>
      <c r="IQE9" s="448"/>
      <c r="IQF9" s="448"/>
      <c r="IQG9" s="448"/>
      <c r="IQH9" s="448"/>
      <c r="IQI9" s="448"/>
      <c r="IQJ9" s="448"/>
      <c r="IQK9" s="448"/>
      <c r="IQL9" s="448"/>
      <c r="IQM9" s="448"/>
      <c r="IQN9" s="448"/>
      <c r="IQO9" s="448"/>
      <c r="IQP9" s="448"/>
      <c r="IQQ9" s="448"/>
      <c r="IQR9" s="448"/>
      <c r="IQS9" s="448"/>
      <c r="IQT9" s="448"/>
      <c r="IQU9" s="448"/>
      <c r="IQV9" s="448"/>
      <c r="IQW9" s="448"/>
      <c r="IQX9" s="448"/>
      <c r="IQY9" s="448"/>
      <c r="IQZ9" s="448"/>
      <c r="IRA9" s="448"/>
      <c r="IRB9" s="448"/>
      <c r="IRC9" s="448"/>
      <c r="IRD9" s="448"/>
      <c r="IRE9" s="448"/>
      <c r="IRF9" s="448"/>
      <c r="IRG9" s="448"/>
      <c r="IRH9" s="448"/>
      <c r="IRI9" s="446"/>
      <c r="IRJ9" s="447"/>
      <c r="IRK9" s="448"/>
      <c r="IRL9" s="448"/>
      <c r="IRM9" s="448"/>
      <c r="IRN9" s="448"/>
      <c r="IRO9" s="448"/>
      <c r="IRP9" s="448"/>
      <c r="IRQ9" s="448"/>
      <c r="IRR9" s="448"/>
      <c r="IRS9" s="448"/>
      <c r="IRT9" s="448"/>
      <c r="IRU9" s="448"/>
      <c r="IRV9" s="448"/>
      <c r="IRW9" s="448"/>
      <c r="IRX9" s="448"/>
      <c r="IRY9" s="448"/>
      <c r="IRZ9" s="448"/>
      <c r="ISA9" s="448"/>
      <c r="ISB9" s="448"/>
      <c r="ISC9" s="448"/>
      <c r="ISD9" s="448"/>
      <c r="ISE9" s="448"/>
      <c r="ISF9" s="448"/>
      <c r="ISG9" s="448"/>
      <c r="ISH9" s="448"/>
      <c r="ISI9" s="448"/>
      <c r="ISJ9" s="448"/>
      <c r="ISK9" s="448"/>
      <c r="ISL9" s="448"/>
      <c r="ISM9" s="448"/>
      <c r="ISN9" s="448"/>
      <c r="ISO9" s="448"/>
      <c r="ISP9" s="448"/>
      <c r="ISQ9" s="448"/>
      <c r="ISR9" s="448"/>
      <c r="ISS9" s="448"/>
      <c r="IST9" s="448"/>
      <c r="ISU9" s="448"/>
      <c r="ISV9" s="448"/>
      <c r="ISW9" s="448"/>
      <c r="ISX9" s="446"/>
      <c r="ISY9" s="447"/>
      <c r="ISZ9" s="448"/>
      <c r="ITA9" s="448"/>
      <c r="ITB9" s="448"/>
      <c r="ITC9" s="448"/>
      <c r="ITD9" s="448"/>
      <c r="ITE9" s="448"/>
      <c r="ITF9" s="448"/>
      <c r="ITG9" s="448"/>
      <c r="ITH9" s="448"/>
      <c r="ITI9" s="448"/>
      <c r="ITJ9" s="448"/>
      <c r="ITK9" s="448"/>
      <c r="ITL9" s="448"/>
      <c r="ITM9" s="448"/>
      <c r="ITN9" s="448"/>
      <c r="ITO9" s="448"/>
      <c r="ITP9" s="448"/>
      <c r="ITQ9" s="448"/>
      <c r="ITR9" s="448"/>
      <c r="ITS9" s="448"/>
      <c r="ITT9" s="448"/>
      <c r="ITU9" s="448"/>
      <c r="ITV9" s="448"/>
      <c r="ITW9" s="448"/>
      <c r="ITX9" s="448"/>
      <c r="ITY9" s="448"/>
      <c r="ITZ9" s="448"/>
      <c r="IUA9" s="448"/>
      <c r="IUB9" s="448"/>
      <c r="IUC9" s="448"/>
      <c r="IUD9" s="448"/>
      <c r="IUE9" s="448"/>
      <c r="IUF9" s="448"/>
      <c r="IUG9" s="448"/>
      <c r="IUH9" s="448"/>
      <c r="IUI9" s="448"/>
      <c r="IUJ9" s="448"/>
      <c r="IUK9" s="448"/>
      <c r="IUL9" s="448"/>
      <c r="IUM9" s="446"/>
      <c r="IUN9" s="447"/>
      <c r="IUO9" s="448"/>
      <c r="IUP9" s="448"/>
      <c r="IUQ9" s="448"/>
      <c r="IUR9" s="448"/>
      <c r="IUS9" s="448"/>
      <c r="IUT9" s="448"/>
      <c r="IUU9" s="448"/>
      <c r="IUV9" s="448"/>
      <c r="IUW9" s="448"/>
      <c r="IUX9" s="448"/>
      <c r="IUY9" s="448"/>
      <c r="IUZ9" s="448"/>
      <c r="IVA9" s="448"/>
      <c r="IVB9" s="448"/>
      <c r="IVC9" s="448"/>
      <c r="IVD9" s="448"/>
      <c r="IVE9" s="448"/>
      <c r="IVF9" s="448"/>
      <c r="IVG9" s="448"/>
      <c r="IVH9" s="448"/>
      <c r="IVI9" s="448"/>
      <c r="IVJ9" s="448"/>
      <c r="IVK9" s="448"/>
      <c r="IVL9" s="448"/>
      <c r="IVM9" s="448"/>
      <c r="IVN9" s="448"/>
      <c r="IVO9" s="448"/>
      <c r="IVP9" s="448"/>
      <c r="IVQ9" s="448"/>
      <c r="IVR9" s="448"/>
      <c r="IVS9" s="448"/>
      <c r="IVT9" s="448"/>
      <c r="IVU9" s="448"/>
      <c r="IVV9" s="448"/>
      <c r="IVW9" s="448"/>
      <c r="IVX9" s="448"/>
      <c r="IVY9" s="448"/>
      <c r="IVZ9" s="448"/>
      <c r="IWA9" s="448"/>
      <c r="IWB9" s="446"/>
      <c r="IWC9" s="447"/>
      <c r="IWD9" s="448"/>
      <c r="IWE9" s="448"/>
      <c r="IWF9" s="448"/>
      <c r="IWG9" s="448"/>
      <c r="IWH9" s="448"/>
      <c r="IWI9" s="448"/>
      <c r="IWJ9" s="448"/>
      <c r="IWK9" s="448"/>
      <c r="IWL9" s="448"/>
      <c r="IWM9" s="448"/>
      <c r="IWN9" s="448"/>
      <c r="IWO9" s="448"/>
      <c r="IWP9" s="448"/>
      <c r="IWQ9" s="448"/>
      <c r="IWR9" s="448"/>
      <c r="IWS9" s="448"/>
      <c r="IWT9" s="448"/>
      <c r="IWU9" s="448"/>
      <c r="IWV9" s="448"/>
      <c r="IWW9" s="448"/>
      <c r="IWX9" s="448"/>
      <c r="IWY9" s="448"/>
      <c r="IWZ9" s="448"/>
      <c r="IXA9" s="448"/>
      <c r="IXB9" s="448"/>
      <c r="IXC9" s="448"/>
      <c r="IXD9" s="448"/>
      <c r="IXE9" s="448"/>
      <c r="IXF9" s="448"/>
      <c r="IXG9" s="448"/>
      <c r="IXH9" s="448"/>
      <c r="IXI9" s="448"/>
      <c r="IXJ9" s="448"/>
      <c r="IXK9" s="448"/>
      <c r="IXL9" s="448"/>
      <c r="IXM9" s="448"/>
      <c r="IXN9" s="448"/>
      <c r="IXO9" s="448"/>
      <c r="IXP9" s="448"/>
      <c r="IXQ9" s="446"/>
      <c r="IXR9" s="447"/>
      <c r="IXS9" s="448"/>
      <c r="IXT9" s="448"/>
      <c r="IXU9" s="448"/>
      <c r="IXV9" s="448"/>
      <c r="IXW9" s="448"/>
      <c r="IXX9" s="448"/>
      <c r="IXY9" s="448"/>
      <c r="IXZ9" s="448"/>
      <c r="IYA9" s="448"/>
      <c r="IYB9" s="448"/>
      <c r="IYC9" s="448"/>
      <c r="IYD9" s="448"/>
      <c r="IYE9" s="448"/>
      <c r="IYF9" s="448"/>
      <c r="IYG9" s="448"/>
      <c r="IYH9" s="448"/>
      <c r="IYI9" s="448"/>
      <c r="IYJ9" s="448"/>
      <c r="IYK9" s="448"/>
      <c r="IYL9" s="448"/>
      <c r="IYM9" s="448"/>
      <c r="IYN9" s="448"/>
      <c r="IYO9" s="448"/>
      <c r="IYP9" s="448"/>
      <c r="IYQ9" s="448"/>
      <c r="IYR9" s="448"/>
      <c r="IYS9" s="448"/>
      <c r="IYT9" s="448"/>
      <c r="IYU9" s="448"/>
      <c r="IYV9" s="448"/>
      <c r="IYW9" s="448"/>
      <c r="IYX9" s="448"/>
      <c r="IYY9" s="448"/>
      <c r="IYZ9" s="448"/>
      <c r="IZA9" s="448"/>
      <c r="IZB9" s="448"/>
      <c r="IZC9" s="448"/>
      <c r="IZD9" s="448"/>
      <c r="IZE9" s="448"/>
      <c r="IZF9" s="446"/>
      <c r="IZG9" s="447"/>
      <c r="IZH9" s="448"/>
      <c r="IZI9" s="448"/>
      <c r="IZJ9" s="448"/>
      <c r="IZK9" s="448"/>
      <c r="IZL9" s="448"/>
      <c r="IZM9" s="448"/>
      <c r="IZN9" s="448"/>
      <c r="IZO9" s="448"/>
      <c r="IZP9" s="448"/>
      <c r="IZQ9" s="448"/>
      <c r="IZR9" s="448"/>
      <c r="IZS9" s="448"/>
      <c r="IZT9" s="448"/>
      <c r="IZU9" s="448"/>
      <c r="IZV9" s="448"/>
      <c r="IZW9" s="448"/>
      <c r="IZX9" s="448"/>
      <c r="IZY9" s="448"/>
      <c r="IZZ9" s="448"/>
      <c r="JAA9" s="448"/>
      <c r="JAB9" s="448"/>
      <c r="JAC9" s="448"/>
      <c r="JAD9" s="448"/>
      <c r="JAE9" s="448"/>
      <c r="JAF9" s="448"/>
      <c r="JAG9" s="448"/>
      <c r="JAH9" s="448"/>
      <c r="JAI9" s="448"/>
      <c r="JAJ9" s="448"/>
      <c r="JAK9" s="448"/>
      <c r="JAL9" s="448"/>
      <c r="JAM9" s="448"/>
      <c r="JAN9" s="448"/>
      <c r="JAO9" s="448"/>
      <c r="JAP9" s="448"/>
      <c r="JAQ9" s="448"/>
      <c r="JAR9" s="448"/>
      <c r="JAS9" s="448"/>
      <c r="JAT9" s="448"/>
      <c r="JAU9" s="446"/>
      <c r="JAV9" s="447"/>
      <c r="JAW9" s="448"/>
      <c r="JAX9" s="448"/>
      <c r="JAY9" s="448"/>
      <c r="JAZ9" s="448"/>
      <c r="JBA9" s="448"/>
      <c r="JBB9" s="448"/>
      <c r="JBC9" s="448"/>
      <c r="JBD9" s="448"/>
      <c r="JBE9" s="448"/>
      <c r="JBF9" s="448"/>
      <c r="JBG9" s="448"/>
      <c r="JBH9" s="448"/>
      <c r="JBI9" s="448"/>
      <c r="JBJ9" s="448"/>
      <c r="JBK9" s="448"/>
      <c r="JBL9" s="448"/>
      <c r="JBM9" s="448"/>
      <c r="JBN9" s="448"/>
      <c r="JBO9" s="448"/>
      <c r="JBP9" s="448"/>
      <c r="JBQ9" s="448"/>
      <c r="JBR9" s="448"/>
      <c r="JBS9" s="448"/>
      <c r="JBT9" s="448"/>
      <c r="JBU9" s="448"/>
      <c r="JBV9" s="448"/>
      <c r="JBW9" s="448"/>
      <c r="JBX9" s="448"/>
      <c r="JBY9" s="448"/>
      <c r="JBZ9" s="448"/>
      <c r="JCA9" s="448"/>
      <c r="JCB9" s="448"/>
      <c r="JCC9" s="448"/>
      <c r="JCD9" s="448"/>
      <c r="JCE9" s="448"/>
      <c r="JCF9" s="448"/>
      <c r="JCG9" s="448"/>
      <c r="JCH9" s="448"/>
      <c r="JCI9" s="448"/>
      <c r="JCJ9" s="446"/>
      <c r="JCK9" s="447"/>
      <c r="JCL9" s="448"/>
      <c r="JCM9" s="448"/>
      <c r="JCN9" s="448"/>
      <c r="JCO9" s="448"/>
      <c r="JCP9" s="448"/>
      <c r="JCQ9" s="448"/>
      <c r="JCR9" s="448"/>
      <c r="JCS9" s="448"/>
      <c r="JCT9" s="448"/>
      <c r="JCU9" s="448"/>
      <c r="JCV9" s="448"/>
      <c r="JCW9" s="448"/>
      <c r="JCX9" s="448"/>
      <c r="JCY9" s="448"/>
      <c r="JCZ9" s="448"/>
      <c r="JDA9" s="448"/>
      <c r="JDB9" s="448"/>
      <c r="JDC9" s="448"/>
      <c r="JDD9" s="448"/>
      <c r="JDE9" s="448"/>
      <c r="JDF9" s="448"/>
      <c r="JDG9" s="448"/>
      <c r="JDH9" s="448"/>
      <c r="JDI9" s="448"/>
      <c r="JDJ9" s="448"/>
      <c r="JDK9" s="448"/>
      <c r="JDL9" s="448"/>
      <c r="JDM9" s="448"/>
      <c r="JDN9" s="448"/>
      <c r="JDO9" s="448"/>
      <c r="JDP9" s="448"/>
      <c r="JDQ9" s="448"/>
      <c r="JDR9" s="448"/>
      <c r="JDS9" s="448"/>
      <c r="JDT9" s="448"/>
      <c r="JDU9" s="448"/>
      <c r="JDV9" s="448"/>
      <c r="JDW9" s="448"/>
      <c r="JDX9" s="448"/>
      <c r="JDY9" s="446"/>
      <c r="JDZ9" s="447"/>
      <c r="JEA9" s="448"/>
      <c r="JEB9" s="448"/>
      <c r="JEC9" s="448"/>
      <c r="JED9" s="448"/>
      <c r="JEE9" s="448"/>
      <c r="JEF9" s="448"/>
      <c r="JEG9" s="448"/>
      <c r="JEH9" s="448"/>
      <c r="JEI9" s="448"/>
      <c r="JEJ9" s="448"/>
      <c r="JEK9" s="448"/>
      <c r="JEL9" s="448"/>
      <c r="JEM9" s="448"/>
      <c r="JEN9" s="448"/>
      <c r="JEO9" s="448"/>
      <c r="JEP9" s="448"/>
      <c r="JEQ9" s="448"/>
      <c r="JER9" s="448"/>
      <c r="JES9" s="448"/>
      <c r="JET9" s="448"/>
      <c r="JEU9" s="448"/>
      <c r="JEV9" s="448"/>
      <c r="JEW9" s="448"/>
      <c r="JEX9" s="448"/>
      <c r="JEY9" s="448"/>
      <c r="JEZ9" s="448"/>
      <c r="JFA9" s="448"/>
      <c r="JFB9" s="448"/>
      <c r="JFC9" s="448"/>
      <c r="JFD9" s="448"/>
      <c r="JFE9" s="448"/>
      <c r="JFF9" s="448"/>
      <c r="JFG9" s="448"/>
      <c r="JFH9" s="448"/>
      <c r="JFI9" s="448"/>
      <c r="JFJ9" s="448"/>
      <c r="JFK9" s="448"/>
      <c r="JFL9" s="448"/>
      <c r="JFM9" s="448"/>
      <c r="JFN9" s="446"/>
      <c r="JFO9" s="447"/>
      <c r="JFP9" s="448"/>
      <c r="JFQ9" s="448"/>
      <c r="JFR9" s="448"/>
      <c r="JFS9" s="448"/>
      <c r="JFT9" s="448"/>
      <c r="JFU9" s="448"/>
      <c r="JFV9" s="448"/>
      <c r="JFW9" s="448"/>
      <c r="JFX9" s="448"/>
      <c r="JFY9" s="448"/>
      <c r="JFZ9" s="448"/>
      <c r="JGA9" s="448"/>
      <c r="JGB9" s="448"/>
      <c r="JGC9" s="448"/>
      <c r="JGD9" s="448"/>
      <c r="JGE9" s="448"/>
      <c r="JGF9" s="448"/>
      <c r="JGG9" s="448"/>
      <c r="JGH9" s="448"/>
      <c r="JGI9" s="448"/>
      <c r="JGJ9" s="448"/>
      <c r="JGK9" s="448"/>
      <c r="JGL9" s="448"/>
      <c r="JGM9" s="448"/>
      <c r="JGN9" s="448"/>
      <c r="JGO9" s="448"/>
      <c r="JGP9" s="448"/>
      <c r="JGQ9" s="448"/>
      <c r="JGR9" s="448"/>
      <c r="JGS9" s="448"/>
      <c r="JGT9" s="448"/>
      <c r="JGU9" s="448"/>
      <c r="JGV9" s="448"/>
      <c r="JGW9" s="448"/>
      <c r="JGX9" s="448"/>
      <c r="JGY9" s="448"/>
      <c r="JGZ9" s="448"/>
      <c r="JHA9" s="448"/>
      <c r="JHB9" s="448"/>
      <c r="JHC9" s="446"/>
      <c r="JHD9" s="447"/>
      <c r="JHE9" s="448"/>
      <c r="JHF9" s="448"/>
      <c r="JHG9" s="448"/>
      <c r="JHH9" s="448"/>
      <c r="JHI9" s="448"/>
      <c r="JHJ9" s="448"/>
      <c r="JHK9" s="448"/>
      <c r="JHL9" s="448"/>
      <c r="JHM9" s="448"/>
      <c r="JHN9" s="448"/>
      <c r="JHO9" s="448"/>
      <c r="JHP9" s="448"/>
      <c r="JHQ9" s="448"/>
      <c r="JHR9" s="448"/>
      <c r="JHS9" s="448"/>
      <c r="JHT9" s="448"/>
      <c r="JHU9" s="448"/>
      <c r="JHV9" s="448"/>
      <c r="JHW9" s="448"/>
      <c r="JHX9" s="448"/>
      <c r="JHY9" s="448"/>
      <c r="JHZ9" s="448"/>
      <c r="JIA9" s="448"/>
      <c r="JIB9" s="448"/>
      <c r="JIC9" s="448"/>
      <c r="JID9" s="448"/>
      <c r="JIE9" s="448"/>
      <c r="JIF9" s="448"/>
      <c r="JIG9" s="448"/>
      <c r="JIH9" s="448"/>
      <c r="JII9" s="448"/>
      <c r="JIJ9" s="448"/>
      <c r="JIK9" s="448"/>
      <c r="JIL9" s="448"/>
      <c r="JIM9" s="448"/>
      <c r="JIN9" s="448"/>
      <c r="JIO9" s="448"/>
      <c r="JIP9" s="448"/>
      <c r="JIQ9" s="448"/>
      <c r="JIR9" s="446"/>
      <c r="JIS9" s="447"/>
      <c r="JIT9" s="448"/>
      <c r="JIU9" s="448"/>
      <c r="JIV9" s="448"/>
      <c r="JIW9" s="448"/>
      <c r="JIX9" s="448"/>
      <c r="JIY9" s="448"/>
      <c r="JIZ9" s="448"/>
      <c r="JJA9" s="448"/>
      <c r="JJB9" s="448"/>
      <c r="JJC9" s="448"/>
      <c r="JJD9" s="448"/>
      <c r="JJE9" s="448"/>
      <c r="JJF9" s="448"/>
      <c r="JJG9" s="448"/>
      <c r="JJH9" s="448"/>
      <c r="JJI9" s="448"/>
      <c r="JJJ9" s="448"/>
      <c r="JJK9" s="448"/>
      <c r="JJL9" s="448"/>
      <c r="JJM9" s="448"/>
      <c r="JJN9" s="448"/>
      <c r="JJO9" s="448"/>
      <c r="JJP9" s="448"/>
      <c r="JJQ9" s="448"/>
      <c r="JJR9" s="448"/>
      <c r="JJS9" s="448"/>
      <c r="JJT9" s="448"/>
      <c r="JJU9" s="448"/>
      <c r="JJV9" s="448"/>
      <c r="JJW9" s="448"/>
      <c r="JJX9" s="448"/>
      <c r="JJY9" s="448"/>
      <c r="JJZ9" s="448"/>
      <c r="JKA9" s="448"/>
      <c r="JKB9" s="448"/>
      <c r="JKC9" s="448"/>
      <c r="JKD9" s="448"/>
      <c r="JKE9" s="448"/>
      <c r="JKF9" s="448"/>
      <c r="JKG9" s="446"/>
      <c r="JKH9" s="447"/>
      <c r="JKI9" s="448"/>
      <c r="JKJ9" s="448"/>
      <c r="JKK9" s="448"/>
      <c r="JKL9" s="448"/>
      <c r="JKM9" s="448"/>
      <c r="JKN9" s="448"/>
      <c r="JKO9" s="448"/>
      <c r="JKP9" s="448"/>
      <c r="JKQ9" s="448"/>
      <c r="JKR9" s="448"/>
      <c r="JKS9" s="448"/>
      <c r="JKT9" s="448"/>
      <c r="JKU9" s="448"/>
      <c r="JKV9" s="448"/>
      <c r="JKW9" s="448"/>
      <c r="JKX9" s="448"/>
      <c r="JKY9" s="448"/>
      <c r="JKZ9" s="448"/>
      <c r="JLA9" s="448"/>
      <c r="JLB9" s="448"/>
      <c r="JLC9" s="448"/>
      <c r="JLD9" s="448"/>
      <c r="JLE9" s="448"/>
      <c r="JLF9" s="448"/>
      <c r="JLG9" s="448"/>
      <c r="JLH9" s="448"/>
      <c r="JLI9" s="448"/>
      <c r="JLJ9" s="448"/>
      <c r="JLK9" s="448"/>
      <c r="JLL9" s="448"/>
      <c r="JLM9" s="448"/>
      <c r="JLN9" s="448"/>
      <c r="JLO9" s="448"/>
      <c r="JLP9" s="448"/>
      <c r="JLQ9" s="448"/>
      <c r="JLR9" s="448"/>
      <c r="JLS9" s="448"/>
      <c r="JLT9" s="448"/>
      <c r="JLU9" s="448"/>
      <c r="JLV9" s="446"/>
      <c r="JLW9" s="447"/>
      <c r="JLX9" s="448"/>
      <c r="JLY9" s="448"/>
      <c r="JLZ9" s="448"/>
      <c r="JMA9" s="448"/>
      <c r="JMB9" s="448"/>
      <c r="JMC9" s="448"/>
      <c r="JMD9" s="448"/>
      <c r="JME9" s="448"/>
      <c r="JMF9" s="448"/>
      <c r="JMG9" s="448"/>
      <c r="JMH9" s="448"/>
      <c r="JMI9" s="448"/>
      <c r="JMJ9" s="448"/>
      <c r="JMK9" s="448"/>
      <c r="JML9" s="448"/>
      <c r="JMM9" s="448"/>
      <c r="JMN9" s="448"/>
      <c r="JMO9" s="448"/>
      <c r="JMP9" s="448"/>
      <c r="JMQ9" s="448"/>
      <c r="JMR9" s="448"/>
      <c r="JMS9" s="448"/>
      <c r="JMT9" s="448"/>
      <c r="JMU9" s="448"/>
      <c r="JMV9" s="448"/>
      <c r="JMW9" s="448"/>
      <c r="JMX9" s="448"/>
      <c r="JMY9" s="448"/>
      <c r="JMZ9" s="448"/>
      <c r="JNA9" s="448"/>
      <c r="JNB9" s="448"/>
      <c r="JNC9" s="448"/>
      <c r="JND9" s="448"/>
      <c r="JNE9" s="448"/>
      <c r="JNF9" s="448"/>
      <c r="JNG9" s="448"/>
      <c r="JNH9" s="448"/>
      <c r="JNI9" s="448"/>
      <c r="JNJ9" s="448"/>
      <c r="JNK9" s="446"/>
      <c r="JNL9" s="447"/>
      <c r="JNM9" s="448"/>
      <c r="JNN9" s="448"/>
      <c r="JNO9" s="448"/>
      <c r="JNP9" s="448"/>
      <c r="JNQ9" s="448"/>
      <c r="JNR9" s="448"/>
      <c r="JNS9" s="448"/>
      <c r="JNT9" s="448"/>
      <c r="JNU9" s="448"/>
      <c r="JNV9" s="448"/>
      <c r="JNW9" s="448"/>
      <c r="JNX9" s="448"/>
      <c r="JNY9" s="448"/>
      <c r="JNZ9" s="448"/>
      <c r="JOA9" s="448"/>
      <c r="JOB9" s="448"/>
      <c r="JOC9" s="448"/>
      <c r="JOD9" s="448"/>
      <c r="JOE9" s="448"/>
      <c r="JOF9" s="448"/>
      <c r="JOG9" s="448"/>
      <c r="JOH9" s="448"/>
      <c r="JOI9" s="448"/>
      <c r="JOJ9" s="448"/>
      <c r="JOK9" s="448"/>
      <c r="JOL9" s="448"/>
      <c r="JOM9" s="448"/>
      <c r="JON9" s="448"/>
      <c r="JOO9" s="448"/>
      <c r="JOP9" s="448"/>
      <c r="JOQ9" s="448"/>
      <c r="JOR9" s="448"/>
      <c r="JOS9" s="448"/>
      <c r="JOT9" s="448"/>
      <c r="JOU9" s="448"/>
      <c r="JOV9" s="448"/>
      <c r="JOW9" s="448"/>
      <c r="JOX9" s="448"/>
      <c r="JOY9" s="448"/>
      <c r="JOZ9" s="446"/>
      <c r="JPA9" s="447"/>
      <c r="JPB9" s="448"/>
      <c r="JPC9" s="448"/>
      <c r="JPD9" s="448"/>
      <c r="JPE9" s="448"/>
      <c r="JPF9" s="448"/>
      <c r="JPG9" s="448"/>
      <c r="JPH9" s="448"/>
      <c r="JPI9" s="448"/>
      <c r="JPJ9" s="448"/>
      <c r="JPK9" s="448"/>
      <c r="JPL9" s="448"/>
      <c r="JPM9" s="448"/>
      <c r="JPN9" s="448"/>
      <c r="JPO9" s="448"/>
      <c r="JPP9" s="448"/>
      <c r="JPQ9" s="448"/>
      <c r="JPR9" s="448"/>
      <c r="JPS9" s="448"/>
      <c r="JPT9" s="448"/>
      <c r="JPU9" s="448"/>
      <c r="JPV9" s="448"/>
      <c r="JPW9" s="448"/>
      <c r="JPX9" s="448"/>
      <c r="JPY9" s="448"/>
      <c r="JPZ9" s="448"/>
      <c r="JQA9" s="448"/>
      <c r="JQB9" s="448"/>
      <c r="JQC9" s="448"/>
      <c r="JQD9" s="448"/>
      <c r="JQE9" s="448"/>
      <c r="JQF9" s="448"/>
      <c r="JQG9" s="448"/>
      <c r="JQH9" s="448"/>
      <c r="JQI9" s="448"/>
      <c r="JQJ9" s="448"/>
      <c r="JQK9" s="448"/>
      <c r="JQL9" s="448"/>
      <c r="JQM9" s="448"/>
      <c r="JQN9" s="448"/>
      <c r="JQO9" s="446"/>
      <c r="JQP9" s="447"/>
      <c r="JQQ9" s="448"/>
      <c r="JQR9" s="448"/>
      <c r="JQS9" s="448"/>
      <c r="JQT9" s="448"/>
      <c r="JQU9" s="448"/>
      <c r="JQV9" s="448"/>
      <c r="JQW9" s="448"/>
      <c r="JQX9" s="448"/>
      <c r="JQY9" s="448"/>
      <c r="JQZ9" s="448"/>
      <c r="JRA9" s="448"/>
      <c r="JRB9" s="448"/>
      <c r="JRC9" s="448"/>
      <c r="JRD9" s="448"/>
      <c r="JRE9" s="448"/>
      <c r="JRF9" s="448"/>
      <c r="JRG9" s="448"/>
      <c r="JRH9" s="448"/>
      <c r="JRI9" s="448"/>
      <c r="JRJ9" s="448"/>
      <c r="JRK9" s="448"/>
      <c r="JRL9" s="448"/>
      <c r="JRM9" s="448"/>
      <c r="JRN9" s="448"/>
      <c r="JRO9" s="448"/>
      <c r="JRP9" s="448"/>
      <c r="JRQ9" s="448"/>
      <c r="JRR9" s="448"/>
      <c r="JRS9" s="448"/>
      <c r="JRT9" s="448"/>
      <c r="JRU9" s="448"/>
      <c r="JRV9" s="448"/>
      <c r="JRW9" s="448"/>
      <c r="JRX9" s="448"/>
      <c r="JRY9" s="448"/>
      <c r="JRZ9" s="448"/>
      <c r="JSA9" s="448"/>
      <c r="JSB9" s="448"/>
      <c r="JSC9" s="448"/>
      <c r="JSD9" s="446"/>
      <c r="JSE9" s="447"/>
      <c r="JSF9" s="448"/>
      <c r="JSG9" s="448"/>
      <c r="JSH9" s="448"/>
      <c r="JSI9" s="448"/>
      <c r="JSJ9" s="448"/>
      <c r="JSK9" s="448"/>
      <c r="JSL9" s="448"/>
      <c r="JSM9" s="448"/>
      <c r="JSN9" s="448"/>
      <c r="JSO9" s="448"/>
      <c r="JSP9" s="448"/>
      <c r="JSQ9" s="448"/>
      <c r="JSR9" s="448"/>
      <c r="JSS9" s="448"/>
      <c r="JST9" s="448"/>
      <c r="JSU9" s="448"/>
      <c r="JSV9" s="448"/>
      <c r="JSW9" s="448"/>
      <c r="JSX9" s="448"/>
      <c r="JSY9" s="448"/>
      <c r="JSZ9" s="448"/>
      <c r="JTA9" s="448"/>
      <c r="JTB9" s="448"/>
      <c r="JTC9" s="448"/>
      <c r="JTD9" s="448"/>
      <c r="JTE9" s="448"/>
      <c r="JTF9" s="448"/>
      <c r="JTG9" s="448"/>
      <c r="JTH9" s="448"/>
      <c r="JTI9" s="448"/>
      <c r="JTJ9" s="448"/>
      <c r="JTK9" s="448"/>
      <c r="JTL9" s="448"/>
      <c r="JTM9" s="448"/>
      <c r="JTN9" s="448"/>
      <c r="JTO9" s="448"/>
      <c r="JTP9" s="448"/>
      <c r="JTQ9" s="448"/>
      <c r="JTR9" s="448"/>
      <c r="JTS9" s="446"/>
      <c r="JTT9" s="447"/>
      <c r="JTU9" s="448"/>
      <c r="JTV9" s="448"/>
      <c r="JTW9" s="448"/>
      <c r="JTX9" s="448"/>
      <c r="JTY9" s="448"/>
      <c r="JTZ9" s="448"/>
      <c r="JUA9" s="448"/>
      <c r="JUB9" s="448"/>
      <c r="JUC9" s="448"/>
      <c r="JUD9" s="448"/>
      <c r="JUE9" s="448"/>
      <c r="JUF9" s="448"/>
      <c r="JUG9" s="448"/>
      <c r="JUH9" s="448"/>
      <c r="JUI9" s="448"/>
      <c r="JUJ9" s="448"/>
      <c r="JUK9" s="448"/>
      <c r="JUL9" s="448"/>
      <c r="JUM9" s="448"/>
      <c r="JUN9" s="448"/>
      <c r="JUO9" s="448"/>
      <c r="JUP9" s="448"/>
      <c r="JUQ9" s="448"/>
      <c r="JUR9" s="448"/>
      <c r="JUS9" s="448"/>
      <c r="JUT9" s="448"/>
      <c r="JUU9" s="448"/>
      <c r="JUV9" s="448"/>
      <c r="JUW9" s="448"/>
      <c r="JUX9" s="448"/>
      <c r="JUY9" s="448"/>
      <c r="JUZ9" s="448"/>
      <c r="JVA9" s="448"/>
      <c r="JVB9" s="448"/>
      <c r="JVC9" s="448"/>
      <c r="JVD9" s="448"/>
      <c r="JVE9" s="448"/>
      <c r="JVF9" s="448"/>
      <c r="JVG9" s="448"/>
      <c r="JVH9" s="446"/>
      <c r="JVI9" s="447"/>
      <c r="JVJ9" s="448"/>
      <c r="JVK9" s="448"/>
      <c r="JVL9" s="448"/>
      <c r="JVM9" s="448"/>
      <c r="JVN9" s="448"/>
      <c r="JVO9" s="448"/>
      <c r="JVP9" s="448"/>
      <c r="JVQ9" s="448"/>
      <c r="JVR9" s="448"/>
      <c r="JVS9" s="448"/>
      <c r="JVT9" s="448"/>
      <c r="JVU9" s="448"/>
      <c r="JVV9" s="448"/>
      <c r="JVW9" s="448"/>
      <c r="JVX9" s="448"/>
      <c r="JVY9" s="448"/>
      <c r="JVZ9" s="448"/>
      <c r="JWA9" s="448"/>
      <c r="JWB9" s="448"/>
      <c r="JWC9" s="448"/>
      <c r="JWD9" s="448"/>
      <c r="JWE9" s="448"/>
      <c r="JWF9" s="448"/>
      <c r="JWG9" s="448"/>
      <c r="JWH9" s="448"/>
      <c r="JWI9" s="448"/>
      <c r="JWJ9" s="448"/>
      <c r="JWK9" s="448"/>
      <c r="JWL9" s="448"/>
      <c r="JWM9" s="448"/>
      <c r="JWN9" s="448"/>
      <c r="JWO9" s="448"/>
      <c r="JWP9" s="448"/>
      <c r="JWQ9" s="448"/>
      <c r="JWR9" s="448"/>
      <c r="JWS9" s="448"/>
      <c r="JWT9" s="448"/>
      <c r="JWU9" s="448"/>
      <c r="JWV9" s="448"/>
      <c r="JWW9" s="446"/>
      <c r="JWX9" s="447"/>
      <c r="JWY9" s="448"/>
      <c r="JWZ9" s="448"/>
      <c r="JXA9" s="448"/>
      <c r="JXB9" s="448"/>
      <c r="JXC9" s="448"/>
      <c r="JXD9" s="448"/>
      <c r="JXE9" s="448"/>
      <c r="JXF9" s="448"/>
      <c r="JXG9" s="448"/>
      <c r="JXH9" s="448"/>
      <c r="JXI9" s="448"/>
      <c r="JXJ9" s="448"/>
      <c r="JXK9" s="448"/>
      <c r="JXL9" s="448"/>
      <c r="JXM9" s="448"/>
      <c r="JXN9" s="448"/>
      <c r="JXO9" s="448"/>
      <c r="JXP9" s="448"/>
      <c r="JXQ9" s="448"/>
      <c r="JXR9" s="448"/>
      <c r="JXS9" s="448"/>
      <c r="JXT9" s="448"/>
      <c r="JXU9" s="448"/>
      <c r="JXV9" s="448"/>
      <c r="JXW9" s="448"/>
      <c r="JXX9" s="448"/>
      <c r="JXY9" s="448"/>
      <c r="JXZ9" s="448"/>
      <c r="JYA9" s="448"/>
      <c r="JYB9" s="448"/>
      <c r="JYC9" s="448"/>
      <c r="JYD9" s="448"/>
      <c r="JYE9" s="448"/>
      <c r="JYF9" s="448"/>
      <c r="JYG9" s="448"/>
      <c r="JYH9" s="448"/>
      <c r="JYI9" s="448"/>
      <c r="JYJ9" s="448"/>
      <c r="JYK9" s="448"/>
      <c r="JYL9" s="446"/>
      <c r="JYM9" s="447"/>
      <c r="JYN9" s="448"/>
      <c r="JYO9" s="448"/>
      <c r="JYP9" s="448"/>
      <c r="JYQ9" s="448"/>
      <c r="JYR9" s="448"/>
      <c r="JYS9" s="448"/>
      <c r="JYT9" s="448"/>
      <c r="JYU9" s="448"/>
      <c r="JYV9" s="448"/>
      <c r="JYW9" s="448"/>
      <c r="JYX9" s="448"/>
      <c r="JYY9" s="448"/>
      <c r="JYZ9" s="448"/>
      <c r="JZA9" s="448"/>
      <c r="JZB9" s="448"/>
      <c r="JZC9" s="448"/>
      <c r="JZD9" s="448"/>
      <c r="JZE9" s="448"/>
      <c r="JZF9" s="448"/>
      <c r="JZG9" s="448"/>
      <c r="JZH9" s="448"/>
      <c r="JZI9" s="448"/>
      <c r="JZJ9" s="448"/>
      <c r="JZK9" s="448"/>
      <c r="JZL9" s="448"/>
      <c r="JZM9" s="448"/>
      <c r="JZN9" s="448"/>
      <c r="JZO9" s="448"/>
      <c r="JZP9" s="448"/>
      <c r="JZQ9" s="448"/>
      <c r="JZR9" s="448"/>
      <c r="JZS9" s="448"/>
      <c r="JZT9" s="448"/>
      <c r="JZU9" s="448"/>
      <c r="JZV9" s="448"/>
      <c r="JZW9" s="448"/>
      <c r="JZX9" s="448"/>
      <c r="JZY9" s="448"/>
      <c r="JZZ9" s="448"/>
      <c r="KAA9" s="446"/>
      <c r="KAB9" s="447"/>
      <c r="KAC9" s="448"/>
      <c r="KAD9" s="448"/>
      <c r="KAE9" s="448"/>
      <c r="KAF9" s="448"/>
      <c r="KAG9" s="448"/>
      <c r="KAH9" s="448"/>
      <c r="KAI9" s="448"/>
      <c r="KAJ9" s="448"/>
      <c r="KAK9" s="448"/>
      <c r="KAL9" s="448"/>
      <c r="KAM9" s="448"/>
      <c r="KAN9" s="448"/>
      <c r="KAO9" s="448"/>
      <c r="KAP9" s="448"/>
      <c r="KAQ9" s="448"/>
      <c r="KAR9" s="448"/>
      <c r="KAS9" s="448"/>
      <c r="KAT9" s="448"/>
      <c r="KAU9" s="448"/>
      <c r="KAV9" s="448"/>
      <c r="KAW9" s="448"/>
      <c r="KAX9" s="448"/>
      <c r="KAY9" s="448"/>
      <c r="KAZ9" s="448"/>
      <c r="KBA9" s="448"/>
      <c r="KBB9" s="448"/>
      <c r="KBC9" s="448"/>
      <c r="KBD9" s="448"/>
      <c r="KBE9" s="448"/>
      <c r="KBF9" s="448"/>
      <c r="KBG9" s="448"/>
      <c r="KBH9" s="448"/>
      <c r="KBI9" s="448"/>
      <c r="KBJ9" s="448"/>
      <c r="KBK9" s="448"/>
      <c r="KBL9" s="448"/>
      <c r="KBM9" s="448"/>
      <c r="KBN9" s="448"/>
      <c r="KBO9" s="448"/>
      <c r="KBP9" s="446"/>
      <c r="KBQ9" s="447"/>
      <c r="KBR9" s="448"/>
      <c r="KBS9" s="448"/>
      <c r="KBT9" s="448"/>
      <c r="KBU9" s="448"/>
      <c r="KBV9" s="448"/>
      <c r="KBW9" s="448"/>
      <c r="KBX9" s="448"/>
      <c r="KBY9" s="448"/>
      <c r="KBZ9" s="448"/>
      <c r="KCA9" s="448"/>
      <c r="KCB9" s="448"/>
      <c r="KCC9" s="448"/>
      <c r="KCD9" s="448"/>
      <c r="KCE9" s="448"/>
      <c r="KCF9" s="448"/>
      <c r="KCG9" s="448"/>
      <c r="KCH9" s="448"/>
      <c r="KCI9" s="448"/>
      <c r="KCJ9" s="448"/>
      <c r="KCK9" s="448"/>
      <c r="KCL9" s="448"/>
      <c r="KCM9" s="448"/>
      <c r="KCN9" s="448"/>
      <c r="KCO9" s="448"/>
      <c r="KCP9" s="448"/>
      <c r="KCQ9" s="448"/>
      <c r="KCR9" s="448"/>
      <c r="KCS9" s="448"/>
      <c r="KCT9" s="448"/>
      <c r="KCU9" s="448"/>
      <c r="KCV9" s="448"/>
      <c r="KCW9" s="448"/>
      <c r="KCX9" s="448"/>
      <c r="KCY9" s="448"/>
      <c r="KCZ9" s="448"/>
      <c r="KDA9" s="448"/>
      <c r="KDB9" s="448"/>
      <c r="KDC9" s="448"/>
      <c r="KDD9" s="448"/>
      <c r="KDE9" s="446"/>
      <c r="KDF9" s="447"/>
      <c r="KDG9" s="448"/>
      <c r="KDH9" s="448"/>
      <c r="KDI9" s="448"/>
      <c r="KDJ9" s="448"/>
      <c r="KDK9" s="448"/>
      <c r="KDL9" s="448"/>
      <c r="KDM9" s="448"/>
      <c r="KDN9" s="448"/>
      <c r="KDO9" s="448"/>
      <c r="KDP9" s="448"/>
      <c r="KDQ9" s="448"/>
      <c r="KDR9" s="448"/>
      <c r="KDS9" s="448"/>
      <c r="KDT9" s="448"/>
      <c r="KDU9" s="448"/>
      <c r="KDV9" s="448"/>
      <c r="KDW9" s="448"/>
      <c r="KDX9" s="448"/>
      <c r="KDY9" s="448"/>
      <c r="KDZ9" s="448"/>
      <c r="KEA9" s="448"/>
      <c r="KEB9" s="448"/>
      <c r="KEC9" s="448"/>
      <c r="KED9" s="448"/>
      <c r="KEE9" s="448"/>
      <c r="KEF9" s="448"/>
      <c r="KEG9" s="448"/>
      <c r="KEH9" s="448"/>
      <c r="KEI9" s="448"/>
      <c r="KEJ9" s="448"/>
      <c r="KEK9" s="448"/>
      <c r="KEL9" s="448"/>
      <c r="KEM9" s="448"/>
      <c r="KEN9" s="448"/>
      <c r="KEO9" s="448"/>
      <c r="KEP9" s="448"/>
      <c r="KEQ9" s="448"/>
      <c r="KER9" s="448"/>
      <c r="KES9" s="448"/>
      <c r="KET9" s="446"/>
      <c r="KEU9" s="447"/>
      <c r="KEV9" s="448"/>
      <c r="KEW9" s="448"/>
      <c r="KEX9" s="448"/>
      <c r="KEY9" s="448"/>
      <c r="KEZ9" s="448"/>
      <c r="KFA9" s="448"/>
      <c r="KFB9" s="448"/>
      <c r="KFC9" s="448"/>
      <c r="KFD9" s="448"/>
      <c r="KFE9" s="448"/>
      <c r="KFF9" s="448"/>
      <c r="KFG9" s="448"/>
      <c r="KFH9" s="448"/>
      <c r="KFI9" s="448"/>
      <c r="KFJ9" s="448"/>
      <c r="KFK9" s="448"/>
      <c r="KFL9" s="448"/>
      <c r="KFM9" s="448"/>
      <c r="KFN9" s="448"/>
      <c r="KFO9" s="448"/>
      <c r="KFP9" s="448"/>
      <c r="KFQ9" s="448"/>
      <c r="KFR9" s="448"/>
      <c r="KFS9" s="448"/>
      <c r="KFT9" s="448"/>
      <c r="KFU9" s="448"/>
      <c r="KFV9" s="448"/>
      <c r="KFW9" s="448"/>
      <c r="KFX9" s="448"/>
      <c r="KFY9" s="448"/>
      <c r="KFZ9" s="448"/>
      <c r="KGA9" s="448"/>
      <c r="KGB9" s="448"/>
      <c r="KGC9" s="448"/>
      <c r="KGD9" s="448"/>
      <c r="KGE9" s="448"/>
      <c r="KGF9" s="448"/>
      <c r="KGG9" s="448"/>
      <c r="KGH9" s="448"/>
      <c r="KGI9" s="446"/>
      <c r="KGJ9" s="447"/>
      <c r="KGK9" s="448"/>
      <c r="KGL9" s="448"/>
      <c r="KGM9" s="448"/>
      <c r="KGN9" s="448"/>
      <c r="KGO9" s="448"/>
      <c r="KGP9" s="448"/>
      <c r="KGQ9" s="448"/>
      <c r="KGR9" s="448"/>
      <c r="KGS9" s="448"/>
      <c r="KGT9" s="448"/>
      <c r="KGU9" s="448"/>
      <c r="KGV9" s="448"/>
      <c r="KGW9" s="448"/>
      <c r="KGX9" s="448"/>
      <c r="KGY9" s="448"/>
      <c r="KGZ9" s="448"/>
      <c r="KHA9" s="448"/>
      <c r="KHB9" s="448"/>
      <c r="KHC9" s="448"/>
      <c r="KHD9" s="448"/>
      <c r="KHE9" s="448"/>
      <c r="KHF9" s="448"/>
      <c r="KHG9" s="448"/>
      <c r="KHH9" s="448"/>
      <c r="KHI9" s="448"/>
      <c r="KHJ9" s="448"/>
      <c r="KHK9" s="448"/>
      <c r="KHL9" s="448"/>
      <c r="KHM9" s="448"/>
      <c r="KHN9" s="448"/>
      <c r="KHO9" s="448"/>
      <c r="KHP9" s="448"/>
      <c r="KHQ9" s="448"/>
      <c r="KHR9" s="448"/>
      <c r="KHS9" s="448"/>
      <c r="KHT9" s="448"/>
      <c r="KHU9" s="448"/>
      <c r="KHV9" s="448"/>
      <c r="KHW9" s="448"/>
      <c r="KHX9" s="446"/>
      <c r="KHY9" s="447"/>
      <c r="KHZ9" s="448"/>
      <c r="KIA9" s="448"/>
      <c r="KIB9" s="448"/>
      <c r="KIC9" s="448"/>
      <c r="KID9" s="448"/>
      <c r="KIE9" s="448"/>
      <c r="KIF9" s="448"/>
      <c r="KIG9" s="448"/>
      <c r="KIH9" s="448"/>
      <c r="KII9" s="448"/>
      <c r="KIJ9" s="448"/>
      <c r="KIK9" s="448"/>
      <c r="KIL9" s="448"/>
      <c r="KIM9" s="448"/>
      <c r="KIN9" s="448"/>
      <c r="KIO9" s="448"/>
      <c r="KIP9" s="448"/>
      <c r="KIQ9" s="448"/>
      <c r="KIR9" s="448"/>
      <c r="KIS9" s="448"/>
      <c r="KIT9" s="448"/>
      <c r="KIU9" s="448"/>
      <c r="KIV9" s="448"/>
      <c r="KIW9" s="448"/>
      <c r="KIX9" s="448"/>
      <c r="KIY9" s="448"/>
      <c r="KIZ9" s="448"/>
      <c r="KJA9" s="448"/>
      <c r="KJB9" s="448"/>
      <c r="KJC9" s="448"/>
      <c r="KJD9" s="448"/>
      <c r="KJE9" s="448"/>
      <c r="KJF9" s="448"/>
      <c r="KJG9" s="448"/>
      <c r="KJH9" s="448"/>
      <c r="KJI9" s="448"/>
      <c r="KJJ9" s="448"/>
      <c r="KJK9" s="448"/>
      <c r="KJL9" s="448"/>
      <c r="KJM9" s="446"/>
      <c r="KJN9" s="447"/>
      <c r="KJO9" s="448"/>
      <c r="KJP9" s="448"/>
      <c r="KJQ9" s="448"/>
      <c r="KJR9" s="448"/>
      <c r="KJS9" s="448"/>
      <c r="KJT9" s="448"/>
      <c r="KJU9" s="448"/>
      <c r="KJV9" s="448"/>
      <c r="KJW9" s="448"/>
      <c r="KJX9" s="448"/>
      <c r="KJY9" s="448"/>
      <c r="KJZ9" s="448"/>
      <c r="KKA9" s="448"/>
      <c r="KKB9" s="448"/>
      <c r="KKC9" s="448"/>
      <c r="KKD9" s="448"/>
      <c r="KKE9" s="448"/>
      <c r="KKF9" s="448"/>
      <c r="KKG9" s="448"/>
      <c r="KKH9" s="448"/>
      <c r="KKI9" s="448"/>
      <c r="KKJ9" s="448"/>
      <c r="KKK9" s="448"/>
      <c r="KKL9" s="448"/>
      <c r="KKM9" s="448"/>
      <c r="KKN9" s="448"/>
      <c r="KKO9" s="448"/>
      <c r="KKP9" s="448"/>
      <c r="KKQ9" s="448"/>
      <c r="KKR9" s="448"/>
      <c r="KKS9" s="448"/>
      <c r="KKT9" s="448"/>
      <c r="KKU9" s="448"/>
      <c r="KKV9" s="448"/>
      <c r="KKW9" s="448"/>
      <c r="KKX9" s="448"/>
      <c r="KKY9" s="448"/>
      <c r="KKZ9" s="448"/>
      <c r="KLA9" s="448"/>
      <c r="KLB9" s="446"/>
      <c r="KLC9" s="447"/>
      <c r="KLD9" s="448"/>
      <c r="KLE9" s="448"/>
      <c r="KLF9" s="448"/>
      <c r="KLG9" s="448"/>
      <c r="KLH9" s="448"/>
      <c r="KLI9" s="448"/>
      <c r="KLJ9" s="448"/>
      <c r="KLK9" s="448"/>
      <c r="KLL9" s="448"/>
      <c r="KLM9" s="448"/>
      <c r="KLN9" s="448"/>
      <c r="KLO9" s="448"/>
      <c r="KLP9" s="448"/>
      <c r="KLQ9" s="448"/>
      <c r="KLR9" s="448"/>
      <c r="KLS9" s="448"/>
      <c r="KLT9" s="448"/>
      <c r="KLU9" s="448"/>
      <c r="KLV9" s="448"/>
      <c r="KLW9" s="448"/>
      <c r="KLX9" s="448"/>
      <c r="KLY9" s="448"/>
      <c r="KLZ9" s="448"/>
      <c r="KMA9" s="448"/>
      <c r="KMB9" s="448"/>
      <c r="KMC9" s="448"/>
      <c r="KMD9" s="448"/>
      <c r="KME9" s="448"/>
      <c r="KMF9" s="448"/>
      <c r="KMG9" s="448"/>
      <c r="KMH9" s="448"/>
      <c r="KMI9" s="448"/>
      <c r="KMJ9" s="448"/>
      <c r="KMK9" s="448"/>
      <c r="KML9" s="448"/>
      <c r="KMM9" s="448"/>
      <c r="KMN9" s="448"/>
      <c r="KMO9" s="448"/>
      <c r="KMP9" s="448"/>
      <c r="KMQ9" s="446"/>
      <c r="KMR9" s="447"/>
      <c r="KMS9" s="448"/>
      <c r="KMT9" s="448"/>
      <c r="KMU9" s="448"/>
      <c r="KMV9" s="448"/>
      <c r="KMW9" s="448"/>
      <c r="KMX9" s="448"/>
      <c r="KMY9" s="448"/>
      <c r="KMZ9" s="448"/>
      <c r="KNA9" s="448"/>
      <c r="KNB9" s="448"/>
      <c r="KNC9" s="448"/>
      <c r="KND9" s="448"/>
      <c r="KNE9" s="448"/>
      <c r="KNF9" s="448"/>
      <c r="KNG9" s="448"/>
      <c r="KNH9" s="448"/>
      <c r="KNI9" s="448"/>
      <c r="KNJ9" s="448"/>
      <c r="KNK9" s="448"/>
      <c r="KNL9" s="448"/>
      <c r="KNM9" s="448"/>
      <c r="KNN9" s="448"/>
      <c r="KNO9" s="448"/>
      <c r="KNP9" s="448"/>
      <c r="KNQ9" s="448"/>
      <c r="KNR9" s="448"/>
      <c r="KNS9" s="448"/>
      <c r="KNT9" s="448"/>
      <c r="KNU9" s="448"/>
      <c r="KNV9" s="448"/>
      <c r="KNW9" s="448"/>
      <c r="KNX9" s="448"/>
      <c r="KNY9" s="448"/>
      <c r="KNZ9" s="448"/>
      <c r="KOA9" s="448"/>
      <c r="KOB9" s="448"/>
      <c r="KOC9" s="448"/>
      <c r="KOD9" s="448"/>
      <c r="KOE9" s="448"/>
      <c r="KOF9" s="446"/>
      <c r="KOG9" s="447"/>
      <c r="KOH9" s="448"/>
      <c r="KOI9" s="448"/>
      <c r="KOJ9" s="448"/>
      <c r="KOK9" s="448"/>
      <c r="KOL9" s="448"/>
      <c r="KOM9" s="448"/>
      <c r="KON9" s="448"/>
      <c r="KOO9" s="448"/>
      <c r="KOP9" s="448"/>
      <c r="KOQ9" s="448"/>
      <c r="KOR9" s="448"/>
      <c r="KOS9" s="448"/>
      <c r="KOT9" s="448"/>
      <c r="KOU9" s="448"/>
      <c r="KOV9" s="448"/>
      <c r="KOW9" s="448"/>
      <c r="KOX9" s="448"/>
      <c r="KOY9" s="448"/>
      <c r="KOZ9" s="448"/>
      <c r="KPA9" s="448"/>
      <c r="KPB9" s="448"/>
      <c r="KPC9" s="448"/>
      <c r="KPD9" s="448"/>
      <c r="KPE9" s="448"/>
      <c r="KPF9" s="448"/>
      <c r="KPG9" s="448"/>
      <c r="KPH9" s="448"/>
      <c r="KPI9" s="448"/>
      <c r="KPJ9" s="448"/>
      <c r="KPK9" s="448"/>
      <c r="KPL9" s="448"/>
      <c r="KPM9" s="448"/>
      <c r="KPN9" s="448"/>
      <c r="KPO9" s="448"/>
      <c r="KPP9" s="448"/>
      <c r="KPQ9" s="448"/>
      <c r="KPR9" s="448"/>
      <c r="KPS9" s="448"/>
      <c r="KPT9" s="448"/>
      <c r="KPU9" s="446"/>
      <c r="KPV9" s="447"/>
      <c r="KPW9" s="448"/>
      <c r="KPX9" s="448"/>
      <c r="KPY9" s="448"/>
      <c r="KPZ9" s="448"/>
      <c r="KQA9" s="448"/>
      <c r="KQB9" s="448"/>
      <c r="KQC9" s="448"/>
      <c r="KQD9" s="448"/>
      <c r="KQE9" s="448"/>
      <c r="KQF9" s="448"/>
      <c r="KQG9" s="448"/>
      <c r="KQH9" s="448"/>
      <c r="KQI9" s="448"/>
      <c r="KQJ9" s="448"/>
      <c r="KQK9" s="448"/>
      <c r="KQL9" s="448"/>
      <c r="KQM9" s="448"/>
      <c r="KQN9" s="448"/>
      <c r="KQO9" s="448"/>
      <c r="KQP9" s="448"/>
      <c r="KQQ9" s="448"/>
      <c r="KQR9" s="448"/>
      <c r="KQS9" s="448"/>
      <c r="KQT9" s="448"/>
      <c r="KQU9" s="448"/>
      <c r="KQV9" s="448"/>
      <c r="KQW9" s="448"/>
      <c r="KQX9" s="448"/>
      <c r="KQY9" s="448"/>
      <c r="KQZ9" s="448"/>
      <c r="KRA9" s="448"/>
      <c r="KRB9" s="448"/>
      <c r="KRC9" s="448"/>
      <c r="KRD9" s="448"/>
      <c r="KRE9" s="448"/>
      <c r="KRF9" s="448"/>
      <c r="KRG9" s="448"/>
      <c r="KRH9" s="448"/>
      <c r="KRI9" s="448"/>
      <c r="KRJ9" s="446"/>
      <c r="KRK9" s="447"/>
      <c r="KRL9" s="448"/>
      <c r="KRM9" s="448"/>
      <c r="KRN9" s="448"/>
      <c r="KRO9" s="448"/>
      <c r="KRP9" s="448"/>
      <c r="KRQ9" s="448"/>
      <c r="KRR9" s="448"/>
      <c r="KRS9" s="448"/>
      <c r="KRT9" s="448"/>
      <c r="KRU9" s="448"/>
      <c r="KRV9" s="448"/>
      <c r="KRW9" s="448"/>
      <c r="KRX9" s="448"/>
      <c r="KRY9" s="448"/>
      <c r="KRZ9" s="448"/>
      <c r="KSA9" s="448"/>
      <c r="KSB9" s="448"/>
      <c r="KSC9" s="448"/>
      <c r="KSD9" s="448"/>
      <c r="KSE9" s="448"/>
      <c r="KSF9" s="448"/>
      <c r="KSG9" s="448"/>
      <c r="KSH9" s="448"/>
      <c r="KSI9" s="448"/>
      <c r="KSJ9" s="448"/>
      <c r="KSK9" s="448"/>
      <c r="KSL9" s="448"/>
      <c r="KSM9" s="448"/>
      <c r="KSN9" s="448"/>
      <c r="KSO9" s="448"/>
      <c r="KSP9" s="448"/>
      <c r="KSQ9" s="448"/>
      <c r="KSR9" s="448"/>
      <c r="KSS9" s="448"/>
      <c r="KST9" s="448"/>
      <c r="KSU9" s="448"/>
      <c r="KSV9" s="448"/>
      <c r="KSW9" s="448"/>
      <c r="KSX9" s="448"/>
      <c r="KSY9" s="446"/>
      <c r="KSZ9" s="447"/>
      <c r="KTA9" s="448"/>
      <c r="KTB9" s="448"/>
      <c r="KTC9" s="448"/>
      <c r="KTD9" s="448"/>
      <c r="KTE9" s="448"/>
      <c r="KTF9" s="448"/>
      <c r="KTG9" s="448"/>
      <c r="KTH9" s="448"/>
      <c r="KTI9" s="448"/>
      <c r="KTJ9" s="448"/>
      <c r="KTK9" s="448"/>
      <c r="KTL9" s="448"/>
      <c r="KTM9" s="448"/>
      <c r="KTN9" s="448"/>
      <c r="KTO9" s="448"/>
      <c r="KTP9" s="448"/>
      <c r="KTQ9" s="448"/>
      <c r="KTR9" s="448"/>
      <c r="KTS9" s="448"/>
      <c r="KTT9" s="448"/>
      <c r="KTU9" s="448"/>
      <c r="KTV9" s="448"/>
      <c r="KTW9" s="448"/>
      <c r="KTX9" s="448"/>
      <c r="KTY9" s="448"/>
      <c r="KTZ9" s="448"/>
      <c r="KUA9" s="448"/>
      <c r="KUB9" s="448"/>
      <c r="KUC9" s="448"/>
      <c r="KUD9" s="448"/>
      <c r="KUE9" s="448"/>
      <c r="KUF9" s="448"/>
      <c r="KUG9" s="448"/>
      <c r="KUH9" s="448"/>
      <c r="KUI9" s="448"/>
      <c r="KUJ9" s="448"/>
      <c r="KUK9" s="448"/>
      <c r="KUL9" s="448"/>
      <c r="KUM9" s="448"/>
      <c r="KUN9" s="446"/>
      <c r="KUO9" s="447"/>
      <c r="KUP9" s="448"/>
      <c r="KUQ9" s="448"/>
      <c r="KUR9" s="448"/>
      <c r="KUS9" s="448"/>
      <c r="KUT9" s="448"/>
      <c r="KUU9" s="448"/>
      <c r="KUV9" s="448"/>
      <c r="KUW9" s="448"/>
      <c r="KUX9" s="448"/>
      <c r="KUY9" s="448"/>
      <c r="KUZ9" s="448"/>
      <c r="KVA9" s="448"/>
      <c r="KVB9" s="448"/>
      <c r="KVC9" s="448"/>
      <c r="KVD9" s="448"/>
      <c r="KVE9" s="448"/>
      <c r="KVF9" s="448"/>
      <c r="KVG9" s="448"/>
      <c r="KVH9" s="448"/>
      <c r="KVI9" s="448"/>
      <c r="KVJ9" s="448"/>
      <c r="KVK9" s="448"/>
      <c r="KVL9" s="448"/>
      <c r="KVM9" s="448"/>
      <c r="KVN9" s="448"/>
      <c r="KVO9" s="448"/>
      <c r="KVP9" s="448"/>
      <c r="KVQ9" s="448"/>
      <c r="KVR9" s="448"/>
      <c r="KVS9" s="448"/>
      <c r="KVT9" s="448"/>
      <c r="KVU9" s="448"/>
      <c r="KVV9" s="448"/>
      <c r="KVW9" s="448"/>
      <c r="KVX9" s="448"/>
      <c r="KVY9" s="448"/>
      <c r="KVZ9" s="448"/>
      <c r="KWA9" s="448"/>
      <c r="KWB9" s="448"/>
      <c r="KWC9" s="446"/>
      <c r="KWD9" s="447"/>
      <c r="KWE9" s="448"/>
      <c r="KWF9" s="448"/>
      <c r="KWG9" s="448"/>
      <c r="KWH9" s="448"/>
      <c r="KWI9" s="448"/>
      <c r="KWJ9" s="448"/>
      <c r="KWK9" s="448"/>
      <c r="KWL9" s="448"/>
      <c r="KWM9" s="448"/>
      <c r="KWN9" s="448"/>
      <c r="KWO9" s="448"/>
      <c r="KWP9" s="448"/>
      <c r="KWQ9" s="448"/>
      <c r="KWR9" s="448"/>
      <c r="KWS9" s="448"/>
      <c r="KWT9" s="448"/>
      <c r="KWU9" s="448"/>
      <c r="KWV9" s="448"/>
      <c r="KWW9" s="448"/>
      <c r="KWX9" s="448"/>
      <c r="KWY9" s="448"/>
      <c r="KWZ9" s="448"/>
      <c r="KXA9" s="448"/>
      <c r="KXB9" s="448"/>
      <c r="KXC9" s="448"/>
      <c r="KXD9" s="448"/>
      <c r="KXE9" s="448"/>
      <c r="KXF9" s="448"/>
      <c r="KXG9" s="448"/>
      <c r="KXH9" s="448"/>
      <c r="KXI9" s="448"/>
      <c r="KXJ9" s="448"/>
      <c r="KXK9" s="448"/>
      <c r="KXL9" s="448"/>
      <c r="KXM9" s="448"/>
      <c r="KXN9" s="448"/>
      <c r="KXO9" s="448"/>
      <c r="KXP9" s="448"/>
      <c r="KXQ9" s="448"/>
      <c r="KXR9" s="446"/>
      <c r="KXS9" s="447"/>
      <c r="KXT9" s="448"/>
      <c r="KXU9" s="448"/>
      <c r="KXV9" s="448"/>
      <c r="KXW9" s="448"/>
      <c r="KXX9" s="448"/>
      <c r="KXY9" s="448"/>
      <c r="KXZ9" s="448"/>
      <c r="KYA9" s="448"/>
      <c r="KYB9" s="448"/>
      <c r="KYC9" s="448"/>
      <c r="KYD9" s="448"/>
      <c r="KYE9" s="448"/>
      <c r="KYF9" s="448"/>
      <c r="KYG9" s="448"/>
      <c r="KYH9" s="448"/>
      <c r="KYI9" s="448"/>
      <c r="KYJ9" s="448"/>
      <c r="KYK9" s="448"/>
      <c r="KYL9" s="448"/>
      <c r="KYM9" s="448"/>
      <c r="KYN9" s="448"/>
      <c r="KYO9" s="448"/>
      <c r="KYP9" s="448"/>
      <c r="KYQ9" s="448"/>
      <c r="KYR9" s="448"/>
      <c r="KYS9" s="448"/>
      <c r="KYT9" s="448"/>
      <c r="KYU9" s="448"/>
      <c r="KYV9" s="448"/>
      <c r="KYW9" s="448"/>
      <c r="KYX9" s="448"/>
      <c r="KYY9" s="448"/>
      <c r="KYZ9" s="448"/>
      <c r="KZA9" s="448"/>
      <c r="KZB9" s="448"/>
      <c r="KZC9" s="448"/>
      <c r="KZD9" s="448"/>
      <c r="KZE9" s="448"/>
      <c r="KZF9" s="448"/>
      <c r="KZG9" s="446"/>
      <c r="KZH9" s="447"/>
      <c r="KZI9" s="448"/>
      <c r="KZJ9" s="448"/>
      <c r="KZK9" s="448"/>
      <c r="KZL9" s="448"/>
      <c r="KZM9" s="448"/>
      <c r="KZN9" s="448"/>
      <c r="KZO9" s="448"/>
      <c r="KZP9" s="448"/>
      <c r="KZQ9" s="448"/>
      <c r="KZR9" s="448"/>
      <c r="KZS9" s="448"/>
      <c r="KZT9" s="448"/>
      <c r="KZU9" s="448"/>
      <c r="KZV9" s="448"/>
      <c r="KZW9" s="448"/>
      <c r="KZX9" s="448"/>
      <c r="KZY9" s="448"/>
      <c r="KZZ9" s="448"/>
      <c r="LAA9" s="448"/>
      <c r="LAB9" s="448"/>
      <c r="LAC9" s="448"/>
      <c r="LAD9" s="448"/>
      <c r="LAE9" s="448"/>
      <c r="LAF9" s="448"/>
      <c r="LAG9" s="448"/>
      <c r="LAH9" s="448"/>
      <c r="LAI9" s="448"/>
      <c r="LAJ9" s="448"/>
      <c r="LAK9" s="448"/>
      <c r="LAL9" s="448"/>
      <c r="LAM9" s="448"/>
      <c r="LAN9" s="448"/>
      <c r="LAO9" s="448"/>
      <c r="LAP9" s="448"/>
      <c r="LAQ9" s="448"/>
      <c r="LAR9" s="448"/>
      <c r="LAS9" s="448"/>
      <c r="LAT9" s="448"/>
      <c r="LAU9" s="448"/>
      <c r="LAV9" s="446"/>
      <c r="LAW9" s="447"/>
      <c r="LAX9" s="448"/>
      <c r="LAY9" s="448"/>
      <c r="LAZ9" s="448"/>
      <c r="LBA9" s="448"/>
      <c r="LBB9" s="448"/>
      <c r="LBC9" s="448"/>
      <c r="LBD9" s="448"/>
      <c r="LBE9" s="448"/>
      <c r="LBF9" s="448"/>
      <c r="LBG9" s="448"/>
      <c r="LBH9" s="448"/>
      <c r="LBI9" s="448"/>
      <c r="LBJ9" s="448"/>
      <c r="LBK9" s="448"/>
      <c r="LBL9" s="448"/>
      <c r="LBM9" s="448"/>
      <c r="LBN9" s="448"/>
      <c r="LBO9" s="448"/>
      <c r="LBP9" s="448"/>
      <c r="LBQ9" s="448"/>
      <c r="LBR9" s="448"/>
      <c r="LBS9" s="448"/>
      <c r="LBT9" s="448"/>
      <c r="LBU9" s="448"/>
      <c r="LBV9" s="448"/>
      <c r="LBW9" s="448"/>
      <c r="LBX9" s="448"/>
      <c r="LBY9" s="448"/>
      <c r="LBZ9" s="448"/>
      <c r="LCA9" s="448"/>
      <c r="LCB9" s="448"/>
      <c r="LCC9" s="448"/>
      <c r="LCD9" s="448"/>
      <c r="LCE9" s="448"/>
      <c r="LCF9" s="448"/>
      <c r="LCG9" s="448"/>
      <c r="LCH9" s="448"/>
      <c r="LCI9" s="448"/>
      <c r="LCJ9" s="448"/>
      <c r="LCK9" s="446"/>
      <c r="LCL9" s="447"/>
      <c r="LCM9" s="448"/>
      <c r="LCN9" s="448"/>
      <c r="LCO9" s="448"/>
      <c r="LCP9" s="448"/>
      <c r="LCQ9" s="448"/>
      <c r="LCR9" s="448"/>
      <c r="LCS9" s="448"/>
      <c r="LCT9" s="448"/>
      <c r="LCU9" s="448"/>
      <c r="LCV9" s="448"/>
      <c r="LCW9" s="448"/>
      <c r="LCX9" s="448"/>
      <c r="LCY9" s="448"/>
      <c r="LCZ9" s="448"/>
      <c r="LDA9" s="448"/>
      <c r="LDB9" s="448"/>
      <c r="LDC9" s="448"/>
      <c r="LDD9" s="448"/>
      <c r="LDE9" s="448"/>
      <c r="LDF9" s="448"/>
      <c r="LDG9" s="448"/>
      <c r="LDH9" s="448"/>
      <c r="LDI9" s="448"/>
      <c r="LDJ9" s="448"/>
      <c r="LDK9" s="448"/>
      <c r="LDL9" s="448"/>
      <c r="LDM9" s="448"/>
      <c r="LDN9" s="448"/>
      <c r="LDO9" s="448"/>
      <c r="LDP9" s="448"/>
      <c r="LDQ9" s="448"/>
      <c r="LDR9" s="448"/>
      <c r="LDS9" s="448"/>
      <c r="LDT9" s="448"/>
      <c r="LDU9" s="448"/>
      <c r="LDV9" s="448"/>
      <c r="LDW9" s="448"/>
      <c r="LDX9" s="448"/>
      <c r="LDY9" s="448"/>
      <c r="LDZ9" s="446"/>
      <c r="LEA9" s="447"/>
      <c r="LEB9" s="448"/>
      <c r="LEC9" s="448"/>
      <c r="LED9" s="448"/>
      <c r="LEE9" s="448"/>
      <c r="LEF9" s="448"/>
      <c r="LEG9" s="448"/>
      <c r="LEH9" s="448"/>
      <c r="LEI9" s="448"/>
      <c r="LEJ9" s="448"/>
      <c r="LEK9" s="448"/>
      <c r="LEL9" s="448"/>
      <c r="LEM9" s="448"/>
      <c r="LEN9" s="448"/>
      <c r="LEO9" s="448"/>
      <c r="LEP9" s="448"/>
      <c r="LEQ9" s="448"/>
      <c r="LER9" s="448"/>
      <c r="LES9" s="448"/>
      <c r="LET9" s="448"/>
      <c r="LEU9" s="448"/>
      <c r="LEV9" s="448"/>
      <c r="LEW9" s="448"/>
      <c r="LEX9" s="448"/>
      <c r="LEY9" s="448"/>
      <c r="LEZ9" s="448"/>
      <c r="LFA9" s="448"/>
      <c r="LFB9" s="448"/>
      <c r="LFC9" s="448"/>
      <c r="LFD9" s="448"/>
      <c r="LFE9" s="448"/>
      <c r="LFF9" s="448"/>
      <c r="LFG9" s="448"/>
      <c r="LFH9" s="448"/>
      <c r="LFI9" s="448"/>
      <c r="LFJ9" s="448"/>
      <c r="LFK9" s="448"/>
      <c r="LFL9" s="448"/>
      <c r="LFM9" s="448"/>
      <c r="LFN9" s="448"/>
      <c r="LFO9" s="446"/>
      <c r="LFP9" s="447"/>
      <c r="LFQ9" s="448"/>
      <c r="LFR9" s="448"/>
      <c r="LFS9" s="448"/>
      <c r="LFT9" s="448"/>
      <c r="LFU9" s="448"/>
      <c r="LFV9" s="448"/>
      <c r="LFW9" s="448"/>
      <c r="LFX9" s="448"/>
      <c r="LFY9" s="448"/>
      <c r="LFZ9" s="448"/>
      <c r="LGA9" s="448"/>
      <c r="LGB9" s="448"/>
      <c r="LGC9" s="448"/>
      <c r="LGD9" s="448"/>
      <c r="LGE9" s="448"/>
      <c r="LGF9" s="448"/>
      <c r="LGG9" s="448"/>
      <c r="LGH9" s="448"/>
      <c r="LGI9" s="448"/>
      <c r="LGJ9" s="448"/>
      <c r="LGK9" s="448"/>
      <c r="LGL9" s="448"/>
      <c r="LGM9" s="448"/>
      <c r="LGN9" s="448"/>
      <c r="LGO9" s="448"/>
      <c r="LGP9" s="448"/>
      <c r="LGQ9" s="448"/>
      <c r="LGR9" s="448"/>
      <c r="LGS9" s="448"/>
      <c r="LGT9" s="448"/>
      <c r="LGU9" s="448"/>
      <c r="LGV9" s="448"/>
      <c r="LGW9" s="448"/>
      <c r="LGX9" s="448"/>
      <c r="LGY9" s="448"/>
      <c r="LGZ9" s="448"/>
      <c r="LHA9" s="448"/>
      <c r="LHB9" s="448"/>
      <c r="LHC9" s="448"/>
      <c r="LHD9" s="446"/>
      <c r="LHE9" s="447"/>
      <c r="LHF9" s="448"/>
      <c r="LHG9" s="448"/>
      <c r="LHH9" s="448"/>
      <c r="LHI9" s="448"/>
      <c r="LHJ9" s="448"/>
      <c r="LHK9" s="448"/>
      <c r="LHL9" s="448"/>
      <c r="LHM9" s="448"/>
      <c r="LHN9" s="448"/>
      <c r="LHO9" s="448"/>
      <c r="LHP9" s="448"/>
      <c r="LHQ9" s="448"/>
      <c r="LHR9" s="448"/>
      <c r="LHS9" s="448"/>
      <c r="LHT9" s="448"/>
      <c r="LHU9" s="448"/>
      <c r="LHV9" s="448"/>
      <c r="LHW9" s="448"/>
      <c r="LHX9" s="448"/>
      <c r="LHY9" s="448"/>
      <c r="LHZ9" s="448"/>
      <c r="LIA9" s="448"/>
      <c r="LIB9" s="448"/>
      <c r="LIC9" s="448"/>
      <c r="LID9" s="448"/>
      <c r="LIE9" s="448"/>
      <c r="LIF9" s="448"/>
      <c r="LIG9" s="448"/>
      <c r="LIH9" s="448"/>
      <c r="LII9" s="448"/>
      <c r="LIJ9" s="448"/>
      <c r="LIK9" s="448"/>
      <c r="LIL9" s="448"/>
      <c r="LIM9" s="448"/>
      <c r="LIN9" s="448"/>
      <c r="LIO9" s="448"/>
      <c r="LIP9" s="448"/>
      <c r="LIQ9" s="448"/>
      <c r="LIR9" s="448"/>
      <c r="LIS9" s="446"/>
      <c r="LIT9" s="447"/>
      <c r="LIU9" s="448"/>
      <c r="LIV9" s="448"/>
      <c r="LIW9" s="448"/>
      <c r="LIX9" s="448"/>
      <c r="LIY9" s="448"/>
      <c r="LIZ9" s="448"/>
      <c r="LJA9" s="448"/>
      <c r="LJB9" s="448"/>
      <c r="LJC9" s="448"/>
      <c r="LJD9" s="448"/>
      <c r="LJE9" s="448"/>
      <c r="LJF9" s="448"/>
      <c r="LJG9" s="448"/>
      <c r="LJH9" s="448"/>
      <c r="LJI9" s="448"/>
      <c r="LJJ9" s="448"/>
      <c r="LJK9" s="448"/>
      <c r="LJL9" s="448"/>
      <c r="LJM9" s="448"/>
      <c r="LJN9" s="448"/>
      <c r="LJO9" s="448"/>
      <c r="LJP9" s="448"/>
      <c r="LJQ9" s="448"/>
      <c r="LJR9" s="448"/>
      <c r="LJS9" s="448"/>
      <c r="LJT9" s="448"/>
      <c r="LJU9" s="448"/>
      <c r="LJV9" s="448"/>
      <c r="LJW9" s="448"/>
      <c r="LJX9" s="448"/>
      <c r="LJY9" s="448"/>
      <c r="LJZ9" s="448"/>
      <c r="LKA9" s="448"/>
      <c r="LKB9" s="448"/>
      <c r="LKC9" s="448"/>
      <c r="LKD9" s="448"/>
      <c r="LKE9" s="448"/>
      <c r="LKF9" s="448"/>
      <c r="LKG9" s="448"/>
      <c r="LKH9" s="446"/>
      <c r="LKI9" s="447"/>
      <c r="LKJ9" s="448"/>
      <c r="LKK9" s="448"/>
      <c r="LKL9" s="448"/>
      <c r="LKM9" s="448"/>
      <c r="LKN9" s="448"/>
      <c r="LKO9" s="448"/>
      <c r="LKP9" s="448"/>
      <c r="LKQ9" s="448"/>
      <c r="LKR9" s="448"/>
      <c r="LKS9" s="448"/>
      <c r="LKT9" s="448"/>
      <c r="LKU9" s="448"/>
      <c r="LKV9" s="448"/>
      <c r="LKW9" s="448"/>
      <c r="LKX9" s="448"/>
      <c r="LKY9" s="448"/>
      <c r="LKZ9" s="448"/>
      <c r="LLA9" s="448"/>
      <c r="LLB9" s="448"/>
      <c r="LLC9" s="448"/>
      <c r="LLD9" s="448"/>
      <c r="LLE9" s="448"/>
      <c r="LLF9" s="448"/>
      <c r="LLG9" s="448"/>
      <c r="LLH9" s="448"/>
      <c r="LLI9" s="448"/>
      <c r="LLJ9" s="448"/>
      <c r="LLK9" s="448"/>
      <c r="LLL9" s="448"/>
      <c r="LLM9" s="448"/>
      <c r="LLN9" s="448"/>
      <c r="LLO9" s="448"/>
      <c r="LLP9" s="448"/>
      <c r="LLQ9" s="448"/>
      <c r="LLR9" s="448"/>
      <c r="LLS9" s="448"/>
      <c r="LLT9" s="448"/>
      <c r="LLU9" s="448"/>
      <c r="LLV9" s="448"/>
      <c r="LLW9" s="446"/>
      <c r="LLX9" s="447"/>
      <c r="LLY9" s="448"/>
      <c r="LLZ9" s="448"/>
      <c r="LMA9" s="448"/>
      <c r="LMB9" s="448"/>
      <c r="LMC9" s="448"/>
      <c r="LMD9" s="448"/>
      <c r="LME9" s="448"/>
      <c r="LMF9" s="448"/>
      <c r="LMG9" s="448"/>
      <c r="LMH9" s="448"/>
      <c r="LMI9" s="448"/>
      <c r="LMJ9" s="448"/>
      <c r="LMK9" s="448"/>
      <c r="LML9" s="448"/>
      <c r="LMM9" s="448"/>
      <c r="LMN9" s="448"/>
      <c r="LMO9" s="448"/>
      <c r="LMP9" s="448"/>
      <c r="LMQ9" s="448"/>
      <c r="LMR9" s="448"/>
      <c r="LMS9" s="448"/>
      <c r="LMT9" s="448"/>
      <c r="LMU9" s="448"/>
      <c r="LMV9" s="448"/>
      <c r="LMW9" s="448"/>
      <c r="LMX9" s="448"/>
      <c r="LMY9" s="448"/>
      <c r="LMZ9" s="448"/>
      <c r="LNA9" s="448"/>
      <c r="LNB9" s="448"/>
      <c r="LNC9" s="448"/>
      <c r="LND9" s="448"/>
      <c r="LNE9" s="448"/>
      <c r="LNF9" s="448"/>
      <c r="LNG9" s="448"/>
      <c r="LNH9" s="448"/>
      <c r="LNI9" s="448"/>
      <c r="LNJ9" s="448"/>
      <c r="LNK9" s="448"/>
      <c r="LNL9" s="446"/>
      <c r="LNM9" s="447"/>
      <c r="LNN9" s="448"/>
      <c r="LNO9" s="448"/>
      <c r="LNP9" s="448"/>
      <c r="LNQ9" s="448"/>
      <c r="LNR9" s="448"/>
      <c r="LNS9" s="448"/>
      <c r="LNT9" s="448"/>
      <c r="LNU9" s="448"/>
      <c r="LNV9" s="448"/>
      <c r="LNW9" s="448"/>
      <c r="LNX9" s="448"/>
      <c r="LNY9" s="448"/>
      <c r="LNZ9" s="448"/>
      <c r="LOA9" s="448"/>
      <c r="LOB9" s="448"/>
      <c r="LOC9" s="448"/>
      <c r="LOD9" s="448"/>
      <c r="LOE9" s="448"/>
      <c r="LOF9" s="448"/>
      <c r="LOG9" s="448"/>
      <c r="LOH9" s="448"/>
      <c r="LOI9" s="448"/>
      <c r="LOJ9" s="448"/>
      <c r="LOK9" s="448"/>
      <c r="LOL9" s="448"/>
      <c r="LOM9" s="448"/>
      <c r="LON9" s="448"/>
      <c r="LOO9" s="448"/>
      <c r="LOP9" s="448"/>
      <c r="LOQ9" s="448"/>
      <c r="LOR9" s="448"/>
      <c r="LOS9" s="448"/>
      <c r="LOT9" s="448"/>
      <c r="LOU9" s="448"/>
      <c r="LOV9" s="448"/>
      <c r="LOW9" s="448"/>
      <c r="LOX9" s="448"/>
      <c r="LOY9" s="448"/>
      <c r="LOZ9" s="448"/>
      <c r="LPA9" s="446"/>
      <c r="LPB9" s="447"/>
      <c r="LPC9" s="448"/>
      <c r="LPD9" s="448"/>
      <c r="LPE9" s="448"/>
      <c r="LPF9" s="448"/>
      <c r="LPG9" s="448"/>
      <c r="LPH9" s="448"/>
      <c r="LPI9" s="448"/>
      <c r="LPJ9" s="448"/>
      <c r="LPK9" s="448"/>
      <c r="LPL9" s="448"/>
      <c r="LPM9" s="448"/>
      <c r="LPN9" s="448"/>
      <c r="LPO9" s="448"/>
      <c r="LPP9" s="448"/>
      <c r="LPQ9" s="448"/>
      <c r="LPR9" s="448"/>
      <c r="LPS9" s="448"/>
      <c r="LPT9" s="448"/>
      <c r="LPU9" s="448"/>
      <c r="LPV9" s="448"/>
      <c r="LPW9" s="448"/>
      <c r="LPX9" s="448"/>
      <c r="LPY9" s="448"/>
      <c r="LPZ9" s="448"/>
      <c r="LQA9" s="448"/>
      <c r="LQB9" s="448"/>
      <c r="LQC9" s="448"/>
      <c r="LQD9" s="448"/>
      <c r="LQE9" s="448"/>
      <c r="LQF9" s="448"/>
      <c r="LQG9" s="448"/>
      <c r="LQH9" s="448"/>
      <c r="LQI9" s="448"/>
      <c r="LQJ9" s="448"/>
      <c r="LQK9" s="448"/>
      <c r="LQL9" s="448"/>
      <c r="LQM9" s="448"/>
      <c r="LQN9" s="448"/>
      <c r="LQO9" s="448"/>
      <c r="LQP9" s="446"/>
      <c r="LQQ9" s="447"/>
      <c r="LQR9" s="448"/>
      <c r="LQS9" s="448"/>
      <c r="LQT9" s="448"/>
      <c r="LQU9" s="448"/>
      <c r="LQV9" s="448"/>
      <c r="LQW9" s="448"/>
      <c r="LQX9" s="448"/>
      <c r="LQY9" s="448"/>
      <c r="LQZ9" s="448"/>
      <c r="LRA9" s="448"/>
      <c r="LRB9" s="448"/>
      <c r="LRC9" s="448"/>
      <c r="LRD9" s="448"/>
      <c r="LRE9" s="448"/>
      <c r="LRF9" s="448"/>
      <c r="LRG9" s="448"/>
      <c r="LRH9" s="448"/>
      <c r="LRI9" s="448"/>
      <c r="LRJ9" s="448"/>
      <c r="LRK9" s="448"/>
      <c r="LRL9" s="448"/>
      <c r="LRM9" s="448"/>
      <c r="LRN9" s="448"/>
      <c r="LRO9" s="448"/>
      <c r="LRP9" s="448"/>
      <c r="LRQ9" s="448"/>
      <c r="LRR9" s="448"/>
      <c r="LRS9" s="448"/>
      <c r="LRT9" s="448"/>
      <c r="LRU9" s="448"/>
      <c r="LRV9" s="448"/>
      <c r="LRW9" s="448"/>
      <c r="LRX9" s="448"/>
      <c r="LRY9" s="448"/>
      <c r="LRZ9" s="448"/>
      <c r="LSA9" s="448"/>
      <c r="LSB9" s="448"/>
      <c r="LSC9" s="448"/>
      <c r="LSD9" s="448"/>
      <c r="LSE9" s="446"/>
      <c r="LSF9" s="447"/>
      <c r="LSG9" s="448"/>
      <c r="LSH9" s="448"/>
      <c r="LSI9" s="448"/>
      <c r="LSJ9" s="448"/>
      <c r="LSK9" s="448"/>
      <c r="LSL9" s="448"/>
      <c r="LSM9" s="448"/>
      <c r="LSN9" s="448"/>
      <c r="LSO9" s="448"/>
      <c r="LSP9" s="448"/>
      <c r="LSQ9" s="448"/>
      <c r="LSR9" s="448"/>
      <c r="LSS9" s="448"/>
      <c r="LST9" s="448"/>
      <c r="LSU9" s="448"/>
      <c r="LSV9" s="448"/>
      <c r="LSW9" s="448"/>
      <c r="LSX9" s="448"/>
      <c r="LSY9" s="448"/>
      <c r="LSZ9" s="448"/>
      <c r="LTA9" s="448"/>
      <c r="LTB9" s="448"/>
      <c r="LTC9" s="448"/>
      <c r="LTD9" s="448"/>
      <c r="LTE9" s="448"/>
      <c r="LTF9" s="448"/>
      <c r="LTG9" s="448"/>
      <c r="LTH9" s="448"/>
      <c r="LTI9" s="448"/>
      <c r="LTJ9" s="448"/>
      <c r="LTK9" s="448"/>
      <c r="LTL9" s="448"/>
      <c r="LTM9" s="448"/>
      <c r="LTN9" s="448"/>
      <c r="LTO9" s="448"/>
      <c r="LTP9" s="448"/>
      <c r="LTQ9" s="448"/>
      <c r="LTR9" s="448"/>
      <c r="LTS9" s="448"/>
      <c r="LTT9" s="446"/>
      <c r="LTU9" s="447"/>
      <c r="LTV9" s="448"/>
      <c r="LTW9" s="448"/>
      <c r="LTX9" s="448"/>
      <c r="LTY9" s="448"/>
      <c r="LTZ9" s="448"/>
      <c r="LUA9" s="448"/>
      <c r="LUB9" s="448"/>
      <c r="LUC9" s="448"/>
      <c r="LUD9" s="448"/>
      <c r="LUE9" s="448"/>
      <c r="LUF9" s="448"/>
      <c r="LUG9" s="448"/>
      <c r="LUH9" s="448"/>
      <c r="LUI9" s="448"/>
      <c r="LUJ9" s="448"/>
      <c r="LUK9" s="448"/>
      <c r="LUL9" s="448"/>
      <c r="LUM9" s="448"/>
      <c r="LUN9" s="448"/>
      <c r="LUO9" s="448"/>
      <c r="LUP9" s="448"/>
      <c r="LUQ9" s="448"/>
      <c r="LUR9" s="448"/>
      <c r="LUS9" s="448"/>
      <c r="LUT9" s="448"/>
      <c r="LUU9" s="448"/>
      <c r="LUV9" s="448"/>
      <c r="LUW9" s="448"/>
      <c r="LUX9" s="448"/>
      <c r="LUY9" s="448"/>
      <c r="LUZ9" s="448"/>
      <c r="LVA9" s="448"/>
      <c r="LVB9" s="448"/>
      <c r="LVC9" s="448"/>
      <c r="LVD9" s="448"/>
      <c r="LVE9" s="448"/>
      <c r="LVF9" s="448"/>
      <c r="LVG9" s="448"/>
      <c r="LVH9" s="448"/>
      <c r="LVI9" s="446"/>
      <c r="LVJ9" s="447"/>
      <c r="LVK9" s="448"/>
      <c r="LVL9" s="448"/>
      <c r="LVM9" s="448"/>
      <c r="LVN9" s="448"/>
      <c r="LVO9" s="448"/>
      <c r="LVP9" s="448"/>
      <c r="LVQ9" s="448"/>
      <c r="LVR9" s="448"/>
      <c r="LVS9" s="448"/>
      <c r="LVT9" s="448"/>
      <c r="LVU9" s="448"/>
      <c r="LVV9" s="448"/>
      <c r="LVW9" s="448"/>
      <c r="LVX9" s="448"/>
      <c r="LVY9" s="448"/>
      <c r="LVZ9" s="448"/>
      <c r="LWA9" s="448"/>
      <c r="LWB9" s="448"/>
      <c r="LWC9" s="448"/>
      <c r="LWD9" s="448"/>
      <c r="LWE9" s="448"/>
      <c r="LWF9" s="448"/>
      <c r="LWG9" s="448"/>
      <c r="LWH9" s="448"/>
      <c r="LWI9" s="448"/>
      <c r="LWJ9" s="448"/>
      <c r="LWK9" s="448"/>
      <c r="LWL9" s="448"/>
      <c r="LWM9" s="448"/>
      <c r="LWN9" s="448"/>
      <c r="LWO9" s="448"/>
      <c r="LWP9" s="448"/>
      <c r="LWQ9" s="448"/>
      <c r="LWR9" s="448"/>
      <c r="LWS9" s="448"/>
      <c r="LWT9" s="448"/>
      <c r="LWU9" s="448"/>
      <c r="LWV9" s="448"/>
      <c r="LWW9" s="448"/>
      <c r="LWX9" s="446"/>
      <c r="LWY9" s="447"/>
      <c r="LWZ9" s="448"/>
      <c r="LXA9" s="448"/>
      <c r="LXB9" s="448"/>
      <c r="LXC9" s="448"/>
      <c r="LXD9" s="448"/>
      <c r="LXE9" s="448"/>
      <c r="LXF9" s="448"/>
      <c r="LXG9" s="448"/>
      <c r="LXH9" s="448"/>
      <c r="LXI9" s="448"/>
      <c r="LXJ9" s="448"/>
      <c r="LXK9" s="448"/>
      <c r="LXL9" s="448"/>
      <c r="LXM9" s="448"/>
      <c r="LXN9" s="448"/>
      <c r="LXO9" s="448"/>
      <c r="LXP9" s="448"/>
      <c r="LXQ9" s="448"/>
      <c r="LXR9" s="448"/>
      <c r="LXS9" s="448"/>
      <c r="LXT9" s="448"/>
      <c r="LXU9" s="448"/>
      <c r="LXV9" s="448"/>
      <c r="LXW9" s="448"/>
      <c r="LXX9" s="448"/>
      <c r="LXY9" s="448"/>
      <c r="LXZ9" s="448"/>
      <c r="LYA9" s="448"/>
      <c r="LYB9" s="448"/>
      <c r="LYC9" s="448"/>
      <c r="LYD9" s="448"/>
      <c r="LYE9" s="448"/>
      <c r="LYF9" s="448"/>
      <c r="LYG9" s="448"/>
      <c r="LYH9" s="448"/>
      <c r="LYI9" s="448"/>
      <c r="LYJ9" s="448"/>
      <c r="LYK9" s="448"/>
      <c r="LYL9" s="448"/>
      <c r="LYM9" s="446"/>
      <c r="LYN9" s="447"/>
      <c r="LYO9" s="448"/>
      <c r="LYP9" s="448"/>
      <c r="LYQ9" s="448"/>
      <c r="LYR9" s="448"/>
      <c r="LYS9" s="448"/>
      <c r="LYT9" s="448"/>
      <c r="LYU9" s="448"/>
      <c r="LYV9" s="448"/>
      <c r="LYW9" s="448"/>
      <c r="LYX9" s="448"/>
      <c r="LYY9" s="448"/>
      <c r="LYZ9" s="448"/>
      <c r="LZA9" s="448"/>
      <c r="LZB9" s="448"/>
      <c r="LZC9" s="448"/>
      <c r="LZD9" s="448"/>
      <c r="LZE9" s="448"/>
      <c r="LZF9" s="448"/>
      <c r="LZG9" s="448"/>
      <c r="LZH9" s="448"/>
      <c r="LZI9" s="448"/>
      <c r="LZJ9" s="448"/>
      <c r="LZK9" s="448"/>
      <c r="LZL9" s="448"/>
      <c r="LZM9" s="448"/>
      <c r="LZN9" s="448"/>
      <c r="LZO9" s="448"/>
      <c r="LZP9" s="448"/>
      <c r="LZQ9" s="448"/>
      <c r="LZR9" s="448"/>
      <c r="LZS9" s="448"/>
      <c r="LZT9" s="448"/>
      <c r="LZU9" s="448"/>
      <c r="LZV9" s="448"/>
      <c r="LZW9" s="448"/>
      <c r="LZX9" s="448"/>
      <c r="LZY9" s="448"/>
      <c r="LZZ9" s="448"/>
      <c r="MAA9" s="448"/>
      <c r="MAB9" s="446"/>
      <c r="MAC9" s="447"/>
      <c r="MAD9" s="448"/>
      <c r="MAE9" s="448"/>
      <c r="MAF9" s="448"/>
      <c r="MAG9" s="448"/>
      <c r="MAH9" s="448"/>
      <c r="MAI9" s="448"/>
      <c r="MAJ9" s="448"/>
      <c r="MAK9" s="448"/>
      <c r="MAL9" s="448"/>
      <c r="MAM9" s="448"/>
      <c r="MAN9" s="448"/>
      <c r="MAO9" s="448"/>
      <c r="MAP9" s="448"/>
      <c r="MAQ9" s="448"/>
      <c r="MAR9" s="448"/>
      <c r="MAS9" s="448"/>
      <c r="MAT9" s="448"/>
      <c r="MAU9" s="448"/>
      <c r="MAV9" s="448"/>
      <c r="MAW9" s="448"/>
      <c r="MAX9" s="448"/>
      <c r="MAY9" s="448"/>
      <c r="MAZ9" s="448"/>
      <c r="MBA9" s="448"/>
      <c r="MBB9" s="448"/>
      <c r="MBC9" s="448"/>
      <c r="MBD9" s="448"/>
      <c r="MBE9" s="448"/>
      <c r="MBF9" s="448"/>
      <c r="MBG9" s="448"/>
      <c r="MBH9" s="448"/>
      <c r="MBI9" s="448"/>
      <c r="MBJ9" s="448"/>
      <c r="MBK9" s="448"/>
      <c r="MBL9" s="448"/>
      <c r="MBM9" s="448"/>
      <c r="MBN9" s="448"/>
      <c r="MBO9" s="448"/>
      <c r="MBP9" s="448"/>
      <c r="MBQ9" s="446"/>
      <c r="MBR9" s="447"/>
      <c r="MBS9" s="448"/>
      <c r="MBT9" s="448"/>
      <c r="MBU9" s="448"/>
      <c r="MBV9" s="448"/>
      <c r="MBW9" s="448"/>
      <c r="MBX9" s="448"/>
      <c r="MBY9" s="448"/>
      <c r="MBZ9" s="448"/>
      <c r="MCA9" s="448"/>
      <c r="MCB9" s="448"/>
      <c r="MCC9" s="448"/>
      <c r="MCD9" s="448"/>
      <c r="MCE9" s="448"/>
      <c r="MCF9" s="448"/>
      <c r="MCG9" s="448"/>
      <c r="MCH9" s="448"/>
      <c r="MCI9" s="448"/>
      <c r="MCJ9" s="448"/>
      <c r="MCK9" s="448"/>
      <c r="MCL9" s="448"/>
      <c r="MCM9" s="448"/>
      <c r="MCN9" s="448"/>
      <c r="MCO9" s="448"/>
      <c r="MCP9" s="448"/>
      <c r="MCQ9" s="448"/>
      <c r="MCR9" s="448"/>
      <c r="MCS9" s="448"/>
      <c r="MCT9" s="448"/>
      <c r="MCU9" s="448"/>
      <c r="MCV9" s="448"/>
      <c r="MCW9" s="448"/>
      <c r="MCX9" s="448"/>
      <c r="MCY9" s="448"/>
      <c r="MCZ9" s="448"/>
      <c r="MDA9" s="448"/>
      <c r="MDB9" s="448"/>
      <c r="MDC9" s="448"/>
      <c r="MDD9" s="448"/>
      <c r="MDE9" s="448"/>
      <c r="MDF9" s="446"/>
      <c r="MDG9" s="447"/>
      <c r="MDH9" s="448"/>
      <c r="MDI9" s="448"/>
      <c r="MDJ9" s="448"/>
      <c r="MDK9" s="448"/>
      <c r="MDL9" s="448"/>
      <c r="MDM9" s="448"/>
      <c r="MDN9" s="448"/>
      <c r="MDO9" s="448"/>
      <c r="MDP9" s="448"/>
      <c r="MDQ9" s="448"/>
      <c r="MDR9" s="448"/>
      <c r="MDS9" s="448"/>
      <c r="MDT9" s="448"/>
      <c r="MDU9" s="448"/>
      <c r="MDV9" s="448"/>
      <c r="MDW9" s="448"/>
      <c r="MDX9" s="448"/>
      <c r="MDY9" s="448"/>
      <c r="MDZ9" s="448"/>
      <c r="MEA9" s="448"/>
      <c r="MEB9" s="448"/>
      <c r="MEC9" s="448"/>
      <c r="MED9" s="448"/>
      <c r="MEE9" s="448"/>
      <c r="MEF9" s="448"/>
      <c r="MEG9" s="448"/>
      <c r="MEH9" s="448"/>
      <c r="MEI9" s="448"/>
      <c r="MEJ9" s="448"/>
      <c r="MEK9" s="448"/>
      <c r="MEL9" s="448"/>
      <c r="MEM9" s="448"/>
      <c r="MEN9" s="448"/>
      <c r="MEO9" s="448"/>
      <c r="MEP9" s="448"/>
      <c r="MEQ9" s="448"/>
      <c r="MER9" s="448"/>
      <c r="MES9" s="448"/>
      <c r="MET9" s="448"/>
      <c r="MEU9" s="446"/>
      <c r="MEV9" s="447"/>
      <c r="MEW9" s="448"/>
      <c r="MEX9" s="448"/>
      <c r="MEY9" s="448"/>
      <c r="MEZ9" s="448"/>
      <c r="MFA9" s="448"/>
      <c r="MFB9" s="448"/>
      <c r="MFC9" s="448"/>
      <c r="MFD9" s="448"/>
      <c r="MFE9" s="448"/>
      <c r="MFF9" s="448"/>
      <c r="MFG9" s="448"/>
      <c r="MFH9" s="448"/>
      <c r="MFI9" s="448"/>
      <c r="MFJ9" s="448"/>
      <c r="MFK9" s="448"/>
      <c r="MFL9" s="448"/>
      <c r="MFM9" s="448"/>
      <c r="MFN9" s="448"/>
      <c r="MFO9" s="448"/>
      <c r="MFP9" s="448"/>
      <c r="MFQ9" s="448"/>
      <c r="MFR9" s="448"/>
      <c r="MFS9" s="448"/>
      <c r="MFT9" s="448"/>
      <c r="MFU9" s="448"/>
      <c r="MFV9" s="448"/>
      <c r="MFW9" s="448"/>
      <c r="MFX9" s="448"/>
      <c r="MFY9" s="448"/>
      <c r="MFZ9" s="448"/>
      <c r="MGA9" s="448"/>
      <c r="MGB9" s="448"/>
      <c r="MGC9" s="448"/>
      <c r="MGD9" s="448"/>
      <c r="MGE9" s="448"/>
      <c r="MGF9" s="448"/>
      <c r="MGG9" s="448"/>
      <c r="MGH9" s="448"/>
      <c r="MGI9" s="448"/>
      <c r="MGJ9" s="446"/>
      <c r="MGK9" s="447"/>
      <c r="MGL9" s="448"/>
      <c r="MGM9" s="448"/>
      <c r="MGN9" s="448"/>
      <c r="MGO9" s="448"/>
      <c r="MGP9" s="448"/>
      <c r="MGQ9" s="448"/>
      <c r="MGR9" s="448"/>
      <c r="MGS9" s="448"/>
      <c r="MGT9" s="448"/>
      <c r="MGU9" s="448"/>
      <c r="MGV9" s="448"/>
      <c r="MGW9" s="448"/>
      <c r="MGX9" s="448"/>
      <c r="MGY9" s="448"/>
      <c r="MGZ9" s="448"/>
      <c r="MHA9" s="448"/>
      <c r="MHB9" s="448"/>
      <c r="MHC9" s="448"/>
      <c r="MHD9" s="448"/>
      <c r="MHE9" s="448"/>
      <c r="MHF9" s="448"/>
      <c r="MHG9" s="448"/>
      <c r="MHH9" s="448"/>
      <c r="MHI9" s="448"/>
      <c r="MHJ9" s="448"/>
      <c r="MHK9" s="448"/>
      <c r="MHL9" s="448"/>
      <c r="MHM9" s="448"/>
      <c r="MHN9" s="448"/>
      <c r="MHO9" s="448"/>
      <c r="MHP9" s="448"/>
      <c r="MHQ9" s="448"/>
      <c r="MHR9" s="448"/>
      <c r="MHS9" s="448"/>
      <c r="MHT9" s="448"/>
      <c r="MHU9" s="448"/>
      <c r="MHV9" s="448"/>
      <c r="MHW9" s="448"/>
      <c r="MHX9" s="448"/>
      <c r="MHY9" s="446"/>
      <c r="MHZ9" s="447"/>
      <c r="MIA9" s="448"/>
      <c r="MIB9" s="448"/>
      <c r="MIC9" s="448"/>
      <c r="MID9" s="448"/>
      <c r="MIE9" s="448"/>
      <c r="MIF9" s="448"/>
      <c r="MIG9" s="448"/>
      <c r="MIH9" s="448"/>
      <c r="MII9" s="448"/>
      <c r="MIJ9" s="448"/>
      <c r="MIK9" s="448"/>
      <c r="MIL9" s="448"/>
      <c r="MIM9" s="448"/>
      <c r="MIN9" s="448"/>
      <c r="MIO9" s="448"/>
      <c r="MIP9" s="448"/>
      <c r="MIQ9" s="448"/>
      <c r="MIR9" s="448"/>
      <c r="MIS9" s="448"/>
      <c r="MIT9" s="448"/>
      <c r="MIU9" s="448"/>
      <c r="MIV9" s="448"/>
      <c r="MIW9" s="448"/>
      <c r="MIX9" s="448"/>
      <c r="MIY9" s="448"/>
      <c r="MIZ9" s="448"/>
      <c r="MJA9" s="448"/>
      <c r="MJB9" s="448"/>
      <c r="MJC9" s="448"/>
      <c r="MJD9" s="448"/>
      <c r="MJE9" s="448"/>
      <c r="MJF9" s="448"/>
      <c r="MJG9" s="448"/>
      <c r="MJH9" s="448"/>
      <c r="MJI9" s="448"/>
      <c r="MJJ9" s="448"/>
      <c r="MJK9" s="448"/>
      <c r="MJL9" s="448"/>
      <c r="MJM9" s="448"/>
      <c r="MJN9" s="446"/>
      <c r="MJO9" s="447"/>
      <c r="MJP9" s="448"/>
      <c r="MJQ9" s="448"/>
      <c r="MJR9" s="448"/>
      <c r="MJS9" s="448"/>
      <c r="MJT9" s="448"/>
      <c r="MJU9" s="448"/>
      <c r="MJV9" s="448"/>
      <c r="MJW9" s="448"/>
      <c r="MJX9" s="448"/>
      <c r="MJY9" s="448"/>
      <c r="MJZ9" s="448"/>
      <c r="MKA9" s="448"/>
      <c r="MKB9" s="448"/>
      <c r="MKC9" s="448"/>
      <c r="MKD9" s="448"/>
      <c r="MKE9" s="448"/>
      <c r="MKF9" s="448"/>
      <c r="MKG9" s="448"/>
      <c r="MKH9" s="448"/>
      <c r="MKI9" s="448"/>
      <c r="MKJ9" s="448"/>
      <c r="MKK9" s="448"/>
      <c r="MKL9" s="448"/>
      <c r="MKM9" s="448"/>
      <c r="MKN9" s="448"/>
      <c r="MKO9" s="448"/>
      <c r="MKP9" s="448"/>
      <c r="MKQ9" s="448"/>
      <c r="MKR9" s="448"/>
      <c r="MKS9" s="448"/>
      <c r="MKT9" s="448"/>
      <c r="MKU9" s="448"/>
      <c r="MKV9" s="448"/>
      <c r="MKW9" s="448"/>
      <c r="MKX9" s="448"/>
      <c r="MKY9" s="448"/>
      <c r="MKZ9" s="448"/>
      <c r="MLA9" s="448"/>
      <c r="MLB9" s="448"/>
      <c r="MLC9" s="446"/>
      <c r="MLD9" s="447"/>
      <c r="MLE9" s="448"/>
      <c r="MLF9" s="448"/>
      <c r="MLG9" s="448"/>
      <c r="MLH9" s="448"/>
      <c r="MLI9" s="448"/>
      <c r="MLJ9" s="448"/>
      <c r="MLK9" s="448"/>
      <c r="MLL9" s="448"/>
      <c r="MLM9" s="448"/>
      <c r="MLN9" s="448"/>
      <c r="MLO9" s="448"/>
      <c r="MLP9" s="448"/>
      <c r="MLQ9" s="448"/>
      <c r="MLR9" s="448"/>
      <c r="MLS9" s="448"/>
      <c r="MLT9" s="448"/>
      <c r="MLU9" s="448"/>
      <c r="MLV9" s="448"/>
      <c r="MLW9" s="448"/>
      <c r="MLX9" s="448"/>
      <c r="MLY9" s="448"/>
      <c r="MLZ9" s="448"/>
      <c r="MMA9" s="448"/>
      <c r="MMB9" s="448"/>
      <c r="MMC9" s="448"/>
      <c r="MMD9" s="448"/>
      <c r="MME9" s="448"/>
      <c r="MMF9" s="448"/>
      <c r="MMG9" s="448"/>
      <c r="MMH9" s="448"/>
      <c r="MMI9" s="448"/>
      <c r="MMJ9" s="448"/>
      <c r="MMK9" s="448"/>
      <c r="MML9" s="448"/>
      <c r="MMM9" s="448"/>
      <c r="MMN9" s="448"/>
      <c r="MMO9" s="448"/>
      <c r="MMP9" s="448"/>
      <c r="MMQ9" s="448"/>
      <c r="MMR9" s="446"/>
      <c r="MMS9" s="447"/>
      <c r="MMT9" s="448"/>
      <c r="MMU9" s="448"/>
      <c r="MMV9" s="448"/>
      <c r="MMW9" s="448"/>
      <c r="MMX9" s="448"/>
      <c r="MMY9" s="448"/>
      <c r="MMZ9" s="448"/>
      <c r="MNA9" s="448"/>
      <c r="MNB9" s="448"/>
      <c r="MNC9" s="448"/>
      <c r="MND9" s="448"/>
      <c r="MNE9" s="448"/>
      <c r="MNF9" s="448"/>
      <c r="MNG9" s="448"/>
      <c r="MNH9" s="448"/>
      <c r="MNI9" s="448"/>
      <c r="MNJ9" s="448"/>
      <c r="MNK9" s="448"/>
      <c r="MNL9" s="448"/>
      <c r="MNM9" s="448"/>
      <c r="MNN9" s="448"/>
      <c r="MNO9" s="448"/>
      <c r="MNP9" s="448"/>
      <c r="MNQ9" s="448"/>
      <c r="MNR9" s="448"/>
      <c r="MNS9" s="448"/>
      <c r="MNT9" s="448"/>
      <c r="MNU9" s="448"/>
      <c r="MNV9" s="448"/>
      <c r="MNW9" s="448"/>
      <c r="MNX9" s="448"/>
      <c r="MNY9" s="448"/>
      <c r="MNZ9" s="448"/>
      <c r="MOA9" s="448"/>
      <c r="MOB9" s="448"/>
      <c r="MOC9" s="448"/>
      <c r="MOD9" s="448"/>
      <c r="MOE9" s="448"/>
      <c r="MOF9" s="448"/>
      <c r="MOG9" s="446"/>
      <c r="MOH9" s="447"/>
      <c r="MOI9" s="448"/>
      <c r="MOJ9" s="448"/>
      <c r="MOK9" s="448"/>
      <c r="MOL9" s="448"/>
      <c r="MOM9" s="448"/>
      <c r="MON9" s="448"/>
      <c r="MOO9" s="448"/>
      <c r="MOP9" s="448"/>
      <c r="MOQ9" s="448"/>
      <c r="MOR9" s="448"/>
      <c r="MOS9" s="448"/>
      <c r="MOT9" s="448"/>
      <c r="MOU9" s="448"/>
      <c r="MOV9" s="448"/>
      <c r="MOW9" s="448"/>
      <c r="MOX9" s="448"/>
      <c r="MOY9" s="448"/>
      <c r="MOZ9" s="448"/>
      <c r="MPA9" s="448"/>
      <c r="MPB9" s="448"/>
      <c r="MPC9" s="448"/>
      <c r="MPD9" s="448"/>
      <c r="MPE9" s="448"/>
      <c r="MPF9" s="448"/>
      <c r="MPG9" s="448"/>
      <c r="MPH9" s="448"/>
      <c r="MPI9" s="448"/>
      <c r="MPJ9" s="448"/>
      <c r="MPK9" s="448"/>
      <c r="MPL9" s="448"/>
      <c r="MPM9" s="448"/>
      <c r="MPN9" s="448"/>
      <c r="MPO9" s="448"/>
      <c r="MPP9" s="448"/>
      <c r="MPQ9" s="448"/>
      <c r="MPR9" s="448"/>
      <c r="MPS9" s="448"/>
      <c r="MPT9" s="448"/>
      <c r="MPU9" s="448"/>
      <c r="MPV9" s="446"/>
      <c r="MPW9" s="447"/>
      <c r="MPX9" s="448"/>
      <c r="MPY9" s="448"/>
      <c r="MPZ9" s="448"/>
      <c r="MQA9" s="448"/>
      <c r="MQB9" s="448"/>
      <c r="MQC9" s="448"/>
      <c r="MQD9" s="448"/>
      <c r="MQE9" s="448"/>
      <c r="MQF9" s="448"/>
      <c r="MQG9" s="448"/>
      <c r="MQH9" s="448"/>
      <c r="MQI9" s="448"/>
      <c r="MQJ9" s="448"/>
      <c r="MQK9" s="448"/>
      <c r="MQL9" s="448"/>
      <c r="MQM9" s="448"/>
      <c r="MQN9" s="448"/>
      <c r="MQO9" s="448"/>
      <c r="MQP9" s="448"/>
      <c r="MQQ9" s="448"/>
      <c r="MQR9" s="448"/>
      <c r="MQS9" s="448"/>
      <c r="MQT9" s="448"/>
      <c r="MQU9" s="448"/>
      <c r="MQV9" s="448"/>
      <c r="MQW9" s="448"/>
      <c r="MQX9" s="448"/>
      <c r="MQY9" s="448"/>
      <c r="MQZ9" s="448"/>
      <c r="MRA9" s="448"/>
      <c r="MRB9" s="448"/>
      <c r="MRC9" s="448"/>
      <c r="MRD9" s="448"/>
      <c r="MRE9" s="448"/>
      <c r="MRF9" s="448"/>
      <c r="MRG9" s="448"/>
      <c r="MRH9" s="448"/>
      <c r="MRI9" s="448"/>
      <c r="MRJ9" s="448"/>
      <c r="MRK9" s="446"/>
      <c r="MRL9" s="447"/>
      <c r="MRM9" s="448"/>
      <c r="MRN9" s="448"/>
      <c r="MRO9" s="448"/>
      <c r="MRP9" s="448"/>
      <c r="MRQ9" s="448"/>
      <c r="MRR9" s="448"/>
      <c r="MRS9" s="448"/>
      <c r="MRT9" s="448"/>
      <c r="MRU9" s="448"/>
      <c r="MRV9" s="448"/>
      <c r="MRW9" s="448"/>
      <c r="MRX9" s="448"/>
      <c r="MRY9" s="448"/>
      <c r="MRZ9" s="448"/>
      <c r="MSA9" s="448"/>
      <c r="MSB9" s="448"/>
      <c r="MSC9" s="448"/>
      <c r="MSD9" s="448"/>
      <c r="MSE9" s="448"/>
      <c r="MSF9" s="448"/>
      <c r="MSG9" s="448"/>
      <c r="MSH9" s="448"/>
      <c r="MSI9" s="448"/>
      <c r="MSJ9" s="448"/>
      <c r="MSK9" s="448"/>
      <c r="MSL9" s="448"/>
      <c r="MSM9" s="448"/>
      <c r="MSN9" s="448"/>
      <c r="MSO9" s="448"/>
      <c r="MSP9" s="448"/>
      <c r="MSQ9" s="448"/>
      <c r="MSR9" s="448"/>
      <c r="MSS9" s="448"/>
      <c r="MST9" s="448"/>
      <c r="MSU9" s="448"/>
      <c r="MSV9" s="448"/>
      <c r="MSW9" s="448"/>
      <c r="MSX9" s="448"/>
      <c r="MSY9" s="448"/>
      <c r="MSZ9" s="446"/>
      <c r="MTA9" s="447"/>
      <c r="MTB9" s="448"/>
      <c r="MTC9" s="448"/>
      <c r="MTD9" s="448"/>
      <c r="MTE9" s="448"/>
      <c r="MTF9" s="448"/>
      <c r="MTG9" s="448"/>
      <c r="MTH9" s="448"/>
      <c r="MTI9" s="448"/>
      <c r="MTJ9" s="448"/>
      <c r="MTK9" s="448"/>
      <c r="MTL9" s="448"/>
      <c r="MTM9" s="448"/>
      <c r="MTN9" s="448"/>
      <c r="MTO9" s="448"/>
      <c r="MTP9" s="448"/>
      <c r="MTQ9" s="448"/>
      <c r="MTR9" s="448"/>
      <c r="MTS9" s="448"/>
      <c r="MTT9" s="448"/>
      <c r="MTU9" s="448"/>
      <c r="MTV9" s="448"/>
      <c r="MTW9" s="448"/>
      <c r="MTX9" s="448"/>
      <c r="MTY9" s="448"/>
      <c r="MTZ9" s="448"/>
      <c r="MUA9" s="448"/>
      <c r="MUB9" s="448"/>
      <c r="MUC9" s="448"/>
      <c r="MUD9" s="448"/>
      <c r="MUE9" s="448"/>
      <c r="MUF9" s="448"/>
      <c r="MUG9" s="448"/>
      <c r="MUH9" s="448"/>
      <c r="MUI9" s="448"/>
      <c r="MUJ9" s="448"/>
      <c r="MUK9" s="448"/>
      <c r="MUL9" s="448"/>
      <c r="MUM9" s="448"/>
      <c r="MUN9" s="448"/>
      <c r="MUO9" s="446"/>
      <c r="MUP9" s="447"/>
      <c r="MUQ9" s="448"/>
      <c r="MUR9" s="448"/>
      <c r="MUS9" s="448"/>
      <c r="MUT9" s="448"/>
      <c r="MUU9" s="448"/>
      <c r="MUV9" s="448"/>
      <c r="MUW9" s="448"/>
      <c r="MUX9" s="448"/>
      <c r="MUY9" s="448"/>
      <c r="MUZ9" s="448"/>
      <c r="MVA9" s="448"/>
      <c r="MVB9" s="448"/>
      <c r="MVC9" s="448"/>
      <c r="MVD9" s="448"/>
      <c r="MVE9" s="448"/>
      <c r="MVF9" s="448"/>
      <c r="MVG9" s="448"/>
      <c r="MVH9" s="448"/>
      <c r="MVI9" s="448"/>
      <c r="MVJ9" s="448"/>
      <c r="MVK9" s="448"/>
      <c r="MVL9" s="448"/>
      <c r="MVM9" s="448"/>
      <c r="MVN9" s="448"/>
      <c r="MVO9" s="448"/>
      <c r="MVP9" s="448"/>
      <c r="MVQ9" s="448"/>
      <c r="MVR9" s="448"/>
      <c r="MVS9" s="448"/>
      <c r="MVT9" s="448"/>
      <c r="MVU9" s="448"/>
      <c r="MVV9" s="448"/>
      <c r="MVW9" s="448"/>
      <c r="MVX9" s="448"/>
      <c r="MVY9" s="448"/>
      <c r="MVZ9" s="448"/>
      <c r="MWA9" s="448"/>
      <c r="MWB9" s="448"/>
      <c r="MWC9" s="448"/>
      <c r="MWD9" s="446"/>
      <c r="MWE9" s="447"/>
      <c r="MWF9" s="448"/>
      <c r="MWG9" s="448"/>
      <c r="MWH9" s="448"/>
      <c r="MWI9" s="448"/>
      <c r="MWJ9" s="448"/>
      <c r="MWK9" s="448"/>
      <c r="MWL9" s="448"/>
      <c r="MWM9" s="448"/>
      <c r="MWN9" s="448"/>
      <c r="MWO9" s="448"/>
      <c r="MWP9" s="448"/>
      <c r="MWQ9" s="448"/>
      <c r="MWR9" s="448"/>
      <c r="MWS9" s="448"/>
      <c r="MWT9" s="448"/>
      <c r="MWU9" s="448"/>
      <c r="MWV9" s="448"/>
      <c r="MWW9" s="448"/>
      <c r="MWX9" s="448"/>
      <c r="MWY9" s="448"/>
      <c r="MWZ9" s="448"/>
      <c r="MXA9" s="448"/>
      <c r="MXB9" s="448"/>
      <c r="MXC9" s="448"/>
      <c r="MXD9" s="448"/>
      <c r="MXE9" s="448"/>
      <c r="MXF9" s="448"/>
      <c r="MXG9" s="448"/>
      <c r="MXH9" s="448"/>
      <c r="MXI9" s="448"/>
      <c r="MXJ9" s="448"/>
      <c r="MXK9" s="448"/>
      <c r="MXL9" s="448"/>
      <c r="MXM9" s="448"/>
      <c r="MXN9" s="448"/>
      <c r="MXO9" s="448"/>
      <c r="MXP9" s="448"/>
      <c r="MXQ9" s="448"/>
      <c r="MXR9" s="448"/>
      <c r="MXS9" s="446"/>
      <c r="MXT9" s="447"/>
      <c r="MXU9" s="448"/>
      <c r="MXV9" s="448"/>
      <c r="MXW9" s="448"/>
      <c r="MXX9" s="448"/>
      <c r="MXY9" s="448"/>
      <c r="MXZ9" s="448"/>
      <c r="MYA9" s="448"/>
      <c r="MYB9" s="448"/>
      <c r="MYC9" s="448"/>
      <c r="MYD9" s="448"/>
      <c r="MYE9" s="448"/>
      <c r="MYF9" s="448"/>
      <c r="MYG9" s="448"/>
      <c r="MYH9" s="448"/>
      <c r="MYI9" s="448"/>
      <c r="MYJ9" s="448"/>
      <c r="MYK9" s="448"/>
      <c r="MYL9" s="448"/>
      <c r="MYM9" s="448"/>
      <c r="MYN9" s="448"/>
      <c r="MYO9" s="448"/>
      <c r="MYP9" s="448"/>
      <c r="MYQ9" s="448"/>
      <c r="MYR9" s="448"/>
      <c r="MYS9" s="448"/>
      <c r="MYT9" s="448"/>
      <c r="MYU9" s="448"/>
      <c r="MYV9" s="448"/>
      <c r="MYW9" s="448"/>
      <c r="MYX9" s="448"/>
      <c r="MYY9" s="448"/>
      <c r="MYZ9" s="448"/>
      <c r="MZA9" s="448"/>
      <c r="MZB9" s="448"/>
      <c r="MZC9" s="448"/>
      <c r="MZD9" s="448"/>
      <c r="MZE9" s="448"/>
      <c r="MZF9" s="448"/>
      <c r="MZG9" s="448"/>
      <c r="MZH9" s="446"/>
      <c r="MZI9" s="447"/>
      <c r="MZJ9" s="448"/>
      <c r="MZK9" s="448"/>
      <c r="MZL9" s="448"/>
      <c r="MZM9" s="448"/>
      <c r="MZN9" s="448"/>
      <c r="MZO9" s="448"/>
      <c r="MZP9" s="448"/>
      <c r="MZQ9" s="448"/>
      <c r="MZR9" s="448"/>
      <c r="MZS9" s="448"/>
      <c r="MZT9" s="448"/>
      <c r="MZU9" s="448"/>
      <c r="MZV9" s="448"/>
      <c r="MZW9" s="448"/>
      <c r="MZX9" s="448"/>
      <c r="MZY9" s="448"/>
      <c r="MZZ9" s="448"/>
      <c r="NAA9" s="448"/>
      <c r="NAB9" s="448"/>
      <c r="NAC9" s="448"/>
      <c r="NAD9" s="448"/>
      <c r="NAE9" s="448"/>
      <c r="NAF9" s="448"/>
      <c r="NAG9" s="448"/>
      <c r="NAH9" s="448"/>
      <c r="NAI9" s="448"/>
      <c r="NAJ9" s="448"/>
      <c r="NAK9" s="448"/>
      <c r="NAL9" s="448"/>
      <c r="NAM9" s="448"/>
      <c r="NAN9" s="448"/>
      <c r="NAO9" s="448"/>
      <c r="NAP9" s="448"/>
      <c r="NAQ9" s="448"/>
      <c r="NAR9" s="448"/>
      <c r="NAS9" s="448"/>
      <c r="NAT9" s="448"/>
      <c r="NAU9" s="448"/>
      <c r="NAV9" s="448"/>
      <c r="NAW9" s="446"/>
      <c r="NAX9" s="447"/>
      <c r="NAY9" s="448"/>
      <c r="NAZ9" s="448"/>
      <c r="NBA9" s="448"/>
      <c r="NBB9" s="448"/>
      <c r="NBC9" s="448"/>
      <c r="NBD9" s="448"/>
      <c r="NBE9" s="448"/>
      <c r="NBF9" s="448"/>
      <c r="NBG9" s="448"/>
      <c r="NBH9" s="448"/>
      <c r="NBI9" s="448"/>
      <c r="NBJ9" s="448"/>
      <c r="NBK9" s="448"/>
      <c r="NBL9" s="448"/>
      <c r="NBM9" s="448"/>
      <c r="NBN9" s="448"/>
      <c r="NBO9" s="448"/>
      <c r="NBP9" s="448"/>
      <c r="NBQ9" s="448"/>
      <c r="NBR9" s="448"/>
      <c r="NBS9" s="448"/>
      <c r="NBT9" s="448"/>
      <c r="NBU9" s="448"/>
      <c r="NBV9" s="448"/>
      <c r="NBW9" s="448"/>
      <c r="NBX9" s="448"/>
      <c r="NBY9" s="448"/>
      <c r="NBZ9" s="448"/>
      <c r="NCA9" s="448"/>
      <c r="NCB9" s="448"/>
      <c r="NCC9" s="448"/>
      <c r="NCD9" s="448"/>
      <c r="NCE9" s="448"/>
      <c r="NCF9" s="448"/>
      <c r="NCG9" s="448"/>
      <c r="NCH9" s="448"/>
      <c r="NCI9" s="448"/>
      <c r="NCJ9" s="448"/>
      <c r="NCK9" s="448"/>
      <c r="NCL9" s="446"/>
      <c r="NCM9" s="447"/>
      <c r="NCN9" s="448"/>
      <c r="NCO9" s="448"/>
      <c r="NCP9" s="448"/>
      <c r="NCQ9" s="448"/>
      <c r="NCR9" s="448"/>
      <c r="NCS9" s="448"/>
      <c r="NCT9" s="448"/>
      <c r="NCU9" s="448"/>
      <c r="NCV9" s="448"/>
      <c r="NCW9" s="448"/>
      <c r="NCX9" s="448"/>
      <c r="NCY9" s="448"/>
      <c r="NCZ9" s="448"/>
      <c r="NDA9" s="448"/>
      <c r="NDB9" s="448"/>
      <c r="NDC9" s="448"/>
      <c r="NDD9" s="448"/>
      <c r="NDE9" s="448"/>
      <c r="NDF9" s="448"/>
      <c r="NDG9" s="448"/>
      <c r="NDH9" s="448"/>
      <c r="NDI9" s="448"/>
      <c r="NDJ9" s="448"/>
      <c r="NDK9" s="448"/>
      <c r="NDL9" s="448"/>
      <c r="NDM9" s="448"/>
      <c r="NDN9" s="448"/>
      <c r="NDO9" s="448"/>
      <c r="NDP9" s="448"/>
      <c r="NDQ9" s="448"/>
      <c r="NDR9" s="448"/>
      <c r="NDS9" s="448"/>
      <c r="NDT9" s="448"/>
      <c r="NDU9" s="448"/>
      <c r="NDV9" s="448"/>
      <c r="NDW9" s="448"/>
      <c r="NDX9" s="448"/>
      <c r="NDY9" s="448"/>
      <c r="NDZ9" s="448"/>
      <c r="NEA9" s="446"/>
      <c r="NEB9" s="447"/>
      <c r="NEC9" s="448"/>
      <c r="NED9" s="448"/>
      <c r="NEE9" s="448"/>
      <c r="NEF9" s="448"/>
      <c r="NEG9" s="448"/>
      <c r="NEH9" s="448"/>
      <c r="NEI9" s="448"/>
      <c r="NEJ9" s="448"/>
      <c r="NEK9" s="448"/>
      <c r="NEL9" s="448"/>
      <c r="NEM9" s="448"/>
      <c r="NEN9" s="448"/>
      <c r="NEO9" s="448"/>
      <c r="NEP9" s="448"/>
      <c r="NEQ9" s="448"/>
      <c r="NER9" s="448"/>
      <c r="NES9" s="448"/>
      <c r="NET9" s="448"/>
      <c r="NEU9" s="448"/>
      <c r="NEV9" s="448"/>
      <c r="NEW9" s="448"/>
      <c r="NEX9" s="448"/>
      <c r="NEY9" s="448"/>
      <c r="NEZ9" s="448"/>
      <c r="NFA9" s="448"/>
      <c r="NFB9" s="448"/>
      <c r="NFC9" s="448"/>
      <c r="NFD9" s="448"/>
      <c r="NFE9" s="448"/>
      <c r="NFF9" s="448"/>
      <c r="NFG9" s="448"/>
      <c r="NFH9" s="448"/>
      <c r="NFI9" s="448"/>
      <c r="NFJ9" s="448"/>
      <c r="NFK9" s="448"/>
      <c r="NFL9" s="448"/>
      <c r="NFM9" s="448"/>
      <c r="NFN9" s="448"/>
      <c r="NFO9" s="448"/>
      <c r="NFP9" s="446"/>
      <c r="NFQ9" s="447"/>
      <c r="NFR9" s="448"/>
      <c r="NFS9" s="448"/>
      <c r="NFT9" s="448"/>
      <c r="NFU9" s="448"/>
      <c r="NFV9" s="448"/>
      <c r="NFW9" s="448"/>
      <c r="NFX9" s="448"/>
      <c r="NFY9" s="448"/>
      <c r="NFZ9" s="448"/>
      <c r="NGA9" s="448"/>
      <c r="NGB9" s="448"/>
      <c r="NGC9" s="448"/>
      <c r="NGD9" s="448"/>
      <c r="NGE9" s="448"/>
      <c r="NGF9" s="448"/>
      <c r="NGG9" s="448"/>
      <c r="NGH9" s="448"/>
      <c r="NGI9" s="448"/>
      <c r="NGJ9" s="448"/>
      <c r="NGK9" s="448"/>
      <c r="NGL9" s="448"/>
      <c r="NGM9" s="448"/>
      <c r="NGN9" s="448"/>
      <c r="NGO9" s="448"/>
      <c r="NGP9" s="448"/>
      <c r="NGQ9" s="448"/>
      <c r="NGR9" s="448"/>
      <c r="NGS9" s="448"/>
      <c r="NGT9" s="448"/>
      <c r="NGU9" s="448"/>
      <c r="NGV9" s="448"/>
      <c r="NGW9" s="448"/>
      <c r="NGX9" s="448"/>
      <c r="NGY9" s="448"/>
      <c r="NGZ9" s="448"/>
      <c r="NHA9" s="448"/>
      <c r="NHB9" s="448"/>
      <c r="NHC9" s="448"/>
      <c r="NHD9" s="448"/>
      <c r="NHE9" s="446"/>
      <c r="NHF9" s="447"/>
      <c r="NHG9" s="448"/>
      <c r="NHH9" s="448"/>
      <c r="NHI9" s="448"/>
      <c r="NHJ9" s="448"/>
      <c r="NHK9" s="448"/>
      <c r="NHL9" s="448"/>
      <c r="NHM9" s="448"/>
      <c r="NHN9" s="448"/>
      <c r="NHO9" s="448"/>
      <c r="NHP9" s="448"/>
      <c r="NHQ9" s="448"/>
      <c r="NHR9" s="448"/>
      <c r="NHS9" s="448"/>
      <c r="NHT9" s="448"/>
      <c r="NHU9" s="448"/>
      <c r="NHV9" s="448"/>
      <c r="NHW9" s="448"/>
      <c r="NHX9" s="448"/>
      <c r="NHY9" s="448"/>
      <c r="NHZ9" s="448"/>
      <c r="NIA9" s="448"/>
      <c r="NIB9" s="448"/>
      <c r="NIC9" s="448"/>
      <c r="NID9" s="448"/>
      <c r="NIE9" s="448"/>
      <c r="NIF9" s="448"/>
      <c r="NIG9" s="448"/>
      <c r="NIH9" s="448"/>
      <c r="NII9" s="448"/>
      <c r="NIJ9" s="448"/>
      <c r="NIK9" s="448"/>
      <c r="NIL9" s="448"/>
      <c r="NIM9" s="448"/>
      <c r="NIN9" s="448"/>
      <c r="NIO9" s="448"/>
      <c r="NIP9" s="448"/>
      <c r="NIQ9" s="448"/>
      <c r="NIR9" s="448"/>
      <c r="NIS9" s="448"/>
      <c r="NIT9" s="446"/>
      <c r="NIU9" s="447"/>
      <c r="NIV9" s="448"/>
      <c r="NIW9" s="448"/>
      <c r="NIX9" s="448"/>
      <c r="NIY9" s="448"/>
      <c r="NIZ9" s="448"/>
      <c r="NJA9" s="448"/>
      <c r="NJB9" s="448"/>
      <c r="NJC9" s="448"/>
      <c r="NJD9" s="448"/>
      <c r="NJE9" s="448"/>
      <c r="NJF9" s="448"/>
      <c r="NJG9" s="448"/>
      <c r="NJH9" s="448"/>
      <c r="NJI9" s="448"/>
      <c r="NJJ9" s="448"/>
      <c r="NJK9" s="448"/>
      <c r="NJL9" s="448"/>
      <c r="NJM9" s="448"/>
      <c r="NJN9" s="448"/>
      <c r="NJO9" s="448"/>
      <c r="NJP9" s="448"/>
      <c r="NJQ9" s="448"/>
      <c r="NJR9" s="448"/>
      <c r="NJS9" s="448"/>
      <c r="NJT9" s="448"/>
      <c r="NJU9" s="448"/>
      <c r="NJV9" s="448"/>
      <c r="NJW9" s="448"/>
      <c r="NJX9" s="448"/>
      <c r="NJY9" s="448"/>
      <c r="NJZ9" s="448"/>
      <c r="NKA9" s="448"/>
      <c r="NKB9" s="448"/>
      <c r="NKC9" s="448"/>
      <c r="NKD9" s="448"/>
      <c r="NKE9" s="448"/>
      <c r="NKF9" s="448"/>
      <c r="NKG9" s="448"/>
      <c r="NKH9" s="448"/>
      <c r="NKI9" s="446"/>
      <c r="NKJ9" s="447"/>
      <c r="NKK9" s="448"/>
      <c r="NKL9" s="448"/>
      <c r="NKM9" s="448"/>
      <c r="NKN9" s="448"/>
      <c r="NKO9" s="448"/>
      <c r="NKP9" s="448"/>
      <c r="NKQ9" s="448"/>
      <c r="NKR9" s="448"/>
      <c r="NKS9" s="448"/>
      <c r="NKT9" s="448"/>
      <c r="NKU9" s="448"/>
      <c r="NKV9" s="448"/>
      <c r="NKW9" s="448"/>
      <c r="NKX9" s="448"/>
      <c r="NKY9" s="448"/>
      <c r="NKZ9" s="448"/>
      <c r="NLA9" s="448"/>
      <c r="NLB9" s="448"/>
      <c r="NLC9" s="448"/>
      <c r="NLD9" s="448"/>
      <c r="NLE9" s="448"/>
      <c r="NLF9" s="448"/>
      <c r="NLG9" s="448"/>
      <c r="NLH9" s="448"/>
      <c r="NLI9" s="448"/>
      <c r="NLJ9" s="448"/>
      <c r="NLK9" s="448"/>
      <c r="NLL9" s="448"/>
      <c r="NLM9" s="448"/>
      <c r="NLN9" s="448"/>
      <c r="NLO9" s="448"/>
      <c r="NLP9" s="448"/>
      <c r="NLQ9" s="448"/>
      <c r="NLR9" s="448"/>
      <c r="NLS9" s="448"/>
      <c r="NLT9" s="448"/>
      <c r="NLU9" s="448"/>
      <c r="NLV9" s="448"/>
      <c r="NLW9" s="448"/>
      <c r="NLX9" s="446"/>
      <c r="NLY9" s="447"/>
      <c r="NLZ9" s="448"/>
      <c r="NMA9" s="448"/>
      <c r="NMB9" s="448"/>
      <c r="NMC9" s="448"/>
      <c r="NMD9" s="448"/>
      <c r="NME9" s="448"/>
      <c r="NMF9" s="448"/>
      <c r="NMG9" s="448"/>
      <c r="NMH9" s="448"/>
      <c r="NMI9" s="448"/>
      <c r="NMJ9" s="448"/>
      <c r="NMK9" s="448"/>
      <c r="NML9" s="448"/>
      <c r="NMM9" s="448"/>
      <c r="NMN9" s="448"/>
      <c r="NMO9" s="448"/>
      <c r="NMP9" s="448"/>
      <c r="NMQ9" s="448"/>
      <c r="NMR9" s="448"/>
      <c r="NMS9" s="448"/>
      <c r="NMT9" s="448"/>
      <c r="NMU9" s="448"/>
      <c r="NMV9" s="448"/>
      <c r="NMW9" s="448"/>
      <c r="NMX9" s="448"/>
      <c r="NMY9" s="448"/>
      <c r="NMZ9" s="448"/>
      <c r="NNA9" s="448"/>
      <c r="NNB9" s="448"/>
      <c r="NNC9" s="448"/>
      <c r="NND9" s="448"/>
      <c r="NNE9" s="448"/>
      <c r="NNF9" s="448"/>
      <c r="NNG9" s="448"/>
      <c r="NNH9" s="448"/>
      <c r="NNI9" s="448"/>
      <c r="NNJ9" s="448"/>
      <c r="NNK9" s="448"/>
      <c r="NNL9" s="448"/>
      <c r="NNM9" s="446"/>
      <c r="NNN9" s="447"/>
      <c r="NNO9" s="448"/>
      <c r="NNP9" s="448"/>
      <c r="NNQ9" s="448"/>
      <c r="NNR9" s="448"/>
      <c r="NNS9" s="448"/>
      <c r="NNT9" s="448"/>
      <c r="NNU9" s="448"/>
      <c r="NNV9" s="448"/>
      <c r="NNW9" s="448"/>
      <c r="NNX9" s="448"/>
      <c r="NNY9" s="448"/>
      <c r="NNZ9" s="448"/>
      <c r="NOA9" s="448"/>
      <c r="NOB9" s="448"/>
      <c r="NOC9" s="448"/>
      <c r="NOD9" s="448"/>
      <c r="NOE9" s="448"/>
      <c r="NOF9" s="448"/>
      <c r="NOG9" s="448"/>
      <c r="NOH9" s="448"/>
      <c r="NOI9" s="448"/>
      <c r="NOJ9" s="448"/>
      <c r="NOK9" s="448"/>
      <c r="NOL9" s="448"/>
      <c r="NOM9" s="448"/>
      <c r="NON9" s="448"/>
      <c r="NOO9" s="448"/>
      <c r="NOP9" s="448"/>
      <c r="NOQ9" s="448"/>
      <c r="NOR9" s="448"/>
      <c r="NOS9" s="448"/>
      <c r="NOT9" s="448"/>
      <c r="NOU9" s="448"/>
      <c r="NOV9" s="448"/>
      <c r="NOW9" s="448"/>
      <c r="NOX9" s="448"/>
      <c r="NOY9" s="448"/>
      <c r="NOZ9" s="448"/>
      <c r="NPA9" s="448"/>
      <c r="NPB9" s="446"/>
      <c r="NPC9" s="447"/>
      <c r="NPD9" s="448"/>
      <c r="NPE9" s="448"/>
      <c r="NPF9" s="448"/>
      <c r="NPG9" s="448"/>
      <c r="NPH9" s="448"/>
      <c r="NPI9" s="448"/>
      <c r="NPJ9" s="448"/>
      <c r="NPK9" s="448"/>
      <c r="NPL9" s="448"/>
      <c r="NPM9" s="448"/>
      <c r="NPN9" s="448"/>
      <c r="NPO9" s="448"/>
      <c r="NPP9" s="448"/>
      <c r="NPQ9" s="448"/>
      <c r="NPR9" s="448"/>
      <c r="NPS9" s="448"/>
      <c r="NPT9" s="448"/>
      <c r="NPU9" s="448"/>
      <c r="NPV9" s="448"/>
      <c r="NPW9" s="448"/>
      <c r="NPX9" s="448"/>
      <c r="NPY9" s="448"/>
      <c r="NPZ9" s="448"/>
      <c r="NQA9" s="448"/>
      <c r="NQB9" s="448"/>
      <c r="NQC9" s="448"/>
      <c r="NQD9" s="448"/>
      <c r="NQE9" s="448"/>
      <c r="NQF9" s="448"/>
      <c r="NQG9" s="448"/>
      <c r="NQH9" s="448"/>
      <c r="NQI9" s="448"/>
      <c r="NQJ9" s="448"/>
      <c r="NQK9" s="448"/>
      <c r="NQL9" s="448"/>
      <c r="NQM9" s="448"/>
      <c r="NQN9" s="448"/>
      <c r="NQO9" s="448"/>
      <c r="NQP9" s="448"/>
      <c r="NQQ9" s="446"/>
      <c r="NQR9" s="447"/>
      <c r="NQS9" s="448"/>
      <c r="NQT9" s="448"/>
      <c r="NQU9" s="448"/>
      <c r="NQV9" s="448"/>
      <c r="NQW9" s="448"/>
      <c r="NQX9" s="448"/>
      <c r="NQY9" s="448"/>
      <c r="NQZ9" s="448"/>
      <c r="NRA9" s="448"/>
      <c r="NRB9" s="448"/>
      <c r="NRC9" s="448"/>
      <c r="NRD9" s="448"/>
      <c r="NRE9" s="448"/>
      <c r="NRF9" s="448"/>
      <c r="NRG9" s="448"/>
      <c r="NRH9" s="448"/>
      <c r="NRI9" s="448"/>
      <c r="NRJ9" s="448"/>
      <c r="NRK9" s="448"/>
      <c r="NRL9" s="448"/>
      <c r="NRM9" s="448"/>
      <c r="NRN9" s="448"/>
      <c r="NRO9" s="448"/>
      <c r="NRP9" s="448"/>
      <c r="NRQ9" s="448"/>
      <c r="NRR9" s="448"/>
      <c r="NRS9" s="448"/>
      <c r="NRT9" s="448"/>
      <c r="NRU9" s="448"/>
      <c r="NRV9" s="448"/>
      <c r="NRW9" s="448"/>
      <c r="NRX9" s="448"/>
      <c r="NRY9" s="448"/>
      <c r="NRZ9" s="448"/>
      <c r="NSA9" s="448"/>
      <c r="NSB9" s="448"/>
      <c r="NSC9" s="448"/>
      <c r="NSD9" s="448"/>
      <c r="NSE9" s="448"/>
      <c r="NSF9" s="446"/>
      <c r="NSG9" s="447"/>
      <c r="NSH9" s="448"/>
      <c r="NSI9" s="448"/>
      <c r="NSJ9" s="448"/>
      <c r="NSK9" s="448"/>
      <c r="NSL9" s="448"/>
      <c r="NSM9" s="448"/>
      <c r="NSN9" s="448"/>
      <c r="NSO9" s="448"/>
      <c r="NSP9" s="448"/>
      <c r="NSQ9" s="448"/>
      <c r="NSR9" s="448"/>
      <c r="NSS9" s="448"/>
      <c r="NST9" s="448"/>
      <c r="NSU9" s="448"/>
      <c r="NSV9" s="448"/>
      <c r="NSW9" s="448"/>
      <c r="NSX9" s="448"/>
      <c r="NSY9" s="448"/>
      <c r="NSZ9" s="448"/>
      <c r="NTA9" s="448"/>
      <c r="NTB9" s="448"/>
      <c r="NTC9" s="448"/>
      <c r="NTD9" s="448"/>
      <c r="NTE9" s="448"/>
      <c r="NTF9" s="448"/>
      <c r="NTG9" s="448"/>
      <c r="NTH9" s="448"/>
      <c r="NTI9" s="448"/>
      <c r="NTJ9" s="448"/>
      <c r="NTK9" s="448"/>
      <c r="NTL9" s="448"/>
      <c r="NTM9" s="448"/>
      <c r="NTN9" s="448"/>
      <c r="NTO9" s="448"/>
      <c r="NTP9" s="448"/>
      <c r="NTQ9" s="448"/>
      <c r="NTR9" s="448"/>
      <c r="NTS9" s="448"/>
      <c r="NTT9" s="448"/>
      <c r="NTU9" s="446"/>
      <c r="NTV9" s="447"/>
      <c r="NTW9" s="448"/>
      <c r="NTX9" s="448"/>
      <c r="NTY9" s="448"/>
      <c r="NTZ9" s="448"/>
      <c r="NUA9" s="448"/>
      <c r="NUB9" s="448"/>
      <c r="NUC9" s="448"/>
      <c r="NUD9" s="448"/>
      <c r="NUE9" s="448"/>
      <c r="NUF9" s="448"/>
      <c r="NUG9" s="448"/>
      <c r="NUH9" s="448"/>
      <c r="NUI9" s="448"/>
      <c r="NUJ9" s="448"/>
      <c r="NUK9" s="448"/>
      <c r="NUL9" s="448"/>
      <c r="NUM9" s="448"/>
      <c r="NUN9" s="448"/>
      <c r="NUO9" s="448"/>
      <c r="NUP9" s="448"/>
      <c r="NUQ9" s="448"/>
      <c r="NUR9" s="448"/>
      <c r="NUS9" s="448"/>
      <c r="NUT9" s="448"/>
      <c r="NUU9" s="448"/>
      <c r="NUV9" s="448"/>
      <c r="NUW9" s="448"/>
      <c r="NUX9" s="448"/>
      <c r="NUY9" s="448"/>
      <c r="NUZ9" s="448"/>
      <c r="NVA9" s="448"/>
      <c r="NVB9" s="448"/>
      <c r="NVC9" s="448"/>
      <c r="NVD9" s="448"/>
      <c r="NVE9" s="448"/>
      <c r="NVF9" s="448"/>
      <c r="NVG9" s="448"/>
      <c r="NVH9" s="448"/>
      <c r="NVI9" s="448"/>
      <c r="NVJ9" s="446"/>
      <c r="NVK9" s="447"/>
      <c r="NVL9" s="448"/>
      <c r="NVM9" s="448"/>
      <c r="NVN9" s="448"/>
      <c r="NVO9" s="448"/>
      <c r="NVP9" s="448"/>
      <c r="NVQ9" s="448"/>
      <c r="NVR9" s="448"/>
      <c r="NVS9" s="448"/>
      <c r="NVT9" s="448"/>
      <c r="NVU9" s="448"/>
      <c r="NVV9" s="448"/>
      <c r="NVW9" s="448"/>
      <c r="NVX9" s="448"/>
      <c r="NVY9" s="448"/>
      <c r="NVZ9" s="448"/>
      <c r="NWA9" s="448"/>
      <c r="NWB9" s="448"/>
      <c r="NWC9" s="448"/>
      <c r="NWD9" s="448"/>
      <c r="NWE9" s="448"/>
      <c r="NWF9" s="448"/>
      <c r="NWG9" s="448"/>
      <c r="NWH9" s="448"/>
      <c r="NWI9" s="448"/>
      <c r="NWJ9" s="448"/>
      <c r="NWK9" s="448"/>
      <c r="NWL9" s="448"/>
      <c r="NWM9" s="448"/>
      <c r="NWN9" s="448"/>
      <c r="NWO9" s="448"/>
      <c r="NWP9" s="448"/>
      <c r="NWQ9" s="448"/>
      <c r="NWR9" s="448"/>
      <c r="NWS9" s="448"/>
      <c r="NWT9" s="448"/>
      <c r="NWU9" s="448"/>
      <c r="NWV9" s="448"/>
      <c r="NWW9" s="448"/>
      <c r="NWX9" s="448"/>
      <c r="NWY9" s="446"/>
      <c r="NWZ9" s="447"/>
      <c r="NXA9" s="448"/>
      <c r="NXB9" s="448"/>
      <c r="NXC9" s="448"/>
      <c r="NXD9" s="448"/>
      <c r="NXE9" s="448"/>
      <c r="NXF9" s="448"/>
      <c r="NXG9" s="448"/>
      <c r="NXH9" s="448"/>
      <c r="NXI9" s="448"/>
      <c r="NXJ9" s="448"/>
      <c r="NXK9" s="448"/>
      <c r="NXL9" s="448"/>
      <c r="NXM9" s="448"/>
      <c r="NXN9" s="448"/>
      <c r="NXO9" s="448"/>
      <c r="NXP9" s="448"/>
      <c r="NXQ9" s="448"/>
      <c r="NXR9" s="448"/>
      <c r="NXS9" s="448"/>
      <c r="NXT9" s="448"/>
      <c r="NXU9" s="448"/>
      <c r="NXV9" s="448"/>
      <c r="NXW9" s="448"/>
      <c r="NXX9" s="448"/>
      <c r="NXY9" s="448"/>
      <c r="NXZ9" s="448"/>
      <c r="NYA9" s="448"/>
      <c r="NYB9" s="448"/>
      <c r="NYC9" s="448"/>
      <c r="NYD9" s="448"/>
      <c r="NYE9" s="448"/>
      <c r="NYF9" s="448"/>
      <c r="NYG9" s="448"/>
      <c r="NYH9" s="448"/>
      <c r="NYI9" s="448"/>
      <c r="NYJ9" s="448"/>
      <c r="NYK9" s="448"/>
      <c r="NYL9" s="448"/>
      <c r="NYM9" s="448"/>
      <c r="NYN9" s="446"/>
      <c r="NYO9" s="447"/>
      <c r="NYP9" s="448"/>
      <c r="NYQ9" s="448"/>
      <c r="NYR9" s="448"/>
      <c r="NYS9" s="448"/>
      <c r="NYT9" s="448"/>
      <c r="NYU9" s="448"/>
      <c r="NYV9" s="448"/>
      <c r="NYW9" s="448"/>
      <c r="NYX9" s="448"/>
      <c r="NYY9" s="448"/>
      <c r="NYZ9" s="448"/>
      <c r="NZA9" s="448"/>
      <c r="NZB9" s="448"/>
      <c r="NZC9" s="448"/>
      <c r="NZD9" s="448"/>
      <c r="NZE9" s="448"/>
      <c r="NZF9" s="448"/>
      <c r="NZG9" s="448"/>
      <c r="NZH9" s="448"/>
      <c r="NZI9" s="448"/>
      <c r="NZJ9" s="448"/>
      <c r="NZK9" s="448"/>
      <c r="NZL9" s="448"/>
      <c r="NZM9" s="448"/>
      <c r="NZN9" s="448"/>
      <c r="NZO9" s="448"/>
      <c r="NZP9" s="448"/>
      <c r="NZQ9" s="448"/>
      <c r="NZR9" s="448"/>
      <c r="NZS9" s="448"/>
      <c r="NZT9" s="448"/>
      <c r="NZU9" s="448"/>
      <c r="NZV9" s="448"/>
      <c r="NZW9" s="448"/>
      <c r="NZX9" s="448"/>
      <c r="NZY9" s="448"/>
      <c r="NZZ9" s="448"/>
      <c r="OAA9" s="448"/>
      <c r="OAB9" s="448"/>
      <c r="OAC9" s="446"/>
      <c r="OAD9" s="447"/>
      <c r="OAE9" s="448"/>
      <c r="OAF9" s="448"/>
      <c r="OAG9" s="448"/>
      <c r="OAH9" s="448"/>
      <c r="OAI9" s="448"/>
      <c r="OAJ9" s="448"/>
      <c r="OAK9" s="448"/>
      <c r="OAL9" s="448"/>
      <c r="OAM9" s="448"/>
      <c r="OAN9" s="448"/>
      <c r="OAO9" s="448"/>
      <c r="OAP9" s="448"/>
      <c r="OAQ9" s="448"/>
      <c r="OAR9" s="448"/>
      <c r="OAS9" s="448"/>
      <c r="OAT9" s="448"/>
      <c r="OAU9" s="448"/>
      <c r="OAV9" s="448"/>
      <c r="OAW9" s="448"/>
      <c r="OAX9" s="448"/>
      <c r="OAY9" s="448"/>
      <c r="OAZ9" s="448"/>
      <c r="OBA9" s="448"/>
      <c r="OBB9" s="448"/>
      <c r="OBC9" s="448"/>
      <c r="OBD9" s="448"/>
      <c r="OBE9" s="448"/>
      <c r="OBF9" s="448"/>
      <c r="OBG9" s="448"/>
      <c r="OBH9" s="448"/>
      <c r="OBI9" s="448"/>
      <c r="OBJ9" s="448"/>
      <c r="OBK9" s="448"/>
      <c r="OBL9" s="448"/>
      <c r="OBM9" s="448"/>
      <c r="OBN9" s="448"/>
      <c r="OBO9" s="448"/>
      <c r="OBP9" s="448"/>
      <c r="OBQ9" s="448"/>
      <c r="OBR9" s="446"/>
      <c r="OBS9" s="447"/>
      <c r="OBT9" s="448"/>
      <c r="OBU9" s="448"/>
      <c r="OBV9" s="448"/>
      <c r="OBW9" s="448"/>
      <c r="OBX9" s="448"/>
      <c r="OBY9" s="448"/>
      <c r="OBZ9" s="448"/>
      <c r="OCA9" s="448"/>
      <c r="OCB9" s="448"/>
      <c r="OCC9" s="448"/>
      <c r="OCD9" s="448"/>
      <c r="OCE9" s="448"/>
      <c r="OCF9" s="448"/>
      <c r="OCG9" s="448"/>
      <c r="OCH9" s="448"/>
      <c r="OCI9" s="448"/>
      <c r="OCJ9" s="448"/>
      <c r="OCK9" s="448"/>
      <c r="OCL9" s="448"/>
      <c r="OCM9" s="448"/>
      <c r="OCN9" s="448"/>
      <c r="OCO9" s="448"/>
      <c r="OCP9" s="448"/>
      <c r="OCQ9" s="448"/>
      <c r="OCR9" s="448"/>
      <c r="OCS9" s="448"/>
      <c r="OCT9" s="448"/>
      <c r="OCU9" s="448"/>
      <c r="OCV9" s="448"/>
      <c r="OCW9" s="448"/>
      <c r="OCX9" s="448"/>
      <c r="OCY9" s="448"/>
      <c r="OCZ9" s="448"/>
      <c r="ODA9" s="448"/>
      <c r="ODB9" s="448"/>
      <c r="ODC9" s="448"/>
      <c r="ODD9" s="448"/>
      <c r="ODE9" s="448"/>
      <c r="ODF9" s="448"/>
      <c r="ODG9" s="446"/>
      <c r="ODH9" s="447"/>
      <c r="ODI9" s="448"/>
      <c r="ODJ9" s="448"/>
      <c r="ODK9" s="448"/>
      <c r="ODL9" s="448"/>
      <c r="ODM9" s="448"/>
      <c r="ODN9" s="448"/>
      <c r="ODO9" s="448"/>
      <c r="ODP9" s="448"/>
      <c r="ODQ9" s="448"/>
      <c r="ODR9" s="448"/>
      <c r="ODS9" s="448"/>
      <c r="ODT9" s="448"/>
      <c r="ODU9" s="448"/>
      <c r="ODV9" s="448"/>
      <c r="ODW9" s="448"/>
      <c r="ODX9" s="448"/>
      <c r="ODY9" s="448"/>
      <c r="ODZ9" s="448"/>
      <c r="OEA9" s="448"/>
      <c r="OEB9" s="448"/>
      <c r="OEC9" s="448"/>
      <c r="OED9" s="448"/>
      <c r="OEE9" s="448"/>
      <c r="OEF9" s="448"/>
      <c r="OEG9" s="448"/>
      <c r="OEH9" s="448"/>
      <c r="OEI9" s="448"/>
      <c r="OEJ9" s="448"/>
      <c r="OEK9" s="448"/>
      <c r="OEL9" s="448"/>
      <c r="OEM9" s="448"/>
      <c r="OEN9" s="448"/>
      <c r="OEO9" s="448"/>
      <c r="OEP9" s="448"/>
      <c r="OEQ9" s="448"/>
      <c r="OER9" s="448"/>
      <c r="OES9" s="448"/>
      <c r="OET9" s="448"/>
      <c r="OEU9" s="448"/>
      <c r="OEV9" s="446"/>
      <c r="OEW9" s="447"/>
      <c r="OEX9" s="448"/>
      <c r="OEY9" s="448"/>
      <c r="OEZ9" s="448"/>
      <c r="OFA9" s="448"/>
      <c r="OFB9" s="448"/>
      <c r="OFC9" s="448"/>
      <c r="OFD9" s="448"/>
      <c r="OFE9" s="448"/>
      <c r="OFF9" s="448"/>
      <c r="OFG9" s="448"/>
      <c r="OFH9" s="448"/>
      <c r="OFI9" s="448"/>
      <c r="OFJ9" s="448"/>
      <c r="OFK9" s="448"/>
      <c r="OFL9" s="448"/>
      <c r="OFM9" s="448"/>
      <c r="OFN9" s="448"/>
      <c r="OFO9" s="448"/>
      <c r="OFP9" s="448"/>
      <c r="OFQ9" s="448"/>
      <c r="OFR9" s="448"/>
      <c r="OFS9" s="448"/>
      <c r="OFT9" s="448"/>
      <c r="OFU9" s="448"/>
      <c r="OFV9" s="448"/>
      <c r="OFW9" s="448"/>
      <c r="OFX9" s="448"/>
      <c r="OFY9" s="448"/>
      <c r="OFZ9" s="448"/>
      <c r="OGA9" s="448"/>
      <c r="OGB9" s="448"/>
      <c r="OGC9" s="448"/>
      <c r="OGD9" s="448"/>
      <c r="OGE9" s="448"/>
      <c r="OGF9" s="448"/>
      <c r="OGG9" s="448"/>
      <c r="OGH9" s="448"/>
      <c r="OGI9" s="448"/>
      <c r="OGJ9" s="448"/>
      <c r="OGK9" s="446"/>
      <c r="OGL9" s="447"/>
      <c r="OGM9" s="448"/>
      <c r="OGN9" s="448"/>
      <c r="OGO9" s="448"/>
      <c r="OGP9" s="448"/>
      <c r="OGQ9" s="448"/>
      <c r="OGR9" s="448"/>
      <c r="OGS9" s="448"/>
      <c r="OGT9" s="448"/>
      <c r="OGU9" s="448"/>
      <c r="OGV9" s="448"/>
      <c r="OGW9" s="448"/>
      <c r="OGX9" s="448"/>
      <c r="OGY9" s="448"/>
      <c r="OGZ9" s="448"/>
      <c r="OHA9" s="448"/>
      <c r="OHB9" s="448"/>
      <c r="OHC9" s="448"/>
      <c r="OHD9" s="448"/>
      <c r="OHE9" s="448"/>
      <c r="OHF9" s="448"/>
      <c r="OHG9" s="448"/>
      <c r="OHH9" s="448"/>
      <c r="OHI9" s="448"/>
      <c r="OHJ9" s="448"/>
      <c r="OHK9" s="448"/>
      <c r="OHL9" s="448"/>
      <c r="OHM9" s="448"/>
      <c r="OHN9" s="448"/>
      <c r="OHO9" s="448"/>
      <c r="OHP9" s="448"/>
      <c r="OHQ9" s="448"/>
      <c r="OHR9" s="448"/>
      <c r="OHS9" s="448"/>
      <c r="OHT9" s="448"/>
      <c r="OHU9" s="448"/>
      <c r="OHV9" s="448"/>
      <c r="OHW9" s="448"/>
      <c r="OHX9" s="448"/>
      <c r="OHY9" s="448"/>
      <c r="OHZ9" s="446"/>
      <c r="OIA9" s="447"/>
      <c r="OIB9" s="448"/>
      <c r="OIC9" s="448"/>
      <c r="OID9" s="448"/>
      <c r="OIE9" s="448"/>
      <c r="OIF9" s="448"/>
      <c r="OIG9" s="448"/>
      <c r="OIH9" s="448"/>
      <c r="OII9" s="448"/>
      <c r="OIJ9" s="448"/>
      <c r="OIK9" s="448"/>
      <c r="OIL9" s="448"/>
      <c r="OIM9" s="448"/>
      <c r="OIN9" s="448"/>
      <c r="OIO9" s="448"/>
      <c r="OIP9" s="448"/>
      <c r="OIQ9" s="448"/>
      <c r="OIR9" s="448"/>
      <c r="OIS9" s="448"/>
      <c r="OIT9" s="448"/>
      <c r="OIU9" s="448"/>
      <c r="OIV9" s="448"/>
      <c r="OIW9" s="448"/>
      <c r="OIX9" s="448"/>
      <c r="OIY9" s="448"/>
      <c r="OIZ9" s="448"/>
      <c r="OJA9" s="448"/>
      <c r="OJB9" s="448"/>
      <c r="OJC9" s="448"/>
      <c r="OJD9" s="448"/>
      <c r="OJE9" s="448"/>
      <c r="OJF9" s="448"/>
      <c r="OJG9" s="448"/>
      <c r="OJH9" s="448"/>
      <c r="OJI9" s="448"/>
      <c r="OJJ9" s="448"/>
      <c r="OJK9" s="448"/>
      <c r="OJL9" s="448"/>
      <c r="OJM9" s="448"/>
      <c r="OJN9" s="448"/>
      <c r="OJO9" s="446"/>
      <c r="OJP9" s="447"/>
      <c r="OJQ9" s="448"/>
      <c r="OJR9" s="448"/>
      <c r="OJS9" s="448"/>
      <c r="OJT9" s="448"/>
      <c r="OJU9" s="448"/>
      <c r="OJV9" s="448"/>
      <c r="OJW9" s="448"/>
      <c r="OJX9" s="448"/>
      <c r="OJY9" s="448"/>
      <c r="OJZ9" s="448"/>
      <c r="OKA9" s="448"/>
      <c r="OKB9" s="448"/>
      <c r="OKC9" s="448"/>
      <c r="OKD9" s="448"/>
      <c r="OKE9" s="448"/>
      <c r="OKF9" s="448"/>
      <c r="OKG9" s="448"/>
      <c r="OKH9" s="448"/>
      <c r="OKI9" s="448"/>
      <c r="OKJ9" s="448"/>
      <c r="OKK9" s="448"/>
      <c r="OKL9" s="448"/>
      <c r="OKM9" s="448"/>
      <c r="OKN9" s="448"/>
      <c r="OKO9" s="448"/>
      <c r="OKP9" s="448"/>
      <c r="OKQ9" s="448"/>
      <c r="OKR9" s="448"/>
      <c r="OKS9" s="448"/>
      <c r="OKT9" s="448"/>
      <c r="OKU9" s="448"/>
      <c r="OKV9" s="448"/>
      <c r="OKW9" s="448"/>
      <c r="OKX9" s="448"/>
      <c r="OKY9" s="448"/>
      <c r="OKZ9" s="448"/>
      <c r="OLA9" s="448"/>
      <c r="OLB9" s="448"/>
      <c r="OLC9" s="448"/>
      <c r="OLD9" s="446"/>
      <c r="OLE9" s="447"/>
      <c r="OLF9" s="448"/>
      <c r="OLG9" s="448"/>
      <c r="OLH9" s="448"/>
      <c r="OLI9" s="448"/>
      <c r="OLJ9" s="448"/>
      <c r="OLK9" s="448"/>
      <c r="OLL9" s="448"/>
      <c r="OLM9" s="448"/>
      <c r="OLN9" s="448"/>
      <c r="OLO9" s="448"/>
      <c r="OLP9" s="448"/>
      <c r="OLQ9" s="448"/>
      <c r="OLR9" s="448"/>
      <c r="OLS9" s="448"/>
      <c r="OLT9" s="448"/>
      <c r="OLU9" s="448"/>
      <c r="OLV9" s="448"/>
      <c r="OLW9" s="448"/>
      <c r="OLX9" s="448"/>
      <c r="OLY9" s="448"/>
      <c r="OLZ9" s="448"/>
      <c r="OMA9" s="448"/>
      <c r="OMB9" s="448"/>
      <c r="OMC9" s="448"/>
      <c r="OMD9" s="448"/>
      <c r="OME9" s="448"/>
      <c r="OMF9" s="448"/>
      <c r="OMG9" s="448"/>
      <c r="OMH9" s="448"/>
      <c r="OMI9" s="448"/>
      <c r="OMJ9" s="448"/>
      <c r="OMK9" s="448"/>
      <c r="OML9" s="448"/>
      <c r="OMM9" s="448"/>
      <c r="OMN9" s="448"/>
      <c r="OMO9" s="448"/>
      <c r="OMP9" s="448"/>
      <c r="OMQ9" s="448"/>
      <c r="OMR9" s="448"/>
      <c r="OMS9" s="446"/>
      <c r="OMT9" s="447"/>
      <c r="OMU9" s="448"/>
      <c r="OMV9" s="448"/>
      <c r="OMW9" s="448"/>
      <c r="OMX9" s="448"/>
      <c r="OMY9" s="448"/>
      <c r="OMZ9" s="448"/>
      <c r="ONA9" s="448"/>
      <c r="ONB9" s="448"/>
      <c r="ONC9" s="448"/>
      <c r="OND9" s="448"/>
      <c r="ONE9" s="448"/>
      <c r="ONF9" s="448"/>
      <c r="ONG9" s="448"/>
      <c r="ONH9" s="448"/>
      <c r="ONI9" s="448"/>
      <c r="ONJ9" s="448"/>
      <c r="ONK9" s="448"/>
      <c r="ONL9" s="448"/>
      <c r="ONM9" s="448"/>
      <c r="ONN9" s="448"/>
      <c r="ONO9" s="448"/>
      <c r="ONP9" s="448"/>
      <c r="ONQ9" s="448"/>
      <c r="ONR9" s="448"/>
      <c r="ONS9" s="448"/>
      <c r="ONT9" s="448"/>
      <c r="ONU9" s="448"/>
      <c r="ONV9" s="448"/>
      <c r="ONW9" s="448"/>
      <c r="ONX9" s="448"/>
      <c r="ONY9" s="448"/>
      <c r="ONZ9" s="448"/>
      <c r="OOA9" s="448"/>
      <c r="OOB9" s="448"/>
      <c r="OOC9" s="448"/>
      <c r="OOD9" s="448"/>
      <c r="OOE9" s="448"/>
      <c r="OOF9" s="448"/>
      <c r="OOG9" s="448"/>
      <c r="OOH9" s="446"/>
      <c r="OOI9" s="447"/>
      <c r="OOJ9" s="448"/>
      <c r="OOK9" s="448"/>
      <c r="OOL9" s="448"/>
      <c r="OOM9" s="448"/>
      <c r="OON9" s="448"/>
      <c r="OOO9" s="448"/>
      <c r="OOP9" s="448"/>
      <c r="OOQ9" s="448"/>
      <c r="OOR9" s="448"/>
      <c r="OOS9" s="448"/>
      <c r="OOT9" s="448"/>
      <c r="OOU9" s="448"/>
      <c r="OOV9" s="448"/>
      <c r="OOW9" s="448"/>
      <c r="OOX9" s="448"/>
      <c r="OOY9" s="448"/>
      <c r="OOZ9" s="448"/>
      <c r="OPA9" s="448"/>
      <c r="OPB9" s="448"/>
      <c r="OPC9" s="448"/>
      <c r="OPD9" s="448"/>
      <c r="OPE9" s="448"/>
      <c r="OPF9" s="448"/>
      <c r="OPG9" s="448"/>
      <c r="OPH9" s="448"/>
      <c r="OPI9" s="448"/>
      <c r="OPJ9" s="448"/>
      <c r="OPK9" s="448"/>
      <c r="OPL9" s="448"/>
      <c r="OPM9" s="448"/>
      <c r="OPN9" s="448"/>
      <c r="OPO9" s="448"/>
      <c r="OPP9" s="448"/>
      <c r="OPQ9" s="448"/>
      <c r="OPR9" s="448"/>
      <c r="OPS9" s="448"/>
      <c r="OPT9" s="448"/>
      <c r="OPU9" s="448"/>
      <c r="OPV9" s="448"/>
      <c r="OPW9" s="446"/>
      <c r="OPX9" s="447"/>
      <c r="OPY9" s="448"/>
      <c r="OPZ9" s="448"/>
      <c r="OQA9" s="448"/>
      <c r="OQB9" s="448"/>
      <c r="OQC9" s="448"/>
      <c r="OQD9" s="448"/>
      <c r="OQE9" s="448"/>
      <c r="OQF9" s="448"/>
      <c r="OQG9" s="448"/>
      <c r="OQH9" s="448"/>
      <c r="OQI9" s="448"/>
      <c r="OQJ9" s="448"/>
      <c r="OQK9" s="448"/>
      <c r="OQL9" s="448"/>
      <c r="OQM9" s="448"/>
      <c r="OQN9" s="448"/>
      <c r="OQO9" s="448"/>
      <c r="OQP9" s="448"/>
      <c r="OQQ9" s="448"/>
      <c r="OQR9" s="448"/>
      <c r="OQS9" s="448"/>
      <c r="OQT9" s="448"/>
      <c r="OQU9" s="448"/>
      <c r="OQV9" s="448"/>
      <c r="OQW9" s="448"/>
      <c r="OQX9" s="448"/>
      <c r="OQY9" s="448"/>
      <c r="OQZ9" s="448"/>
      <c r="ORA9" s="448"/>
      <c r="ORB9" s="448"/>
      <c r="ORC9" s="448"/>
      <c r="ORD9" s="448"/>
      <c r="ORE9" s="448"/>
      <c r="ORF9" s="448"/>
      <c r="ORG9" s="448"/>
      <c r="ORH9" s="448"/>
      <c r="ORI9" s="448"/>
      <c r="ORJ9" s="448"/>
      <c r="ORK9" s="448"/>
      <c r="ORL9" s="446"/>
      <c r="ORM9" s="447"/>
      <c r="ORN9" s="448"/>
      <c r="ORO9" s="448"/>
      <c r="ORP9" s="448"/>
      <c r="ORQ9" s="448"/>
      <c r="ORR9" s="448"/>
      <c r="ORS9" s="448"/>
      <c r="ORT9" s="448"/>
      <c r="ORU9" s="448"/>
      <c r="ORV9" s="448"/>
      <c r="ORW9" s="448"/>
      <c r="ORX9" s="448"/>
      <c r="ORY9" s="448"/>
      <c r="ORZ9" s="448"/>
      <c r="OSA9" s="448"/>
      <c r="OSB9" s="448"/>
      <c r="OSC9" s="448"/>
      <c r="OSD9" s="448"/>
      <c r="OSE9" s="448"/>
      <c r="OSF9" s="448"/>
      <c r="OSG9" s="448"/>
      <c r="OSH9" s="448"/>
      <c r="OSI9" s="448"/>
      <c r="OSJ9" s="448"/>
      <c r="OSK9" s="448"/>
      <c r="OSL9" s="448"/>
      <c r="OSM9" s="448"/>
      <c r="OSN9" s="448"/>
      <c r="OSO9" s="448"/>
      <c r="OSP9" s="448"/>
      <c r="OSQ9" s="448"/>
      <c r="OSR9" s="448"/>
      <c r="OSS9" s="448"/>
      <c r="OST9" s="448"/>
      <c r="OSU9" s="448"/>
      <c r="OSV9" s="448"/>
      <c r="OSW9" s="448"/>
      <c r="OSX9" s="448"/>
      <c r="OSY9" s="448"/>
      <c r="OSZ9" s="448"/>
      <c r="OTA9" s="446"/>
      <c r="OTB9" s="447"/>
      <c r="OTC9" s="448"/>
      <c r="OTD9" s="448"/>
      <c r="OTE9" s="448"/>
      <c r="OTF9" s="448"/>
      <c r="OTG9" s="448"/>
      <c r="OTH9" s="448"/>
      <c r="OTI9" s="448"/>
      <c r="OTJ9" s="448"/>
      <c r="OTK9" s="448"/>
      <c r="OTL9" s="448"/>
      <c r="OTM9" s="448"/>
      <c r="OTN9" s="448"/>
      <c r="OTO9" s="448"/>
      <c r="OTP9" s="448"/>
      <c r="OTQ9" s="448"/>
      <c r="OTR9" s="448"/>
      <c r="OTS9" s="448"/>
      <c r="OTT9" s="448"/>
      <c r="OTU9" s="448"/>
      <c r="OTV9" s="448"/>
      <c r="OTW9" s="448"/>
      <c r="OTX9" s="448"/>
      <c r="OTY9" s="448"/>
      <c r="OTZ9" s="448"/>
      <c r="OUA9" s="448"/>
      <c r="OUB9" s="448"/>
      <c r="OUC9" s="448"/>
      <c r="OUD9" s="448"/>
      <c r="OUE9" s="448"/>
      <c r="OUF9" s="448"/>
      <c r="OUG9" s="448"/>
      <c r="OUH9" s="448"/>
      <c r="OUI9" s="448"/>
      <c r="OUJ9" s="448"/>
      <c r="OUK9" s="448"/>
      <c r="OUL9" s="448"/>
      <c r="OUM9" s="448"/>
      <c r="OUN9" s="448"/>
      <c r="OUO9" s="448"/>
      <c r="OUP9" s="446"/>
      <c r="OUQ9" s="447"/>
      <c r="OUR9" s="448"/>
      <c r="OUS9" s="448"/>
      <c r="OUT9" s="448"/>
      <c r="OUU9" s="448"/>
      <c r="OUV9" s="448"/>
      <c r="OUW9" s="448"/>
      <c r="OUX9" s="448"/>
      <c r="OUY9" s="448"/>
      <c r="OUZ9" s="448"/>
      <c r="OVA9" s="448"/>
      <c r="OVB9" s="448"/>
      <c r="OVC9" s="448"/>
      <c r="OVD9" s="448"/>
      <c r="OVE9" s="448"/>
      <c r="OVF9" s="448"/>
      <c r="OVG9" s="448"/>
      <c r="OVH9" s="448"/>
      <c r="OVI9" s="448"/>
      <c r="OVJ9" s="448"/>
      <c r="OVK9" s="448"/>
      <c r="OVL9" s="448"/>
      <c r="OVM9" s="448"/>
      <c r="OVN9" s="448"/>
      <c r="OVO9" s="448"/>
      <c r="OVP9" s="448"/>
      <c r="OVQ9" s="448"/>
      <c r="OVR9" s="448"/>
      <c r="OVS9" s="448"/>
      <c r="OVT9" s="448"/>
      <c r="OVU9" s="448"/>
      <c r="OVV9" s="448"/>
      <c r="OVW9" s="448"/>
      <c r="OVX9" s="448"/>
      <c r="OVY9" s="448"/>
      <c r="OVZ9" s="448"/>
      <c r="OWA9" s="448"/>
      <c r="OWB9" s="448"/>
      <c r="OWC9" s="448"/>
      <c r="OWD9" s="448"/>
      <c r="OWE9" s="446"/>
      <c r="OWF9" s="447"/>
      <c r="OWG9" s="448"/>
      <c r="OWH9" s="448"/>
      <c r="OWI9" s="448"/>
      <c r="OWJ9" s="448"/>
      <c r="OWK9" s="448"/>
      <c r="OWL9" s="448"/>
      <c r="OWM9" s="448"/>
      <c r="OWN9" s="448"/>
      <c r="OWO9" s="448"/>
      <c r="OWP9" s="448"/>
      <c r="OWQ9" s="448"/>
      <c r="OWR9" s="448"/>
      <c r="OWS9" s="448"/>
      <c r="OWT9" s="448"/>
      <c r="OWU9" s="448"/>
      <c r="OWV9" s="448"/>
      <c r="OWW9" s="448"/>
      <c r="OWX9" s="448"/>
      <c r="OWY9" s="448"/>
      <c r="OWZ9" s="448"/>
      <c r="OXA9" s="448"/>
      <c r="OXB9" s="448"/>
      <c r="OXC9" s="448"/>
      <c r="OXD9" s="448"/>
      <c r="OXE9" s="448"/>
      <c r="OXF9" s="448"/>
      <c r="OXG9" s="448"/>
      <c r="OXH9" s="448"/>
      <c r="OXI9" s="448"/>
      <c r="OXJ9" s="448"/>
      <c r="OXK9" s="448"/>
      <c r="OXL9" s="448"/>
      <c r="OXM9" s="448"/>
      <c r="OXN9" s="448"/>
      <c r="OXO9" s="448"/>
      <c r="OXP9" s="448"/>
      <c r="OXQ9" s="448"/>
      <c r="OXR9" s="448"/>
      <c r="OXS9" s="448"/>
      <c r="OXT9" s="446"/>
      <c r="OXU9" s="447"/>
      <c r="OXV9" s="448"/>
      <c r="OXW9" s="448"/>
      <c r="OXX9" s="448"/>
      <c r="OXY9" s="448"/>
      <c r="OXZ9" s="448"/>
      <c r="OYA9" s="448"/>
      <c r="OYB9" s="448"/>
      <c r="OYC9" s="448"/>
      <c r="OYD9" s="448"/>
      <c r="OYE9" s="448"/>
      <c r="OYF9" s="448"/>
      <c r="OYG9" s="448"/>
      <c r="OYH9" s="448"/>
      <c r="OYI9" s="448"/>
      <c r="OYJ9" s="448"/>
      <c r="OYK9" s="448"/>
      <c r="OYL9" s="448"/>
      <c r="OYM9" s="448"/>
      <c r="OYN9" s="448"/>
      <c r="OYO9" s="448"/>
      <c r="OYP9" s="448"/>
      <c r="OYQ9" s="448"/>
      <c r="OYR9" s="448"/>
      <c r="OYS9" s="448"/>
      <c r="OYT9" s="448"/>
      <c r="OYU9" s="448"/>
      <c r="OYV9" s="448"/>
      <c r="OYW9" s="448"/>
      <c r="OYX9" s="448"/>
      <c r="OYY9" s="448"/>
      <c r="OYZ9" s="448"/>
      <c r="OZA9" s="448"/>
      <c r="OZB9" s="448"/>
      <c r="OZC9" s="448"/>
      <c r="OZD9" s="448"/>
      <c r="OZE9" s="448"/>
      <c r="OZF9" s="448"/>
      <c r="OZG9" s="448"/>
      <c r="OZH9" s="448"/>
      <c r="OZI9" s="446"/>
      <c r="OZJ9" s="447"/>
      <c r="OZK9" s="448"/>
      <c r="OZL9" s="448"/>
      <c r="OZM9" s="448"/>
      <c r="OZN9" s="448"/>
      <c r="OZO9" s="448"/>
      <c r="OZP9" s="448"/>
      <c r="OZQ9" s="448"/>
      <c r="OZR9" s="448"/>
      <c r="OZS9" s="448"/>
      <c r="OZT9" s="448"/>
      <c r="OZU9" s="448"/>
      <c r="OZV9" s="448"/>
      <c r="OZW9" s="448"/>
      <c r="OZX9" s="448"/>
      <c r="OZY9" s="448"/>
      <c r="OZZ9" s="448"/>
      <c r="PAA9" s="448"/>
      <c r="PAB9" s="448"/>
      <c r="PAC9" s="448"/>
      <c r="PAD9" s="448"/>
      <c r="PAE9" s="448"/>
      <c r="PAF9" s="448"/>
      <c r="PAG9" s="448"/>
      <c r="PAH9" s="448"/>
      <c r="PAI9" s="448"/>
      <c r="PAJ9" s="448"/>
      <c r="PAK9" s="448"/>
      <c r="PAL9" s="448"/>
      <c r="PAM9" s="448"/>
      <c r="PAN9" s="448"/>
      <c r="PAO9" s="448"/>
      <c r="PAP9" s="448"/>
      <c r="PAQ9" s="448"/>
      <c r="PAR9" s="448"/>
      <c r="PAS9" s="448"/>
      <c r="PAT9" s="448"/>
      <c r="PAU9" s="448"/>
      <c r="PAV9" s="448"/>
      <c r="PAW9" s="448"/>
      <c r="PAX9" s="446"/>
      <c r="PAY9" s="447"/>
      <c r="PAZ9" s="448"/>
      <c r="PBA9" s="448"/>
      <c r="PBB9" s="448"/>
      <c r="PBC9" s="448"/>
      <c r="PBD9" s="448"/>
      <c r="PBE9" s="448"/>
      <c r="PBF9" s="448"/>
      <c r="PBG9" s="448"/>
      <c r="PBH9" s="448"/>
      <c r="PBI9" s="448"/>
      <c r="PBJ9" s="448"/>
      <c r="PBK9" s="448"/>
      <c r="PBL9" s="448"/>
      <c r="PBM9" s="448"/>
      <c r="PBN9" s="448"/>
      <c r="PBO9" s="448"/>
      <c r="PBP9" s="448"/>
      <c r="PBQ9" s="448"/>
      <c r="PBR9" s="448"/>
      <c r="PBS9" s="448"/>
      <c r="PBT9" s="448"/>
      <c r="PBU9" s="448"/>
      <c r="PBV9" s="448"/>
      <c r="PBW9" s="448"/>
      <c r="PBX9" s="448"/>
      <c r="PBY9" s="448"/>
      <c r="PBZ9" s="448"/>
      <c r="PCA9" s="448"/>
      <c r="PCB9" s="448"/>
      <c r="PCC9" s="448"/>
      <c r="PCD9" s="448"/>
      <c r="PCE9" s="448"/>
      <c r="PCF9" s="448"/>
      <c r="PCG9" s="448"/>
      <c r="PCH9" s="448"/>
      <c r="PCI9" s="448"/>
      <c r="PCJ9" s="448"/>
      <c r="PCK9" s="448"/>
      <c r="PCL9" s="448"/>
      <c r="PCM9" s="446"/>
      <c r="PCN9" s="447"/>
      <c r="PCO9" s="448"/>
      <c r="PCP9" s="448"/>
      <c r="PCQ9" s="448"/>
      <c r="PCR9" s="448"/>
      <c r="PCS9" s="448"/>
      <c r="PCT9" s="448"/>
      <c r="PCU9" s="448"/>
      <c r="PCV9" s="448"/>
      <c r="PCW9" s="448"/>
      <c r="PCX9" s="448"/>
      <c r="PCY9" s="448"/>
      <c r="PCZ9" s="448"/>
      <c r="PDA9" s="448"/>
      <c r="PDB9" s="448"/>
      <c r="PDC9" s="448"/>
      <c r="PDD9" s="448"/>
      <c r="PDE9" s="448"/>
      <c r="PDF9" s="448"/>
      <c r="PDG9" s="448"/>
      <c r="PDH9" s="448"/>
      <c r="PDI9" s="448"/>
      <c r="PDJ9" s="448"/>
      <c r="PDK9" s="448"/>
      <c r="PDL9" s="448"/>
      <c r="PDM9" s="448"/>
      <c r="PDN9" s="448"/>
      <c r="PDO9" s="448"/>
      <c r="PDP9" s="448"/>
      <c r="PDQ9" s="448"/>
      <c r="PDR9" s="448"/>
      <c r="PDS9" s="448"/>
      <c r="PDT9" s="448"/>
      <c r="PDU9" s="448"/>
      <c r="PDV9" s="448"/>
      <c r="PDW9" s="448"/>
      <c r="PDX9" s="448"/>
      <c r="PDY9" s="448"/>
      <c r="PDZ9" s="448"/>
      <c r="PEA9" s="448"/>
      <c r="PEB9" s="446"/>
      <c r="PEC9" s="447"/>
      <c r="PED9" s="448"/>
      <c r="PEE9" s="448"/>
      <c r="PEF9" s="448"/>
      <c r="PEG9" s="448"/>
      <c r="PEH9" s="448"/>
      <c r="PEI9" s="448"/>
      <c r="PEJ9" s="448"/>
      <c r="PEK9" s="448"/>
      <c r="PEL9" s="448"/>
      <c r="PEM9" s="448"/>
      <c r="PEN9" s="448"/>
      <c r="PEO9" s="448"/>
      <c r="PEP9" s="448"/>
      <c r="PEQ9" s="448"/>
      <c r="PER9" s="448"/>
      <c r="PES9" s="448"/>
      <c r="PET9" s="448"/>
      <c r="PEU9" s="448"/>
      <c r="PEV9" s="448"/>
      <c r="PEW9" s="448"/>
      <c r="PEX9" s="448"/>
      <c r="PEY9" s="448"/>
      <c r="PEZ9" s="448"/>
      <c r="PFA9" s="448"/>
      <c r="PFB9" s="448"/>
      <c r="PFC9" s="448"/>
      <c r="PFD9" s="448"/>
      <c r="PFE9" s="448"/>
      <c r="PFF9" s="448"/>
      <c r="PFG9" s="448"/>
      <c r="PFH9" s="448"/>
      <c r="PFI9" s="448"/>
      <c r="PFJ9" s="448"/>
      <c r="PFK9" s="448"/>
      <c r="PFL9" s="448"/>
      <c r="PFM9" s="448"/>
      <c r="PFN9" s="448"/>
      <c r="PFO9" s="448"/>
      <c r="PFP9" s="448"/>
      <c r="PFQ9" s="446"/>
      <c r="PFR9" s="447"/>
      <c r="PFS9" s="448"/>
      <c r="PFT9" s="448"/>
      <c r="PFU9" s="448"/>
      <c r="PFV9" s="448"/>
      <c r="PFW9" s="448"/>
      <c r="PFX9" s="448"/>
      <c r="PFY9" s="448"/>
      <c r="PFZ9" s="448"/>
      <c r="PGA9" s="448"/>
      <c r="PGB9" s="448"/>
      <c r="PGC9" s="448"/>
      <c r="PGD9" s="448"/>
      <c r="PGE9" s="448"/>
      <c r="PGF9" s="448"/>
      <c r="PGG9" s="448"/>
      <c r="PGH9" s="448"/>
      <c r="PGI9" s="448"/>
      <c r="PGJ9" s="448"/>
      <c r="PGK9" s="448"/>
      <c r="PGL9" s="448"/>
      <c r="PGM9" s="448"/>
      <c r="PGN9" s="448"/>
      <c r="PGO9" s="448"/>
      <c r="PGP9" s="448"/>
      <c r="PGQ9" s="448"/>
      <c r="PGR9" s="448"/>
      <c r="PGS9" s="448"/>
      <c r="PGT9" s="448"/>
      <c r="PGU9" s="448"/>
      <c r="PGV9" s="448"/>
      <c r="PGW9" s="448"/>
      <c r="PGX9" s="448"/>
      <c r="PGY9" s="448"/>
      <c r="PGZ9" s="448"/>
      <c r="PHA9" s="448"/>
      <c r="PHB9" s="448"/>
      <c r="PHC9" s="448"/>
      <c r="PHD9" s="448"/>
      <c r="PHE9" s="448"/>
      <c r="PHF9" s="446"/>
      <c r="PHG9" s="447"/>
      <c r="PHH9" s="448"/>
      <c r="PHI9" s="448"/>
      <c r="PHJ9" s="448"/>
      <c r="PHK9" s="448"/>
      <c r="PHL9" s="448"/>
      <c r="PHM9" s="448"/>
      <c r="PHN9" s="448"/>
      <c r="PHO9" s="448"/>
      <c r="PHP9" s="448"/>
      <c r="PHQ9" s="448"/>
      <c r="PHR9" s="448"/>
      <c r="PHS9" s="448"/>
      <c r="PHT9" s="448"/>
      <c r="PHU9" s="448"/>
      <c r="PHV9" s="448"/>
      <c r="PHW9" s="448"/>
      <c r="PHX9" s="448"/>
      <c r="PHY9" s="448"/>
      <c r="PHZ9" s="448"/>
      <c r="PIA9" s="448"/>
      <c r="PIB9" s="448"/>
      <c r="PIC9" s="448"/>
      <c r="PID9" s="448"/>
      <c r="PIE9" s="448"/>
      <c r="PIF9" s="448"/>
      <c r="PIG9" s="448"/>
      <c r="PIH9" s="448"/>
      <c r="PII9" s="448"/>
      <c r="PIJ9" s="448"/>
      <c r="PIK9" s="448"/>
      <c r="PIL9" s="448"/>
      <c r="PIM9" s="448"/>
      <c r="PIN9" s="448"/>
      <c r="PIO9" s="448"/>
      <c r="PIP9" s="448"/>
      <c r="PIQ9" s="448"/>
      <c r="PIR9" s="448"/>
      <c r="PIS9" s="448"/>
      <c r="PIT9" s="448"/>
      <c r="PIU9" s="446"/>
      <c r="PIV9" s="447"/>
      <c r="PIW9" s="448"/>
      <c r="PIX9" s="448"/>
      <c r="PIY9" s="448"/>
      <c r="PIZ9" s="448"/>
      <c r="PJA9" s="448"/>
      <c r="PJB9" s="448"/>
      <c r="PJC9" s="448"/>
      <c r="PJD9" s="448"/>
      <c r="PJE9" s="448"/>
      <c r="PJF9" s="448"/>
      <c r="PJG9" s="448"/>
      <c r="PJH9" s="448"/>
      <c r="PJI9" s="448"/>
      <c r="PJJ9" s="448"/>
      <c r="PJK9" s="448"/>
      <c r="PJL9" s="448"/>
      <c r="PJM9" s="448"/>
      <c r="PJN9" s="448"/>
      <c r="PJO9" s="448"/>
      <c r="PJP9" s="448"/>
      <c r="PJQ9" s="448"/>
      <c r="PJR9" s="448"/>
      <c r="PJS9" s="448"/>
      <c r="PJT9" s="448"/>
      <c r="PJU9" s="448"/>
      <c r="PJV9" s="448"/>
      <c r="PJW9" s="448"/>
      <c r="PJX9" s="448"/>
      <c r="PJY9" s="448"/>
      <c r="PJZ9" s="448"/>
      <c r="PKA9" s="448"/>
      <c r="PKB9" s="448"/>
      <c r="PKC9" s="448"/>
      <c r="PKD9" s="448"/>
      <c r="PKE9" s="448"/>
      <c r="PKF9" s="448"/>
      <c r="PKG9" s="448"/>
      <c r="PKH9" s="448"/>
      <c r="PKI9" s="448"/>
      <c r="PKJ9" s="446"/>
      <c r="PKK9" s="447"/>
      <c r="PKL9" s="448"/>
      <c r="PKM9" s="448"/>
      <c r="PKN9" s="448"/>
      <c r="PKO9" s="448"/>
      <c r="PKP9" s="448"/>
      <c r="PKQ9" s="448"/>
      <c r="PKR9" s="448"/>
      <c r="PKS9" s="448"/>
      <c r="PKT9" s="448"/>
      <c r="PKU9" s="448"/>
      <c r="PKV9" s="448"/>
      <c r="PKW9" s="448"/>
      <c r="PKX9" s="448"/>
      <c r="PKY9" s="448"/>
      <c r="PKZ9" s="448"/>
      <c r="PLA9" s="448"/>
      <c r="PLB9" s="448"/>
      <c r="PLC9" s="448"/>
      <c r="PLD9" s="448"/>
      <c r="PLE9" s="448"/>
      <c r="PLF9" s="448"/>
      <c r="PLG9" s="448"/>
      <c r="PLH9" s="448"/>
      <c r="PLI9" s="448"/>
      <c r="PLJ9" s="448"/>
      <c r="PLK9" s="448"/>
      <c r="PLL9" s="448"/>
      <c r="PLM9" s="448"/>
      <c r="PLN9" s="448"/>
      <c r="PLO9" s="448"/>
      <c r="PLP9" s="448"/>
      <c r="PLQ9" s="448"/>
      <c r="PLR9" s="448"/>
      <c r="PLS9" s="448"/>
      <c r="PLT9" s="448"/>
      <c r="PLU9" s="448"/>
      <c r="PLV9" s="448"/>
      <c r="PLW9" s="448"/>
      <c r="PLX9" s="448"/>
      <c r="PLY9" s="446"/>
      <c r="PLZ9" s="447"/>
      <c r="PMA9" s="448"/>
      <c r="PMB9" s="448"/>
      <c r="PMC9" s="448"/>
      <c r="PMD9" s="448"/>
      <c r="PME9" s="448"/>
      <c r="PMF9" s="448"/>
      <c r="PMG9" s="448"/>
      <c r="PMH9" s="448"/>
      <c r="PMI9" s="448"/>
      <c r="PMJ9" s="448"/>
      <c r="PMK9" s="448"/>
      <c r="PML9" s="448"/>
      <c r="PMM9" s="448"/>
      <c r="PMN9" s="448"/>
      <c r="PMO9" s="448"/>
      <c r="PMP9" s="448"/>
      <c r="PMQ9" s="448"/>
      <c r="PMR9" s="448"/>
      <c r="PMS9" s="448"/>
      <c r="PMT9" s="448"/>
      <c r="PMU9" s="448"/>
      <c r="PMV9" s="448"/>
      <c r="PMW9" s="448"/>
      <c r="PMX9" s="448"/>
      <c r="PMY9" s="448"/>
      <c r="PMZ9" s="448"/>
      <c r="PNA9" s="448"/>
      <c r="PNB9" s="448"/>
      <c r="PNC9" s="448"/>
      <c r="PND9" s="448"/>
      <c r="PNE9" s="448"/>
      <c r="PNF9" s="448"/>
      <c r="PNG9" s="448"/>
      <c r="PNH9" s="448"/>
      <c r="PNI9" s="448"/>
      <c r="PNJ9" s="448"/>
      <c r="PNK9" s="448"/>
      <c r="PNL9" s="448"/>
      <c r="PNM9" s="448"/>
      <c r="PNN9" s="446"/>
      <c r="PNO9" s="447"/>
      <c r="PNP9" s="448"/>
      <c r="PNQ9" s="448"/>
      <c r="PNR9" s="448"/>
      <c r="PNS9" s="448"/>
      <c r="PNT9" s="448"/>
      <c r="PNU9" s="448"/>
      <c r="PNV9" s="448"/>
      <c r="PNW9" s="448"/>
      <c r="PNX9" s="448"/>
      <c r="PNY9" s="448"/>
      <c r="PNZ9" s="448"/>
      <c r="POA9" s="448"/>
      <c r="POB9" s="448"/>
      <c r="POC9" s="448"/>
      <c r="POD9" s="448"/>
      <c r="POE9" s="448"/>
      <c r="POF9" s="448"/>
      <c r="POG9" s="448"/>
      <c r="POH9" s="448"/>
      <c r="POI9" s="448"/>
      <c r="POJ9" s="448"/>
      <c r="POK9" s="448"/>
      <c r="POL9" s="448"/>
      <c r="POM9" s="448"/>
      <c r="PON9" s="448"/>
      <c r="POO9" s="448"/>
      <c r="POP9" s="448"/>
      <c r="POQ9" s="448"/>
      <c r="POR9" s="448"/>
      <c r="POS9" s="448"/>
      <c r="POT9" s="448"/>
      <c r="POU9" s="448"/>
      <c r="POV9" s="448"/>
      <c r="POW9" s="448"/>
      <c r="POX9" s="448"/>
      <c r="POY9" s="448"/>
      <c r="POZ9" s="448"/>
      <c r="PPA9" s="448"/>
      <c r="PPB9" s="448"/>
      <c r="PPC9" s="446"/>
      <c r="PPD9" s="447"/>
      <c r="PPE9" s="448"/>
      <c r="PPF9" s="448"/>
      <c r="PPG9" s="448"/>
      <c r="PPH9" s="448"/>
      <c r="PPI9" s="448"/>
      <c r="PPJ9" s="448"/>
      <c r="PPK9" s="448"/>
      <c r="PPL9" s="448"/>
      <c r="PPM9" s="448"/>
      <c r="PPN9" s="448"/>
      <c r="PPO9" s="448"/>
      <c r="PPP9" s="448"/>
      <c r="PPQ9" s="448"/>
      <c r="PPR9" s="448"/>
      <c r="PPS9" s="448"/>
      <c r="PPT9" s="448"/>
      <c r="PPU9" s="448"/>
      <c r="PPV9" s="448"/>
      <c r="PPW9" s="448"/>
      <c r="PPX9" s="448"/>
      <c r="PPY9" s="448"/>
      <c r="PPZ9" s="448"/>
      <c r="PQA9" s="448"/>
      <c r="PQB9" s="448"/>
      <c r="PQC9" s="448"/>
      <c r="PQD9" s="448"/>
      <c r="PQE9" s="448"/>
      <c r="PQF9" s="448"/>
      <c r="PQG9" s="448"/>
      <c r="PQH9" s="448"/>
      <c r="PQI9" s="448"/>
      <c r="PQJ9" s="448"/>
      <c r="PQK9" s="448"/>
      <c r="PQL9" s="448"/>
      <c r="PQM9" s="448"/>
      <c r="PQN9" s="448"/>
      <c r="PQO9" s="448"/>
      <c r="PQP9" s="448"/>
      <c r="PQQ9" s="448"/>
      <c r="PQR9" s="446"/>
      <c r="PQS9" s="447"/>
      <c r="PQT9" s="448"/>
      <c r="PQU9" s="448"/>
      <c r="PQV9" s="448"/>
      <c r="PQW9" s="448"/>
      <c r="PQX9" s="448"/>
      <c r="PQY9" s="448"/>
      <c r="PQZ9" s="448"/>
      <c r="PRA9" s="448"/>
      <c r="PRB9" s="448"/>
      <c r="PRC9" s="448"/>
      <c r="PRD9" s="448"/>
      <c r="PRE9" s="448"/>
      <c r="PRF9" s="448"/>
      <c r="PRG9" s="448"/>
      <c r="PRH9" s="448"/>
      <c r="PRI9" s="448"/>
      <c r="PRJ9" s="448"/>
      <c r="PRK9" s="448"/>
      <c r="PRL9" s="448"/>
      <c r="PRM9" s="448"/>
      <c r="PRN9" s="448"/>
      <c r="PRO9" s="448"/>
      <c r="PRP9" s="448"/>
      <c r="PRQ9" s="448"/>
      <c r="PRR9" s="448"/>
      <c r="PRS9" s="448"/>
      <c r="PRT9" s="448"/>
      <c r="PRU9" s="448"/>
      <c r="PRV9" s="448"/>
      <c r="PRW9" s="448"/>
      <c r="PRX9" s="448"/>
      <c r="PRY9" s="448"/>
      <c r="PRZ9" s="448"/>
      <c r="PSA9" s="448"/>
      <c r="PSB9" s="448"/>
      <c r="PSC9" s="448"/>
      <c r="PSD9" s="448"/>
      <c r="PSE9" s="448"/>
      <c r="PSF9" s="448"/>
      <c r="PSG9" s="446"/>
      <c r="PSH9" s="447"/>
      <c r="PSI9" s="448"/>
      <c r="PSJ9" s="448"/>
      <c r="PSK9" s="448"/>
      <c r="PSL9" s="448"/>
      <c r="PSM9" s="448"/>
      <c r="PSN9" s="448"/>
      <c r="PSO9" s="448"/>
      <c r="PSP9" s="448"/>
      <c r="PSQ9" s="448"/>
      <c r="PSR9" s="448"/>
      <c r="PSS9" s="448"/>
      <c r="PST9" s="448"/>
      <c r="PSU9" s="448"/>
      <c r="PSV9" s="448"/>
      <c r="PSW9" s="448"/>
      <c r="PSX9" s="448"/>
      <c r="PSY9" s="448"/>
      <c r="PSZ9" s="448"/>
      <c r="PTA9" s="448"/>
      <c r="PTB9" s="448"/>
      <c r="PTC9" s="448"/>
      <c r="PTD9" s="448"/>
      <c r="PTE9" s="448"/>
      <c r="PTF9" s="448"/>
      <c r="PTG9" s="448"/>
      <c r="PTH9" s="448"/>
      <c r="PTI9" s="448"/>
      <c r="PTJ9" s="448"/>
      <c r="PTK9" s="448"/>
      <c r="PTL9" s="448"/>
      <c r="PTM9" s="448"/>
      <c r="PTN9" s="448"/>
      <c r="PTO9" s="448"/>
      <c r="PTP9" s="448"/>
      <c r="PTQ9" s="448"/>
      <c r="PTR9" s="448"/>
      <c r="PTS9" s="448"/>
      <c r="PTT9" s="448"/>
      <c r="PTU9" s="448"/>
      <c r="PTV9" s="446"/>
      <c r="PTW9" s="447"/>
      <c r="PTX9" s="448"/>
      <c r="PTY9" s="448"/>
      <c r="PTZ9" s="448"/>
      <c r="PUA9" s="448"/>
      <c r="PUB9" s="448"/>
      <c r="PUC9" s="448"/>
      <c r="PUD9" s="448"/>
      <c r="PUE9" s="448"/>
      <c r="PUF9" s="448"/>
      <c r="PUG9" s="448"/>
      <c r="PUH9" s="448"/>
      <c r="PUI9" s="448"/>
      <c r="PUJ9" s="448"/>
      <c r="PUK9" s="448"/>
      <c r="PUL9" s="448"/>
      <c r="PUM9" s="448"/>
      <c r="PUN9" s="448"/>
      <c r="PUO9" s="448"/>
      <c r="PUP9" s="448"/>
      <c r="PUQ9" s="448"/>
      <c r="PUR9" s="448"/>
      <c r="PUS9" s="448"/>
      <c r="PUT9" s="448"/>
      <c r="PUU9" s="448"/>
      <c r="PUV9" s="448"/>
      <c r="PUW9" s="448"/>
      <c r="PUX9" s="448"/>
      <c r="PUY9" s="448"/>
      <c r="PUZ9" s="448"/>
      <c r="PVA9" s="448"/>
      <c r="PVB9" s="448"/>
      <c r="PVC9" s="448"/>
      <c r="PVD9" s="448"/>
      <c r="PVE9" s="448"/>
      <c r="PVF9" s="448"/>
      <c r="PVG9" s="448"/>
      <c r="PVH9" s="448"/>
      <c r="PVI9" s="448"/>
      <c r="PVJ9" s="448"/>
      <c r="PVK9" s="446"/>
      <c r="PVL9" s="447"/>
      <c r="PVM9" s="448"/>
      <c r="PVN9" s="448"/>
      <c r="PVO9" s="448"/>
      <c r="PVP9" s="448"/>
      <c r="PVQ9" s="448"/>
      <c r="PVR9" s="448"/>
      <c r="PVS9" s="448"/>
      <c r="PVT9" s="448"/>
      <c r="PVU9" s="448"/>
      <c r="PVV9" s="448"/>
      <c r="PVW9" s="448"/>
      <c r="PVX9" s="448"/>
      <c r="PVY9" s="448"/>
      <c r="PVZ9" s="448"/>
      <c r="PWA9" s="448"/>
      <c r="PWB9" s="448"/>
      <c r="PWC9" s="448"/>
      <c r="PWD9" s="448"/>
      <c r="PWE9" s="448"/>
      <c r="PWF9" s="448"/>
      <c r="PWG9" s="448"/>
      <c r="PWH9" s="448"/>
      <c r="PWI9" s="448"/>
      <c r="PWJ9" s="448"/>
      <c r="PWK9" s="448"/>
      <c r="PWL9" s="448"/>
      <c r="PWM9" s="448"/>
      <c r="PWN9" s="448"/>
      <c r="PWO9" s="448"/>
      <c r="PWP9" s="448"/>
      <c r="PWQ9" s="448"/>
      <c r="PWR9" s="448"/>
      <c r="PWS9" s="448"/>
      <c r="PWT9" s="448"/>
      <c r="PWU9" s="448"/>
      <c r="PWV9" s="448"/>
      <c r="PWW9" s="448"/>
      <c r="PWX9" s="448"/>
      <c r="PWY9" s="448"/>
      <c r="PWZ9" s="446"/>
      <c r="PXA9" s="447"/>
      <c r="PXB9" s="448"/>
      <c r="PXC9" s="448"/>
      <c r="PXD9" s="448"/>
      <c r="PXE9" s="448"/>
      <c r="PXF9" s="448"/>
      <c r="PXG9" s="448"/>
      <c r="PXH9" s="448"/>
      <c r="PXI9" s="448"/>
      <c r="PXJ9" s="448"/>
      <c r="PXK9" s="448"/>
      <c r="PXL9" s="448"/>
      <c r="PXM9" s="448"/>
      <c r="PXN9" s="448"/>
      <c r="PXO9" s="448"/>
      <c r="PXP9" s="448"/>
      <c r="PXQ9" s="448"/>
      <c r="PXR9" s="448"/>
      <c r="PXS9" s="448"/>
      <c r="PXT9" s="448"/>
      <c r="PXU9" s="448"/>
      <c r="PXV9" s="448"/>
      <c r="PXW9" s="448"/>
      <c r="PXX9" s="448"/>
      <c r="PXY9" s="448"/>
      <c r="PXZ9" s="448"/>
      <c r="PYA9" s="448"/>
      <c r="PYB9" s="448"/>
      <c r="PYC9" s="448"/>
      <c r="PYD9" s="448"/>
      <c r="PYE9" s="448"/>
      <c r="PYF9" s="448"/>
      <c r="PYG9" s="448"/>
      <c r="PYH9" s="448"/>
      <c r="PYI9" s="448"/>
      <c r="PYJ9" s="448"/>
      <c r="PYK9" s="448"/>
      <c r="PYL9" s="448"/>
      <c r="PYM9" s="448"/>
      <c r="PYN9" s="448"/>
      <c r="PYO9" s="446"/>
      <c r="PYP9" s="447"/>
      <c r="PYQ9" s="448"/>
      <c r="PYR9" s="448"/>
      <c r="PYS9" s="448"/>
      <c r="PYT9" s="448"/>
      <c r="PYU9" s="448"/>
      <c r="PYV9" s="448"/>
      <c r="PYW9" s="448"/>
      <c r="PYX9" s="448"/>
      <c r="PYY9" s="448"/>
      <c r="PYZ9" s="448"/>
      <c r="PZA9" s="448"/>
      <c r="PZB9" s="448"/>
      <c r="PZC9" s="448"/>
      <c r="PZD9" s="448"/>
      <c r="PZE9" s="448"/>
      <c r="PZF9" s="448"/>
      <c r="PZG9" s="448"/>
      <c r="PZH9" s="448"/>
      <c r="PZI9" s="448"/>
      <c r="PZJ9" s="448"/>
      <c r="PZK9" s="448"/>
      <c r="PZL9" s="448"/>
      <c r="PZM9" s="448"/>
      <c r="PZN9" s="448"/>
      <c r="PZO9" s="448"/>
      <c r="PZP9" s="448"/>
      <c r="PZQ9" s="448"/>
      <c r="PZR9" s="448"/>
      <c r="PZS9" s="448"/>
      <c r="PZT9" s="448"/>
      <c r="PZU9" s="448"/>
      <c r="PZV9" s="448"/>
      <c r="PZW9" s="448"/>
      <c r="PZX9" s="448"/>
      <c r="PZY9" s="448"/>
      <c r="PZZ9" s="448"/>
      <c r="QAA9" s="448"/>
      <c r="QAB9" s="448"/>
      <c r="QAC9" s="448"/>
      <c r="QAD9" s="446"/>
      <c r="QAE9" s="447"/>
      <c r="QAF9" s="448"/>
      <c r="QAG9" s="448"/>
      <c r="QAH9" s="448"/>
      <c r="QAI9" s="448"/>
      <c r="QAJ9" s="448"/>
      <c r="QAK9" s="448"/>
      <c r="QAL9" s="448"/>
      <c r="QAM9" s="448"/>
      <c r="QAN9" s="448"/>
      <c r="QAO9" s="448"/>
      <c r="QAP9" s="448"/>
      <c r="QAQ9" s="448"/>
      <c r="QAR9" s="448"/>
      <c r="QAS9" s="448"/>
      <c r="QAT9" s="448"/>
      <c r="QAU9" s="448"/>
      <c r="QAV9" s="448"/>
      <c r="QAW9" s="448"/>
      <c r="QAX9" s="448"/>
      <c r="QAY9" s="448"/>
      <c r="QAZ9" s="448"/>
      <c r="QBA9" s="448"/>
      <c r="QBB9" s="448"/>
      <c r="QBC9" s="448"/>
      <c r="QBD9" s="448"/>
      <c r="QBE9" s="448"/>
      <c r="QBF9" s="448"/>
      <c r="QBG9" s="448"/>
      <c r="QBH9" s="448"/>
      <c r="QBI9" s="448"/>
      <c r="QBJ9" s="448"/>
      <c r="QBK9" s="448"/>
      <c r="QBL9" s="448"/>
      <c r="QBM9" s="448"/>
      <c r="QBN9" s="448"/>
      <c r="QBO9" s="448"/>
      <c r="QBP9" s="448"/>
      <c r="QBQ9" s="448"/>
      <c r="QBR9" s="448"/>
      <c r="QBS9" s="446"/>
      <c r="QBT9" s="447"/>
      <c r="QBU9" s="448"/>
      <c r="QBV9" s="448"/>
      <c r="QBW9" s="448"/>
      <c r="QBX9" s="448"/>
      <c r="QBY9" s="448"/>
      <c r="QBZ9" s="448"/>
      <c r="QCA9" s="448"/>
      <c r="QCB9" s="448"/>
      <c r="QCC9" s="448"/>
      <c r="QCD9" s="448"/>
      <c r="QCE9" s="448"/>
      <c r="QCF9" s="448"/>
      <c r="QCG9" s="448"/>
      <c r="QCH9" s="448"/>
      <c r="QCI9" s="448"/>
      <c r="QCJ9" s="448"/>
      <c r="QCK9" s="448"/>
      <c r="QCL9" s="448"/>
      <c r="QCM9" s="448"/>
      <c r="QCN9" s="448"/>
      <c r="QCO9" s="448"/>
      <c r="QCP9" s="448"/>
      <c r="QCQ9" s="448"/>
      <c r="QCR9" s="448"/>
      <c r="QCS9" s="448"/>
      <c r="QCT9" s="448"/>
      <c r="QCU9" s="448"/>
      <c r="QCV9" s="448"/>
      <c r="QCW9" s="448"/>
      <c r="QCX9" s="448"/>
      <c r="QCY9" s="448"/>
      <c r="QCZ9" s="448"/>
      <c r="QDA9" s="448"/>
      <c r="QDB9" s="448"/>
      <c r="QDC9" s="448"/>
      <c r="QDD9" s="448"/>
      <c r="QDE9" s="448"/>
      <c r="QDF9" s="448"/>
      <c r="QDG9" s="448"/>
      <c r="QDH9" s="446"/>
      <c r="QDI9" s="447"/>
      <c r="QDJ9" s="448"/>
      <c r="QDK9" s="448"/>
      <c r="QDL9" s="448"/>
      <c r="QDM9" s="448"/>
      <c r="QDN9" s="448"/>
      <c r="QDO9" s="448"/>
      <c r="QDP9" s="448"/>
      <c r="QDQ9" s="448"/>
      <c r="QDR9" s="448"/>
      <c r="QDS9" s="448"/>
      <c r="QDT9" s="448"/>
      <c r="QDU9" s="448"/>
      <c r="QDV9" s="448"/>
      <c r="QDW9" s="448"/>
      <c r="QDX9" s="448"/>
      <c r="QDY9" s="448"/>
      <c r="QDZ9" s="448"/>
      <c r="QEA9" s="448"/>
      <c r="QEB9" s="448"/>
      <c r="QEC9" s="448"/>
      <c r="QED9" s="448"/>
      <c r="QEE9" s="448"/>
      <c r="QEF9" s="448"/>
      <c r="QEG9" s="448"/>
      <c r="QEH9" s="448"/>
      <c r="QEI9" s="448"/>
      <c r="QEJ9" s="448"/>
      <c r="QEK9" s="448"/>
      <c r="QEL9" s="448"/>
      <c r="QEM9" s="448"/>
      <c r="QEN9" s="448"/>
      <c r="QEO9" s="448"/>
      <c r="QEP9" s="448"/>
      <c r="QEQ9" s="448"/>
      <c r="QER9" s="448"/>
      <c r="QES9" s="448"/>
      <c r="QET9" s="448"/>
      <c r="QEU9" s="448"/>
      <c r="QEV9" s="448"/>
      <c r="QEW9" s="446"/>
      <c r="QEX9" s="447"/>
      <c r="QEY9" s="448"/>
      <c r="QEZ9" s="448"/>
      <c r="QFA9" s="448"/>
      <c r="QFB9" s="448"/>
      <c r="QFC9" s="448"/>
      <c r="QFD9" s="448"/>
      <c r="QFE9" s="448"/>
      <c r="QFF9" s="448"/>
      <c r="QFG9" s="448"/>
      <c r="QFH9" s="448"/>
      <c r="QFI9" s="448"/>
      <c r="QFJ9" s="448"/>
      <c r="QFK9" s="448"/>
      <c r="QFL9" s="448"/>
      <c r="QFM9" s="448"/>
      <c r="QFN9" s="448"/>
      <c r="QFO9" s="448"/>
      <c r="QFP9" s="448"/>
      <c r="QFQ9" s="448"/>
      <c r="QFR9" s="448"/>
      <c r="QFS9" s="448"/>
      <c r="QFT9" s="448"/>
      <c r="QFU9" s="448"/>
      <c r="QFV9" s="448"/>
      <c r="QFW9" s="448"/>
      <c r="QFX9" s="448"/>
      <c r="QFY9" s="448"/>
      <c r="QFZ9" s="448"/>
      <c r="QGA9" s="448"/>
      <c r="QGB9" s="448"/>
      <c r="QGC9" s="448"/>
      <c r="QGD9" s="448"/>
      <c r="QGE9" s="448"/>
      <c r="QGF9" s="448"/>
      <c r="QGG9" s="448"/>
      <c r="QGH9" s="448"/>
      <c r="QGI9" s="448"/>
      <c r="QGJ9" s="448"/>
      <c r="QGK9" s="448"/>
      <c r="QGL9" s="446"/>
      <c r="QGM9" s="447"/>
      <c r="QGN9" s="448"/>
      <c r="QGO9" s="448"/>
      <c r="QGP9" s="448"/>
      <c r="QGQ9" s="448"/>
      <c r="QGR9" s="448"/>
      <c r="QGS9" s="448"/>
      <c r="QGT9" s="448"/>
      <c r="QGU9" s="448"/>
      <c r="QGV9" s="448"/>
      <c r="QGW9" s="448"/>
      <c r="QGX9" s="448"/>
      <c r="QGY9" s="448"/>
      <c r="QGZ9" s="448"/>
      <c r="QHA9" s="448"/>
      <c r="QHB9" s="448"/>
      <c r="QHC9" s="448"/>
      <c r="QHD9" s="448"/>
      <c r="QHE9" s="448"/>
      <c r="QHF9" s="448"/>
      <c r="QHG9" s="448"/>
      <c r="QHH9" s="448"/>
      <c r="QHI9" s="448"/>
      <c r="QHJ9" s="448"/>
      <c r="QHK9" s="448"/>
      <c r="QHL9" s="448"/>
      <c r="QHM9" s="448"/>
      <c r="QHN9" s="448"/>
      <c r="QHO9" s="448"/>
      <c r="QHP9" s="448"/>
      <c r="QHQ9" s="448"/>
      <c r="QHR9" s="448"/>
      <c r="QHS9" s="448"/>
      <c r="QHT9" s="448"/>
      <c r="QHU9" s="448"/>
      <c r="QHV9" s="448"/>
      <c r="QHW9" s="448"/>
      <c r="QHX9" s="448"/>
      <c r="QHY9" s="448"/>
      <c r="QHZ9" s="448"/>
      <c r="QIA9" s="446"/>
      <c r="QIB9" s="447"/>
      <c r="QIC9" s="448"/>
      <c r="QID9" s="448"/>
      <c r="QIE9" s="448"/>
      <c r="QIF9" s="448"/>
      <c r="QIG9" s="448"/>
      <c r="QIH9" s="448"/>
      <c r="QII9" s="448"/>
      <c r="QIJ9" s="448"/>
      <c r="QIK9" s="448"/>
      <c r="QIL9" s="448"/>
      <c r="QIM9" s="448"/>
      <c r="QIN9" s="448"/>
      <c r="QIO9" s="448"/>
      <c r="QIP9" s="448"/>
      <c r="QIQ9" s="448"/>
      <c r="QIR9" s="448"/>
      <c r="QIS9" s="448"/>
      <c r="QIT9" s="448"/>
      <c r="QIU9" s="448"/>
      <c r="QIV9" s="448"/>
      <c r="QIW9" s="448"/>
      <c r="QIX9" s="448"/>
      <c r="QIY9" s="448"/>
      <c r="QIZ9" s="448"/>
      <c r="QJA9" s="448"/>
      <c r="QJB9" s="448"/>
      <c r="QJC9" s="448"/>
      <c r="QJD9" s="448"/>
      <c r="QJE9" s="448"/>
      <c r="QJF9" s="448"/>
      <c r="QJG9" s="448"/>
      <c r="QJH9" s="448"/>
      <c r="QJI9" s="448"/>
      <c r="QJJ9" s="448"/>
      <c r="QJK9" s="448"/>
      <c r="QJL9" s="448"/>
      <c r="QJM9" s="448"/>
      <c r="QJN9" s="448"/>
      <c r="QJO9" s="448"/>
      <c r="QJP9" s="446"/>
      <c r="QJQ9" s="447"/>
      <c r="QJR9" s="448"/>
      <c r="QJS9" s="448"/>
      <c r="QJT9" s="448"/>
      <c r="QJU9" s="448"/>
      <c r="QJV9" s="448"/>
      <c r="QJW9" s="448"/>
      <c r="QJX9" s="448"/>
      <c r="QJY9" s="448"/>
      <c r="QJZ9" s="448"/>
      <c r="QKA9" s="448"/>
      <c r="QKB9" s="448"/>
      <c r="QKC9" s="448"/>
      <c r="QKD9" s="448"/>
      <c r="QKE9" s="448"/>
      <c r="QKF9" s="448"/>
      <c r="QKG9" s="448"/>
      <c r="QKH9" s="448"/>
      <c r="QKI9" s="448"/>
      <c r="QKJ9" s="448"/>
      <c r="QKK9" s="448"/>
      <c r="QKL9" s="448"/>
      <c r="QKM9" s="448"/>
      <c r="QKN9" s="448"/>
      <c r="QKO9" s="448"/>
      <c r="QKP9" s="448"/>
      <c r="QKQ9" s="448"/>
      <c r="QKR9" s="448"/>
      <c r="QKS9" s="448"/>
      <c r="QKT9" s="448"/>
      <c r="QKU9" s="448"/>
      <c r="QKV9" s="448"/>
      <c r="QKW9" s="448"/>
      <c r="QKX9" s="448"/>
      <c r="QKY9" s="448"/>
      <c r="QKZ9" s="448"/>
      <c r="QLA9" s="448"/>
      <c r="QLB9" s="448"/>
      <c r="QLC9" s="448"/>
      <c r="QLD9" s="448"/>
      <c r="QLE9" s="446"/>
      <c r="QLF9" s="447"/>
      <c r="QLG9" s="448"/>
      <c r="QLH9" s="448"/>
      <c r="QLI9" s="448"/>
      <c r="QLJ9" s="448"/>
      <c r="QLK9" s="448"/>
      <c r="QLL9" s="448"/>
      <c r="QLM9" s="448"/>
      <c r="QLN9" s="448"/>
      <c r="QLO9" s="448"/>
      <c r="QLP9" s="448"/>
      <c r="QLQ9" s="448"/>
      <c r="QLR9" s="448"/>
      <c r="QLS9" s="448"/>
      <c r="QLT9" s="448"/>
      <c r="QLU9" s="448"/>
      <c r="QLV9" s="448"/>
      <c r="QLW9" s="448"/>
      <c r="QLX9" s="448"/>
      <c r="QLY9" s="448"/>
      <c r="QLZ9" s="448"/>
      <c r="QMA9" s="448"/>
      <c r="QMB9" s="448"/>
      <c r="QMC9" s="448"/>
      <c r="QMD9" s="448"/>
      <c r="QME9" s="448"/>
      <c r="QMF9" s="448"/>
      <c r="QMG9" s="448"/>
      <c r="QMH9" s="448"/>
      <c r="QMI9" s="448"/>
      <c r="QMJ9" s="448"/>
      <c r="QMK9" s="448"/>
      <c r="QML9" s="448"/>
      <c r="QMM9" s="448"/>
      <c r="QMN9" s="448"/>
      <c r="QMO9" s="448"/>
      <c r="QMP9" s="448"/>
      <c r="QMQ9" s="448"/>
      <c r="QMR9" s="448"/>
      <c r="QMS9" s="448"/>
      <c r="QMT9" s="446"/>
      <c r="QMU9" s="447"/>
      <c r="QMV9" s="448"/>
      <c r="QMW9" s="448"/>
      <c r="QMX9" s="448"/>
      <c r="QMY9" s="448"/>
      <c r="QMZ9" s="448"/>
      <c r="QNA9" s="448"/>
      <c r="QNB9" s="448"/>
      <c r="QNC9" s="448"/>
      <c r="QND9" s="448"/>
      <c r="QNE9" s="448"/>
      <c r="QNF9" s="448"/>
      <c r="QNG9" s="448"/>
      <c r="QNH9" s="448"/>
      <c r="QNI9" s="448"/>
      <c r="QNJ9" s="448"/>
      <c r="QNK9" s="448"/>
      <c r="QNL9" s="448"/>
      <c r="QNM9" s="448"/>
      <c r="QNN9" s="448"/>
      <c r="QNO9" s="448"/>
      <c r="QNP9" s="448"/>
      <c r="QNQ9" s="448"/>
      <c r="QNR9" s="448"/>
      <c r="QNS9" s="448"/>
      <c r="QNT9" s="448"/>
      <c r="QNU9" s="448"/>
      <c r="QNV9" s="448"/>
      <c r="QNW9" s="448"/>
      <c r="QNX9" s="448"/>
      <c r="QNY9" s="448"/>
      <c r="QNZ9" s="448"/>
      <c r="QOA9" s="448"/>
      <c r="QOB9" s="448"/>
      <c r="QOC9" s="448"/>
      <c r="QOD9" s="448"/>
      <c r="QOE9" s="448"/>
      <c r="QOF9" s="448"/>
      <c r="QOG9" s="448"/>
      <c r="QOH9" s="448"/>
      <c r="QOI9" s="446"/>
      <c r="QOJ9" s="447"/>
      <c r="QOK9" s="448"/>
      <c r="QOL9" s="448"/>
      <c r="QOM9" s="448"/>
      <c r="QON9" s="448"/>
      <c r="QOO9" s="448"/>
      <c r="QOP9" s="448"/>
      <c r="QOQ9" s="448"/>
      <c r="QOR9" s="448"/>
      <c r="QOS9" s="448"/>
      <c r="QOT9" s="448"/>
      <c r="QOU9" s="448"/>
      <c r="QOV9" s="448"/>
      <c r="QOW9" s="448"/>
      <c r="QOX9" s="448"/>
      <c r="QOY9" s="448"/>
      <c r="QOZ9" s="448"/>
      <c r="QPA9" s="448"/>
      <c r="QPB9" s="448"/>
      <c r="QPC9" s="448"/>
      <c r="QPD9" s="448"/>
      <c r="QPE9" s="448"/>
      <c r="QPF9" s="448"/>
      <c r="QPG9" s="448"/>
      <c r="QPH9" s="448"/>
      <c r="QPI9" s="448"/>
      <c r="QPJ9" s="448"/>
      <c r="QPK9" s="448"/>
      <c r="QPL9" s="448"/>
      <c r="QPM9" s="448"/>
      <c r="QPN9" s="448"/>
      <c r="QPO9" s="448"/>
      <c r="QPP9" s="448"/>
      <c r="QPQ9" s="448"/>
      <c r="QPR9" s="448"/>
      <c r="QPS9" s="448"/>
      <c r="QPT9" s="448"/>
      <c r="QPU9" s="448"/>
      <c r="QPV9" s="448"/>
      <c r="QPW9" s="448"/>
      <c r="QPX9" s="446"/>
      <c r="QPY9" s="447"/>
      <c r="QPZ9" s="448"/>
      <c r="QQA9" s="448"/>
      <c r="QQB9" s="448"/>
      <c r="QQC9" s="448"/>
      <c r="QQD9" s="448"/>
      <c r="QQE9" s="448"/>
      <c r="QQF9" s="448"/>
      <c r="QQG9" s="448"/>
      <c r="QQH9" s="448"/>
      <c r="QQI9" s="448"/>
      <c r="QQJ9" s="448"/>
      <c r="QQK9" s="448"/>
      <c r="QQL9" s="448"/>
      <c r="QQM9" s="448"/>
      <c r="QQN9" s="448"/>
      <c r="QQO9" s="448"/>
      <c r="QQP9" s="448"/>
      <c r="QQQ9" s="448"/>
      <c r="QQR9" s="448"/>
      <c r="QQS9" s="448"/>
      <c r="QQT9" s="448"/>
      <c r="QQU9" s="448"/>
      <c r="QQV9" s="448"/>
      <c r="QQW9" s="448"/>
      <c r="QQX9" s="448"/>
      <c r="QQY9" s="448"/>
      <c r="QQZ9" s="448"/>
      <c r="QRA9" s="448"/>
      <c r="QRB9" s="448"/>
      <c r="QRC9" s="448"/>
      <c r="QRD9" s="448"/>
      <c r="QRE9" s="448"/>
      <c r="QRF9" s="448"/>
      <c r="QRG9" s="448"/>
      <c r="QRH9" s="448"/>
      <c r="QRI9" s="448"/>
      <c r="QRJ9" s="448"/>
      <c r="QRK9" s="448"/>
      <c r="QRL9" s="448"/>
      <c r="QRM9" s="446"/>
      <c r="QRN9" s="447"/>
      <c r="QRO9" s="448"/>
      <c r="QRP9" s="448"/>
      <c r="QRQ9" s="448"/>
      <c r="QRR9" s="448"/>
      <c r="QRS9" s="448"/>
      <c r="QRT9" s="448"/>
      <c r="QRU9" s="448"/>
      <c r="QRV9" s="448"/>
      <c r="QRW9" s="448"/>
      <c r="QRX9" s="448"/>
      <c r="QRY9" s="448"/>
      <c r="QRZ9" s="448"/>
      <c r="QSA9" s="448"/>
      <c r="QSB9" s="448"/>
      <c r="QSC9" s="448"/>
      <c r="QSD9" s="448"/>
      <c r="QSE9" s="448"/>
      <c r="QSF9" s="448"/>
      <c r="QSG9" s="448"/>
      <c r="QSH9" s="448"/>
      <c r="QSI9" s="448"/>
      <c r="QSJ9" s="448"/>
      <c r="QSK9" s="448"/>
      <c r="QSL9" s="448"/>
      <c r="QSM9" s="448"/>
      <c r="QSN9" s="448"/>
      <c r="QSO9" s="448"/>
      <c r="QSP9" s="448"/>
      <c r="QSQ9" s="448"/>
      <c r="QSR9" s="448"/>
      <c r="QSS9" s="448"/>
      <c r="QST9" s="448"/>
      <c r="QSU9" s="448"/>
      <c r="QSV9" s="448"/>
      <c r="QSW9" s="448"/>
      <c r="QSX9" s="448"/>
      <c r="QSY9" s="448"/>
      <c r="QSZ9" s="448"/>
      <c r="QTA9" s="448"/>
      <c r="QTB9" s="446"/>
      <c r="QTC9" s="447"/>
      <c r="QTD9" s="448"/>
      <c r="QTE9" s="448"/>
      <c r="QTF9" s="448"/>
      <c r="QTG9" s="448"/>
      <c r="QTH9" s="448"/>
      <c r="QTI9" s="448"/>
      <c r="QTJ9" s="448"/>
      <c r="QTK9" s="448"/>
      <c r="QTL9" s="448"/>
      <c r="QTM9" s="448"/>
      <c r="QTN9" s="448"/>
      <c r="QTO9" s="448"/>
      <c r="QTP9" s="448"/>
      <c r="QTQ9" s="448"/>
      <c r="QTR9" s="448"/>
      <c r="QTS9" s="448"/>
      <c r="QTT9" s="448"/>
      <c r="QTU9" s="448"/>
      <c r="QTV9" s="448"/>
      <c r="QTW9" s="448"/>
      <c r="QTX9" s="448"/>
      <c r="QTY9" s="448"/>
      <c r="QTZ9" s="448"/>
      <c r="QUA9" s="448"/>
      <c r="QUB9" s="448"/>
      <c r="QUC9" s="448"/>
      <c r="QUD9" s="448"/>
      <c r="QUE9" s="448"/>
      <c r="QUF9" s="448"/>
      <c r="QUG9" s="448"/>
      <c r="QUH9" s="448"/>
      <c r="QUI9" s="448"/>
      <c r="QUJ9" s="448"/>
      <c r="QUK9" s="448"/>
      <c r="QUL9" s="448"/>
      <c r="QUM9" s="448"/>
      <c r="QUN9" s="448"/>
      <c r="QUO9" s="448"/>
      <c r="QUP9" s="448"/>
      <c r="QUQ9" s="446"/>
      <c r="QUR9" s="447"/>
      <c r="QUS9" s="448"/>
      <c r="QUT9" s="448"/>
      <c r="QUU9" s="448"/>
      <c r="QUV9" s="448"/>
      <c r="QUW9" s="448"/>
      <c r="QUX9" s="448"/>
      <c r="QUY9" s="448"/>
      <c r="QUZ9" s="448"/>
      <c r="QVA9" s="448"/>
      <c r="QVB9" s="448"/>
      <c r="QVC9" s="448"/>
      <c r="QVD9" s="448"/>
      <c r="QVE9" s="448"/>
      <c r="QVF9" s="448"/>
      <c r="QVG9" s="448"/>
      <c r="QVH9" s="448"/>
      <c r="QVI9" s="448"/>
      <c r="QVJ9" s="448"/>
      <c r="QVK9" s="448"/>
      <c r="QVL9" s="448"/>
      <c r="QVM9" s="448"/>
      <c r="QVN9" s="448"/>
      <c r="QVO9" s="448"/>
      <c r="QVP9" s="448"/>
      <c r="QVQ9" s="448"/>
      <c r="QVR9" s="448"/>
      <c r="QVS9" s="448"/>
      <c r="QVT9" s="448"/>
      <c r="QVU9" s="448"/>
      <c r="QVV9" s="448"/>
      <c r="QVW9" s="448"/>
      <c r="QVX9" s="448"/>
      <c r="QVY9" s="448"/>
      <c r="QVZ9" s="448"/>
      <c r="QWA9" s="448"/>
      <c r="QWB9" s="448"/>
      <c r="QWC9" s="448"/>
      <c r="QWD9" s="448"/>
      <c r="QWE9" s="448"/>
      <c r="QWF9" s="446"/>
      <c r="QWG9" s="447"/>
      <c r="QWH9" s="448"/>
      <c r="QWI9" s="448"/>
      <c r="QWJ9" s="448"/>
      <c r="QWK9" s="448"/>
      <c r="QWL9" s="448"/>
      <c r="QWM9" s="448"/>
      <c r="QWN9" s="448"/>
      <c r="QWO9" s="448"/>
      <c r="QWP9" s="448"/>
      <c r="QWQ9" s="448"/>
      <c r="QWR9" s="448"/>
      <c r="QWS9" s="448"/>
      <c r="QWT9" s="448"/>
      <c r="QWU9" s="448"/>
      <c r="QWV9" s="448"/>
      <c r="QWW9" s="448"/>
      <c r="QWX9" s="448"/>
      <c r="QWY9" s="448"/>
      <c r="QWZ9" s="448"/>
      <c r="QXA9" s="448"/>
      <c r="QXB9" s="448"/>
      <c r="QXC9" s="448"/>
      <c r="QXD9" s="448"/>
      <c r="QXE9" s="448"/>
      <c r="QXF9" s="448"/>
      <c r="QXG9" s="448"/>
      <c r="QXH9" s="448"/>
      <c r="QXI9" s="448"/>
      <c r="QXJ9" s="448"/>
      <c r="QXK9" s="448"/>
      <c r="QXL9" s="448"/>
      <c r="QXM9" s="448"/>
      <c r="QXN9" s="448"/>
      <c r="QXO9" s="448"/>
      <c r="QXP9" s="448"/>
      <c r="QXQ9" s="448"/>
      <c r="QXR9" s="448"/>
      <c r="QXS9" s="448"/>
      <c r="QXT9" s="448"/>
      <c r="QXU9" s="446"/>
      <c r="QXV9" s="447"/>
      <c r="QXW9" s="448"/>
      <c r="QXX9" s="448"/>
      <c r="QXY9" s="448"/>
      <c r="QXZ9" s="448"/>
      <c r="QYA9" s="448"/>
      <c r="QYB9" s="448"/>
      <c r="QYC9" s="448"/>
      <c r="QYD9" s="448"/>
      <c r="QYE9" s="448"/>
      <c r="QYF9" s="448"/>
      <c r="QYG9" s="448"/>
      <c r="QYH9" s="448"/>
      <c r="QYI9" s="448"/>
      <c r="QYJ9" s="448"/>
      <c r="QYK9" s="448"/>
      <c r="QYL9" s="448"/>
      <c r="QYM9" s="448"/>
      <c r="QYN9" s="448"/>
      <c r="QYO9" s="448"/>
      <c r="QYP9" s="448"/>
      <c r="QYQ9" s="448"/>
      <c r="QYR9" s="448"/>
      <c r="QYS9" s="448"/>
      <c r="QYT9" s="448"/>
      <c r="QYU9" s="448"/>
      <c r="QYV9" s="448"/>
      <c r="QYW9" s="448"/>
      <c r="QYX9" s="448"/>
      <c r="QYY9" s="448"/>
      <c r="QYZ9" s="448"/>
      <c r="QZA9" s="448"/>
      <c r="QZB9" s="448"/>
      <c r="QZC9" s="448"/>
      <c r="QZD9" s="448"/>
      <c r="QZE9" s="448"/>
      <c r="QZF9" s="448"/>
      <c r="QZG9" s="448"/>
      <c r="QZH9" s="448"/>
      <c r="QZI9" s="448"/>
      <c r="QZJ9" s="446"/>
      <c r="QZK9" s="447"/>
      <c r="QZL9" s="448"/>
      <c r="QZM9" s="448"/>
      <c r="QZN9" s="448"/>
      <c r="QZO9" s="448"/>
      <c r="QZP9" s="448"/>
      <c r="QZQ9" s="448"/>
      <c r="QZR9" s="448"/>
      <c r="QZS9" s="448"/>
      <c r="QZT9" s="448"/>
      <c r="QZU9" s="448"/>
      <c r="QZV9" s="448"/>
      <c r="QZW9" s="448"/>
      <c r="QZX9" s="448"/>
      <c r="QZY9" s="448"/>
      <c r="QZZ9" s="448"/>
      <c r="RAA9" s="448"/>
      <c r="RAB9" s="448"/>
      <c r="RAC9" s="448"/>
      <c r="RAD9" s="448"/>
      <c r="RAE9" s="448"/>
      <c r="RAF9" s="448"/>
      <c r="RAG9" s="448"/>
      <c r="RAH9" s="448"/>
      <c r="RAI9" s="448"/>
      <c r="RAJ9" s="448"/>
      <c r="RAK9" s="448"/>
      <c r="RAL9" s="448"/>
      <c r="RAM9" s="448"/>
      <c r="RAN9" s="448"/>
      <c r="RAO9" s="448"/>
      <c r="RAP9" s="448"/>
      <c r="RAQ9" s="448"/>
      <c r="RAR9" s="448"/>
      <c r="RAS9" s="448"/>
      <c r="RAT9" s="448"/>
      <c r="RAU9" s="448"/>
      <c r="RAV9" s="448"/>
      <c r="RAW9" s="448"/>
      <c r="RAX9" s="448"/>
      <c r="RAY9" s="446"/>
      <c r="RAZ9" s="447"/>
      <c r="RBA9" s="448"/>
      <c r="RBB9" s="448"/>
      <c r="RBC9" s="448"/>
      <c r="RBD9" s="448"/>
      <c r="RBE9" s="448"/>
      <c r="RBF9" s="448"/>
      <c r="RBG9" s="448"/>
      <c r="RBH9" s="448"/>
      <c r="RBI9" s="448"/>
      <c r="RBJ9" s="448"/>
      <c r="RBK9" s="448"/>
      <c r="RBL9" s="448"/>
      <c r="RBM9" s="448"/>
      <c r="RBN9" s="448"/>
      <c r="RBO9" s="448"/>
      <c r="RBP9" s="448"/>
      <c r="RBQ9" s="448"/>
      <c r="RBR9" s="448"/>
      <c r="RBS9" s="448"/>
      <c r="RBT9" s="448"/>
      <c r="RBU9" s="448"/>
      <c r="RBV9" s="448"/>
      <c r="RBW9" s="448"/>
      <c r="RBX9" s="448"/>
      <c r="RBY9" s="448"/>
      <c r="RBZ9" s="448"/>
      <c r="RCA9" s="448"/>
      <c r="RCB9" s="448"/>
      <c r="RCC9" s="448"/>
      <c r="RCD9" s="448"/>
      <c r="RCE9" s="448"/>
      <c r="RCF9" s="448"/>
      <c r="RCG9" s="448"/>
      <c r="RCH9" s="448"/>
      <c r="RCI9" s="448"/>
      <c r="RCJ9" s="448"/>
      <c r="RCK9" s="448"/>
      <c r="RCL9" s="448"/>
      <c r="RCM9" s="448"/>
      <c r="RCN9" s="446"/>
      <c r="RCO9" s="447"/>
      <c r="RCP9" s="448"/>
      <c r="RCQ9" s="448"/>
      <c r="RCR9" s="448"/>
      <c r="RCS9" s="448"/>
      <c r="RCT9" s="448"/>
      <c r="RCU9" s="448"/>
      <c r="RCV9" s="448"/>
      <c r="RCW9" s="448"/>
      <c r="RCX9" s="448"/>
      <c r="RCY9" s="448"/>
      <c r="RCZ9" s="448"/>
      <c r="RDA9" s="448"/>
      <c r="RDB9" s="448"/>
      <c r="RDC9" s="448"/>
      <c r="RDD9" s="448"/>
      <c r="RDE9" s="448"/>
      <c r="RDF9" s="448"/>
      <c r="RDG9" s="448"/>
      <c r="RDH9" s="448"/>
      <c r="RDI9" s="448"/>
      <c r="RDJ9" s="448"/>
      <c r="RDK9" s="448"/>
      <c r="RDL9" s="448"/>
      <c r="RDM9" s="448"/>
      <c r="RDN9" s="448"/>
      <c r="RDO9" s="448"/>
      <c r="RDP9" s="448"/>
      <c r="RDQ9" s="448"/>
      <c r="RDR9" s="448"/>
      <c r="RDS9" s="448"/>
      <c r="RDT9" s="448"/>
      <c r="RDU9" s="448"/>
      <c r="RDV9" s="448"/>
      <c r="RDW9" s="448"/>
      <c r="RDX9" s="448"/>
      <c r="RDY9" s="448"/>
      <c r="RDZ9" s="448"/>
      <c r="REA9" s="448"/>
      <c r="REB9" s="448"/>
      <c r="REC9" s="446"/>
      <c r="RED9" s="447"/>
      <c r="REE9" s="448"/>
      <c r="REF9" s="448"/>
      <c r="REG9" s="448"/>
      <c r="REH9" s="448"/>
      <c r="REI9" s="448"/>
      <c r="REJ9" s="448"/>
      <c r="REK9" s="448"/>
      <c r="REL9" s="448"/>
      <c r="REM9" s="448"/>
      <c r="REN9" s="448"/>
      <c r="REO9" s="448"/>
      <c r="REP9" s="448"/>
      <c r="REQ9" s="448"/>
      <c r="RER9" s="448"/>
      <c r="RES9" s="448"/>
      <c r="RET9" s="448"/>
      <c r="REU9" s="448"/>
      <c r="REV9" s="448"/>
      <c r="REW9" s="448"/>
      <c r="REX9" s="448"/>
      <c r="REY9" s="448"/>
      <c r="REZ9" s="448"/>
      <c r="RFA9" s="448"/>
      <c r="RFB9" s="448"/>
      <c r="RFC9" s="448"/>
      <c r="RFD9" s="448"/>
      <c r="RFE9" s="448"/>
      <c r="RFF9" s="448"/>
      <c r="RFG9" s="448"/>
      <c r="RFH9" s="448"/>
      <c r="RFI9" s="448"/>
      <c r="RFJ9" s="448"/>
      <c r="RFK9" s="448"/>
      <c r="RFL9" s="448"/>
      <c r="RFM9" s="448"/>
      <c r="RFN9" s="448"/>
      <c r="RFO9" s="448"/>
      <c r="RFP9" s="448"/>
      <c r="RFQ9" s="448"/>
      <c r="RFR9" s="446"/>
      <c r="RFS9" s="447"/>
      <c r="RFT9" s="448"/>
      <c r="RFU9" s="448"/>
      <c r="RFV9" s="448"/>
      <c r="RFW9" s="448"/>
      <c r="RFX9" s="448"/>
      <c r="RFY9" s="448"/>
      <c r="RFZ9" s="448"/>
      <c r="RGA9" s="448"/>
      <c r="RGB9" s="448"/>
      <c r="RGC9" s="448"/>
      <c r="RGD9" s="448"/>
      <c r="RGE9" s="448"/>
      <c r="RGF9" s="448"/>
      <c r="RGG9" s="448"/>
      <c r="RGH9" s="448"/>
      <c r="RGI9" s="448"/>
      <c r="RGJ9" s="448"/>
      <c r="RGK9" s="448"/>
      <c r="RGL9" s="448"/>
      <c r="RGM9" s="448"/>
      <c r="RGN9" s="448"/>
      <c r="RGO9" s="448"/>
      <c r="RGP9" s="448"/>
      <c r="RGQ9" s="448"/>
      <c r="RGR9" s="448"/>
      <c r="RGS9" s="448"/>
      <c r="RGT9" s="448"/>
      <c r="RGU9" s="448"/>
      <c r="RGV9" s="448"/>
      <c r="RGW9" s="448"/>
      <c r="RGX9" s="448"/>
      <c r="RGY9" s="448"/>
      <c r="RGZ9" s="448"/>
      <c r="RHA9" s="448"/>
      <c r="RHB9" s="448"/>
      <c r="RHC9" s="448"/>
      <c r="RHD9" s="448"/>
      <c r="RHE9" s="448"/>
      <c r="RHF9" s="448"/>
      <c r="RHG9" s="446"/>
      <c r="RHH9" s="447"/>
      <c r="RHI9" s="448"/>
      <c r="RHJ9" s="448"/>
      <c r="RHK9" s="448"/>
      <c r="RHL9" s="448"/>
      <c r="RHM9" s="448"/>
      <c r="RHN9" s="448"/>
      <c r="RHO9" s="448"/>
      <c r="RHP9" s="448"/>
      <c r="RHQ9" s="448"/>
      <c r="RHR9" s="448"/>
      <c r="RHS9" s="448"/>
      <c r="RHT9" s="448"/>
      <c r="RHU9" s="448"/>
      <c r="RHV9" s="448"/>
      <c r="RHW9" s="448"/>
      <c r="RHX9" s="448"/>
      <c r="RHY9" s="448"/>
      <c r="RHZ9" s="448"/>
      <c r="RIA9" s="448"/>
      <c r="RIB9" s="448"/>
      <c r="RIC9" s="448"/>
      <c r="RID9" s="448"/>
      <c r="RIE9" s="448"/>
      <c r="RIF9" s="448"/>
      <c r="RIG9" s="448"/>
      <c r="RIH9" s="448"/>
      <c r="RII9" s="448"/>
      <c r="RIJ9" s="448"/>
      <c r="RIK9" s="448"/>
      <c r="RIL9" s="448"/>
      <c r="RIM9" s="448"/>
      <c r="RIN9" s="448"/>
      <c r="RIO9" s="448"/>
      <c r="RIP9" s="448"/>
      <c r="RIQ9" s="448"/>
      <c r="RIR9" s="448"/>
      <c r="RIS9" s="448"/>
      <c r="RIT9" s="448"/>
      <c r="RIU9" s="448"/>
      <c r="RIV9" s="446"/>
      <c r="RIW9" s="447"/>
      <c r="RIX9" s="448"/>
      <c r="RIY9" s="448"/>
      <c r="RIZ9" s="448"/>
      <c r="RJA9" s="448"/>
      <c r="RJB9" s="448"/>
      <c r="RJC9" s="448"/>
      <c r="RJD9" s="448"/>
      <c r="RJE9" s="448"/>
      <c r="RJF9" s="448"/>
      <c r="RJG9" s="448"/>
      <c r="RJH9" s="448"/>
      <c r="RJI9" s="448"/>
      <c r="RJJ9" s="448"/>
      <c r="RJK9" s="448"/>
      <c r="RJL9" s="448"/>
      <c r="RJM9" s="448"/>
      <c r="RJN9" s="448"/>
      <c r="RJO9" s="448"/>
      <c r="RJP9" s="448"/>
      <c r="RJQ9" s="448"/>
      <c r="RJR9" s="448"/>
      <c r="RJS9" s="448"/>
      <c r="RJT9" s="448"/>
      <c r="RJU9" s="448"/>
      <c r="RJV9" s="448"/>
      <c r="RJW9" s="448"/>
      <c r="RJX9" s="448"/>
      <c r="RJY9" s="448"/>
      <c r="RJZ9" s="448"/>
      <c r="RKA9" s="448"/>
      <c r="RKB9" s="448"/>
      <c r="RKC9" s="448"/>
      <c r="RKD9" s="448"/>
      <c r="RKE9" s="448"/>
      <c r="RKF9" s="448"/>
      <c r="RKG9" s="448"/>
      <c r="RKH9" s="448"/>
      <c r="RKI9" s="448"/>
      <c r="RKJ9" s="448"/>
      <c r="RKK9" s="446"/>
      <c r="RKL9" s="447"/>
      <c r="RKM9" s="448"/>
      <c r="RKN9" s="448"/>
      <c r="RKO9" s="448"/>
      <c r="RKP9" s="448"/>
      <c r="RKQ9" s="448"/>
      <c r="RKR9" s="448"/>
      <c r="RKS9" s="448"/>
      <c r="RKT9" s="448"/>
      <c r="RKU9" s="448"/>
      <c r="RKV9" s="448"/>
      <c r="RKW9" s="448"/>
      <c r="RKX9" s="448"/>
      <c r="RKY9" s="448"/>
      <c r="RKZ9" s="448"/>
      <c r="RLA9" s="448"/>
      <c r="RLB9" s="448"/>
      <c r="RLC9" s="448"/>
      <c r="RLD9" s="448"/>
      <c r="RLE9" s="448"/>
      <c r="RLF9" s="448"/>
      <c r="RLG9" s="448"/>
      <c r="RLH9" s="448"/>
      <c r="RLI9" s="448"/>
      <c r="RLJ9" s="448"/>
      <c r="RLK9" s="448"/>
      <c r="RLL9" s="448"/>
      <c r="RLM9" s="448"/>
      <c r="RLN9" s="448"/>
      <c r="RLO9" s="448"/>
      <c r="RLP9" s="448"/>
      <c r="RLQ9" s="448"/>
      <c r="RLR9" s="448"/>
      <c r="RLS9" s="448"/>
      <c r="RLT9" s="448"/>
      <c r="RLU9" s="448"/>
      <c r="RLV9" s="448"/>
      <c r="RLW9" s="448"/>
      <c r="RLX9" s="448"/>
      <c r="RLY9" s="448"/>
      <c r="RLZ9" s="446"/>
      <c r="RMA9" s="447"/>
      <c r="RMB9" s="448"/>
      <c r="RMC9" s="448"/>
      <c r="RMD9" s="448"/>
      <c r="RME9" s="448"/>
      <c r="RMF9" s="448"/>
      <c r="RMG9" s="448"/>
      <c r="RMH9" s="448"/>
      <c r="RMI9" s="448"/>
      <c r="RMJ9" s="448"/>
      <c r="RMK9" s="448"/>
      <c r="RML9" s="448"/>
      <c r="RMM9" s="448"/>
      <c r="RMN9" s="448"/>
      <c r="RMO9" s="448"/>
      <c r="RMP9" s="448"/>
      <c r="RMQ9" s="448"/>
      <c r="RMR9" s="448"/>
      <c r="RMS9" s="448"/>
      <c r="RMT9" s="448"/>
      <c r="RMU9" s="448"/>
      <c r="RMV9" s="448"/>
      <c r="RMW9" s="448"/>
      <c r="RMX9" s="448"/>
      <c r="RMY9" s="448"/>
      <c r="RMZ9" s="448"/>
      <c r="RNA9" s="448"/>
      <c r="RNB9" s="448"/>
      <c r="RNC9" s="448"/>
      <c r="RND9" s="448"/>
      <c r="RNE9" s="448"/>
      <c r="RNF9" s="448"/>
      <c r="RNG9" s="448"/>
      <c r="RNH9" s="448"/>
      <c r="RNI9" s="448"/>
      <c r="RNJ9" s="448"/>
      <c r="RNK9" s="448"/>
      <c r="RNL9" s="448"/>
      <c r="RNM9" s="448"/>
      <c r="RNN9" s="448"/>
      <c r="RNO9" s="446"/>
      <c r="RNP9" s="447"/>
      <c r="RNQ9" s="448"/>
      <c r="RNR9" s="448"/>
      <c r="RNS9" s="448"/>
      <c r="RNT9" s="448"/>
      <c r="RNU9" s="448"/>
      <c r="RNV9" s="448"/>
      <c r="RNW9" s="448"/>
      <c r="RNX9" s="448"/>
      <c r="RNY9" s="448"/>
      <c r="RNZ9" s="448"/>
      <c r="ROA9" s="448"/>
      <c r="ROB9" s="448"/>
      <c r="ROC9" s="448"/>
      <c r="ROD9" s="448"/>
      <c r="ROE9" s="448"/>
      <c r="ROF9" s="448"/>
      <c r="ROG9" s="448"/>
      <c r="ROH9" s="448"/>
      <c r="ROI9" s="448"/>
      <c r="ROJ9" s="448"/>
      <c r="ROK9" s="448"/>
      <c r="ROL9" s="448"/>
      <c r="ROM9" s="448"/>
      <c r="RON9" s="448"/>
      <c r="ROO9" s="448"/>
      <c r="ROP9" s="448"/>
      <c r="ROQ9" s="448"/>
      <c r="ROR9" s="448"/>
      <c r="ROS9" s="448"/>
      <c r="ROT9" s="448"/>
      <c r="ROU9" s="448"/>
      <c r="ROV9" s="448"/>
      <c r="ROW9" s="448"/>
      <c r="ROX9" s="448"/>
      <c r="ROY9" s="448"/>
      <c r="ROZ9" s="448"/>
      <c r="RPA9" s="448"/>
      <c r="RPB9" s="448"/>
      <c r="RPC9" s="448"/>
      <c r="RPD9" s="446"/>
      <c r="RPE9" s="447"/>
      <c r="RPF9" s="448"/>
      <c r="RPG9" s="448"/>
      <c r="RPH9" s="448"/>
      <c r="RPI9" s="448"/>
      <c r="RPJ9" s="448"/>
      <c r="RPK9" s="448"/>
      <c r="RPL9" s="448"/>
      <c r="RPM9" s="448"/>
      <c r="RPN9" s="448"/>
      <c r="RPO9" s="448"/>
      <c r="RPP9" s="448"/>
      <c r="RPQ9" s="448"/>
      <c r="RPR9" s="448"/>
      <c r="RPS9" s="448"/>
      <c r="RPT9" s="448"/>
      <c r="RPU9" s="448"/>
      <c r="RPV9" s="448"/>
      <c r="RPW9" s="448"/>
      <c r="RPX9" s="448"/>
      <c r="RPY9" s="448"/>
      <c r="RPZ9" s="448"/>
      <c r="RQA9" s="448"/>
      <c r="RQB9" s="448"/>
      <c r="RQC9" s="448"/>
      <c r="RQD9" s="448"/>
      <c r="RQE9" s="448"/>
      <c r="RQF9" s="448"/>
      <c r="RQG9" s="448"/>
      <c r="RQH9" s="448"/>
      <c r="RQI9" s="448"/>
      <c r="RQJ9" s="448"/>
      <c r="RQK9" s="448"/>
      <c r="RQL9" s="448"/>
      <c r="RQM9" s="448"/>
      <c r="RQN9" s="448"/>
      <c r="RQO9" s="448"/>
      <c r="RQP9" s="448"/>
      <c r="RQQ9" s="448"/>
      <c r="RQR9" s="448"/>
      <c r="RQS9" s="446"/>
      <c r="RQT9" s="447"/>
      <c r="RQU9" s="448"/>
      <c r="RQV9" s="448"/>
      <c r="RQW9" s="448"/>
      <c r="RQX9" s="448"/>
      <c r="RQY9" s="448"/>
      <c r="RQZ9" s="448"/>
      <c r="RRA9" s="448"/>
      <c r="RRB9" s="448"/>
      <c r="RRC9" s="448"/>
      <c r="RRD9" s="448"/>
      <c r="RRE9" s="448"/>
      <c r="RRF9" s="448"/>
      <c r="RRG9" s="448"/>
      <c r="RRH9" s="448"/>
      <c r="RRI9" s="448"/>
      <c r="RRJ9" s="448"/>
      <c r="RRK9" s="448"/>
      <c r="RRL9" s="448"/>
      <c r="RRM9" s="448"/>
      <c r="RRN9" s="448"/>
      <c r="RRO9" s="448"/>
      <c r="RRP9" s="448"/>
      <c r="RRQ9" s="448"/>
      <c r="RRR9" s="448"/>
      <c r="RRS9" s="448"/>
      <c r="RRT9" s="448"/>
      <c r="RRU9" s="448"/>
      <c r="RRV9" s="448"/>
      <c r="RRW9" s="448"/>
      <c r="RRX9" s="448"/>
      <c r="RRY9" s="448"/>
      <c r="RRZ9" s="448"/>
      <c r="RSA9" s="448"/>
      <c r="RSB9" s="448"/>
      <c r="RSC9" s="448"/>
      <c r="RSD9" s="448"/>
      <c r="RSE9" s="448"/>
      <c r="RSF9" s="448"/>
      <c r="RSG9" s="448"/>
      <c r="RSH9" s="446"/>
      <c r="RSI9" s="447"/>
      <c r="RSJ9" s="448"/>
      <c r="RSK9" s="448"/>
      <c r="RSL9" s="448"/>
      <c r="RSM9" s="448"/>
      <c r="RSN9" s="448"/>
      <c r="RSO9" s="448"/>
      <c r="RSP9" s="448"/>
      <c r="RSQ9" s="448"/>
      <c r="RSR9" s="448"/>
      <c r="RSS9" s="448"/>
      <c r="RST9" s="448"/>
      <c r="RSU9" s="448"/>
      <c r="RSV9" s="448"/>
      <c r="RSW9" s="448"/>
      <c r="RSX9" s="448"/>
      <c r="RSY9" s="448"/>
      <c r="RSZ9" s="448"/>
      <c r="RTA9" s="448"/>
      <c r="RTB9" s="448"/>
      <c r="RTC9" s="448"/>
      <c r="RTD9" s="448"/>
      <c r="RTE9" s="448"/>
      <c r="RTF9" s="448"/>
      <c r="RTG9" s="448"/>
      <c r="RTH9" s="448"/>
      <c r="RTI9" s="448"/>
      <c r="RTJ9" s="448"/>
      <c r="RTK9" s="448"/>
      <c r="RTL9" s="448"/>
      <c r="RTM9" s="448"/>
      <c r="RTN9" s="448"/>
      <c r="RTO9" s="448"/>
      <c r="RTP9" s="448"/>
      <c r="RTQ9" s="448"/>
      <c r="RTR9" s="448"/>
      <c r="RTS9" s="448"/>
      <c r="RTT9" s="448"/>
      <c r="RTU9" s="448"/>
      <c r="RTV9" s="448"/>
      <c r="RTW9" s="446"/>
      <c r="RTX9" s="447"/>
      <c r="RTY9" s="448"/>
      <c r="RTZ9" s="448"/>
      <c r="RUA9" s="448"/>
      <c r="RUB9" s="448"/>
      <c r="RUC9" s="448"/>
      <c r="RUD9" s="448"/>
      <c r="RUE9" s="448"/>
      <c r="RUF9" s="448"/>
      <c r="RUG9" s="448"/>
      <c r="RUH9" s="448"/>
      <c r="RUI9" s="448"/>
      <c r="RUJ9" s="448"/>
      <c r="RUK9" s="448"/>
      <c r="RUL9" s="448"/>
      <c r="RUM9" s="448"/>
      <c r="RUN9" s="448"/>
      <c r="RUO9" s="448"/>
      <c r="RUP9" s="448"/>
      <c r="RUQ9" s="448"/>
      <c r="RUR9" s="448"/>
      <c r="RUS9" s="448"/>
      <c r="RUT9" s="448"/>
      <c r="RUU9" s="448"/>
      <c r="RUV9" s="448"/>
      <c r="RUW9" s="448"/>
      <c r="RUX9" s="448"/>
      <c r="RUY9" s="448"/>
      <c r="RUZ9" s="448"/>
      <c r="RVA9" s="448"/>
      <c r="RVB9" s="448"/>
      <c r="RVC9" s="448"/>
      <c r="RVD9" s="448"/>
      <c r="RVE9" s="448"/>
      <c r="RVF9" s="448"/>
      <c r="RVG9" s="448"/>
      <c r="RVH9" s="448"/>
      <c r="RVI9" s="448"/>
      <c r="RVJ9" s="448"/>
      <c r="RVK9" s="448"/>
      <c r="RVL9" s="446"/>
      <c r="RVM9" s="447"/>
      <c r="RVN9" s="448"/>
      <c r="RVO9" s="448"/>
      <c r="RVP9" s="448"/>
      <c r="RVQ9" s="448"/>
      <c r="RVR9" s="448"/>
      <c r="RVS9" s="448"/>
      <c r="RVT9" s="448"/>
      <c r="RVU9" s="448"/>
      <c r="RVV9" s="448"/>
      <c r="RVW9" s="448"/>
      <c r="RVX9" s="448"/>
      <c r="RVY9" s="448"/>
      <c r="RVZ9" s="448"/>
      <c r="RWA9" s="448"/>
      <c r="RWB9" s="448"/>
      <c r="RWC9" s="448"/>
      <c r="RWD9" s="448"/>
      <c r="RWE9" s="448"/>
      <c r="RWF9" s="448"/>
      <c r="RWG9" s="448"/>
      <c r="RWH9" s="448"/>
      <c r="RWI9" s="448"/>
      <c r="RWJ9" s="448"/>
      <c r="RWK9" s="448"/>
      <c r="RWL9" s="448"/>
      <c r="RWM9" s="448"/>
      <c r="RWN9" s="448"/>
      <c r="RWO9" s="448"/>
      <c r="RWP9" s="448"/>
      <c r="RWQ9" s="448"/>
      <c r="RWR9" s="448"/>
      <c r="RWS9" s="448"/>
      <c r="RWT9" s="448"/>
      <c r="RWU9" s="448"/>
      <c r="RWV9" s="448"/>
      <c r="RWW9" s="448"/>
      <c r="RWX9" s="448"/>
      <c r="RWY9" s="448"/>
      <c r="RWZ9" s="448"/>
      <c r="RXA9" s="446"/>
      <c r="RXB9" s="447"/>
      <c r="RXC9" s="448"/>
      <c r="RXD9" s="448"/>
      <c r="RXE9" s="448"/>
      <c r="RXF9" s="448"/>
      <c r="RXG9" s="448"/>
      <c r="RXH9" s="448"/>
      <c r="RXI9" s="448"/>
      <c r="RXJ9" s="448"/>
      <c r="RXK9" s="448"/>
      <c r="RXL9" s="448"/>
      <c r="RXM9" s="448"/>
      <c r="RXN9" s="448"/>
      <c r="RXO9" s="448"/>
      <c r="RXP9" s="448"/>
      <c r="RXQ9" s="448"/>
      <c r="RXR9" s="448"/>
      <c r="RXS9" s="448"/>
      <c r="RXT9" s="448"/>
      <c r="RXU9" s="448"/>
      <c r="RXV9" s="448"/>
      <c r="RXW9" s="448"/>
      <c r="RXX9" s="448"/>
      <c r="RXY9" s="448"/>
      <c r="RXZ9" s="448"/>
      <c r="RYA9" s="448"/>
      <c r="RYB9" s="448"/>
      <c r="RYC9" s="448"/>
      <c r="RYD9" s="448"/>
      <c r="RYE9" s="448"/>
      <c r="RYF9" s="448"/>
      <c r="RYG9" s="448"/>
      <c r="RYH9" s="448"/>
      <c r="RYI9" s="448"/>
      <c r="RYJ9" s="448"/>
      <c r="RYK9" s="448"/>
      <c r="RYL9" s="448"/>
      <c r="RYM9" s="448"/>
      <c r="RYN9" s="448"/>
      <c r="RYO9" s="448"/>
      <c r="RYP9" s="446"/>
      <c r="RYQ9" s="447"/>
      <c r="RYR9" s="448"/>
      <c r="RYS9" s="448"/>
      <c r="RYT9" s="448"/>
      <c r="RYU9" s="448"/>
      <c r="RYV9" s="448"/>
      <c r="RYW9" s="448"/>
      <c r="RYX9" s="448"/>
      <c r="RYY9" s="448"/>
      <c r="RYZ9" s="448"/>
      <c r="RZA9" s="448"/>
      <c r="RZB9" s="448"/>
      <c r="RZC9" s="448"/>
      <c r="RZD9" s="448"/>
      <c r="RZE9" s="448"/>
      <c r="RZF9" s="448"/>
      <c r="RZG9" s="448"/>
      <c r="RZH9" s="448"/>
      <c r="RZI9" s="448"/>
      <c r="RZJ9" s="448"/>
      <c r="RZK9" s="448"/>
      <c r="RZL9" s="448"/>
      <c r="RZM9" s="448"/>
      <c r="RZN9" s="448"/>
      <c r="RZO9" s="448"/>
      <c r="RZP9" s="448"/>
      <c r="RZQ9" s="448"/>
      <c r="RZR9" s="448"/>
      <c r="RZS9" s="448"/>
      <c r="RZT9" s="448"/>
      <c r="RZU9" s="448"/>
      <c r="RZV9" s="448"/>
      <c r="RZW9" s="448"/>
      <c r="RZX9" s="448"/>
      <c r="RZY9" s="448"/>
      <c r="RZZ9" s="448"/>
      <c r="SAA9" s="448"/>
      <c r="SAB9" s="448"/>
      <c r="SAC9" s="448"/>
      <c r="SAD9" s="448"/>
      <c r="SAE9" s="446"/>
      <c r="SAF9" s="447"/>
      <c r="SAG9" s="448"/>
      <c r="SAH9" s="448"/>
      <c r="SAI9" s="448"/>
      <c r="SAJ9" s="448"/>
      <c r="SAK9" s="448"/>
      <c r="SAL9" s="448"/>
      <c r="SAM9" s="448"/>
      <c r="SAN9" s="448"/>
      <c r="SAO9" s="448"/>
      <c r="SAP9" s="448"/>
      <c r="SAQ9" s="448"/>
      <c r="SAR9" s="448"/>
      <c r="SAS9" s="448"/>
      <c r="SAT9" s="448"/>
      <c r="SAU9" s="448"/>
      <c r="SAV9" s="448"/>
      <c r="SAW9" s="448"/>
      <c r="SAX9" s="448"/>
      <c r="SAY9" s="448"/>
      <c r="SAZ9" s="448"/>
      <c r="SBA9" s="448"/>
      <c r="SBB9" s="448"/>
      <c r="SBC9" s="448"/>
      <c r="SBD9" s="448"/>
      <c r="SBE9" s="448"/>
      <c r="SBF9" s="448"/>
      <c r="SBG9" s="448"/>
      <c r="SBH9" s="448"/>
      <c r="SBI9" s="448"/>
      <c r="SBJ9" s="448"/>
      <c r="SBK9" s="448"/>
      <c r="SBL9" s="448"/>
      <c r="SBM9" s="448"/>
      <c r="SBN9" s="448"/>
      <c r="SBO9" s="448"/>
      <c r="SBP9" s="448"/>
      <c r="SBQ9" s="448"/>
      <c r="SBR9" s="448"/>
      <c r="SBS9" s="448"/>
      <c r="SBT9" s="446"/>
      <c r="SBU9" s="447"/>
      <c r="SBV9" s="448"/>
      <c r="SBW9" s="448"/>
      <c r="SBX9" s="448"/>
      <c r="SBY9" s="448"/>
      <c r="SBZ9" s="448"/>
      <c r="SCA9" s="448"/>
      <c r="SCB9" s="448"/>
      <c r="SCC9" s="448"/>
      <c r="SCD9" s="448"/>
      <c r="SCE9" s="448"/>
      <c r="SCF9" s="448"/>
      <c r="SCG9" s="448"/>
      <c r="SCH9" s="448"/>
      <c r="SCI9" s="448"/>
      <c r="SCJ9" s="448"/>
      <c r="SCK9" s="448"/>
      <c r="SCL9" s="448"/>
      <c r="SCM9" s="448"/>
      <c r="SCN9" s="448"/>
      <c r="SCO9" s="448"/>
      <c r="SCP9" s="448"/>
      <c r="SCQ9" s="448"/>
      <c r="SCR9" s="448"/>
      <c r="SCS9" s="448"/>
      <c r="SCT9" s="448"/>
      <c r="SCU9" s="448"/>
      <c r="SCV9" s="448"/>
      <c r="SCW9" s="448"/>
      <c r="SCX9" s="448"/>
      <c r="SCY9" s="448"/>
      <c r="SCZ9" s="448"/>
      <c r="SDA9" s="448"/>
      <c r="SDB9" s="448"/>
      <c r="SDC9" s="448"/>
      <c r="SDD9" s="448"/>
      <c r="SDE9" s="448"/>
      <c r="SDF9" s="448"/>
      <c r="SDG9" s="448"/>
      <c r="SDH9" s="448"/>
      <c r="SDI9" s="446"/>
      <c r="SDJ9" s="447"/>
      <c r="SDK9" s="448"/>
      <c r="SDL9" s="448"/>
      <c r="SDM9" s="448"/>
      <c r="SDN9" s="448"/>
      <c r="SDO9" s="448"/>
      <c r="SDP9" s="448"/>
      <c r="SDQ9" s="448"/>
      <c r="SDR9" s="448"/>
      <c r="SDS9" s="448"/>
      <c r="SDT9" s="448"/>
      <c r="SDU9" s="448"/>
      <c r="SDV9" s="448"/>
      <c r="SDW9" s="448"/>
      <c r="SDX9" s="448"/>
      <c r="SDY9" s="448"/>
      <c r="SDZ9" s="448"/>
      <c r="SEA9" s="448"/>
      <c r="SEB9" s="448"/>
      <c r="SEC9" s="448"/>
      <c r="SED9" s="448"/>
      <c r="SEE9" s="448"/>
      <c r="SEF9" s="448"/>
      <c r="SEG9" s="448"/>
      <c r="SEH9" s="448"/>
      <c r="SEI9" s="448"/>
      <c r="SEJ9" s="448"/>
      <c r="SEK9" s="448"/>
      <c r="SEL9" s="448"/>
      <c r="SEM9" s="448"/>
      <c r="SEN9" s="448"/>
      <c r="SEO9" s="448"/>
      <c r="SEP9" s="448"/>
      <c r="SEQ9" s="448"/>
      <c r="SER9" s="448"/>
      <c r="SES9" s="448"/>
      <c r="SET9" s="448"/>
      <c r="SEU9" s="448"/>
      <c r="SEV9" s="448"/>
      <c r="SEW9" s="448"/>
      <c r="SEX9" s="446"/>
      <c r="SEY9" s="447"/>
      <c r="SEZ9" s="448"/>
      <c r="SFA9" s="448"/>
      <c r="SFB9" s="448"/>
      <c r="SFC9" s="448"/>
      <c r="SFD9" s="448"/>
      <c r="SFE9" s="448"/>
      <c r="SFF9" s="448"/>
      <c r="SFG9" s="448"/>
      <c r="SFH9" s="448"/>
      <c r="SFI9" s="448"/>
      <c r="SFJ9" s="448"/>
      <c r="SFK9" s="448"/>
      <c r="SFL9" s="448"/>
      <c r="SFM9" s="448"/>
      <c r="SFN9" s="448"/>
      <c r="SFO9" s="448"/>
      <c r="SFP9" s="448"/>
      <c r="SFQ9" s="448"/>
      <c r="SFR9" s="448"/>
      <c r="SFS9" s="448"/>
      <c r="SFT9" s="448"/>
      <c r="SFU9" s="448"/>
      <c r="SFV9" s="448"/>
      <c r="SFW9" s="448"/>
      <c r="SFX9" s="448"/>
      <c r="SFY9" s="448"/>
      <c r="SFZ9" s="448"/>
      <c r="SGA9" s="448"/>
      <c r="SGB9" s="448"/>
      <c r="SGC9" s="448"/>
      <c r="SGD9" s="448"/>
      <c r="SGE9" s="448"/>
      <c r="SGF9" s="448"/>
      <c r="SGG9" s="448"/>
      <c r="SGH9" s="448"/>
      <c r="SGI9" s="448"/>
      <c r="SGJ9" s="448"/>
      <c r="SGK9" s="448"/>
      <c r="SGL9" s="448"/>
      <c r="SGM9" s="446"/>
      <c r="SGN9" s="447"/>
      <c r="SGO9" s="448"/>
      <c r="SGP9" s="448"/>
      <c r="SGQ9" s="448"/>
      <c r="SGR9" s="448"/>
      <c r="SGS9" s="448"/>
      <c r="SGT9" s="448"/>
      <c r="SGU9" s="448"/>
      <c r="SGV9" s="448"/>
      <c r="SGW9" s="448"/>
      <c r="SGX9" s="448"/>
      <c r="SGY9" s="448"/>
      <c r="SGZ9" s="448"/>
      <c r="SHA9" s="448"/>
      <c r="SHB9" s="448"/>
      <c r="SHC9" s="448"/>
      <c r="SHD9" s="448"/>
      <c r="SHE9" s="448"/>
      <c r="SHF9" s="448"/>
      <c r="SHG9" s="448"/>
      <c r="SHH9" s="448"/>
      <c r="SHI9" s="448"/>
      <c r="SHJ9" s="448"/>
      <c r="SHK9" s="448"/>
      <c r="SHL9" s="448"/>
      <c r="SHM9" s="448"/>
      <c r="SHN9" s="448"/>
      <c r="SHO9" s="448"/>
      <c r="SHP9" s="448"/>
      <c r="SHQ9" s="448"/>
      <c r="SHR9" s="448"/>
      <c r="SHS9" s="448"/>
      <c r="SHT9" s="448"/>
      <c r="SHU9" s="448"/>
      <c r="SHV9" s="448"/>
      <c r="SHW9" s="448"/>
      <c r="SHX9" s="448"/>
      <c r="SHY9" s="448"/>
      <c r="SHZ9" s="448"/>
      <c r="SIA9" s="448"/>
      <c r="SIB9" s="446"/>
      <c r="SIC9" s="447"/>
      <c r="SID9" s="448"/>
      <c r="SIE9" s="448"/>
      <c r="SIF9" s="448"/>
      <c r="SIG9" s="448"/>
      <c r="SIH9" s="448"/>
      <c r="SII9" s="448"/>
      <c r="SIJ9" s="448"/>
      <c r="SIK9" s="448"/>
      <c r="SIL9" s="448"/>
      <c r="SIM9" s="448"/>
      <c r="SIN9" s="448"/>
      <c r="SIO9" s="448"/>
      <c r="SIP9" s="448"/>
      <c r="SIQ9" s="448"/>
      <c r="SIR9" s="448"/>
      <c r="SIS9" s="448"/>
      <c r="SIT9" s="448"/>
      <c r="SIU9" s="448"/>
      <c r="SIV9" s="448"/>
      <c r="SIW9" s="448"/>
      <c r="SIX9" s="448"/>
      <c r="SIY9" s="448"/>
      <c r="SIZ9" s="448"/>
      <c r="SJA9" s="448"/>
      <c r="SJB9" s="448"/>
      <c r="SJC9" s="448"/>
      <c r="SJD9" s="448"/>
      <c r="SJE9" s="448"/>
      <c r="SJF9" s="448"/>
      <c r="SJG9" s="448"/>
      <c r="SJH9" s="448"/>
      <c r="SJI9" s="448"/>
      <c r="SJJ9" s="448"/>
      <c r="SJK9" s="448"/>
      <c r="SJL9" s="448"/>
      <c r="SJM9" s="448"/>
      <c r="SJN9" s="448"/>
      <c r="SJO9" s="448"/>
      <c r="SJP9" s="448"/>
      <c r="SJQ9" s="446"/>
      <c r="SJR9" s="447"/>
      <c r="SJS9" s="448"/>
      <c r="SJT9" s="448"/>
      <c r="SJU9" s="448"/>
      <c r="SJV9" s="448"/>
      <c r="SJW9" s="448"/>
      <c r="SJX9" s="448"/>
      <c r="SJY9" s="448"/>
      <c r="SJZ9" s="448"/>
      <c r="SKA9" s="448"/>
      <c r="SKB9" s="448"/>
      <c r="SKC9" s="448"/>
      <c r="SKD9" s="448"/>
      <c r="SKE9" s="448"/>
      <c r="SKF9" s="448"/>
      <c r="SKG9" s="448"/>
      <c r="SKH9" s="448"/>
      <c r="SKI9" s="448"/>
      <c r="SKJ9" s="448"/>
      <c r="SKK9" s="448"/>
      <c r="SKL9" s="448"/>
      <c r="SKM9" s="448"/>
      <c r="SKN9" s="448"/>
      <c r="SKO9" s="448"/>
      <c r="SKP9" s="448"/>
      <c r="SKQ9" s="448"/>
      <c r="SKR9" s="448"/>
      <c r="SKS9" s="448"/>
      <c r="SKT9" s="448"/>
      <c r="SKU9" s="448"/>
      <c r="SKV9" s="448"/>
      <c r="SKW9" s="448"/>
      <c r="SKX9" s="448"/>
      <c r="SKY9" s="448"/>
      <c r="SKZ9" s="448"/>
      <c r="SLA9" s="448"/>
      <c r="SLB9" s="448"/>
      <c r="SLC9" s="448"/>
      <c r="SLD9" s="448"/>
      <c r="SLE9" s="448"/>
      <c r="SLF9" s="446"/>
      <c r="SLG9" s="447"/>
      <c r="SLH9" s="448"/>
      <c r="SLI9" s="448"/>
      <c r="SLJ9" s="448"/>
      <c r="SLK9" s="448"/>
      <c r="SLL9" s="448"/>
      <c r="SLM9" s="448"/>
      <c r="SLN9" s="448"/>
      <c r="SLO9" s="448"/>
      <c r="SLP9" s="448"/>
      <c r="SLQ9" s="448"/>
      <c r="SLR9" s="448"/>
      <c r="SLS9" s="448"/>
      <c r="SLT9" s="448"/>
      <c r="SLU9" s="448"/>
      <c r="SLV9" s="448"/>
      <c r="SLW9" s="448"/>
      <c r="SLX9" s="448"/>
      <c r="SLY9" s="448"/>
      <c r="SLZ9" s="448"/>
      <c r="SMA9" s="448"/>
      <c r="SMB9" s="448"/>
      <c r="SMC9" s="448"/>
      <c r="SMD9" s="448"/>
      <c r="SME9" s="448"/>
      <c r="SMF9" s="448"/>
      <c r="SMG9" s="448"/>
      <c r="SMH9" s="448"/>
      <c r="SMI9" s="448"/>
      <c r="SMJ9" s="448"/>
      <c r="SMK9" s="448"/>
      <c r="SML9" s="448"/>
      <c r="SMM9" s="448"/>
      <c r="SMN9" s="448"/>
      <c r="SMO9" s="448"/>
      <c r="SMP9" s="448"/>
      <c r="SMQ9" s="448"/>
      <c r="SMR9" s="448"/>
      <c r="SMS9" s="448"/>
      <c r="SMT9" s="448"/>
      <c r="SMU9" s="446"/>
      <c r="SMV9" s="447"/>
      <c r="SMW9" s="448"/>
      <c r="SMX9" s="448"/>
      <c r="SMY9" s="448"/>
      <c r="SMZ9" s="448"/>
      <c r="SNA9" s="448"/>
      <c r="SNB9" s="448"/>
      <c r="SNC9" s="448"/>
      <c r="SND9" s="448"/>
      <c r="SNE9" s="448"/>
      <c r="SNF9" s="448"/>
      <c r="SNG9" s="448"/>
      <c r="SNH9" s="448"/>
      <c r="SNI9" s="448"/>
      <c r="SNJ9" s="448"/>
      <c r="SNK9" s="448"/>
      <c r="SNL9" s="448"/>
      <c r="SNM9" s="448"/>
      <c r="SNN9" s="448"/>
      <c r="SNO9" s="448"/>
      <c r="SNP9" s="448"/>
      <c r="SNQ9" s="448"/>
      <c r="SNR9" s="448"/>
      <c r="SNS9" s="448"/>
      <c r="SNT9" s="448"/>
      <c r="SNU9" s="448"/>
      <c r="SNV9" s="448"/>
      <c r="SNW9" s="448"/>
      <c r="SNX9" s="448"/>
      <c r="SNY9" s="448"/>
      <c r="SNZ9" s="448"/>
      <c r="SOA9" s="448"/>
      <c r="SOB9" s="448"/>
      <c r="SOC9" s="448"/>
      <c r="SOD9" s="448"/>
      <c r="SOE9" s="448"/>
      <c r="SOF9" s="448"/>
      <c r="SOG9" s="448"/>
      <c r="SOH9" s="448"/>
      <c r="SOI9" s="448"/>
      <c r="SOJ9" s="446"/>
      <c r="SOK9" s="447"/>
      <c r="SOL9" s="448"/>
      <c r="SOM9" s="448"/>
      <c r="SON9" s="448"/>
      <c r="SOO9" s="448"/>
      <c r="SOP9" s="448"/>
      <c r="SOQ9" s="448"/>
      <c r="SOR9" s="448"/>
      <c r="SOS9" s="448"/>
      <c r="SOT9" s="448"/>
      <c r="SOU9" s="448"/>
      <c r="SOV9" s="448"/>
      <c r="SOW9" s="448"/>
      <c r="SOX9" s="448"/>
      <c r="SOY9" s="448"/>
      <c r="SOZ9" s="448"/>
      <c r="SPA9" s="448"/>
      <c r="SPB9" s="448"/>
      <c r="SPC9" s="448"/>
      <c r="SPD9" s="448"/>
      <c r="SPE9" s="448"/>
      <c r="SPF9" s="448"/>
      <c r="SPG9" s="448"/>
      <c r="SPH9" s="448"/>
      <c r="SPI9" s="448"/>
      <c r="SPJ9" s="448"/>
      <c r="SPK9" s="448"/>
      <c r="SPL9" s="448"/>
      <c r="SPM9" s="448"/>
      <c r="SPN9" s="448"/>
      <c r="SPO9" s="448"/>
      <c r="SPP9" s="448"/>
      <c r="SPQ9" s="448"/>
      <c r="SPR9" s="448"/>
      <c r="SPS9" s="448"/>
      <c r="SPT9" s="448"/>
      <c r="SPU9" s="448"/>
      <c r="SPV9" s="448"/>
      <c r="SPW9" s="448"/>
      <c r="SPX9" s="448"/>
      <c r="SPY9" s="446"/>
      <c r="SPZ9" s="447"/>
      <c r="SQA9" s="448"/>
      <c r="SQB9" s="448"/>
      <c r="SQC9" s="448"/>
      <c r="SQD9" s="448"/>
      <c r="SQE9" s="448"/>
      <c r="SQF9" s="448"/>
      <c r="SQG9" s="448"/>
      <c r="SQH9" s="448"/>
      <c r="SQI9" s="448"/>
      <c r="SQJ9" s="448"/>
      <c r="SQK9" s="448"/>
      <c r="SQL9" s="448"/>
      <c r="SQM9" s="448"/>
      <c r="SQN9" s="448"/>
      <c r="SQO9" s="448"/>
      <c r="SQP9" s="448"/>
      <c r="SQQ9" s="448"/>
      <c r="SQR9" s="448"/>
      <c r="SQS9" s="448"/>
      <c r="SQT9" s="448"/>
      <c r="SQU9" s="448"/>
      <c r="SQV9" s="448"/>
      <c r="SQW9" s="448"/>
      <c r="SQX9" s="448"/>
      <c r="SQY9" s="448"/>
      <c r="SQZ9" s="448"/>
      <c r="SRA9" s="448"/>
      <c r="SRB9" s="448"/>
      <c r="SRC9" s="448"/>
      <c r="SRD9" s="448"/>
      <c r="SRE9" s="448"/>
      <c r="SRF9" s="448"/>
      <c r="SRG9" s="448"/>
      <c r="SRH9" s="448"/>
      <c r="SRI9" s="448"/>
      <c r="SRJ9" s="448"/>
      <c r="SRK9" s="448"/>
      <c r="SRL9" s="448"/>
      <c r="SRM9" s="448"/>
      <c r="SRN9" s="446"/>
      <c r="SRO9" s="447"/>
      <c r="SRP9" s="448"/>
      <c r="SRQ9" s="448"/>
      <c r="SRR9" s="448"/>
      <c r="SRS9" s="448"/>
      <c r="SRT9" s="448"/>
      <c r="SRU9" s="448"/>
      <c r="SRV9" s="448"/>
      <c r="SRW9" s="448"/>
      <c r="SRX9" s="448"/>
      <c r="SRY9" s="448"/>
      <c r="SRZ9" s="448"/>
      <c r="SSA9" s="448"/>
      <c r="SSB9" s="448"/>
      <c r="SSC9" s="448"/>
      <c r="SSD9" s="448"/>
      <c r="SSE9" s="448"/>
      <c r="SSF9" s="448"/>
      <c r="SSG9" s="448"/>
      <c r="SSH9" s="448"/>
      <c r="SSI9" s="448"/>
      <c r="SSJ9" s="448"/>
      <c r="SSK9" s="448"/>
      <c r="SSL9" s="448"/>
      <c r="SSM9" s="448"/>
      <c r="SSN9" s="448"/>
      <c r="SSO9" s="448"/>
      <c r="SSP9" s="448"/>
      <c r="SSQ9" s="448"/>
      <c r="SSR9" s="448"/>
      <c r="SSS9" s="448"/>
      <c r="SST9" s="448"/>
      <c r="SSU9" s="448"/>
      <c r="SSV9" s="448"/>
      <c r="SSW9" s="448"/>
      <c r="SSX9" s="448"/>
      <c r="SSY9" s="448"/>
      <c r="SSZ9" s="448"/>
      <c r="STA9" s="448"/>
      <c r="STB9" s="448"/>
      <c r="STC9" s="446"/>
      <c r="STD9" s="447"/>
      <c r="STE9" s="448"/>
      <c r="STF9" s="448"/>
      <c r="STG9" s="448"/>
      <c r="STH9" s="448"/>
      <c r="STI9" s="448"/>
      <c r="STJ9" s="448"/>
      <c r="STK9" s="448"/>
      <c r="STL9" s="448"/>
      <c r="STM9" s="448"/>
      <c r="STN9" s="448"/>
      <c r="STO9" s="448"/>
      <c r="STP9" s="448"/>
      <c r="STQ9" s="448"/>
      <c r="STR9" s="448"/>
      <c r="STS9" s="448"/>
      <c r="STT9" s="448"/>
      <c r="STU9" s="448"/>
      <c r="STV9" s="448"/>
      <c r="STW9" s="448"/>
      <c r="STX9" s="448"/>
      <c r="STY9" s="448"/>
      <c r="STZ9" s="448"/>
      <c r="SUA9" s="448"/>
      <c r="SUB9" s="448"/>
      <c r="SUC9" s="448"/>
      <c r="SUD9" s="448"/>
      <c r="SUE9" s="448"/>
      <c r="SUF9" s="448"/>
      <c r="SUG9" s="448"/>
      <c r="SUH9" s="448"/>
      <c r="SUI9" s="448"/>
      <c r="SUJ9" s="448"/>
      <c r="SUK9" s="448"/>
      <c r="SUL9" s="448"/>
      <c r="SUM9" s="448"/>
      <c r="SUN9" s="448"/>
      <c r="SUO9" s="448"/>
      <c r="SUP9" s="448"/>
      <c r="SUQ9" s="448"/>
      <c r="SUR9" s="446"/>
      <c r="SUS9" s="447"/>
      <c r="SUT9" s="448"/>
      <c r="SUU9" s="448"/>
      <c r="SUV9" s="448"/>
      <c r="SUW9" s="448"/>
      <c r="SUX9" s="448"/>
      <c r="SUY9" s="448"/>
      <c r="SUZ9" s="448"/>
      <c r="SVA9" s="448"/>
      <c r="SVB9" s="448"/>
      <c r="SVC9" s="448"/>
      <c r="SVD9" s="448"/>
      <c r="SVE9" s="448"/>
      <c r="SVF9" s="448"/>
      <c r="SVG9" s="448"/>
      <c r="SVH9" s="448"/>
      <c r="SVI9" s="448"/>
      <c r="SVJ9" s="448"/>
      <c r="SVK9" s="448"/>
      <c r="SVL9" s="448"/>
      <c r="SVM9" s="448"/>
      <c r="SVN9" s="448"/>
      <c r="SVO9" s="448"/>
      <c r="SVP9" s="448"/>
      <c r="SVQ9" s="448"/>
      <c r="SVR9" s="448"/>
      <c r="SVS9" s="448"/>
      <c r="SVT9" s="448"/>
      <c r="SVU9" s="448"/>
      <c r="SVV9" s="448"/>
      <c r="SVW9" s="448"/>
      <c r="SVX9" s="448"/>
      <c r="SVY9" s="448"/>
      <c r="SVZ9" s="448"/>
      <c r="SWA9" s="448"/>
      <c r="SWB9" s="448"/>
      <c r="SWC9" s="448"/>
      <c r="SWD9" s="448"/>
      <c r="SWE9" s="448"/>
      <c r="SWF9" s="448"/>
      <c r="SWG9" s="446"/>
      <c r="SWH9" s="447"/>
      <c r="SWI9" s="448"/>
      <c r="SWJ9" s="448"/>
      <c r="SWK9" s="448"/>
      <c r="SWL9" s="448"/>
      <c r="SWM9" s="448"/>
      <c r="SWN9" s="448"/>
      <c r="SWO9" s="448"/>
      <c r="SWP9" s="448"/>
      <c r="SWQ9" s="448"/>
      <c r="SWR9" s="448"/>
      <c r="SWS9" s="448"/>
      <c r="SWT9" s="448"/>
      <c r="SWU9" s="448"/>
      <c r="SWV9" s="448"/>
      <c r="SWW9" s="448"/>
      <c r="SWX9" s="448"/>
      <c r="SWY9" s="448"/>
      <c r="SWZ9" s="448"/>
      <c r="SXA9" s="448"/>
      <c r="SXB9" s="448"/>
      <c r="SXC9" s="448"/>
      <c r="SXD9" s="448"/>
      <c r="SXE9" s="448"/>
      <c r="SXF9" s="448"/>
      <c r="SXG9" s="448"/>
      <c r="SXH9" s="448"/>
      <c r="SXI9" s="448"/>
      <c r="SXJ9" s="448"/>
      <c r="SXK9" s="448"/>
      <c r="SXL9" s="448"/>
      <c r="SXM9" s="448"/>
      <c r="SXN9" s="448"/>
      <c r="SXO9" s="448"/>
      <c r="SXP9" s="448"/>
      <c r="SXQ9" s="448"/>
      <c r="SXR9" s="448"/>
      <c r="SXS9" s="448"/>
      <c r="SXT9" s="448"/>
      <c r="SXU9" s="448"/>
      <c r="SXV9" s="446"/>
      <c r="SXW9" s="447"/>
      <c r="SXX9" s="448"/>
      <c r="SXY9" s="448"/>
      <c r="SXZ9" s="448"/>
      <c r="SYA9" s="448"/>
      <c r="SYB9" s="448"/>
      <c r="SYC9" s="448"/>
      <c r="SYD9" s="448"/>
      <c r="SYE9" s="448"/>
      <c r="SYF9" s="448"/>
      <c r="SYG9" s="448"/>
      <c r="SYH9" s="448"/>
      <c r="SYI9" s="448"/>
      <c r="SYJ9" s="448"/>
      <c r="SYK9" s="448"/>
      <c r="SYL9" s="448"/>
      <c r="SYM9" s="448"/>
      <c r="SYN9" s="448"/>
      <c r="SYO9" s="448"/>
      <c r="SYP9" s="448"/>
      <c r="SYQ9" s="448"/>
      <c r="SYR9" s="448"/>
      <c r="SYS9" s="448"/>
      <c r="SYT9" s="448"/>
      <c r="SYU9" s="448"/>
      <c r="SYV9" s="448"/>
      <c r="SYW9" s="448"/>
      <c r="SYX9" s="448"/>
      <c r="SYY9" s="448"/>
      <c r="SYZ9" s="448"/>
      <c r="SZA9" s="448"/>
      <c r="SZB9" s="448"/>
      <c r="SZC9" s="448"/>
      <c r="SZD9" s="448"/>
      <c r="SZE9" s="448"/>
      <c r="SZF9" s="448"/>
      <c r="SZG9" s="448"/>
      <c r="SZH9" s="448"/>
      <c r="SZI9" s="448"/>
      <c r="SZJ9" s="448"/>
      <c r="SZK9" s="446"/>
      <c r="SZL9" s="447"/>
      <c r="SZM9" s="448"/>
      <c r="SZN9" s="448"/>
      <c r="SZO9" s="448"/>
      <c r="SZP9" s="448"/>
      <c r="SZQ9" s="448"/>
      <c r="SZR9" s="448"/>
      <c r="SZS9" s="448"/>
      <c r="SZT9" s="448"/>
      <c r="SZU9" s="448"/>
      <c r="SZV9" s="448"/>
      <c r="SZW9" s="448"/>
      <c r="SZX9" s="448"/>
      <c r="SZY9" s="448"/>
      <c r="SZZ9" s="448"/>
      <c r="TAA9" s="448"/>
      <c r="TAB9" s="448"/>
      <c r="TAC9" s="448"/>
      <c r="TAD9" s="448"/>
      <c r="TAE9" s="448"/>
      <c r="TAF9" s="448"/>
      <c r="TAG9" s="448"/>
      <c r="TAH9" s="448"/>
      <c r="TAI9" s="448"/>
      <c r="TAJ9" s="448"/>
      <c r="TAK9" s="448"/>
      <c r="TAL9" s="448"/>
      <c r="TAM9" s="448"/>
      <c r="TAN9" s="448"/>
      <c r="TAO9" s="448"/>
      <c r="TAP9" s="448"/>
      <c r="TAQ9" s="448"/>
      <c r="TAR9" s="448"/>
      <c r="TAS9" s="448"/>
      <c r="TAT9" s="448"/>
      <c r="TAU9" s="448"/>
      <c r="TAV9" s="448"/>
      <c r="TAW9" s="448"/>
      <c r="TAX9" s="448"/>
      <c r="TAY9" s="448"/>
      <c r="TAZ9" s="446"/>
      <c r="TBA9" s="447"/>
      <c r="TBB9" s="448"/>
      <c r="TBC9" s="448"/>
      <c r="TBD9" s="448"/>
      <c r="TBE9" s="448"/>
      <c r="TBF9" s="448"/>
      <c r="TBG9" s="448"/>
      <c r="TBH9" s="448"/>
      <c r="TBI9" s="448"/>
      <c r="TBJ9" s="448"/>
      <c r="TBK9" s="448"/>
      <c r="TBL9" s="448"/>
      <c r="TBM9" s="448"/>
      <c r="TBN9" s="448"/>
      <c r="TBO9" s="448"/>
      <c r="TBP9" s="448"/>
      <c r="TBQ9" s="448"/>
      <c r="TBR9" s="448"/>
      <c r="TBS9" s="448"/>
      <c r="TBT9" s="448"/>
      <c r="TBU9" s="448"/>
      <c r="TBV9" s="448"/>
      <c r="TBW9" s="448"/>
      <c r="TBX9" s="448"/>
      <c r="TBY9" s="448"/>
      <c r="TBZ9" s="448"/>
      <c r="TCA9" s="448"/>
      <c r="TCB9" s="448"/>
      <c r="TCC9" s="448"/>
      <c r="TCD9" s="448"/>
      <c r="TCE9" s="448"/>
      <c r="TCF9" s="448"/>
      <c r="TCG9" s="448"/>
      <c r="TCH9" s="448"/>
      <c r="TCI9" s="448"/>
      <c r="TCJ9" s="448"/>
      <c r="TCK9" s="448"/>
      <c r="TCL9" s="448"/>
      <c r="TCM9" s="448"/>
      <c r="TCN9" s="448"/>
      <c r="TCO9" s="446"/>
      <c r="TCP9" s="447"/>
      <c r="TCQ9" s="448"/>
      <c r="TCR9" s="448"/>
      <c r="TCS9" s="448"/>
      <c r="TCT9" s="448"/>
      <c r="TCU9" s="448"/>
      <c r="TCV9" s="448"/>
      <c r="TCW9" s="448"/>
      <c r="TCX9" s="448"/>
      <c r="TCY9" s="448"/>
      <c r="TCZ9" s="448"/>
      <c r="TDA9" s="448"/>
      <c r="TDB9" s="448"/>
      <c r="TDC9" s="448"/>
      <c r="TDD9" s="448"/>
      <c r="TDE9" s="448"/>
      <c r="TDF9" s="448"/>
      <c r="TDG9" s="448"/>
      <c r="TDH9" s="448"/>
      <c r="TDI9" s="448"/>
      <c r="TDJ9" s="448"/>
      <c r="TDK9" s="448"/>
      <c r="TDL9" s="448"/>
      <c r="TDM9" s="448"/>
      <c r="TDN9" s="448"/>
      <c r="TDO9" s="448"/>
      <c r="TDP9" s="448"/>
      <c r="TDQ9" s="448"/>
      <c r="TDR9" s="448"/>
      <c r="TDS9" s="448"/>
      <c r="TDT9" s="448"/>
      <c r="TDU9" s="448"/>
      <c r="TDV9" s="448"/>
      <c r="TDW9" s="448"/>
      <c r="TDX9" s="448"/>
      <c r="TDY9" s="448"/>
      <c r="TDZ9" s="448"/>
      <c r="TEA9" s="448"/>
      <c r="TEB9" s="448"/>
      <c r="TEC9" s="448"/>
      <c r="TED9" s="446"/>
      <c r="TEE9" s="447"/>
      <c r="TEF9" s="448"/>
      <c r="TEG9" s="448"/>
      <c r="TEH9" s="448"/>
      <c r="TEI9" s="448"/>
      <c r="TEJ9" s="448"/>
      <c r="TEK9" s="448"/>
      <c r="TEL9" s="448"/>
      <c r="TEM9" s="448"/>
      <c r="TEN9" s="448"/>
      <c r="TEO9" s="448"/>
      <c r="TEP9" s="448"/>
      <c r="TEQ9" s="448"/>
      <c r="TER9" s="448"/>
      <c r="TES9" s="448"/>
      <c r="TET9" s="448"/>
      <c r="TEU9" s="448"/>
      <c r="TEV9" s="448"/>
      <c r="TEW9" s="448"/>
      <c r="TEX9" s="448"/>
      <c r="TEY9" s="448"/>
      <c r="TEZ9" s="448"/>
      <c r="TFA9" s="448"/>
      <c r="TFB9" s="448"/>
      <c r="TFC9" s="448"/>
      <c r="TFD9" s="448"/>
      <c r="TFE9" s="448"/>
      <c r="TFF9" s="448"/>
      <c r="TFG9" s="448"/>
      <c r="TFH9" s="448"/>
      <c r="TFI9" s="448"/>
      <c r="TFJ9" s="448"/>
      <c r="TFK9" s="448"/>
      <c r="TFL9" s="448"/>
      <c r="TFM9" s="448"/>
      <c r="TFN9" s="448"/>
      <c r="TFO9" s="448"/>
      <c r="TFP9" s="448"/>
      <c r="TFQ9" s="448"/>
      <c r="TFR9" s="448"/>
      <c r="TFS9" s="446"/>
      <c r="TFT9" s="447"/>
      <c r="TFU9" s="448"/>
      <c r="TFV9" s="448"/>
      <c r="TFW9" s="448"/>
      <c r="TFX9" s="448"/>
      <c r="TFY9" s="448"/>
      <c r="TFZ9" s="448"/>
      <c r="TGA9" s="448"/>
      <c r="TGB9" s="448"/>
      <c r="TGC9" s="448"/>
      <c r="TGD9" s="448"/>
      <c r="TGE9" s="448"/>
      <c r="TGF9" s="448"/>
      <c r="TGG9" s="448"/>
      <c r="TGH9" s="448"/>
      <c r="TGI9" s="448"/>
      <c r="TGJ9" s="448"/>
      <c r="TGK9" s="448"/>
      <c r="TGL9" s="448"/>
      <c r="TGM9" s="448"/>
      <c r="TGN9" s="448"/>
      <c r="TGO9" s="448"/>
      <c r="TGP9" s="448"/>
      <c r="TGQ9" s="448"/>
      <c r="TGR9" s="448"/>
      <c r="TGS9" s="448"/>
      <c r="TGT9" s="448"/>
      <c r="TGU9" s="448"/>
      <c r="TGV9" s="448"/>
      <c r="TGW9" s="448"/>
      <c r="TGX9" s="448"/>
      <c r="TGY9" s="448"/>
      <c r="TGZ9" s="448"/>
      <c r="THA9" s="448"/>
      <c r="THB9" s="448"/>
      <c r="THC9" s="448"/>
      <c r="THD9" s="448"/>
      <c r="THE9" s="448"/>
      <c r="THF9" s="448"/>
      <c r="THG9" s="448"/>
      <c r="THH9" s="446"/>
      <c r="THI9" s="447"/>
      <c r="THJ9" s="448"/>
      <c r="THK9" s="448"/>
      <c r="THL9" s="448"/>
      <c r="THM9" s="448"/>
      <c r="THN9" s="448"/>
      <c r="THO9" s="448"/>
      <c r="THP9" s="448"/>
      <c r="THQ9" s="448"/>
      <c r="THR9" s="448"/>
      <c r="THS9" s="448"/>
      <c r="THT9" s="448"/>
      <c r="THU9" s="448"/>
      <c r="THV9" s="448"/>
      <c r="THW9" s="448"/>
      <c r="THX9" s="448"/>
      <c r="THY9" s="448"/>
      <c r="THZ9" s="448"/>
      <c r="TIA9" s="448"/>
      <c r="TIB9" s="448"/>
      <c r="TIC9" s="448"/>
      <c r="TID9" s="448"/>
      <c r="TIE9" s="448"/>
      <c r="TIF9" s="448"/>
      <c r="TIG9" s="448"/>
      <c r="TIH9" s="448"/>
      <c r="TII9" s="448"/>
      <c r="TIJ9" s="448"/>
      <c r="TIK9" s="448"/>
      <c r="TIL9" s="448"/>
      <c r="TIM9" s="448"/>
      <c r="TIN9" s="448"/>
      <c r="TIO9" s="448"/>
      <c r="TIP9" s="448"/>
      <c r="TIQ9" s="448"/>
      <c r="TIR9" s="448"/>
      <c r="TIS9" s="448"/>
      <c r="TIT9" s="448"/>
      <c r="TIU9" s="448"/>
      <c r="TIV9" s="448"/>
      <c r="TIW9" s="446"/>
      <c r="TIX9" s="447"/>
      <c r="TIY9" s="448"/>
      <c r="TIZ9" s="448"/>
      <c r="TJA9" s="448"/>
      <c r="TJB9" s="448"/>
      <c r="TJC9" s="448"/>
      <c r="TJD9" s="448"/>
      <c r="TJE9" s="448"/>
      <c r="TJF9" s="448"/>
      <c r="TJG9" s="448"/>
      <c r="TJH9" s="448"/>
      <c r="TJI9" s="448"/>
      <c r="TJJ9" s="448"/>
      <c r="TJK9" s="448"/>
      <c r="TJL9" s="448"/>
      <c r="TJM9" s="448"/>
      <c r="TJN9" s="448"/>
      <c r="TJO9" s="448"/>
      <c r="TJP9" s="448"/>
      <c r="TJQ9" s="448"/>
      <c r="TJR9" s="448"/>
      <c r="TJS9" s="448"/>
      <c r="TJT9" s="448"/>
      <c r="TJU9" s="448"/>
      <c r="TJV9" s="448"/>
      <c r="TJW9" s="448"/>
      <c r="TJX9" s="448"/>
      <c r="TJY9" s="448"/>
      <c r="TJZ9" s="448"/>
      <c r="TKA9" s="448"/>
      <c r="TKB9" s="448"/>
      <c r="TKC9" s="448"/>
      <c r="TKD9" s="448"/>
      <c r="TKE9" s="448"/>
      <c r="TKF9" s="448"/>
      <c r="TKG9" s="448"/>
      <c r="TKH9" s="448"/>
      <c r="TKI9" s="448"/>
      <c r="TKJ9" s="448"/>
      <c r="TKK9" s="448"/>
      <c r="TKL9" s="446"/>
      <c r="TKM9" s="447"/>
      <c r="TKN9" s="448"/>
      <c r="TKO9" s="448"/>
      <c r="TKP9" s="448"/>
      <c r="TKQ9" s="448"/>
      <c r="TKR9" s="448"/>
      <c r="TKS9" s="448"/>
      <c r="TKT9" s="448"/>
      <c r="TKU9" s="448"/>
      <c r="TKV9" s="448"/>
      <c r="TKW9" s="448"/>
      <c r="TKX9" s="448"/>
      <c r="TKY9" s="448"/>
      <c r="TKZ9" s="448"/>
      <c r="TLA9" s="448"/>
      <c r="TLB9" s="448"/>
      <c r="TLC9" s="448"/>
      <c r="TLD9" s="448"/>
      <c r="TLE9" s="448"/>
      <c r="TLF9" s="448"/>
      <c r="TLG9" s="448"/>
      <c r="TLH9" s="448"/>
      <c r="TLI9" s="448"/>
      <c r="TLJ9" s="448"/>
      <c r="TLK9" s="448"/>
      <c r="TLL9" s="448"/>
      <c r="TLM9" s="448"/>
      <c r="TLN9" s="448"/>
      <c r="TLO9" s="448"/>
      <c r="TLP9" s="448"/>
      <c r="TLQ9" s="448"/>
      <c r="TLR9" s="448"/>
      <c r="TLS9" s="448"/>
      <c r="TLT9" s="448"/>
      <c r="TLU9" s="448"/>
      <c r="TLV9" s="448"/>
      <c r="TLW9" s="448"/>
      <c r="TLX9" s="448"/>
      <c r="TLY9" s="448"/>
      <c r="TLZ9" s="448"/>
      <c r="TMA9" s="446"/>
      <c r="TMB9" s="447"/>
      <c r="TMC9" s="448"/>
      <c r="TMD9" s="448"/>
      <c r="TME9" s="448"/>
      <c r="TMF9" s="448"/>
      <c r="TMG9" s="448"/>
      <c r="TMH9" s="448"/>
      <c r="TMI9" s="448"/>
      <c r="TMJ9" s="448"/>
      <c r="TMK9" s="448"/>
      <c r="TML9" s="448"/>
      <c r="TMM9" s="448"/>
      <c r="TMN9" s="448"/>
      <c r="TMO9" s="448"/>
      <c r="TMP9" s="448"/>
      <c r="TMQ9" s="448"/>
      <c r="TMR9" s="448"/>
      <c r="TMS9" s="448"/>
      <c r="TMT9" s="448"/>
      <c r="TMU9" s="448"/>
      <c r="TMV9" s="448"/>
      <c r="TMW9" s="448"/>
      <c r="TMX9" s="448"/>
      <c r="TMY9" s="448"/>
      <c r="TMZ9" s="448"/>
      <c r="TNA9" s="448"/>
      <c r="TNB9" s="448"/>
      <c r="TNC9" s="448"/>
      <c r="TND9" s="448"/>
      <c r="TNE9" s="448"/>
      <c r="TNF9" s="448"/>
      <c r="TNG9" s="448"/>
      <c r="TNH9" s="448"/>
      <c r="TNI9" s="448"/>
      <c r="TNJ9" s="448"/>
      <c r="TNK9" s="448"/>
      <c r="TNL9" s="448"/>
      <c r="TNM9" s="448"/>
      <c r="TNN9" s="448"/>
      <c r="TNO9" s="448"/>
      <c r="TNP9" s="446"/>
      <c r="TNQ9" s="447"/>
      <c r="TNR9" s="448"/>
      <c r="TNS9" s="448"/>
      <c r="TNT9" s="448"/>
      <c r="TNU9" s="448"/>
      <c r="TNV9" s="448"/>
      <c r="TNW9" s="448"/>
      <c r="TNX9" s="448"/>
      <c r="TNY9" s="448"/>
      <c r="TNZ9" s="448"/>
      <c r="TOA9" s="448"/>
      <c r="TOB9" s="448"/>
      <c r="TOC9" s="448"/>
      <c r="TOD9" s="448"/>
      <c r="TOE9" s="448"/>
      <c r="TOF9" s="448"/>
      <c r="TOG9" s="448"/>
      <c r="TOH9" s="448"/>
      <c r="TOI9" s="448"/>
      <c r="TOJ9" s="448"/>
      <c r="TOK9" s="448"/>
      <c r="TOL9" s="448"/>
      <c r="TOM9" s="448"/>
      <c r="TON9" s="448"/>
      <c r="TOO9" s="448"/>
      <c r="TOP9" s="448"/>
      <c r="TOQ9" s="448"/>
      <c r="TOR9" s="448"/>
      <c r="TOS9" s="448"/>
      <c r="TOT9" s="448"/>
      <c r="TOU9" s="448"/>
      <c r="TOV9" s="448"/>
      <c r="TOW9" s="448"/>
      <c r="TOX9" s="448"/>
      <c r="TOY9" s="448"/>
      <c r="TOZ9" s="448"/>
      <c r="TPA9" s="448"/>
      <c r="TPB9" s="448"/>
      <c r="TPC9" s="448"/>
      <c r="TPD9" s="448"/>
      <c r="TPE9" s="446"/>
      <c r="TPF9" s="447"/>
      <c r="TPG9" s="448"/>
      <c r="TPH9" s="448"/>
      <c r="TPI9" s="448"/>
      <c r="TPJ9" s="448"/>
      <c r="TPK9" s="448"/>
      <c r="TPL9" s="448"/>
      <c r="TPM9" s="448"/>
      <c r="TPN9" s="448"/>
      <c r="TPO9" s="448"/>
      <c r="TPP9" s="448"/>
      <c r="TPQ9" s="448"/>
      <c r="TPR9" s="448"/>
      <c r="TPS9" s="448"/>
      <c r="TPT9" s="448"/>
      <c r="TPU9" s="448"/>
      <c r="TPV9" s="448"/>
      <c r="TPW9" s="448"/>
      <c r="TPX9" s="448"/>
      <c r="TPY9" s="448"/>
      <c r="TPZ9" s="448"/>
      <c r="TQA9" s="448"/>
      <c r="TQB9" s="448"/>
      <c r="TQC9" s="448"/>
      <c r="TQD9" s="448"/>
      <c r="TQE9" s="448"/>
      <c r="TQF9" s="448"/>
      <c r="TQG9" s="448"/>
      <c r="TQH9" s="448"/>
      <c r="TQI9" s="448"/>
      <c r="TQJ9" s="448"/>
      <c r="TQK9" s="448"/>
      <c r="TQL9" s="448"/>
      <c r="TQM9" s="448"/>
      <c r="TQN9" s="448"/>
      <c r="TQO9" s="448"/>
      <c r="TQP9" s="448"/>
      <c r="TQQ9" s="448"/>
      <c r="TQR9" s="448"/>
      <c r="TQS9" s="448"/>
      <c r="TQT9" s="446"/>
      <c r="TQU9" s="447"/>
      <c r="TQV9" s="448"/>
      <c r="TQW9" s="448"/>
      <c r="TQX9" s="448"/>
      <c r="TQY9" s="448"/>
      <c r="TQZ9" s="448"/>
      <c r="TRA9" s="448"/>
      <c r="TRB9" s="448"/>
      <c r="TRC9" s="448"/>
      <c r="TRD9" s="448"/>
      <c r="TRE9" s="448"/>
      <c r="TRF9" s="448"/>
      <c r="TRG9" s="448"/>
      <c r="TRH9" s="448"/>
      <c r="TRI9" s="448"/>
      <c r="TRJ9" s="448"/>
      <c r="TRK9" s="448"/>
      <c r="TRL9" s="448"/>
      <c r="TRM9" s="448"/>
      <c r="TRN9" s="448"/>
      <c r="TRO9" s="448"/>
      <c r="TRP9" s="448"/>
      <c r="TRQ9" s="448"/>
      <c r="TRR9" s="448"/>
      <c r="TRS9" s="448"/>
      <c r="TRT9" s="448"/>
      <c r="TRU9" s="448"/>
      <c r="TRV9" s="448"/>
      <c r="TRW9" s="448"/>
      <c r="TRX9" s="448"/>
      <c r="TRY9" s="448"/>
      <c r="TRZ9" s="448"/>
      <c r="TSA9" s="448"/>
      <c r="TSB9" s="448"/>
      <c r="TSC9" s="448"/>
      <c r="TSD9" s="448"/>
      <c r="TSE9" s="448"/>
      <c r="TSF9" s="448"/>
      <c r="TSG9" s="448"/>
      <c r="TSH9" s="448"/>
      <c r="TSI9" s="446"/>
      <c r="TSJ9" s="447"/>
      <c r="TSK9" s="448"/>
      <c r="TSL9" s="448"/>
      <c r="TSM9" s="448"/>
      <c r="TSN9" s="448"/>
      <c r="TSO9" s="448"/>
      <c r="TSP9" s="448"/>
      <c r="TSQ9" s="448"/>
      <c r="TSR9" s="448"/>
      <c r="TSS9" s="448"/>
      <c r="TST9" s="448"/>
      <c r="TSU9" s="448"/>
      <c r="TSV9" s="448"/>
      <c r="TSW9" s="448"/>
      <c r="TSX9" s="448"/>
      <c r="TSY9" s="448"/>
      <c r="TSZ9" s="448"/>
      <c r="TTA9" s="448"/>
      <c r="TTB9" s="448"/>
      <c r="TTC9" s="448"/>
      <c r="TTD9" s="448"/>
      <c r="TTE9" s="448"/>
      <c r="TTF9" s="448"/>
      <c r="TTG9" s="448"/>
      <c r="TTH9" s="448"/>
      <c r="TTI9" s="448"/>
      <c r="TTJ9" s="448"/>
      <c r="TTK9" s="448"/>
      <c r="TTL9" s="448"/>
      <c r="TTM9" s="448"/>
      <c r="TTN9" s="448"/>
      <c r="TTO9" s="448"/>
      <c r="TTP9" s="448"/>
      <c r="TTQ9" s="448"/>
      <c r="TTR9" s="448"/>
      <c r="TTS9" s="448"/>
      <c r="TTT9" s="448"/>
      <c r="TTU9" s="448"/>
      <c r="TTV9" s="448"/>
      <c r="TTW9" s="448"/>
      <c r="TTX9" s="446"/>
      <c r="TTY9" s="447"/>
      <c r="TTZ9" s="448"/>
      <c r="TUA9" s="448"/>
      <c r="TUB9" s="448"/>
      <c r="TUC9" s="448"/>
      <c r="TUD9" s="448"/>
      <c r="TUE9" s="448"/>
      <c r="TUF9" s="448"/>
      <c r="TUG9" s="448"/>
      <c r="TUH9" s="448"/>
      <c r="TUI9" s="448"/>
      <c r="TUJ9" s="448"/>
      <c r="TUK9" s="448"/>
      <c r="TUL9" s="448"/>
      <c r="TUM9" s="448"/>
      <c r="TUN9" s="448"/>
      <c r="TUO9" s="448"/>
      <c r="TUP9" s="448"/>
      <c r="TUQ9" s="448"/>
      <c r="TUR9" s="448"/>
      <c r="TUS9" s="448"/>
      <c r="TUT9" s="448"/>
      <c r="TUU9" s="448"/>
      <c r="TUV9" s="448"/>
      <c r="TUW9" s="448"/>
      <c r="TUX9" s="448"/>
      <c r="TUY9" s="448"/>
      <c r="TUZ9" s="448"/>
      <c r="TVA9" s="448"/>
      <c r="TVB9" s="448"/>
      <c r="TVC9" s="448"/>
      <c r="TVD9" s="448"/>
      <c r="TVE9" s="448"/>
      <c r="TVF9" s="448"/>
      <c r="TVG9" s="448"/>
      <c r="TVH9" s="448"/>
      <c r="TVI9" s="448"/>
      <c r="TVJ9" s="448"/>
      <c r="TVK9" s="448"/>
      <c r="TVL9" s="448"/>
      <c r="TVM9" s="446"/>
      <c r="TVN9" s="447"/>
      <c r="TVO9" s="448"/>
      <c r="TVP9" s="448"/>
      <c r="TVQ9" s="448"/>
      <c r="TVR9" s="448"/>
      <c r="TVS9" s="448"/>
      <c r="TVT9" s="448"/>
      <c r="TVU9" s="448"/>
      <c r="TVV9" s="448"/>
      <c r="TVW9" s="448"/>
      <c r="TVX9" s="448"/>
      <c r="TVY9" s="448"/>
      <c r="TVZ9" s="448"/>
      <c r="TWA9" s="448"/>
      <c r="TWB9" s="448"/>
      <c r="TWC9" s="448"/>
      <c r="TWD9" s="448"/>
      <c r="TWE9" s="448"/>
      <c r="TWF9" s="448"/>
      <c r="TWG9" s="448"/>
      <c r="TWH9" s="448"/>
      <c r="TWI9" s="448"/>
      <c r="TWJ9" s="448"/>
      <c r="TWK9" s="448"/>
      <c r="TWL9" s="448"/>
      <c r="TWM9" s="448"/>
      <c r="TWN9" s="448"/>
      <c r="TWO9" s="448"/>
      <c r="TWP9" s="448"/>
      <c r="TWQ9" s="448"/>
      <c r="TWR9" s="448"/>
      <c r="TWS9" s="448"/>
      <c r="TWT9" s="448"/>
      <c r="TWU9" s="448"/>
      <c r="TWV9" s="448"/>
      <c r="TWW9" s="448"/>
      <c r="TWX9" s="448"/>
      <c r="TWY9" s="448"/>
      <c r="TWZ9" s="448"/>
      <c r="TXA9" s="448"/>
      <c r="TXB9" s="446"/>
      <c r="TXC9" s="447"/>
      <c r="TXD9" s="448"/>
      <c r="TXE9" s="448"/>
      <c r="TXF9" s="448"/>
      <c r="TXG9" s="448"/>
      <c r="TXH9" s="448"/>
      <c r="TXI9" s="448"/>
      <c r="TXJ9" s="448"/>
      <c r="TXK9" s="448"/>
      <c r="TXL9" s="448"/>
      <c r="TXM9" s="448"/>
      <c r="TXN9" s="448"/>
      <c r="TXO9" s="448"/>
      <c r="TXP9" s="448"/>
      <c r="TXQ9" s="448"/>
      <c r="TXR9" s="448"/>
      <c r="TXS9" s="448"/>
      <c r="TXT9" s="448"/>
      <c r="TXU9" s="448"/>
      <c r="TXV9" s="448"/>
      <c r="TXW9" s="448"/>
      <c r="TXX9" s="448"/>
      <c r="TXY9" s="448"/>
      <c r="TXZ9" s="448"/>
      <c r="TYA9" s="448"/>
      <c r="TYB9" s="448"/>
      <c r="TYC9" s="448"/>
      <c r="TYD9" s="448"/>
      <c r="TYE9" s="448"/>
      <c r="TYF9" s="448"/>
      <c r="TYG9" s="448"/>
      <c r="TYH9" s="448"/>
      <c r="TYI9" s="448"/>
      <c r="TYJ9" s="448"/>
      <c r="TYK9" s="448"/>
      <c r="TYL9" s="448"/>
      <c r="TYM9" s="448"/>
      <c r="TYN9" s="448"/>
      <c r="TYO9" s="448"/>
      <c r="TYP9" s="448"/>
      <c r="TYQ9" s="446"/>
      <c r="TYR9" s="447"/>
      <c r="TYS9" s="448"/>
      <c r="TYT9" s="448"/>
      <c r="TYU9" s="448"/>
      <c r="TYV9" s="448"/>
      <c r="TYW9" s="448"/>
      <c r="TYX9" s="448"/>
      <c r="TYY9" s="448"/>
      <c r="TYZ9" s="448"/>
      <c r="TZA9" s="448"/>
      <c r="TZB9" s="448"/>
      <c r="TZC9" s="448"/>
      <c r="TZD9" s="448"/>
      <c r="TZE9" s="448"/>
      <c r="TZF9" s="448"/>
      <c r="TZG9" s="448"/>
      <c r="TZH9" s="448"/>
      <c r="TZI9" s="448"/>
      <c r="TZJ9" s="448"/>
      <c r="TZK9" s="448"/>
      <c r="TZL9" s="448"/>
      <c r="TZM9" s="448"/>
      <c r="TZN9" s="448"/>
      <c r="TZO9" s="448"/>
      <c r="TZP9" s="448"/>
      <c r="TZQ9" s="448"/>
      <c r="TZR9" s="448"/>
      <c r="TZS9" s="448"/>
      <c r="TZT9" s="448"/>
      <c r="TZU9" s="448"/>
      <c r="TZV9" s="448"/>
      <c r="TZW9" s="448"/>
      <c r="TZX9" s="448"/>
      <c r="TZY9" s="448"/>
      <c r="TZZ9" s="448"/>
      <c r="UAA9" s="448"/>
      <c r="UAB9" s="448"/>
      <c r="UAC9" s="448"/>
      <c r="UAD9" s="448"/>
      <c r="UAE9" s="448"/>
      <c r="UAF9" s="446"/>
      <c r="UAG9" s="447"/>
      <c r="UAH9" s="448"/>
      <c r="UAI9" s="448"/>
      <c r="UAJ9" s="448"/>
      <c r="UAK9" s="448"/>
      <c r="UAL9" s="448"/>
      <c r="UAM9" s="448"/>
      <c r="UAN9" s="448"/>
      <c r="UAO9" s="448"/>
      <c r="UAP9" s="448"/>
      <c r="UAQ9" s="448"/>
      <c r="UAR9" s="448"/>
      <c r="UAS9" s="448"/>
      <c r="UAT9" s="448"/>
      <c r="UAU9" s="448"/>
      <c r="UAV9" s="448"/>
      <c r="UAW9" s="448"/>
      <c r="UAX9" s="448"/>
      <c r="UAY9" s="448"/>
      <c r="UAZ9" s="448"/>
      <c r="UBA9" s="448"/>
      <c r="UBB9" s="448"/>
      <c r="UBC9" s="448"/>
      <c r="UBD9" s="448"/>
      <c r="UBE9" s="448"/>
      <c r="UBF9" s="448"/>
      <c r="UBG9" s="448"/>
      <c r="UBH9" s="448"/>
      <c r="UBI9" s="448"/>
      <c r="UBJ9" s="448"/>
      <c r="UBK9" s="448"/>
      <c r="UBL9" s="448"/>
      <c r="UBM9" s="448"/>
      <c r="UBN9" s="448"/>
      <c r="UBO9" s="448"/>
      <c r="UBP9" s="448"/>
      <c r="UBQ9" s="448"/>
      <c r="UBR9" s="448"/>
      <c r="UBS9" s="448"/>
      <c r="UBT9" s="448"/>
      <c r="UBU9" s="446"/>
      <c r="UBV9" s="447"/>
      <c r="UBW9" s="448"/>
      <c r="UBX9" s="448"/>
      <c r="UBY9" s="448"/>
      <c r="UBZ9" s="448"/>
      <c r="UCA9" s="448"/>
      <c r="UCB9" s="448"/>
      <c r="UCC9" s="448"/>
      <c r="UCD9" s="448"/>
      <c r="UCE9" s="448"/>
      <c r="UCF9" s="448"/>
      <c r="UCG9" s="448"/>
      <c r="UCH9" s="448"/>
      <c r="UCI9" s="448"/>
      <c r="UCJ9" s="448"/>
      <c r="UCK9" s="448"/>
      <c r="UCL9" s="448"/>
      <c r="UCM9" s="448"/>
      <c r="UCN9" s="448"/>
      <c r="UCO9" s="448"/>
      <c r="UCP9" s="448"/>
      <c r="UCQ9" s="448"/>
      <c r="UCR9" s="448"/>
      <c r="UCS9" s="448"/>
      <c r="UCT9" s="448"/>
      <c r="UCU9" s="448"/>
      <c r="UCV9" s="448"/>
      <c r="UCW9" s="448"/>
      <c r="UCX9" s="448"/>
      <c r="UCY9" s="448"/>
      <c r="UCZ9" s="448"/>
      <c r="UDA9" s="448"/>
      <c r="UDB9" s="448"/>
      <c r="UDC9" s="448"/>
      <c r="UDD9" s="448"/>
      <c r="UDE9" s="448"/>
      <c r="UDF9" s="448"/>
      <c r="UDG9" s="448"/>
      <c r="UDH9" s="448"/>
      <c r="UDI9" s="448"/>
      <c r="UDJ9" s="446"/>
      <c r="UDK9" s="447"/>
      <c r="UDL9" s="448"/>
      <c r="UDM9" s="448"/>
      <c r="UDN9" s="448"/>
      <c r="UDO9" s="448"/>
      <c r="UDP9" s="448"/>
      <c r="UDQ9" s="448"/>
      <c r="UDR9" s="448"/>
      <c r="UDS9" s="448"/>
      <c r="UDT9" s="448"/>
      <c r="UDU9" s="448"/>
      <c r="UDV9" s="448"/>
      <c r="UDW9" s="448"/>
      <c r="UDX9" s="448"/>
      <c r="UDY9" s="448"/>
      <c r="UDZ9" s="448"/>
      <c r="UEA9" s="448"/>
      <c r="UEB9" s="448"/>
      <c r="UEC9" s="448"/>
      <c r="UED9" s="448"/>
      <c r="UEE9" s="448"/>
      <c r="UEF9" s="448"/>
      <c r="UEG9" s="448"/>
      <c r="UEH9" s="448"/>
      <c r="UEI9" s="448"/>
      <c r="UEJ9" s="448"/>
      <c r="UEK9" s="448"/>
      <c r="UEL9" s="448"/>
      <c r="UEM9" s="448"/>
      <c r="UEN9" s="448"/>
      <c r="UEO9" s="448"/>
      <c r="UEP9" s="448"/>
      <c r="UEQ9" s="448"/>
      <c r="UER9" s="448"/>
      <c r="UES9" s="448"/>
      <c r="UET9" s="448"/>
      <c r="UEU9" s="448"/>
      <c r="UEV9" s="448"/>
      <c r="UEW9" s="448"/>
      <c r="UEX9" s="448"/>
      <c r="UEY9" s="446"/>
      <c r="UEZ9" s="447"/>
      <c r="UFA9" s="448"/>
      <c r="UFB9" s="448"/>
      <c r="UFC9" s="448"/>
      <c r="UFD9" s="448"/>
      <c r="UFE9" s="448"/>
      <c r="UFF9" s="448"/>
      <c r="UFG9" s="448"/>
      <c r="UFH9" s="448"/>
      <c r="UFI9" s="448"/>
      <c r="UFJ9" s="448"/>
      <c r="UFK9" s="448"/>
      <c r="UFL9" s="448"/>
      <c r="UFM9" s="448"/>
      <c r="UFN9" s="448"/>
      <c r="UFO9" s="448"/>
      <c r="UFP9" s="448"/>
      <c r="UFQ9" s="448"/>
      <c r="UFR9" s="448"/>
      <c r="UFS9" s="448"/>
      <c r="UFT9" s="448"/>
      <c r="UFU9" s="448"/>
      <c r="UFV9" s="448"/>
      <c r="UFW9" s="448"/>
      <c r="UFX9" s="448"/>
      <c r="UFY9" s="448"/>
      <c r="UFZ9" s="448"/>
      <c r="UGA9" s="448"/>
      <c r="UGB9" s="448"/>
      <c r="UGC9" s="448"/>
      <c r="UGD9" s="448"/>
      <c r="UGE9" s="448"/>
      <c r="UGF9" s="448"/>
      <c r="UGG9" s="448"/>
      <c r="UGH9" s="448"/>
      <c r="UGI9" s="448"/>
      <c r="UGJ9" s="448"/>
      <c r="UGK9" s="448"/>
      <c r="UGL9" s="448"/>
      <c r="UGM9" s="448"/>
      <c r="UGN9" s="446"/>
      <c r="UGO9" s="447"/>
      <c r="UGP9" s="448"/>
      <c r="UGQ9" s="448"/>
      <c r="UGR9" s="448"/>
      <c r="UGS9" s="448"/>
      <c r="UGT9" s="448"/>
      <c r="UGU9" s="448"/>
      <c r="UGV9" s="448"/>
      <c r="UGW9" s="448"/>
      <c r="UGX9" s="448"/>
      <c r="UGY9" s="448"/>
      <c r="UGZ9" s="448"/>
      <c r="UHA9" s="448"/>
      <c r="UHB9" s="448"/>
      <c r="UHC9" s="448"/>
      <c r="UHD9" s="448"/>
      <c r="UHE9" s="448"/>
      <c r="UHF9" s="448"/>
      <c r="UHG9" s="448"/>
      <c r="UHH9" s="448"/>
      <c r="UHI9" s="448"/>
      <c r="UHJ9" s="448"/>
      <c r="UHK9" s="448"/>
      <c r="UHL9" s="448"/>
      <c r="UHM9" s="448"/>
      <c r="UHN9" s="448"/>
      <c r="UHO9" s="448"/>
      <c r="UHP9" s="448"/>
      <c r="UHQ9" s="448"/>
      <c r="UHR9" s="448"/>
      <c r="UHS9" s="448"/>
      <c r="UHT9" s="448"/>
      <c r="UHU9" s="448"/>
      <c r="UHV9" s="448"/>
      <c r="UHW9" s="448"/>
      <c r="UHX9" s="448"/>
      <c r="UHY9" s="448"/>
      <c r="UHZ9" s="448"/>
      <c r="UIA9" s="448"/>
      <c r="UIB9" s="448"/>
      <c r="UIC9" s="446"/>
      <c r="UID9" s="447"/>
      <c r="UIE9" s="448"/>
      <c r="UIF9" s="448"/>
      <c r="UIG9" s="448"/>
      <c r="UIH9" s="448"/>
      <c r="UII9" s="448"/>
      <c r="UIJ9" s="448"/>
      <c r="UIK9" s="448"/>
      <c r="UIL9" s="448"/>
      <c r="UIM9" s="448"/>
      <c r="UIN9" s="448"/>
      <c r="UIO9" s="448"/>
      <c r="UIP9" s="448"/>
      <c r="UIQ9" s="448"/>
      <c r="UIR9" s="448"/>
      <c r="UIS9" s="448"/>
      <c r="UIT9" s="448"/>
      <c r="UIU9" s="448"/>
      <c r="UIV9" s="448"/>
      <c r="UIW9" s="448"/>
      <c r="UIX9" s="448"/>
      <c r="UIY9" s="448"/>
      <c r="UIZ9" s="448"/>
      <c r="UJA9" s="448"/>
      <c r="UJB9" s="448"/>
      <c r="UJC9" s="448"/>
      <c r="UJD9" s="448"/>
      <c r="UJE9" s="448"/>
      <c r="UJF9" s="448"/>
      <c r="UJG9" s="448"/>
      <c r="UJH9" s="448"/>
      <c r="UJI9" s="448"/>
      <c r="UJJ9" s="448"/>
      <c r="UJK9" s="448"/>
      <c r="UJL9" s="448"/>
      <c r="UJM9" s="448"/>
      <c r="UJN9" s="448"/>
      <c r="UJO9" s="448"/>
      <c r="UJP9" s="448"/>
      <c r="UJQ9" s="448"/>
      <c r="UJR9" s="446"/>
      <c r="UJS9" s="447"/>
      <c r="UJT9" s="448"/>
      <c r="UJU9" s="448"/>
      <c r="UJV9" s="448"/>
      <c r="UJW9" s="448"/>
      <c r="UJX9" s="448"/>
      <c r="UJY9" s="448"/>
      <c r="UJZ9" s="448"/>
      <c r="UKA9" s="448"/>
      <c r="UKB9" s="448"/>
      <c r="UKC9" s="448"/>
      <c r="UKD9" s="448"/>
      <c r="UKE9" s="448"/>
      <c r="UKF9" s="448"/>
      <c r="UKG9" s="448"/>
      <c r="UKH9" s="448"/>
      <c r="UKI9" s="448"/>
      <c r="UKJ9" s="448"/>
      <c r="UKK9" s="448"/>
      <c r="UKL9" s="448"/>
      <c r="UKM9" s="448"/>
      <c r="UKN9" s="448"/>
      <c r="UKO9" s="448"/>
      <c r="UKP9" s="448"/>
      <c r="UKQ9" s="448"/>
      <c r="UKR9" s="448"/>
      <c r="UKS9" s="448"/>
      <c r="UKT9" s="448"/>
      <c r="UKU9" s="448"/>
      <c r="UKV9" s="448"/>
      <c r="UKW9" s="448"/>
      <c r="UKX9" s="448"/>
      <c r="UKY9" s="448"/>
      <c r="UKZ9" s="448"/>
      <c r="ULA9" s="448"/>
      <c r="ULB9" s="448"/>
      <c r="ULC9" s="448"/>
      <c r="ULD9" s="448"/>
      <c r="ULE9" s="448"/>
      <c r="ULF9" s="448"/>
      <c r="ULG9" s="446"/>
      <c r="ULH9" s="447"/>
      <c r="ULI9" s="448"/>
      <c r="ULJ9" s="448"/>
      <c r="ULK9" s="448"/>
      <c r="ULL9" s="448"/>
      <c r="ULM9" s="448"/>
      <c r="ULN9" s="448"/>
      <c r="ULO9" s="448"/>
      <c r="ULP9" s="448"/>
      <c r="ULQ9" s="448"/>
      <c r="ULR9" s="448"/>
      <c r="ULS9" s="448"/>
      <c r="ULT9" s="448"/>
      <c r="ULU9" s="448"/>
      <c r="ULV9" s="448"/>
      <c r="ULW9" s="448"/>
      <c r="ULX9" s="448"/>
      <c r="ULY9" s="448"/>
      <c r="ULZ9" s="448"/>
      <c r="UMA9" s="448"/>
      <c r="UMB9" s="448"/>
      <c r="UMC9" s="448"/>
      <c r="UMD9" s="448"/>
      <c r="UME9" s="448"/>
      <c r="UMF9" s="448"/>
      <c r="UMG9" s="448"/>
      <c r="UMH9" s="448"/>
      <c r="UMI9" s="448"/>
      <c r="UMJ9" s="448"/>
      <c r="UMK9" s="448"/>
      <c r="UML9" s="448"/>
      <c r="UMM9" s="448"/>
      <c r="UMN9" s="448"/>
      <c r="UMO9" s="448"/>
      <c r="UMP9" s="448"/>
      <c r="UMQ9" s="448"/>
      <c r="UMR9" s="448"/>
      <c r="UMS9" s="448"/>
      <c r="UMT9" s="448"/>
      <c r="UMU9" s="448"/>
      <c r="UMV9" s="446"/>
      <c r="UMW9" s="447"/>
      <c r="UMX9" s="448"/>
      <c r="UMY9" s="448"/>
      <c r="UMZ9" s="448"/>
      <c r="UNA9" s="448"/>
      <c r="UNB9" s="448"/>
      <c r="UNC9" s="448"/>
      <c r="UND9" s="448"/>
      <c r="UNE9" s="448"/>
      <c r="UNF9" s="448"/>
      <c r="UNG9" s="448"/>
      <c r="UNH9" s="448"/>
      <c r="UNI9" s="448"/>
      <c r="UNJ9" s="448"/>
      <c r="UNK9" s="448"/>
      <c r="UNL9" s="448"/>
      <c r="UNM9" s="448"/>
      <c r="UNN9" s="448"/>
      <c r="UNO9" s="448"/>
      <c r="UNP9" s="448"/>
      <c r="UNQ9" s="448"/>
      <c r="UNR9" s="448"/>
      <c r="UNS9" s="448"/>
      <c r="UNT9" s="448"/>
      <c r="UNU9" s="448"/>
      <c r="UNV9" s="448"/>
      <c r="UNW9" s="448"/>
      <c r="UNX9" s="448"/>
      <c r="UNY9" s="448"/>
      <c r="UNZ9" s="448"/>
      <c r="UOA9" s="448"/>
      <c r="UOB9" s="448"/>
      <c r="UOC9" s="448"/>
      <c r="UOD9" s="448"/>
      <c r="UOE9" s="448"/>
      <c r="UOF9" s="448"/>
      <c r="UOG9" s="448"/>
      <c r="UOH9" s="448"/>
      <c r="UOI9" s="448"/>
      <c r="UOJ9" s="448"/>
      <c r="UOK9" s="446"/>
      <c r="UOL9" s="447"/>
      <c r="UOM9" s="448"/>
      <c r="UON9" s="448"/>
      <c r="UOO9" s="448"/>
      <c r="UOP9" s="448"/>
      <c r="UOQ9" s="448"/>
      <c r="UOR9" s="448"/>
      <c r="UOS9" s="448"/>
      <c r="UOT9" s="448"/>
      <c r="UOU9" s="448"/>
      <c r="UOV9" s="448"/>
      <c r="UOW9" s="448"/>
      <c r="UOX9" s="448"/>
      <c r="UOY9" s="448"/>
      <c r="UOZ9" s="448"/>
      <c r="UPA9" s="448"/>
      <c r="UPB9" s="448"/>
      <c r="UPC9" s="448"/>
      <c r="UPD9" s="448"/>
      <c r="UPE9" s="448"/>
      <c r="UPF9" s="448"/>
      <c r="UPG9" s="448"/>
      <c r="UPH9" s="448"/>
      <c r="UPI9" s="448"/>
      <c r="UPJ9" s="448"/>
      <c r="UPK9" s="448"/>
      <c r="UPL9" s="448"/>
      <c r="UPM9" s="448"/>
      <c r="UPN9" s="448"/>
      <c r="UPO9" s="448"/>
      <c r="UPP9" s="448"/>
      <c r="UPQ9" s="448"/>
      <c r="UPR9" s="448"/>
      <c r="UPS9" s="448"/>
      <c r="UPT9" s="448"/>
      <c r="UPU9" s="448"/>
      <c r="UPV9" s="448"/>
      <c r="UPW9" s="448"/>
      <c r="UPX9" s="448"/>
      <c r="UPY9" s="448"/>
      <c r="UPZ9" s="446"/>
      <c r="UQA9" s="447"/>
      <c r="UQB9" s="448"/>
      <c r="UQC9" s="448"/>
      <c r="UQD9" s="448"/>
      <c r="UQE9" s="448"/>
      <c r="UQF9" s="448"/>
      <c r="UQG9" s="448"/>
      <c r="UQH9" s="448"/>
      <c r="UQI9" s="448"/>
      <c r="UQJ9" s="448"/>
      <c r="UQK9" s="448"/>
      <c r="UQL9" s="448"/>
      <c r="UQM9" s="448"/>
      <c r="UQN9" s="448"/>
      <c r="UQO9" s="448"/>
      <c r="UQP9" s="448"/>
      <c r="UQQ9" s="448"/>
      <c r="UQR9" s="448"/>
      <c r="UQS9" s="448"/>
      <c r="UQT9" s="448"/>
      <c r="UQU9" s="448"/>
      <c r="UQV9" s="448"/>
      <c r="UQW9" s="448"/>
      <c r="UQX9" s="448"/>
      <c r="UQY9" s="448"/>
      <c r="UQZ9" s="448"/>
      <c r="URA9" s="448"/>
      <c r="URB9" s="448"/>
      <c r="URC9" s="448"/>
      <c r="URD9" s="448"/>
      <c r="URE9" s="448"/>
      <c r="URF9" s="448"/>
      <c r="URG9" s="448"/>
      <c r="URH9" s="448"/>
      <c r="URI9" s="448"/>
      <c r="URJ9" s="448"/>
      <c r="URK9" s="448"/>
      <c r="URL9" s="448"/>
      <c r="URM9" s="448"/>
      <c r="URN9" s="448"/>
      <c r="URO9" s="446"/>
      <c r="URP9" s="447"/>
      <c r="URQ9" s="448"/>
      <c r="URR9" s="448"/>
      <c r="URS9" s="448"/>
      <c r="URT9" s="448"/>
      <c r="URU9" s="448"/>
      <c r="URV9" s="448"/>
      <c r="URW9" s="448"/>
      <c r="URX9" s="448"/>
      <c r="URY9" s="448"/>
      <c r="URZ9" s="448"/>
      <c r="USA9" s="448"/>
      <c r="USB9" s="448"/>
      <c r="USC9" s="448"/>
      <c r="USD9" s="448"/>
      <c r="USE9" s="448"/>
      <c r="USF9" s="448"/>
      <c r="USG9" s="448"/>
      <c r="USH9" s="448"/>
      <c r="USI9" s="448"/>
      <c r="USJ9" s="448"/>
      <c r="USK9" s="448"/>
      <c r="USL9" s="448"/>
      <c r="USM9" s="448"/>
      <c r="USN9" s="448"/>
      <c r="USO9" s="448"/>
      <c r="USP9" s="448"/>
      <c r="USQ9" s="448"/>
      <c r="USR9" s="448"/>
      <c r="USS9" s="448"/>
      <c r="UST9" s="448"/>
      <c r="USU9" s="448"/>
      <c r="USV9" s="448"/>
      <c r="USW9" s="448"/>
      <c r="USX9" s="448"/>
      <c r="USY9" s="448"/>
      <c r="USZ9" s="448"/>
      <c r="UTA9" s="448"/>
      <c r="UTB9" s="448"/>
      <c r="UTC9" s="448"/>
      <c r="UTD9" s="446"/>
      <c r="UTE9" s="447"/>
      <c r="UTF9" s="448"/>
      <c r="UTG9" s="448"/>
      <c r="UTH9" s="448"/>
      <c r="UTI9" s="448"/>
      <c r="UTJ9" s="448"/>
      <c r="UTK9" s="448"/>
      <c r="UTL9" s="448"/>
      <c r="UTM9" s="448"/>
      <c r="UTN9" s="448"/>
      <c r="UTO9" s="448"/>
      <c r="UTP9" s="448"/>
      <c r="UTQ9" s="448"/>
      <c r="UTR9" s="448"/>
      <c r="UTS9" s="448"/>
      <c r="UTT9" s="448"/>
      <c r="UTU9" s="448"/>
      <c r="UTV9" s="448"/>
      <c r="UTW9" s="448"/>
      <c r="UTX9" s="448"/>
      <c r="UTY9" s="448"/>
      <c r="UTZ9" s="448"/>
      <c r="UUA9" s="448"/>
      <c r="UUB9" s="448"/>
      <c r="UUC9" s="448"/>
      <c r="UUD9" s="448"/>
      <c r="UUE9" s="448"/>
      <c r="UUF9" s="448"/>
      <c r="UUG9" s="448"/>
      <c r="UUH9" s="448"/>
      <c r="UUI9" s="448"/>
      <c r="UUJ9" s="448"/>
      <c r="UUK9" s="448"/>
      <c r="UUL9" s="448"/>
      <c r="UUM9" s="448"/>
      <c r="UUN9" s="448"/>
      <c r="UUO9" s="448"/>
      <c r="UUP9" s="448"/>
      <c r="UUQ9" s="448"/>
      <c r="UUR9" s="448"/>
      <c r="UUS9" s="446"/>
      <c r="UUT9" s="447"/>
      <c r="UUU9" s="448"/>
      <c r="UUV9" s="448"/>
      <c r="UUW9" s="448"/>
      <c r="UUX9" s="448"/>
      <c r="UUY9" s="448"/>
      <c r="UUZ9" s="448"/>
      <c r="UVA9" s="448"/>
      <c r="UVB9" s="448"/>
      <c r="UVC9" s="448"/>
      <c r="UVD9" s="448"/>
      <c r="UVE9" s="448"/>
      <c r="UVF9" s="448"/>
      <c r="UVG9" s="448"/>
      <c r="UVH9" s="448"/>
      <c r="UVI9" s="448"/>
      <c r="UVJ9" s="448"/>
      <c r="UVK9" s="448"/>
      <c r="UVL9" s="448"/>
      <c r="UVM9" s="448"/>
      <c r="UVN9" s="448"/>
      <c r="UVO9" s="448"/>
      <c r="UVP9" s="448"/>
      <c r="UVQ9" s="448"/>
      <c r="UVR9" s="448"/>
      <c r="UVS9" s="448"/>
      <c r="UVT9" s="448"/>
      <c r="UVU9" s="448"/>
      <c r="UVV9" s="448"/>
      <c r="UVW9" s="448"/>
      <c r="UVX9" s="448"/>
      <c r="UVY9" s="448"/>
      <c r="UVZ9" s="448"/>
      <c r="UWA9" s="448"/>
      <c r="UWB9" s="448"/>
      <c r="UWC9" s="448"/>
      <c r="UWD9" s="448"/>
      <c r="UWE9" s="448"/>
      <c r="UWF9" s="448"/>
      <c r="UWG9" s="448"/>
      <c r="UWH9" s="446"/>
      <c r="UWI9" s="447"/>
      <c r="UWJ9" s="448"/>
      <c r="UWK9" s="448"/>
      <c r="UWL9" s="448"/>
      <c r="UWM9" s="448"/>
      <c r="UWN9" s="448"/>
      <c r="UWO9" s="448"/>
      <c r="UWP9" s="448"/>
      <c r="UWQ9" s="448"/>
      <c r="UWR9" s="448"/>
      <c r="UWS9" s="448"/>
      <c r="UWT9" s="448"/>
      <c r="UWU9" s="448"/>
      <c r="UWV9" s="448"/>
      <c r="UWW9" s="448"/>
      <c r="UWX9" s="448"/>
      <c r="UWY9" s="448"/>
      <c r="UWZ9" s="448"/>
      <c r="UXA9" s="448"/>
      <c r="UXB9" s="448"/>
      <c r="UXC9" s="448"/>
      <c r="UXD9" s="448"/>
      <c r="UXE9" s="448"/>
      <c r="UXF9" s="448"/>
      <c r="UXG9" s="448"/>
      <c r="UXH9" s="448"/>
      <c r="UXI9" s="448"/>
      <c r="UXJ9" s="448"/>
      <c r="UXK9" s="448"/>
      <c r="UXL9" s="448"/>
      <c r="UXM9" s="448"/>
      <c r="UXN9" s="448"/>
      <c r="UXO9" s="448"/>
      <c r="UXP9" s="448"/>
      <c r="UXQ9" s="448"/>
      <c r="UXR9" s="448"/>
      <c r="UXS9" s="448"/>
      <c r="UXT9" s="448"/>
      <c r="UXU9" s="448"/>
      <c r="UXV9" s="448"/>
      <c r="UXW9" s="446"/>
      <c r="UXX9" s="447"/>
      <c r="UXY9" s="448"/>
      <c r="UXZ9" s="448"/>
      <c r="UYA9" s="448"/>
      <c r="UYB9" s="448"/>
      <c r="UYC9" s="448"/>
      <c r="UYD9" s="448"/>
      <c r="UYE9" s="448"/>
      <c r="UYF9" s="448"/>
      <c r="UYG9" s="448"/>
      <c r="UYH9" s="448"/>
      <c r="UYI9" s="448"/>
      <c r="UYJ9" s="448"/>
      <c r="UYK9" s="448"/>
      <c r="UYL9" s="448"/>
      <c r="UYM9" s="448"/>
      <c r="UYN9" s="448"/>
      <c r="UYO9" s="448"/>
      <c r="UYP9" s="448"/>
      <c r="UYQ9" s="448"/>
      <c r="UYR9" s="448"/>
      <c r="UYS9" s="448"/>
      <c r="UYT9" s="448"/>
      <c r="UYU9" s="448"/>
      <c r="UYV9" s="448"/>
      <c r="UYW9" s="448"/>
      <c r="UYX9" s="448"/>
      <c r="UYY9" s="448"/>
      <c r="UYZ9" s="448"/>
      <c r="UZA9" s="448"/>
      <c r="UZB9" s="448"/>
      <c r="UZC9" s="448"/>
      <c r="UZD9" s="448"/>
      <c r="UZE9" s="448"/>
      <c r="UZF9" s="448"/>
      <c r="UZG9" s="448"/>
      <c r="UZH9" s="448"/>
      <c r="UZI9" s="448"/>
      <c r="UZJ9" s="448"/>
      <c r="UZK9" s="448"/>
      <c r="UZL9" s="446"/>
      <c r="UZM9" s="447"/>
      <c r="UZN9" s="448"/>
      <c r="UZO9" s="448"/>
      <c r="UZP9" s="448"/>
      <c r="UZQ9" s="448"/>
      <c r="UZR9" s="448"/>
      <c r="UZS9" s="448"/>
      <c r="UZT9" s="448"/>
      <c r="UZU9" s="448"/>
      <c r="UZV9" s="448"/>
      <c r="UZW9" s="448"/>
      <c r="UZX9" s="448"/>
      <c r="UZY9" s="448"/>
      <c r="UZZ9" s="448"/>
      <c r="VAA9" s="448"/>
      <c r="VAB9" s="448"/>
      <c r="VAC9" s="448"/>
      <c r="VAD9" s="448"/>
      <c r="VAE9" s="448"/>
      <c r="VAF9" s="448"/>
      <c r="VAG9" s="448"/>
      <c r="VAH9" s="448"/>
      <c r="VAI9" s="448"/>
      <c r="VAJ9" s="448"/>
      <c r="VAK9" s="448"/>
      <c r="VAL9" s="448"/>
      <c r="VAM9" s="448"/>
      <c r="VAN9" s="448"/>
      <c r="VAO9" s="448"/>
      <c r="VAP9" s="448"/>
      <c r="VAQ9" s="448"/>
      <c r="VAR9" s="448"/>
      <c r="VAS9" s="448"/>
      <c r="VAT9" s="448"/>
      <c r="VAU9" s="448"/>
      <c r="VAV9" s="448"/>
      <c r="VAW9" s="448"/>
      <c r="VAX9" s="448"/>
      <c r="VAY9" s="448"/>
      <c r="VAZ9" s="448"/>
      <c r="VBA9" s="446"/>
      <c r="VBB9" s="447"/>
      <c r="VBC9" s="448"/>
      <c r="VBD9" s="448"/>
      <c r="VBE9" s="448"/>
      <c r="VBF9" s="448"/>
      <c r="VBG9" s="448"/>
      <c r="VBH9" s="448"/>
      <c r="VBI9" s="448"/>
      <c r="VBJ9" s="448"/>
      <c r="VBK9" s="448"/>
      <c r="VBL9" s="448"/>
      <c r="VBM9" s="448"/>
      <c r="VBN9" s="448"/>
      <c r="VBO9" s="448"/>
      <c r="VBP9" s="448"/>
      <c r="VBQ9" s="448"/>
      <c r="VBR9" s="448"/>
      <c r="VBS9" s="448"/>
      <c r="VBT9" s="448"/>
      <c r="VBU9" s="448"/>
      <c r="VBV9" s="448"/>
      <c r="VBW9" s="448"/>
      <c r="VBX9" s="448"/>
      <c r="VBY9" s="448"/>
      <c r="VBZ9" s="448"/>
      <c r="VCA9" s="448"/>
      <c r="VCB9" s="448"/>
      <c r="VCC9" s="448"/>
      <c r="VCD9" s="448"/>
      <c r="VCE9" s="448"/>
      <c r="VCF9" s="448"/>
      <c r="VCG9" s="448"/>
      <c r="VCH9" s="448"/>
      <c r="VCI9" s="448"/>
      <c r="VCJ9" s="448"/>
      <c r="VCK9" s="448"/>
      <c r="VCL9" s="448"/>
      <c r="VCM9" s="448"/>
      <c r="VCN9" s="448"/>
      <c r="VCO9" s="448"/>
      <c r="VCP9" s="446"/>
      <c r="VCQ9" s="447"/>
      <c r="VCR9" s="448"/>
      <c r="VCS9" s="448"/>
      <c r="VCT9" s="448"/>
      <c r="VCU9" s="448"/>
      <c r="VCV9" s="448"/>
      <c r="VCW9" s="448"/>
      <c r="VCX9" s="448"/>
      <c r="VCY9" s="448"/>
      <c r="VCZ9" s="448"/>
      <c r="VDA9" s="448"/>
      <c r="VDB9" s="448"/>
      <c r="VDC9" s="448"/>
      <c r="VDD9" s="448"/>
      <c r="VDE9" s="448"/>
      <c r="VDF9" s="448"/>
      <c r="VDG9" s="448"/>
      <c r="VDH9" s="448"/>
      <c r="VDI9" s="448"/>
      <c r="VDJ9" s="448"/>
      <c r="VDK9" s="448"/>
      <c r="VDL9" s="448"/>
      <c r="VDM9" s="448"/>
      <c r="VDN9" s="448"/>
      <c r="VDO9" s="448"/>
      <c r="VDP9" s="448"/>
      <c r="VDQ9" s="448"/>
      <c r="VDR9" s="448"/>
      <c r="VDS9" s="448"/>
      <c r="VDT9" s="448"/>
      <c r="VDU9" s="448"/>
      <c r="VDV9" s="448"/>
      <c r="VDW9" s="448"/>
      <c r="VDX9" s="448"/>
      <c r="VDY9" s="448"/>
      <c r="VDZ9" s="448"/>
      <c r="VEA9" s="448"/>
      <c r="VEB9" s="448"/>
      <c r="VEC9" s="448"/>
      <c r="VED9" s="448"/>
      <c r="VEE9" s="446"/>
      <c r="VEF9" s="447"/>
      <c r="VEG9" s="448"/>
      <c r="VEH9" s="448"/>
      <c r="VEI9" s="448"/>
      <c r="VEJ9" s="448"/>
      <c r="VEK9" s="448"/>
      <c r="VEL9" s="448"/>
      <c r="VEM9" s="448"/>
      <c r="VEN9" s="448"/>
      <c r="VEO9" s="448"/>
      <c r="VEP9" s="448"/>
      <c r="VEQ9" s="448"/>
      <c r="VER9" s="448"/>
      <c r="VES9" s="448"/>
      <c r="VET9" s="448"/>
      <c r="VEU9" s="448"/>
      <c r="VEV9" s="448"/>
      <c r="VEW9" s="448"/>
      <c r="VEX9" s="448"/>
      <c r="VEY9" s="448"/>
      <c r="VEZ9" s="448"/>
      <c r="VFA9" s="448"/>
      <c r="VFB9" s="448"/>
      <c r="VFC9" s="448"/>
      <c r="VFD9" s="448"/>
      <c r="VFE9" s="448"/>
      <c r="VFF9" s="448"/>
      <c r="VFG9" s="448"/>
      <c r="VFH9" s="448"/>
      <c r="VFI9" s="448"/>
      <c r="VFJ9" s="448"/>
      <c r="VFK9" s="448"/>
      <c r="VFL9" s="448"/>
      <c r="VFM9" s="448"/>
      <c r="VFN9" s="448"/>
      <c r="VFO9" s="448"/>
      <c r="VFP9" s="448"/>
      <c r="VFQ9" s="448"/>
      <c r="VFR9" s="448"/>
      <c r="VFS9" s="448"/>
      <c r="VFT9" s="446"/>
      <c r="VFU9" s="447"/>
      <c r="VFV9" s="448"/>
      <c r="VFW9" s="448"/>
      <c r="VFX9" s="448"/>
      <c r="VFY9" s="448"/>
      <c r="VFZ9" s="448"/>
      <c r="VGA9" s="448"/>
      <c r="VGB9" s="448"/>
      <c r="VGC9" s="448"/>
      <c r="VGD9" s="448"/>
      <c r="VGE9" s="448"/>
      <c r="VGF9" s="448"/>
      <c r="VGG9" s="448"/>
      <c r="VGH9" s="448"/>
      <c r="VGI9" s="448"/>
      <c r="VGJ9" s="448"/>
      <c r="VGK9" s="448"/>
      <c r="VGL9" s="448"/>
      <c r="VGM9" s="448"/>
      <c r="VGN9" s="448"/>
      <c r="VGO9" s="448"/>
      <c r="VGP9" s="448"/>
      <c r="VGQ9" s="448"/>
      <c r="VGR9" s="448"/>
      <c r="VGS9" s="448"/>
      <c r="VGT9" s="448"/>
      <c r="VGU9" s="448"/>
      <c r="VGV9" s="448"/>
      <c r="VGW9" s="448"/>
      <c r="VGX9" s="448"/>
      <c r="VGY9" s="448"/>
      <c r="VGZ9" s="448"/>
      <c r="VHA9" s="448"/>
      <c r="VHB9" s="448"/>
      <c r="VHC9" s="448"/>
      <c r="VHD9" s="448"/>
      <c r="VHE9" s="448"/>
      <c r="VHF9" s="448"/>
      <c r="VHG9" s="448"/>
      <c r="VHH9" s="448"/>
      <c r="VHI9" s="446"/>
      <c r="VHJ9" s="447"/>
      <c r="VHK9" s="448"/>
      <c r="VHL9" s="448"/>
      <c r="VHM9" s="448"/>
      <c r="VHN9" s="448"/>
      <c r="VHO9" s="448"/>
      <c r="VHP9" s="448"/>
      <c r="VHQ9" s="448"/>
      <c r="VHR9" s="448"/>
      <c r="VHS9" s="448"/>
      <c r="VHT9" s="448"/>
      <c r="VHU9" s="448"/>
      <c r="VHV9" s="448"/>
      <c r="VHW9" s="448"/>
      <c r="VHX9" s="448"/>
      <c r="VHY9" s="448"/>
      <c r="VHZ9" s="448"/>
      <c r="VIA9" s="448"/>
      <c r="VIB9" s="448"/>
      <c r="VIC9" s="448"/>
      <c r="VID9" s="448"/>
      <c r="VIE9" s="448"/>
      <c r="VIF9" s="448"/>
      <c r="VIG9" s="448"/>
      <c r="VIH9" s="448"/>
      <c r="VII9" s="448"/>
      <c r="VIJ9" s="448"/>
      <c r="VIK9" s="448"/>
      <c r="VIL9" s="448"/>
      <c r="VIM9" s="448"/>
      <c r="VIN9" s="448"/>
      <c r="VIO9" s="448"/>
      <c r="VIP9" s="448"/>
      <c r="VIQ9" s="448"/>
      <c r="VIR9" s="448"/>
      <c r="VIS9" s="448"/>
      <c r="VIT9" s="448"/>
      <c r="VIU9" s="448"/>
      <c r="VIV9" s="448"/>
      <c r="VIW9" s="448"/>
      <c r="VIX9" s="446"/>
      <c r="VIY9" s="447"/>
      <c r="VIZ9" s="448"/>
      <c r="VJA9" s="448"/>
      <c r="VJB9" s="448"/>
      <c r="VJC9" s="448"/>
      <c r="VJD9" s="448"/>
      <c r="VJE9" s="448"/>
      <c r="VJF9" s="448"/>
      <c r="VJG9" s="448"/>
      <c r="VJH9" s="448"/>
      <c r="VJI9" s="448"/>
      <c r="VJJ9" s="448"/>
      <c r="VJK9" s="448"/>
      <c r="VJL9" s="448"/>
      <c r="VJM9" s="448"/>
      <c r="VJN9" s="448"/>
      <c r="VJO9" s="448"/>
      <c r="VJP9" s="448"/>
      <c r="VJQ9" s="448"/>
      <c r="VJR9" s="448"/>
      <c r="VJS9" s="448"/>
      <c r="VJT9" s="448"/>
      <c r="VJU9" s="448"/>
      <c r="VJV9" s="448"/>
      <c r="VJW9" s="448"/>
      <c r="VJX9" s="448"/>
      <c r="VJY9" s="448"/>
      <c r="VJZ9" s="448"/>
      <c r="VKA9" s="448"/>
      <c r="VKB9" s="448"/>
      <c r="VKC9" s="448"/>
      <c r="VKD9" s="448"/>
      <c r="VKE9" s="448"/>
      <c r="VKF9" s="448"/>
      <c r="VKG9" s="448"/>
      <c r="VKH9" s="448"/>
      <c r="VKI9" s="448"/>
      <c r="VKJ9" s="448"/>
      <c r="VKK9" s="448"/>
      <c r="VKL9" s="448"/>
      <c r="VKM9" s="446"/>
      <c r="VKN9" s="447"/>
      <c r="VKO9" s="448"/>
      <c r="VKP9" s="448"/>
      <c r="VKQ9" s="448"/>
      <c r="VKR9" s="448"/>
      <c r="VKS9" s="448"/>
      <c r="VKT9" s="448"/>
      <c r="VKU9" s="448"/>
      <c r="VKV9" s="448"/>
      <c r="VKW9" s="448"/>
      <c r="VKX9" s="448"/>
      <c r="VKY9" s="448"/>
      <c r="VKZ9" s="448"/>
      <c r="VLA9" s="448"/>
      <c r="VLB9" s="448"/>
      <c r="VLC9" s="448"/>
      <c r="VLD9" s="448"/>
      <c r="VLE9" s="448"/>
      <c r="VLF9" s="448"/>
      <c r="VLG9" s="448"/>
      <c r="VLH9" s="448"/>
      <c r="VLI9" s="448"/>
      <c r="VLJ9" s="448"/>
      <c r="VLK9" s="448"/>
      <c r="VLL9" s="448"/>
      <c r="VLM9" s="448"/>
      <c r="VLN9" s="448"/>
      <c r="VLO9" s="448"/>
      <c r="VLP9" s="448"/>
      <c r="VLQ9" s="448"/>
      <c r="VLR9" s="448"/>
      <c r="VLS9" s="448"/>
      <c r="VLT9" s="448"/>
      <c r="VLU9" s="448"/>
      <c r="VLV9" s="448"/>
      <c r="VLW9" s="448"/>
      <c r="VLX9" s="448"/>
      <c r="VLY9" s="448"/>
      <c r="VLZ9" s="448"/>
      <c r="VMA9" s="448"/>
      <c r="VMB9" s="446"/>
      <c r="VMC9" s="447"/>
      <c r="VMD9" s="448"/>
      <c r="VME9" s="448"/>
      <c r="VMF9" s="448"/>
      <c r="VMG9" s="448"/>
      <c r="VMH9" s="448"/>
      <c r="VMI9" s="448"/>
      <c r="VMJ9" s="448"/>
      <c r="VMK9" s="448"/>
      <c r="VML9" s="448"/>
      <c r="VMM9" s="448"/>
      <c r="VMN9" s="448"/>
      <c r="VMO9" s="448"/>
      <c r="VMP9" s="448"/>
      <c r="VMQ9" s="448"/>
      <c r="VMR9" s="448"/>
      <c r="VMS9" s="448"/>
      <c r="VMT9" s="448"/>
      <c r="VMU9" s="448"/>
      <c r="VMV9" s="448"/>
      <c r="VMW9" s="448"/>
      <c r="VMX9" s="448"/>
      <c r="VMY9" s="448"/>
      <c r="VMZ9" s="448"/>
      <c r="VNA9" s="448"/>
      <c r="VNB9" s="448"/>
      <c r="VNC9" s="448"/>
      <c r="VND9" s="448"/>
      <c r="VNE9" s="448"/>
      <c r="VNF9" s="448"/>
      <c r="VNG9" s="448"/>
      <c r="VNH9" s="448"/>
      <c r="VNI9" s="448"/>
      <c r="VNJ9" s="448"/>
      <c r="VNK9" s="448"/>
      <c r="VNL9" s="448"/>
      <c r="VNM9" s="448"/>
      <c r="VNN9" s="448"/>
      <c r="VNO9" s="448"/>
      <c r="VNP9" s="448"/>
      <c r="VNQ9" s="446"/>
      <c r="VNR9" s="447"/>
      <c r="VNS9" s="448"/>
      <c r="VNT9" s="448"/>
      <c r="VNU9" s="448"/>
      <c r="VNV9" s="448"/>
      <c r="VNW9" s="448"/>
      <c r="VNX9" s="448"/>
      <c r="VNY9" s="448"/>
      <c r="VNZ9" s="448"/>
      <c r="VOA9" s="448"/>
      <c r="VOB9" s="448"/>
      <c r="VOC9" s="448"/>
      <c r="VOD9" s="448"/>
      <c r="VOE9" s="448"/>
      <c r="VOF9" s="448"/>
      <c r="VOG9" s="448"/>
      <c r="VOH9" s="448"/>
      <c r="VOI9" s="448"/>
      <c r="VOJ9" s="448"/>
      <c r="VOK9" s="448"/>
      <c r="VOL9" s="448"/>
      <c r="VOM9" s="448"/>
      <c r="VON9" s="448"/>
      <c r="VOO9" s="448"/>
      <c r="VOP9" s="448"/>
      <c r="VOQ9" s="448"/>
      <c r="VOR9" s="448"/>
      <c r="VOS9" s="448"/>
      <c r="VOT9" s="448"/>
      <c r="VOU9" s="448"/>
      <c r="VOV9" s="448"/>
      <c r="VOW9" s="448"/>
      <c r="VOX9" s="448"/>
      <c r="VOY9" s="448"/>
      <c r="VOZ9" s="448"/>
      <c r="VPA9" s="448"/>
      <c r="VPB9" s="448"/>
      <c r="VPC9" s="448"/>
      <c r="VPD9" s="448"/>
      <c r="VPE9" s="448"/>
      <c r="VPF9" s="446"/>
      <c r="VPG9" s="447"/>
      <c r="VPH9" s="448"/>
      <c r="VPI9" s="448"/>
      <c r="VPJ9" s="448"/>
      <c r="VPK9" s="448"/>
      <c r="VPL9" s="448"/>
      <c r="VPM9" s="448"/>
      <c r="VPN9" s="448"/>
      <c r="VPO9" s="448"/>
      <c r="VPP9" s="448"/>
      <c r="VPQ9" s="448"/>
      <c r="VPR9" s="448"/>
      <c r="VPS9" s="448"/>
      <c r="VPT9" s="448"/>
      <c r="VPU9" s="448"/>
      <c r="VPV9" s="448"/>
      <c r="VPW9" s="448"/>
      <c r="VPX9" s="448"/>
      <c r="VPY9" s="448"/>
      <c r="VPZ9" s="448"/>
      <c r="VQA9" s="448"/>
      <c r="VQB9" s="448"/>
      <c r="VQC9" s="448"/>
      <c r="VQD9" s="448"/>
      <c r="VQE9" s="448"/>
      <c r="VQF9" s="448"/>
      <c r="VQG9" s="448"/>
      <c r="VQH9" s="448"/>
      <c r="VQI9" s="448"/>
      <c r="VQJ9" s="448"/>
      <c r="VQK9" s="448"/>
      <c r="VQL9" s="448"/>
      <c r="VQM9" s="448"/>
      <c r="VQN9" s="448"/>
      <c r="VQO9" s="448"/>
      <c r="VQP9" s="448"/>
      <c r="VQQ9" s="448"/>
      <c r="VQR9" s="448"/>
      <c r="VQS9" s="448"/>
      <c r="VQT9" s="448"/>
      <c r="VQU9" s="446"/>
      <c r="VQV9" s="447"/>
      <c r="VQW9" s="448"/>
      <c r="VQX9" s="448"/>
      <c r="VQY9" s="448"/>
      <c r="VQZ9" s="448"/>
      <c r="VRA9" s="448"/>
      <c r="VRB9" s="448"/>
      <c r="VRC9" s="448"/>
      <c r="VRD9" s="448"/>
      <c r="VRE9" s="448"/>
      <c r="VRF9" s="448"/>
      <c r="VRG9" s="448"/>
      <c r="VRH9" s="448"/>
      <c r="VRI9" s="448"/>
      <c r="VRJ9" s="448"/>
      <c r="VRK9" s="448"/>
      <c r="VRL9" s="448"/>
      <c r="VRM9" s="448"/>
      <c r="VRN9" s="448"/>
      <c r="VRO9" s="448"/>
      <c r="VRP9" s="448"/>
      <c r="VRQ9" s="448"/>
      <c r="VRR9" s="448"/>
      <c r="VRS9" s="448"/>
      <c r="VRT9" s="448"/>
      <c r="VRU9" s="448"/>
      <c r="VRV9" s="448"/>
      <c r="VRW9" s="448"/>
      <c r="VRX9" s="448"/>
      <c r="VRY9" s="448"/>
      <c r="VRZ9" s="448"/>
      <c r="VSA9" s="448"/>
      <c r="VSB9" s="448"/>
      <c r="VSC9" s="448"/>
      <c r="VSD9" s="448"/>
      <c r="VSE9" s="448"/>
      <c r="VSF9" s="448"/>
      <c r="VSG9" s="448"/>
      <c r="VSH9" s="448"/>
      <c r="VSI9" s="448"/>
      <c r="VSJ9" s="446"/>
      <c r="VSK9" s="447"/>
      <c r="VSL9" s="448"/>
      <c r="VSM9" s="448"/>
      <c r="VSN9" s="448"/>
      <c r="VSO9" s="448"/>
      <c r="VSP9" s="448"/>
      <c r="VSQ9" s="448"/>
      <c r="VSR9" s="448"/>
      <c r="VSS9" s="448"/>
      <c r="VST9" s="448"/>
      <c r="VSU9" s="448"/>
      <c r="VSV9" s="448"/>
      <c r="VSW9" s="448"/>
      <c r="VSX9" s="448"/>
      <c r="VSY9" s="448"/>
      <c r="VSZ9" s="448"/>
      <c r="VTA9" s="448"/>
      <c r="VTB9" s="448"/>
      <c r="VTC9" s="448"/>
      <c r="VTD9" s="448"/>
      <c r="VTE9" s="448"/>
      <c r="VTF9" s="448"/>
      <c r="VTG9" s="448"/>
      <c r="VTH9" s="448"/>
      <c r="VTI9" s="448"/>
      <c r="VTJ9" s="448"/>
      <c r="VTK9" s="448"/>
      <c r="VTL9" s="448"/>
      <c r="VTM9" s="448"/>
      <c r="VTN9" s="448"/>
      <c r="VTO9" s="448"/>
      <c r="VTP9" s="448"/>
      <c r="VTQ9" s="448"/>
      <c r="VTR9" s="448"/>
      <c r="VTS9" s="448"/>
      <c r="VTT9" s="448"/>
      <c r="VTU9" s="448"/>
      <c r="VTV9" s="448"/>
      <c r="VTW9" s="448"/>
      <c r="VTX9" s="448"/>
      <c r="VTY9" s="446"/>
      <c r="VTZ9" s="447"/>
      <c r="VUA9" s="448"/>
      <c r="VUB9" s="448"/>
      <c r="VUC9" s="448"/>
      <c r="VUD9" s="448"/>
      <c r="VUE9" s="448"/>
      <c r="VUF9" s="448"/>
      <c r="VUG9" s="448"/>
      <c r="VUH9" s="448"/>
      <c r="VUI9" s="448"/>
      <c r="VUJ9" s="448"/>
      <c r="VUK9" s="448"/>
      <c r="VUL9" s="448"/>
      <c r="VUM9" s="448"/>
      <c r="VUN9" s="448"/>
      <c r="VUO9" s="448"/>
      <c r="VUP9" s="448"/>
      <c r="VUQ9" s="448"/>
      <c r="VUR9" s="448"/>
      <c r="VUS9" s="448"/>
      <c r="VUT9" s="448"/>
      <c r="VUU9" s="448"/>
      <c r="VUV9" s="448"/>
      <c r="VUW9" s="448"/>
      <c r="VUX9" s="448"/>
      <c r="VUY9" s="448"/>
      <c r="VUZ9" s="448"/>
      <c r="VVA9" s="448"/>
      <c r="VVB9" s="448"/>
      <c r="VVC9" s="448"/>
      <c r="VVD9" s="448"/>
      <c r="VVE9" s="448"/>
      <c r="VVF9" s="448"/>
      <c r="VVG9" s="448"/>
      <c r="VVH9" s="448"/>
      <c r="VVI9" s="448"/>
      <c r="VVJ9" s="448"/>
      <c r="VVK9" s="448"/>
      <c r="VVL9" s="448"/>
      <c r="VVM9" s="448"/>
      <c r="VVN9" s="446"/>
      <c r="VVO9" s="447"/>
      <c r="VVP9" s="448"/>
      <c r="VVQ9" s="448"/>
      <c r="VVR9" s="448"/>
      <c r="VVS9" s="448"/>
      <c r="VVT9" s="448"/>
      <c r="VVU9" s="448"/>
      <c r="VVV9" s="448"/>
      <c r="VVW9" s="448"/>
      <c r="VVX9" s="448"/>
      <c r="VVY9" s="448"/>
      <c r="VVZ9" s="448"/>
      <c r="VWA9" s="448"/>
      <c r="VWB9" s="448"/>
      <c r="VWC9" s="448"/>
      <c r="VWD9" s="448"/>
      <c r="VWE9" s="448"/>
      <c r="VWF9" s="448"/>
      <c r="VWG9" s="448"/>
      <c r="VWH9" s="448"/>
      <c r="VWI9" s="448"/>
      <c r="VWJ9" s="448"/>
      <c r="VWK9" s="448"/>
      <c r="VWL9" s="448"/>
      <c r="VWM9" s="448"/>
      <c r="VWN9" s="448"/>
      <c r="VWO9" s="448"/>
      <c r="VWP9" s="448"/>
      <c r="VWQ9" s="448"/>
      <c r="VWR9" s="448"/>
      <c r="VWS9" s="448"/>
      <c r="VWT9" s="448"/>
      <c r="VWU9" s="448"/>
      <c r="VWV9" s="448"/>
      <c r="VWW9" s="448"/>
      <c r="VWX9" s="448"/>
      <c r="VWY9" s="448"/>
      <c r="VWZ9" s="448"/>
      <c r="VXA9" s="448"/>
      <c r="VXB9" s="448"/>
      <c r="VXC9" s="446"/>
      <c r="VXD9" s="447"/>
      <c r="VXE9" s="448"/>
      <c r="VXF9" s="448"/>
      <c r="VXG9" s="448"/>
      <c r="VXH9" s="448"/>
      <c r="VXI9" s="448"/>
      <c r="VXJ9" s="448"/>
      <c r="VXK9" s="448"/>
      <c r="VXL9" s="448"/>
      <c r="VXM9" s="448"/>
      <c r="VXN9" s="448"/>
      <c r="VXO9" s="448"/>
      <c r="VXP9" s="448"/>
      <c r="VXQ9" s="448"/>
      <c r="VXR9" s="448"/>
      <c r="VXS9" s="448"/>
      <c r="VXT9" s="448"/>
      <c r="VXU9" s="448"/>
      <c r="VXV9" s="448"/>
      <c r="VXW9" s="448"/>
      <c r="VXX9" s="448"/>
      <c r="VXY9" s="448"/>
      <c r="VXZ9" s="448"/>
      <c r="VYA9" s="448"/>
      <c r="VYB9" s="448"/>
      <c r="VYC9" s="448"/>
      <c r="VYD9" s="448"/>
      <c r="VYE9" s="448"/>
      <c r="VYF9" s="448"/>
      <c r="VYG9" s="448"/>
      <c r="VYH9" s="448"/>
      <c r="VYI9" s="448"/>
      <c r="VYJ9" s="448"/>
      <c r="VYK9" s="448"/>
      <c r="VYL9" s="448"/>
      <c r="VYM9" s="448"/>
      <c r="VYN9" s="448"/>
      <c r="VYO9" s="448"/>
      <c r="VYP9" s="448"/>
      <c r="VYQ9" s="448"/>
      <c r="VYR9" s="446"/>
      <c r="VYS9" s="447"/>
      <c r="VYT9" s="448"/>
      <c r="VYU9" s="448"/>
      <c r="VYV9" s="448"/>
      <c r="VYW9" s="448"/>
      <c r="VYX9" s="448"/>
      <c r="VYY9" s="448"/>
      <c r="VYZ9" s="448"/>
      <c r="VZA9" s="448"/>
      <c r="VZB9" s="448"/>
      <c r="VZC9" s="448"/>
      <c r="VZD9" s="448"/>
      <c r="VZE9" s="448"/>
      <c r="VZF9" s="448"/>
      <c r="VZG9" s="448"/>
      <c r="VZH9" s="448"/>
      <c r="VZI9" s="448"/>
      <c r="VZJ9" s="448"/>
      <c r="VZK9" s="448"/>
      <c r="VZL9" s="448"/>
      <c r="VZM9" s="448"/>
      <c r="VZN9" s="448"/>
      <c r="VZO9" s="448"/>
      <c r="VZP9" s="448"/>
      <c r="VZQ9" s="448"/>
      <c r="VZR9" s="448"/>
      <c r="VZS9" s="448"/>
      <c r="VZT9" s="448"/>
      <c r="VZU9" s="448"/>
      <c r="VZV9" s="448"/>
      <c r="VZW9" s="448"/>
      <c r="VZX9" s="448"/>
      <c r="VZY9" s="448"/>
      <c r="VZZ9" s="448"/>
      <c r="WAA9" s="448"/>
      <c r="WAB9" s="448"/>
      <c r="WAC9" s="448"/>
      <c r="WAD9" s="448"/>
      <c r="WAE9" s="448"/>
      <c r="WAF9" s="448"/>
      <c r="WAG9" s="446"/>
      <c r="WAH9" s="447"/>
      <c r="WAI9" s="448"/>
      <c r="WAJ9" s="448"/>
      <c r="WAK9" s="448"/>
      <c r="WAL9" s="448"/>
      <c r="WAM9" s="448"/>
      <c r="WAN9" s="448"/>
      <c r="WAO9" s="448"/>
      <c r="WAP9" s="448"/>
      <c r="WAQ9" s="448"/>
      <c r="WAR9" s="448"/>
      <c r="WAS9" s="448"/>
      <c r="WAT9" s="448"/>
      <c r="WAU9" s="448"/>
      <c r="WAV9" s="448"/>
      <c r="WAW9" s="448"/>
      <c r="WAX9" s="448"/>
      <c r="WAY9" s="448"/>
      <c r="WAZ9" s="448"/>
      <c r="WBA9" s="448"/>
      <c r="WBB9" s="448"/>
      <c r="WBC9" s="448"/>
      <c r="WBD9" s="448"/>
      <c r="WBE9" s="448"/>
      <c r="WBF9" s="448"/>
      <c r="WBG9" s="448"/>
      <c r="WBH9" s="448"/>
      <c r="WBI9" s="448"/>
      <c r="WBJ9" s="448"/>
      <c r="WBK9" s="448"/>
      <c r="WBL9" s="448"/>
      <c r="WBM9" s="448"/>
      <c r="WBN9" s="448"/>
      <c r="WBO9" s="448"/>
      <c r="WBP9" s="448"/>
      <c r="WBQ9" s="448"/>
      <c r="WBR9" s="448"/>
      <c r="WBS9" s="448"/>
      <c r="WBT9" s="448"/>
      <c r="WBU9" s="448"/>
      <c r="WBV9" s="446"/>
      <c r="WBW9" s="447"/>
      <c r="WBX9" s="448"/>
      <c r="WBY9" s="448"/>
      <c r="WBZ9" s="448"/>
      <c r="WCA9" s="448"/>
      <c r="WCB9" s="448"/>
      <c r="WCC9" s="448"/>
      <c r="WCD9" s="448"/>
      <c r="WCE9" s="448"/>
      <c r="WCF9" s="448"/>
      <c r="WCG9" s="448"/>
      <c r="WCH9" s="448"/>
      <c r="WCI9" s="448"/>
      <c r="WCJ9" s="448"/>
      <c r="WCK9" s="448"/>
      <c r="WCL9" s="448"/>
      <c r="WCM9" s="448"/>
      <c r="WCN9" s="448"/>
      <c r="WCO9" s="448"/>
      <c r="WCP9" s="448"/>
      <c r="WCQ9" s="448"/>
      <c r="WCR9" s="448"/>
      <c r="WCS9" s="448"/>
      <c r="WCT9" s="448"/>
      <c r="WCU9" s="448"/>
      <c r="WCV9" s="448"/>
      <c r="WCW9" s="448"/>
      <c r="WCX9" s="448"/>
      <c r="WCY9" s="448"/>
      <c r="WCZ9" s="448"/>
      <c r="WDA9" s="448"/>
      <c r="WDB9" s="448"/>
      <c r="WDC9" s="448"/>
      <c r="WDD9" s="448"/>
      <c r="WDE9" s="448"/>
      <c r="WDF9" s="448"/>
      <c r="WDG9" s="448"/>
      <c r="WDH9" s="448"/>
      <c r="WDI9" s="448"/>
      <c r="WDJ9" s="448"/>
      <c r="WDK9" s="446"/>
      <c r="WDL9" s="447"/>
      <c r="WDM9" s="448"/>
      <c r="WDN9" s="448"/>
      <c r="WDO9" s="448"/>
      <c r="WDP9" s="448"/>
      <c r="WDQ9" s="448"/>
      <c r="WDR9" s="448"/>
      <c r="WDS9" s="448"/>
      <c r="WDT9" s="448"/>
      <c r="WDU9" s="448"/>
      <c r="WDV9" s="448"/>
      <c r="WDW9" s="448"/>
      <c r="WDX9" s="448"/>
      <c r="WDY9" s="448"/>
      <c r="WDZ9" s="448"/>
      <c r="WEA9" s="448"/>
      <c r="WEB9" s="448"/>
      <c r="WEC9" s="448"/>
      <c r="WED9" s="448"/>
      <c r="WEE9" s="448"/>
      <c r="WEF9" s="448"/>
      <c r="WEG9" s="448"/>
      <c r="WEH9" s="448"/>
      <c r="WEI9" s="448"/>
      <c r="WEJ9" s="448"/>
      <c r="WEK9" s="448"/>
      <c r="WEL9" s="448"/>
      <c r="WEM9" s="448"/>
      <c r="WEN9" s="448"/>
      <c r="WEO9" s="448"/>
      <c r="WEP9" s="448"/>
      <c r="WEQ9" s="448"/>
      <c r="WER9" s="448"/>
      <c r="WES9" s="448"/>
      <c r="WET9" s="448"/>
      <c r="WEU9" s="448"/>
      <c r="WEV9" s="448"/>
      <c r="WEW9" s="448"/>
      <c r="WEX9" s="448"/>
      <c r="WEY9" s="448"/>
      <c r="WEZ9" s="446"/>
      <c r="WFA9" s="447"/>
      <c r="WFB9" s="448"/>
      <c r="WFC9" s="448"/>
      <c r="WFD9" s="448"/>
      <c r="WFE9" s="448"/>
      <c r="WFF9" s="448"/>
      <c r="WFG9" s="448"/>
      <c r="WFH9" s="448"/>
      <c r="WFI9" s="448"/>
      <c r="WFJ9" s="448"/>
      <c r="WFK9" s="448"/>
      <c r="WFL9" s="448"/>
      <c r="WFM9" s="448"/>
      <c r="WFN9" s="448"/>
      <c r="WFO9" s="448"/>
      <c r="WFP9" s="448"/>
      <c r="WFQ9" s="448"/>
      <c r="WFR9" s="448"/>
      <c r="WFS9" s="448"/>
      <c r="WFT9" s="448"/>
      <c r="WFU9" s="448"/>
      <c r="WFV9" s="448"/>
      <c r="WFW9" s="448"/>
      <c r="WFX9" s="448"/>
      <c r="WFY9" s="448"/>
      <c r="WFZ9" s="448"/>
      <c r="WGA9" s="448"/>
      <c r="WGB9" s="448"/>
      <c r="WGC9" s="448"/>
      <c r="WGD9" s="448"/>
      <c r="WGE9" s="448"/>
      <c r="WGF9" s="448"/>
      <c r="WGG9" s="448"/>
      <c r="WGH9" s="448"/>
      <c r="WGI9" s="448"/>
      <c r="WGJ9" s="448"/>
      <c r="WGK9" s="448"/>
      <c r="WGL9" s="448"/>
      <c r="WGM9" s="448"/>
      <c r="WGN9" s="448"/>
      <c r="WGO9" s="446"/>
      <c r="WGP9" s="447"/>
      <c r="WGQ9" s="448"/>
      <c r="WGR9" s="448"/>
      <c r="WGS9" s="448"/>
      <c r="WGT9" s="448"/>
      <c r="WGU9" s="448"/>
      <c r="WGV9" s="448"/>
      <c r="WGW9" s="448"/>
      <c r="WGX9" s="448"/>
      <c r="WGY9" s="448"/>
      <c r="WGZ9" s="448"/>
      <c r="WHA9" s="448"/>
      <c r="WHB9" s="448"/>
      <c r="WHC9" s="448"/>
      <c r="WHD9" s="448"/>
      <c r="WHE9" s="448"/>
      <c r="WHF9" s="448"/>
      <c r="WHG9" s="448"/>
      <c r="WHH9" s="448"/>
      <c r="WHI9" s="448"/>
      <c r="WHJ9" s="448"/>
      <c r="WHK9" s="448"/>
      <c r="WHL9" s="448"/>
      <c r="WHM9" s="448"/>
      <c r="WHN9" s="448"/>
      <c r="WHO9" s="448"/>
      <c r="WHP9" s="448"/>
      <c r="WHQ9" s="448"/>
      <c r="WHR9" s="448"/>
      <c r="WHS9" s="448"/>
      <c r="WHT9" s="448"/>
      <c r="WHU9" s="448"/>
      <c r="WHV9" s="448"/>
      <c r="WHW9" s="448"/>
      <c r="WHX9" s="448"/>
      <c r="WHY9" s="448"/>
      <c r="WHZ9" s="448"/>
      <c r="WIA9" s="448"/>
      <c r="WIB9" s="448"/>
      <c r="WIC9" s="448"/>
      <c r="WID9" s="446"/>
      <c r="WIE9" s="447"/>
      <c r="WIF9" s="448"/>
      <c r="WIG9" s="448"/>
      <c r="WIH9" s="448"/>
      <c r="WII9" s="448"/>
      <c r="WIJ9" s="448"/>
      <c r="WIK9" s="448"/>
      <c r="WIL9" s="448"/>
      <c r="WIM9" s="448"/>
      <c r="WIN9" s="448"/>
      <c r="WIO9" s="448"/>
      <c r="WIP9" s="448"/>
      <c r="WIQ9" s="448"/>
      <c r="WIR9" s="448"/>
      <c r="WIS9" s="448"/>
      <c r="WIT9" s="448"/>
      <c r="WIU9" s="448"/>
      <c r="WIV9" s="448"/>
      <c r="WIW9" s="448"/>
      <c r="WIX9" s="448"/>
      <c r="WIY9" s="448"/>
      <c r="WIZ9" s="448"/>
      <c r="WJA9" s="448"/>
      <c r="WJB9" s="448"/>
      <c r="WJC9" s="448"/>
      <c r="WJD9" s="448"/>
      <c r="WJE9" s="448"/>
      <c r="WJF9" s="448"/>
      <c r="WJG9" s="448"/>
      <c r="WJH9" s="448"/>
      <c r="WJI9" s="448"/>
      <c r="WJJ9" s="448"/>
      <c r="WJK9" s="448"/>
      <c r="WJL9" s="448"/>
      <c r="WJM9" s="448"/>
      <c r="WJN9" s="448"/>
      <c r="WJO9" s="448"/>
      <c r="WJP9" s="448"/>
      <c r="WJQ9" s="448"/>
      <c r="WJR9" s="448"/>
      <c r="WJS9" s="446"/>
      <c r="WJT9" s="447"/>
      <c r="WJU9" s="448"/>
      <c r="WJV9" s="448"/>
      <c r="WJW9" s="448"/>
      <c r="WJX9" s="448"/>
      <c r="WJY9" s="448"/>
      <c r="WJZ9" s="448"/>
      <c r="WKA9" s="448"/>
      <c r="WKB9" s="448"/>
      <c r="WKC9" s="448"/>
      <c r="WKD9" s="448"/>
      <c r="WKE9" s="448"/>
      <c r="WKF9" s="448"/>
      <c r="WKG9" s="448"/>
      <c r="WKH9" s="448"/>
      <c r="WKI9" s="448"/>
      <c r="WKJ9" s="448"/>
      <c r="WKK9" s="448"/>
      <c r="WKL9" s="448"/>
      <c r="WKM9" s="448"/>
      <c r="WKN9" s="448"/>
      <c r="WKO9" s="448"/>
      <c r="WKP9" s="448"/>
      <c r="WKQ9" s="448"/>
      <c r="WKR9" s="448"/>
      <c r="WKS9" s="448"/>
      <c r="WKT9" s="448"/>
      <c r="WKU9" s="448"/>
      <c r="WKV9" s="448"/>
      <c r="WKW9" s="448"/>
      <c r="WKX9" s="448"/>
      <c r="WKY9" s="448"/>
      <c r="WKZ9" s="448"/>
      <c r="WLA9" s="448"/>
      <c r="WLB9" s="448"/>
      <c r="WLC9" s="448"/>
      <c r="WLD9" s="448"/>
      <c r="WLE9" s="448"/>
      <c r="WLF9" s="448"/>
      <c r="WLG9" s="448"/>
      <c r="WLH9" s="446"/>
      <c r="WLI9" s="447"/>
      <c r="WLJ9" s="448"/>
      <c r="WLK9" s="448"/>
      <c r="WLL9" s="448"/>
      <c r="WLM9" s="448"/>
      <c r="WLN9" s="448"/>
      <c r="WLO9" s="448"/>
      <c r="WLP9" s="448"/>
      <c r="WLQ9" s="448"/>
      <c r="WLR9" s="448"/>
      <c r="WLS9" s="448"/>
      <c r="WLT9" s="448"/>
      <c r="WLU9" s="448"/>
      <c r="WLV9" s="448"/>
      <c r="WLW9" s="448"/>
      <c r="WLX9" s="448"/>
      <c r="WLY9" s="448"/>
      <c r="WLZ9" s="448"/>
      <c r="WMA9" s="448"/>
      <c r="WMB9" s="448"/>
      <c r="WMC9" s="448"/>
      <c r="WMD9" s="448"/>
      <c r="WME9" s="448"/>
      <c r="WMF9" s="448"/>
      <c r="WMG9" s="448"/>
      <c r="WMH9" s="448"/>
      <c r="WMI9" s="448"/>
      <c r="WMJ9" s="448"/>
      <c r="WMK9" s="448"/>
      <c r="WML9" s="448"/>
      <c r="WMM9" s="448"/>
      <c r="WMN9" s="448"/>
      <c r="WMO9" s="448"/>
      <c r="WMP9" s="448"/>
      <c r="WMQ9" s="448"/>
      <c r="WMR9" s="448"/>
      <c r="WMS9" s="448"/>
      <c r="WMT9" s="448"/>
      <c r="WMU9" s="448"/>
      <c r="WMV9" s="448"/>
      <c r="WMW9" s="446"/>
      <c r="WMX9" s="447"/>
      <c r="WMY9" s="448"/>
      <c r="WMZ9" s="448"/>
      <c r="WNA9" s="448"/>
      <c r="WNB9" s="448"/>
      <c r="WNC9" s="448"/>
      <c r="WND9" s="448"/>
      <c r="WNE9" s="448"/>
      <c r="WNF9" s="448"/>
      <c r="WNG9" s="448"/>
      <c r="WNH9" s="448"/>
      <c r="WNI9" s="448"/>
      <c r="WNJ9" s="448"/>
      <c r="WNK9" s="448"/>
      <c r="WNL9" s="448"/>
      <c r="WNM9" s="448"/>
      <c r="WNN9" s="448"/>
      <c r="WNO9" s="448"/>
      <c r="WNP9" s="448"/>
      <c r="WNQ9" s="448"/>
      <c r="WNR9" s="448"/>
      <c r="WNS9" s="448"/>
      <c r="WNT9" s="448"/>
      <c r="WNU9" s="448"/>
      <c r="WNV9" s="448"/>
      <c r="WNW9" s="448"/>
      <c r="WNX9" s="448"/>
      <c r="WNY9" s="448"/>
      <c r="WNZ9" s="448"/>
      <c r="WOA9" s="448"/>
      <c r="WOB9" s="448"/>
      <c r="WOC9" s="448"/>
      <c r="WOD9" s="448"/>
      <c r="WOE9" s="448"/>
      <c r="WOF9" s="448"/>
      <c r="WOG9" s="448"/>
      <c r="WOH9" s="448"/>
      <c r="WOI9" s="448"/>
      <c r="WOJ9" s="448"/>
      <c r="WOK9" s="448"/>
      <c r="WOL9" s="446"/>
      <c r="WOM9" s="447"/>
      <c r="WON9" s="448"/>
      <c r="WOO9" s="448"/>
      <c r="WOP9" s="448"/>
      <c r="WOQ9" s="448"/>
      <c r="WOR9" s="448"/>
      <c r="WOS9" s="448"/>
      <c r="WOT9" s="448"/>
      <c r="WOU9" s="448"/>
      <c r="WOV9" s="448"/>
      <c r="WOW9" s="448"/>
      <c r="WOX9" s="448"/>
      <c r="WOY9" s="448"/>
      <c r="WOZ9" s="448"/>
      <c r="WPA9" s="448"/>
      <c r="WPB9" s="448"/>
      <c r="WPC9" s="448"/>
      <c r="WPD9" s="448"/>
      <c r="WPE9" s="448"/>
      <c r="WPF9" s="448"/>
      <c r="WPG9" s="448"/>
      <c r="WPH9" s="448"/>
      <c r="WPI9" s="448"/>
      <c r="WPJ9" s="448"/>
      <c r="WPK9" s="448"/>
      <c r="WPL9" s="448"/>
      <c r="WPM9" s="448"/>
      <c r="WPN9" s="448"/>
      <c r="WPO9" s="448"/>
      <c r="WPP9" s="448"/>
      <c r="WPQ9" s="448"/>
      <c r="WPR9" s="448"/>
      <c r="WPS9" s="448"/>
      <c r="WPT9" s="448"/>
      <c r="WPU9" s="448"/>
      <c r="WPV9" s="448"/>
      <c r="WPW9" s="448"/>
      <c r="WPX9" s="448"/>
      <c r="WPY9" s="448"/>
      <c r="WPZ9" s="448"/>
      <c r="WQA9" s="446"/>
      <c r="WQB9" s="447"/>
      <c r="WQC9" s="448"/>
      <c r="WQD9" s="448"/>
      <c r="WQE9" s="448"/>
      <c r="WQF9" s="448"/>
      <c r="WQG9" s="448"/>
      <c r="WQH9" s="448"/>
      <c r="WQI9" s="448"/>
      <c r="WQJ9" s="448"/>
      <c r="WQK9" s="448"/>
      <c r="WQL9" s="448"/>
      <c r="WQM9" s="448"/>
      <c r="WQN9" s="448"/>
      <c r="WQO9" s="448"/>
      <c r="WQP9" s="448"/>
      <c r="WQQ9" s="448"/>
      <c r="WQR9" s="448"/>
      <c r="WQS9" s="448"/>
      <c r="WQT9" s="448"/>
      <c r="WQU9" s="448"/>
      <c r="WQV9" s="448"/>
      <c r="WQW9" s="448"/>
      <c r="WQX9" s="448"/>
      <c r="WQY9" s="448"/>
      <c r="WQZ9" s="448"/>
      <c r="WRA9" s="448"/>
      <c r="WRB9" s="448"/>
      <c r="WRC9" s="448"/>
      <c r="WRD9" s="448"/>
      <c r="WRE9" s="448"/>
      <c r="WRF9" s="448"/>
      <c r="WRG9" s="448"/>
      <c r="WRH9" s="448"/>
      <c r="WRI9" s="448"/>
      <c r="WRJ9" s="448"/>
      <c r="WRK9" s="448"/>
      <c r="WRL9" s="448"/>
      <c r="WRM9" s="448"/>
      <c r="WRN9" s="448"/>
      <c r="WRO9" s="448"/>
      <c r="WRP9" s="446"/>
      <c r="WRQ9" s="447"/>
      <c r="WRR9" s="448"/>
      <c r="WRS9" s="448"/>
      <c r="WRT9" s="448"/>
      <c r="WRU9" s="448"/>
      <c r="WRV9" s="448"/>
      <c r="WRW9" s="448"/>
      <c r="WRX9" s="448"/>
      <c r="WRY9" s="448"/>
      <c r="WRZ9" s="448"/>
      <c r="WSA9" s="448"/>
      <c r="WSB9" s="448"/>
      <c r="WSC9" s="448"/>
      <c r="WSD9" s="448"/>
      <c r="WSE9" s="448"/>
      <c r="WSF9" s="448"/>
      <c r="WSG9" s="448"/>
      <c r="WSH9" s="448"/>
      <c r="WSI9" s="448"/>
      <c r="WSJ9" s="448"/>
      <c r="WSK9" s="448"/>
      <c r="WSL9" s="448"/>
      <c r="WSM9" s="448"/>
      <c r="WSN9" s="448"/>
      <c r="WSO9" s="448"/>
      <c r="WSP9" s="448"/>
      <c r="WSQ9" s="448"/>
      <c r="WSR9" s="448"/>
      <c r="WSS9" s="448"/>
      <c r="WST9" s="448"/>
      <c r="WSU9" s="448"/>
      <c r="WSV9" s="448"/>
      <c r="WSW9" s="448"/>
      <c r="WSX9" s="448"/>
      <c r="WSY9" s="448"/>
      <c r="WSZ9" s="448"/>
      <c r="WTA9" s="448"/>
      <c r="WTB9" s="448"/>
      <c r="WTC9" s="448"/>
      <c r="WTD9" s="448"/>
      <c r="WTE9" s="446"/>
      <c r="WTF9" s="447"/>
      <c r="WTG9" s="448"/>
      <c r="WTH9" s="448"/>
      <c r="WTI9" s="448"/>
      <c r="WTJ9" s="448"/>
      <c r="WTK9" s="448"/>
      <c r="WTL9" s="448"/>
      <c r="WTM9" s="448"/>
      <c r="WTN9" s="448"/>
      <c r="WTO9" s="448"/>
      <c r="WTP9" s="448"/>
      <c r="WTQ9" s="448"/>
      <c r="WTR9" s="448"/>
      <c r="WTS9" s="448"/>
      <c r="WTT9" s="448"/>
      <c r="WTU9" s="448"/>
      <c r="WTV9" s="448"/>
      <c r="WTW9" s="448"/>
      <c r="WTX9" s="448"/>
      <c r="WTY9" s="448"/>
      <c r="WTZ9" s="448"/>
      <c r="WUA9" s="448"/>
      <c r="WUB9" s="448"/>
      <c r="WUC9" s="448"/>
      <c r="WUD9" s="448"/>
      <c r="WUE9" s="448"/>
      <c r="WUF9" s="448"/>
      <c r="WUG9" s="448"/>
      <c r="WUH9" s="448"/>
      <c r="WUI9" s="448"/>
      <c r="WUJ9" s="448"/>
      <c r="WUK9" s="448"/>
      <c r="WUL9" s="448"/>
      <c r="WUM9" s="448"/>
      <c r="WUN9" s="448"/>
      <c r="WUO9" s="448"/>
      <c r="WUP9" s="448"/>
      <c r="WUQ9" s="448"/>
      <c r="WUR9" s="448"/>
      <c r="WUS9" s="448"/>
      <c r="WUT9" s="446"/>
      <c r="WUU9" s="447"/>
      <c r="WUV9" s="448"/>
      <c r="WUW9" s="448"/>
      <c r="WUX9" s="448"/>
      <c r="WUY9" s="448"/>
      <c r="WUZ9" s="448"/>
      <c r="WVA9" s="448"/>
      <c r="WVB9" s="448"/>
      <c r="WVC9" s="448"/>
      <c r="WVD9" s="448"/>
      <c r="WVE9" s="448"/>
      <c r="WVF9" s="448"/>
      <c r="WVG9" s="448"/>
      <c r="WVH9" s="448"/>
      <c r="WVI9" s="448"/>
      <c r="WVJ9" s="448"/>
      <c r="WVK9" s="448"/>
      <c r="WVL9" s="448"/>
      <c r="WVM9" s="448"/>
      <c r="WVN9" s="448"/>
      <c r="WVO9" s="448"/>
      <c r="WVP9" s="448"/>
      <c r="WVQ9" s="448"/>
      <c r="WVR9" s="448"/>
      <c r="WVS9" s="448"/>
      <c r="WVT9" s="448"/>
      <c r="WVU9" s="448"/>
      <c r="WVV9" s="448"/>
      <c r="WVW9" s="448"/>
      <c r="WVX9" s="448"/>
      <c r="WVY9" s="448"/>
      <c r="WVZ9" s="448"/>
      <c r="WWA9" s="448"/>
      <c r="WWB9" s="448"/>
      <c r="WWC9" s="448"/>
      <c r="WWD9" s="448"/>
      <c r="WWE9" s="448"/>
      <c r="WWF9" s="448"/>
      <c r="WWG9" s="448"/>
      <c r="WWH9" s="448"/>
      <c r="WWI9" s="446"/>
      <c r="WWJ9" s="447"/>
      <c r="WWK9" s="448"/>
      <c r="WWL9" s="448"/>
      <c r="WWM9" s="448"/>
      <c r="WWN9" s="448"/>
      <c r="WWO9" s="448"/>
      <c r="WWP9" s="448"/>
      <c r="WWQ9" s="448"/>
      <c r="WWR9" s="448"/>
      <c r="WWS9" s="448"/>
      <c r="WWT9" s="448"/>
      <c r="WWU9" s="448"/>
      <c r="WWV9" s="448"/>
      <c r="WWW9" s="448"/>
      <c r="WWX9" s="448"/>
      <c r="WWY9" s="448"/>
      <c r="WWZ9" s="448"/>
      <c r="WXA9" s="448"/>
      <c r="WXB9" s="448"/>
      <c r="WXC9" s="448"/>
      <c r="WXD9" s="448"/>
      <c r="WXE9" s="448"/>
      <c r="WXF9" s="448"/>
      <c r="WXG9" s="448"/>
      <c r="WXH9" s="448"/>
      <c r="WXI9" s="448"/>
      <c r="WXJ9" s="448"/>
      <c r="WXK9" s="448"/>
      <c r="WXL9" s="448"/>
      <c r="WXM9" s="448"/>
      <c r="WXN9" s="448"/>
      <c r="WXO9" s="448"/>
      <c r="WXP9" s="448"/>
      <c r="WXQ9" s="448"/>
      <c r="WXR9" s="448"/>
      <c r="WXS9" s="448"/>
      <c r="WXT9" s="448"/>
      <c r="WXU9" s="448"/>
      <c r="WXV9" s="448"/>
      <c r="WXW9" s="448"/>
      <c r="WXX9" s="446"/>
      <c r="WXY9" s="447"/>
      <c r="WXZ9" s="448"/>
      <c r="WYA9" s="448"/>
      <c r="WYB9" s="448"/>
      <c r="WYC9" s="448"/>
      <c r="WYD9" s="448"/>
      <c r="WYE9" s="448"/>
      <c r="WYF9" s="448"/>
      <c r="WYG9" s="448"/>
      <c r="WYH9" s="448"/>
      <c r="WYI9" s="448"/>
      <c r="WYJ9" s="448"/>
      <c r="WYK9" s="448"/>
      <c r="WYL9" s="448"/>
      <c r="WYM9" s="448"/>
      <c r="WYN9" s="448"/>
      <c r="WYO9" s="448"/>
      <c r="WYP9" s="448"/>
      <c r="WYQ9" s="448"/>
      <c r="WYR9" s="448"/>
      <c r="WYS9" s="448"/>
      <c r="WYT9" s="448"/>
      <c r="WYU9" s="448"/>
      <c r="WYV9" s="448"/>
      <c r="WYW9" s="448"/>
      <c r="WYX9" s="448"/>
      <c r="WYY9" s="448"/>
      <c r="WYZ9" s="448"/>
      <c r="WZA9" s="448"/>
      <c r="WZB9" s="448"/>
      <c r="WZC9" s="448"/>
      <c r="WZD9" s="448"/>
      <c r="WZE9" s="448"/>
      <c r="WZF9" s="448"/>
      <c r="WZG9" s="448"/>
      <c r="WZH9" s="448"/>
      <c r="WZI9" s="448"/>
      <c r="WZJ9" s="448"/>
      <c r="WZK9" s="448"/>
      <c r="WZL9" s="448"/>
      <c r="WZM9" s="446"/>
      <c r="WZN9" s="447"/>
      <c r="WZO9" s="448"/>
      <c r="WZP9" s="448"/>
      <c r="WZQ9" s="448"/>
      <c r="WZR9" s="448"/>
      <c r="WZS9" s="448"/>
      <c r="WZT9" s="448"/>
      <c r="WZU9" s="448"/>
      <c r="WZV9" s="448"/>
      <c r="WZW9" s="448"/>
      <c r="WZX9" s="448"/>
      <c r="WZY9" s="448"/>
      <c r="WZZ9" s="448"/>
      <c r="XAA9" s="448"/>
      <c r="XAB9" s="448"/>
      <c r="XAC9" s="448"/>
      <c r="XAD9" s="448"/>
      <c r="XAE9" s="448"/>
      <c r="XAF9" s="448"/>
      <c r="XAG9" s="448"/>
      <c r="XAH9" s="448"/>
      <c r="XAI9" s="448"/>
      <c r="XAJ9" s="448"/>
      <c r="XAK9" s="448"/>
      <c r="XAL9" s="448"/>
      <c r="XAM9" s="448"/>
      <c r="XAN9" s="448"/>
      <c r="XAO9" s="448"/>
      <c r="XAP9" s="448"/>
      <c r="XAQ9" s="448"/>
      <c r="XAR9" s="448"/>
      <c r="XAS9" s="448"/>
      <c r="XAT9" s="448"/>
      <c r="XAU9" s="448"/>
      <c r="XAV9" s="448"/>
      <c r="XAW9" s="448"/>
      <c r="XAX9" s="448"/>
      <c r="XAY9" s="448"/>
      <c r="XAZ9" s="448"/>
      <c r="XBA9" s="448"/>
      <c r="XBB9" s="446"/>
      <c r="XBC9" s="447"/>
      <c r="XBD9" s="448"/>
      <c r="XBE9" s="448"/>
      <c r="XBF9" s="448"/>
      <c r="XBG9" s="448"/>
      <c r="XBH9" s="448"/>
      <c r="XBI9" s="448"/>
      <c r="XBJ9" s="448"/>
      <c r="XBK9" s="448"/>
      <c r="XBL9" s="448"/>
      <c r="XBM9" s="448"/>
      <c r="XBN9" s="448"/>
      <c r="XBO9" s="448"/>
      <c r="XBP9" s="448"/>
      <c r="XBQ9" s="448"/>
      <c r="XBR9" s="448"/>
      <c r="XBS9" s="448"/>
      <c r="XBT9" s="448"/>
      <c r="XBU9" s="448"/>
      <c r="XBV9" s="448"/>
      <c r="XBW9" s="448"/>
      <c r="XBX9" s="448"/>
      <c r="XBY9" s="448"/>
      <c r="XBZ9" s="448"/>
      <c r="XCA9" s="448"/>
      <c r="XCB9" s="448"/>
      <c r="XCC9" s="448"/>
      <c r="XCD9" s="448"/>
      <c r="XCE9" s="448"/>
      <c r="XCF9" s="448"/>
      <c r="XCG9" s="448"/>
      <c r="XCH9" s="448"/>
      <c r="XCI9" s="448"/>
      <c r="XCJ9" s="448"/>
      <c r="XCK9" s="448"/>
      <c r="XCL9" s="448"/>
      <c r="XCM9" s="448"/>
      <c r="XCN9" s="448"/>
      <c r="XCO9" s="448"/>
      <c r="XCP9" s="448"/>
      <c r="XCQ9" s="446"/>
      <c r="XCR9" s="447"/>
      <c r="XCS9" s="448"/>
      <c r="XCT9" s="448"/>
      <c r="XCU9" s="448"/>
      <c r="XCV9" s="448"/>
      <c r="XCW9" s="448"/>
      <c r="XCX9" s="448"/>
      <c r="XCY9" s="448"/>
      <c r="XCZ9" s="448"/>
      <c r="XDA9" s="448"/>
      <c r="XDB9" s="448"/>
      <c r="XDC9" s="448"/>
      <c r="XDD9" s="448"/>
      <c r="XDE9" s="448"/>
      <c r="XDF9" s="448"/>
      <c r="XDG9" s="448"/>
      <c r="XDH9" s="448"/>
      <c r="XDI9" s="448"/>
      <c r="XDJ9" s="448"/>
      <c r="XDK9" s="448"/>
      <c r="XDL9" s="448"/>
      <c r="XDM9" s="448"/>
      <c r="XDN9" s="448"/>
      <c r="XDO9" s="448"/>
      <c r="XDP9" s="448"/>
      <c r="XDQ9" s="448"/>
      <c r="XDR9" s="448"/>
      <c r="XDS9" s="448"/>
      <c r="XDT9" s="448"/>
      <c r="XDU9" s="448"/>
      <c r="XDV9" s="448"/>
      <c r="XDW9" s="448"/>
      <c r="XDX9" s="448"/>
      <c r="XDY9" s="448"/>
      <c r="XDZ9" s="448"/>
      <c r="XEA9" s="448"/>
      <c r="XEB9" s="448"/>
      <c r="XEC9" s="448"/>
      <c r="XED9" s="448"/>
      <c r="XEE9" s="448"/>
      <c r="XEF9" s="446"/>
      <c r="XEG9" s="447"/>
      <c r="XEH9" s="448"/>
      <c r="XEI9" s="448"/>
      <c r="XEJ9" s="448"/>
      <c r="XEK9" s="448"/>
      <c r="XEL9" s="448"/>
      <c r="XEM9" s="448"/>
      <c r="XEN9" s="448"/>
      <c r="XEO9" s="448"/>
      <c r="XEP9" s="448"/>
      <c r="XEQ9" s="448"/>
      <c r="XER9" s="448"/>
      <c r="XES9" s="448"/>
      <c r="XET9" s="448"/>
      <c r="XEU9" s="448"/>
      <c r="XEV9" s="448"/>
      <c r="XEW9" s="448"/>
      <c r="XEX9" s="448"/>
      <c r="XEY9" s="448"/>
      <c r="XEZ9" s="448"/>
      <c r="XFA9" s="448"/>
      <c r="XFB9" s="448"/>
      <c r="XFC9" s="448"/>
      <c r="XFD9" s="448"/>
    </row>
    <row r="10" spans="1:16384" s="239" customFormat="1" x14ac:dyDescent="0.8">
      <c r="A10" s="1152" t="s">
        <v>411</v>
      </c>
      <c r="B10" s="1153"/>
      <c r="C10" s="1153">
        <f>'Income Statement '!C23/(('Balance Sheet '!C21+'Balance Sheet '!B21)/2)</f>
        <v>9.0587491537126794E-2</v>
      </c>
      <c r="D10" s="1153">
        <f>'Income Statement '!D23/(('Balance Sheet '!D21+'Balance Sheet '!C21)/2)</f>
        <v>2.2580921365366276E-2</v>
      </c>
      <c r="E10" s="1153">
        <f>'Income Statement '!E23/(('Balance Sheet '!E21+'Balance Sheet '!D21)/2)</f>
        <v>1.6872762182240344E-2</v>
      </c>
      <c r="F10" s="1153">
        <f>'Income Statement '!F23/(('Balance Sheet '!F21+'Balance Sheet '!E21)/2)</f>
        <v>6.2718202677015791E-2</v>
      </c>
      <c r="G10" s="1153">
        <f>'Income Statement '!G23/(('Balance Sheet '!G21+'Balance Sheet '!F21)/2)</f>
        <v>3.7011835953781026E-2</v>
      </c>
      <c r="H10" s="1154">
        <f>'Income Statement '!H23/(('Balance Sheet '!H21+'Balance Sheet '!G21)/2)</f>
        <v>3.1993145651225109E-2</v>
      </c>
      <c r="I10" s="1153">
        <f>'Income Statement '!I23/(('Balance Sheet '!I21+'Balance Sheet '!H21)/2)</f>
        <v>6.0458084334486996E-2</v>
      </c>
      <c r="J10" s="1153">
        <f>'Income Statement '!J23/(('Balance Sheet '!J21+'Balance Sheet '!I21)/2)</f>
        <v>4.5040399216285144E-2</v>
      </c>
      <c r="K10" s="1153">
        <f>'Income Statement '!K23/(('Balance Sheet '!K21+'Balance Sheet '!J21)/2)</f>
        <v>4.3997549559571254E-2</v>
      </c>
      <c r="L10" s="1153">
        <f>'Income Statement '!L23/(('Balance Sheet '!L21+'Balance Sheet '!K21)/2)</f>
        <v>2.2961326007127882E-2</v>
      </c>
      <c r="M10" s="1153">
        <f>'Income Statement '!M23/(('Balance Sheet '!M21+'Balance Sheet '!L21)/2)</f>
        <v>3.6056419602049777E-2</v>
      </c>
      <c r="N10" s="1154">
        <f>'Income Statement '!N23/(('Balance Sheet '!N21+'Balance Sheet '!M21)/2)</f>
        <v>3.8344321806164289E-2</v>
      </c>
      <c r="O10" s="1153">
        <f>'Income Statement '!O23/(('Balance Sheet '!O21+'Balance Sheet '!N21)/2)</f>
        <v>3.4734259556013586E-2</v>
      </c>
      <c r="P10" s="1153">
        <f>'Income Statement '!P23/(('Balance Sheet '!P21+'Balance Sheet '!O21)/2)</f>
        <v>3.2902250597746464E-2</v>
      </c>
      <c r="Q10" s="1153">
        <f>'Income Statement '!Q23/(('Balance Sheet '!Q21+'Balance Sheet '!P21)/2)</f>
        <v>2.5482013110780306E-2</v>
      </c>
      <c r="R10" s="1153">
        <f>'Income Statement '!R23/(('Balance Sheet '!R21+'Balance Sheet '!Q21)/2)</f>
        <v>9.9991117839940621E-3</v>
      </c>
      <c r="S10" s="1153">
        <f>'Income Statement '!S23/(('Balance Sheet '!S21+'Balance Sheet '!R21)/2)</f>
        <v>6.476362646335377E-3</v>
      </c>
      <c r="T10" s="1153">
        <f>'Income Statement '!T23/(('Balance Sheet '!T21+'Balance Sheet '!S21)/2)</f>
        <v>6.9165407056929551E-3</v>
      </c>
      <c r="U10" s="1153">
        <f>'Income Statement '!U23/(('Balance Sheet '!U21+'Balance Sheet '!T21)/2)</f>
        <v>9.8858713379656737E-3</v>
      </c>
      <c r="V10" s="1153">
        <f>'Income Statement '!V23/(('Balance Sheet '!V21+'Balance Sheet '!U21)/2)</f>
        <v>1.5859447454566838E-2</v>
      </c>
      <c r="W10" s="1153">
        <f>'Income Statement '!W23/(('Balance Sheet '!W21+'Balance Sheet '!V21)/2)</f>
        <v>1.8969562010562383E-2</v>
      </c>
      <c r="X10" s="1153">
        <f>'Income Statement '!X23/(('Balance Sheet '!X21+'Balance Sheet '!W21)/2)</f>
        <v>2.0253084258128259E-2</v>
      </c>
      <c r="Y10" s="1153">
        <f>'Income Statement '!Y23/(('Balance Sheet '!Y21+'Balance Sheet '!X21)/2)</f>
        <v>2.2447984484259012E-2</v>
      </c>
      <c r="Z10" s="1153">
        <f>'Income Statement '!Z23/(('Balance Sheet '!Z21+'Balance Sheet '!Y21)/2)</f>
        <v>2.6134010632763851E-2</v>
      </c>
      <c r="AA10" s="1153">
        <f>'Income Statement '!AA23/(('Balance Sheet '!AA21+'Balance Sheet '!Z21)/2)</f>
        <v>3.0058681753647138E-2</v>
      </c>
      <c r="AB10" s="1153">
        <f>'Income Statement '!AB23/(('Balance Sheet '!AB21+'Balance Sheet '!AA21)/2)</f>
        <v>3.6358272515598526E-2</v>
      </c>
      <c r="AC10" s="1153">
        <f>'Income Statement '!AC23/(('Balance Sheet '!AC21+'Balance Sheet '!AB21)/2)</f>
        <v>4.2011737100121786E-2</v>
      </c>
      <c r="AD10" s="1153">
        <f>'Income Statement '!AD23/(('Balance Sheet '!AD21+'Balance Sheet '!AC21)/2)</f>
        <v>4.6480541733789446E-2</v>
      </c>
      <c r="AE10" s="1153">
        <f>'Income Statement '!AE23/(('Balance Sheet '!AE21+'Balance Sheet '!AD21)/2)</f>
        <v>4.968914988262705E-2</v>
      </c>
      <c r="AF10" s="1153">
        <f>'Income Statement '!AF23/(('Balance Sheet '!AF21+'Balance Sheet '!AE21)/2)</f>
        <v>5.1970801416031394E-2</v>
      </c>
      <c r="AG10" s="1153">
        <f>'Income Statement '!AG23/(('Balance Sheet '!AG21+'Balance Sheet '!AF21)/2)</f>
        <v>5.3690622044091918E-2</v>
      </c>
      <c r="AH10" s="1153">
        <f>'Income Statement '!AH23/(('Balance Sheet '!AH21+'Balance Sheet '!AG21)/2)</f>
        <v>5.4792754321719789E-2</v>
      </c>
      <c r="AI10" s="1153">
        <f>'Income Statement '!AI23/(('Balance Sheet '!AI21+'Balance Sheet '!AH21)/2)</f>
        <v>5.3717048791513358E-2</v>
      </c>
      <c r="AJ10" s="1153">
        <f>'Income Statement '!AJ23/(('Balance Sheet '!AJ21+'Balance Sheet '!AI21)/2)</f>
        <v>5.2626355468970883E-2</v>
      </c>
      <c r="AK10" s="1153">
        <f>'Income Statement '!AK23/(('Balance Sheet '!AK21+'Balance Sheet '!AJ21)/2)</f>
        <v>5.1684340921468966E-2</v>
      </c>
      <c r="AL10" s="1153">
        <f>'Income Statement '!AL23/(('Balance Sheet '!AL21+'Balance Sheet '!AK21)/2)</f>
        <v>5.0773778482057524E-2</v>
      </c>
      <c r="AM10" s="1153">
        <f>'Income Statement '!AM23/(('Balance Sheet '!AM21+'Balance Sheet '!AL21)/2)</f>
        <v>4.9899795623436112E-2</v>
      </c>
      <c r="AN10" s="1153">
        <f>'Income Statement '!AN23/(('Balance Sheet '!AN21+'Balance Sheet '!AM21)/2)</f>
        <v>4.905700772934269E-2</v>
      </c>
      <c r="AO10" s="1155">
        <f>'Income Statement '!AO23/(('Balance Sheet '!AO21+'Balance Sheet '!AN21)/2)</f>
        <v>4.8248440698499755E-2</v>
      </c>
    </row>
    <row r="11" spans="1:16384" s="239" customFormat="1" x14ac:dyDescent="0.8">
      <c r="A11" s="300" t="s">
        <v>412</v>
      </c>
      <c r="B11" s="297"/>
      <c r="C11" s="298">
        <f>'Income Statement '!B4/(('Balance Sheet '!B21+'Balance Sheet '!C21)/2)</f>
        <v>1.0858572498240171</v>
      </c>
      <c r="D11" s="298">
        <f>'Income Statement '!C4/(('Balance Sheet '!C21+'Balance Sheet '!D21)/2)</f>
        <v>1.0865414992338194</v>
      </c>
      <c r="E11" s="298">
        <f>'Income Statement '!D4/(('Balance Sheet '!D21+'Balance Sheet '!E21)/2)</f>
        <v>0.78144386862352755</v>
      </c>
      <c r="F11" s="298">
        <f>'Income Statement '!E4/(('Balance Sheet '!E21+'Balance Sheet '!F21)/2)</f>
        <v>0.88854309630837069</v>
      </c>
      <c r="G11" s="298">
        <f>'Income Statement '!F4/(('Balance Sheet '!F21+'Balance Sheet '!G21)/2)</f>
        <v>0.85057924364388693</v>
      </c>
      <c r="H11" s="299">
        <f>'Income Statement '!G4/(('Balance Sheet '!G21+'Balance Sheet '!H21)/2)</f>
        <v>0.87016143704924875</v>
      </c>
      <c r="I11" s="298">
        <f>'Income Statement '!H4/(('Balance Sheet '!H21+'Balance Sheet '!I21)/2)</f>
        <v>0.9378304124134117</v>
      </c>
      <c r="J11" s="298">
        <f>'Income Statement '!I4/(('Balance Sheet '!I21+'Balance Sheet '!J21)/2)</f>
        <v>0.97591551986892333</v>
      </c>
      <c r="K11" s="298">
        <f>'Income Statement '!J4/(('Balance Sheet '!J21+'Balance Sheet '!K21)/2)</f>
        <v>0.94862232658105905</v>
      </c>
      <c r="L11" s="298">
        <f>'Income Statement '!K4/(('Balance Sheet '!K21+'Balance Sheet '!L21)/2)</f>
        <v>0.96000335465202091</v>
      </c>
      <c r="M11" s="298">
        <f>'Income Statement '!L4/(('Balance Sheet '!L21+'Balance Sheet '!M21)/2)</f>
        <v>0.8988313470179593</v>
      </c>
      <c r="N11" s="299">
        <f>'Income Statement '!M4/(('Balance Sheet '!M21+'Balance Sheet '!N21)/2)</f>
        <v>0.94125946516973413</v>
      </c>
      <c r="O11" s="298">
        <f>'Income Statement '!N4/(('Balance Sheet '!N21+'Balance Sheet '!O21)/2)</f>
        <v>0.83991308991179014</v>
      </c>
      <c r="P11" s="298">
        <f>'Income Statement '!O4/(('Balance Sheet '!O21+'Balance Sheet '!P21)/2)</f>
        <v>0.86243391183480356</v>
      </c>
      <c r="Q11" s="298">
        <f>'Income Statement '!P4/(('Balance Sheet '!P21+'Balance Sheet '!Q21)/2)</f>
        <v>0.79892791355744197</v>
      </c>
      <c r="R11" s="298">
        <f>'Income Statement '!Q4/(('Balance Sheet '!Q21+'Balance Sheet '!R21)/2)</f>
        <v>0.82218389021630933</v>
      </c>
      <c r="S11" s="298">
        <f>'Income Statement '!R4/(('Balance Sheet '!R21+'Balance Sheet '!S21)/2)</f>
        <v>0.77714234593550713</v>
      </c>
      <c r="T11" s="298">
        <f>'Income Statement '!S4/(('Balance Sheet '!S21+'Balance Sheet '!T21)/2)</f>
        <v>0.80713790142929442</v>
      </c>
      <c r="U11" s="298">
        <f>'Income Statement '!T4/(('Balance Sheet '!T21+'Balance Sheet '!U21)/2)</f>
        <v>0.7816358573011315</v>
      </c>
      <c r="V11" s="298">
        <f>'Income Statement '!U4/(('Balance Sheet '!U21+'Balance Sheet '!V21)/2)</f>
        <v>0.81068554672167692</v>
      </c>
      <c r="W11" s="298">
        <f>'Income Statement '!V4/(('Balance Sheet '!V21+'Balance Sheet '!W21)/2)</f>
        <v>0.79766397513753762</v>
      </c>
      <c r="X11" s="298">
        <f>'Income Statement '!W4/(('Balance Sheet '!W21+'Balance Sheet '!X21)/2)</f>
        <v>0.82345492972809098</v>
      </c>
      <c r="Y11" s="298">
        <f>'Income Statement '!X4/(('Balance Sheet '!X21+'Balance Sheet '!Y21)/2)</f>
        <v>0.82068942327694705</v>
      </c>
      <c r="Z11" s="298">
        <f>'Income Statement '!Y4/(('Balance Sheet '!Y21+'Balance Sheet '!Z21)/2)</f>
        <v>0.82361811835422549</v>
      </c>
      <c r="AA11" s="298">
        <f>'Income Statement '!Z4/(('Balance Sheet '!Z21+'Balance Sheet '!AA21)/2)</f>
        <v>0.82818148744636111</v>
      </c>
      <c r="AB11" s="298">
        <f>'Income Statement '!AA4/(('Balance Sheet '!AA21+'Balance Sheet '!AB21)/2)</f>
        <v>0.84257164476613844</v>
      </c>
      <c r="AC11" s="298">
        <f>'Income Statement '!AB4/(('Balance Sheet '!AB21+'Balance Sheet '!AC21)/2)</f>
        <v>0.84686432701467107</v>
      </c>
      <c r="AD11" s="298">
        <f>'Income Statement '!AC4/(('Balance Sheet '!AC21+'Balance Sheet '!AD21)/2)</f>
        <v>0.84903926739413049</v>
      </c>
      <c r="AE11" s="298">
        <f>'Income Statement '!AD4/(('Balance Sheet '!AD21+'Balance Sheet '!AE21)/2)</f>
        <v>0.84361267066028778</v>
      </c>
      <c r="AF11" s="298">
        <f>'Income Statement '!AE4/(('Balance Sheet '!AE21+'Balance Sheet '!AF21)/2)</f>
        <v>0.83690887361624933</v>
      </c>
      <c r="AG11" s="298">
        <f>'Income Statement '!AF4/(('Balance Sheet '!AF21+'Balance Sheet '!AG21)/2)</f>
        <v>0.82523874446705758</v>
      </c>
      <c r="AH11" s="298">
        <f>'Income Statement '!AG4/(('Balance Sheet '!AG21+'Balance Sheet '!AH21)/2)</f>
        <v>0.81270585237126869</v>
      </c>
      <c r="AI11" s="298">
        <f>'Income Statement '!AH4/(('Balance Sheet '!AH21+'Balance Sheet '!AI21)/2)</f>
        <v>0.79909832865044994</v>
      </c>
      <c r="AJ11" s="298">
        <f>'Income Statement '!AI4/(('Balance Sheet '!AI21+'Balance Sheet '!AJ21)/2)</f>
        <v>0.7858335997436946</v>
      </c>
      <c r="AK11" s="298">
        <f>'Income Statement '!AJ4/(('Balance Sheet '!AJ21+'Balance Sheet '!AK21)/2)</f>
        <v>0.7730201592908329</v>
      </c>
      <c r="AL11" s="298">
        <f>'Income Statement '!AK4/(('Balance Sheet '!AK21+'Balance Sheet '!AL21)/2)</f>
        <v>0.76074741820920233</v>
      </c>
      <c r="AM11" s="298">
        <f>'Income Statement '!AL4/(('Balance Sheet '!AL21+'Balance Sheet '!AM21)/2)</f>
        <v>0.74892045369363203</v>
      </c>
      <c r="AN11" s="298">
        <f>'Income Statement '!AM4/(('Balance Sheet '!AM21+'Balance Sheet '!AN21)/2)</f>
        <v>0.73759801536569691</v>
      </c>
      <c r="AO11" s="312">
        <f>'Income Statement '!AN4/(('Balance Sheet '!AN21+'Balance Sheet '!AO21)/2)</f>
        <v>0.72671054026249482</v>
      </c>
    </row>
    <row r="12" spans="1:16384" x14ac:dyDescent="0.8">
      <c r="A12" s="22" t="s">
        <v>413</v>
      </c>
      <c r="B12" s="7"/>
      <c r="C12" s="25">
        <f>C10/C11</f>
        <v>8.3424862293646929E-2</v>
      </c>
      <c r="D12" s="25">
        <f t="shared" ref="D12:AO12" si="2">D10/D11</f>
        <v>2.0782382800186957E-2</v>
      </c>
      <c r="E12" s="25">
        <f t="shared" si="2"/>
        <v>2.1591777553979445E-2</v>
      </c>
      <c r="F12" s="25">
        <f t="shared" si="2"/>
        <v>7.0585436922070588E-2</v>
      </c>
      <c r="G12" s="25">
        <f t="shared" si="2"/>
        <v>4.3513683446144397E-2</v>
      </c>
      <c r="H12" s="56">
        <f t="shared" si="2"/>
        <v>3.6766908172482467E-2</v>
      </c>
      <c r="I12" s="25">
        <f t="shared" si="2"/>
        <v>6.4465902933243793E-2</v>
      </c>
      <c r="J12" s="25">
        <f t="shared" si="2"/>
        <v>4.6151944814172632E-2</v>
      </c>
      <c r="K12" s="25">
        <f t="shared" si="2"/>
        <v>4.6380470211093747E-2</v>
      </c>
      <c r="L12" s="25">
        <f t="shared" si="2"/>
        <v>2.3917964344458812E-2</v>
      </c>
      <c r="M12" s="25">
        <f t="shared" si="2"/>
        <v>4.0114777618374876E-2</v>
      </c>
      <c r="N12" s="56">
        <f t="shared" si="2"/>
        <v>4.0737249637377924E-2</v>
      </c>
      <c r="O12" s="25">
        <f t="shared" si="2"/>
        <v>4.1354587722476702E-2</v>
      </c>
      <c r="P12" s="25">
        <f t="shared" si="2"/>
        <v>3.8150460164243616E-2</v>
      </c>
      <c r="Q12" s="25">
        <f t="shared" si="2"/>
        <v>3.1895259482566794E-2</v>
      </c>
      <c r="R12" s="25">
        <f t="shared" si="2"/>
        <v>1.2161648875610278E-2</v>
      </c>
      <c r="S12" s="25">
        <f t="shared" si="2"/>
        <v>8.3335603576449972E-3</v>
      </c>
      <c r="T12" s="25">
        <f t="shared" si="2"/>
        <v>8.5692180895544853E-3</v>
      </c>
      <c r="U12" s="25">
        <f t="shared" si="2"/>
        <v>1.2647668662617486E-2</v>
      </c>
      <c r="V12" s="25">
        <f t="shared" si="2"/>
        <v>1.9563007529492412E-2</v>
      </c>
      <c r="W12" s="25">
        <f t="shared" si="2"/>
        <v>2.3781394925465382E-2</v>
      </c>
      <c r="X12" s="25">
        <f t="shared" si="2"/>
        <v>2.4595255340587895E-2</v>
      </c>
      <c r="Y12" s="25">
        <f t="shared" si="2"/>
        <v>2.7352593865077497E-2</v>
      </c>
      <c r="Z12" s="25">
        <f t="shared" si="2"/>
        <v>3.1730737887342125E-2</v>
      </c>
      <c r="AA12" s="25">
        <f t="shared" si="2"/>
        <v>3.6294800365957169E-2</v>
      </c>
      <c r="AB12" s="25">
        <f t="shared" si="2"/>
        <v>4.3151550068706641E-2</v>
      </c>
      <c r="AC12" s="25">
        <f t="shared" si="2"/>
        <v>4.9608580453754283E-2</v>
      </c>
      <c r="AD12" s="25">
        <f t="shared" si="2"/>
        <v>5.4744866955856383E-2</v>
      </c>
      <c r="AE12" s="25">
        <f t="shared" si="2"/>
        <v>5.8900430980648753E-2</v>
      </c>
      <c r="AF12" s="25">
        <f t="shared" si="2"/>
        <v>6.2098518792694436E-2</v>
      </c>
      <c r="AG12" s="25">
        <f t="shared" si="2"/>
        <v>6.5060714131600222E-2</v>
      </c>
      <c r="AH12" s="25">
        <f t="shared" si="2"/>
        <v>6.7420154735995177E-2</v>
      </c>
      <c r="AI12" s="25">
        <f t="shared" si="2"/>
        <v>6.7222076264673108E-2</v>
      </c>
      <c r="AJ12" s="25">
        <f t="shared" si="2"/>
        <v>6.6968828370453176E-2</v>
      </c>
      <c r="AK12" s="25">
        <f t="shared" si="2"/>
        <v>6.6860275634834765E-2</v>
      </c>
      <c r="AL12" s="25">
        <f t="shared" si="2"/>
        <v>6.6741966212095577E-2</v>
      </c>
      <c r="AM12" s="25">
        <f t="shared" si="2"/>
        <v>6.6628966237112675E-2</v>
      </c>
      <c r="AN12" s="25">
        <f t="shared" si="2"/>
        <v>6.6509137372096239E-2</v>
      </c>
      <c r="AO12" s="57">
        <f t="shared" si="2"/>
        <v>6.6392928167894688E-2</v>
      </c>
    </row>
    <row r="13" spans="1:16384" x14ac:dyDescent="0.8">
      <c r="A13" s="22"/>
      <c r="B13" s="7"/>
      <c r="C13" s="7"/>
      <c r="D13" s="7"/>
      <c r="E13" s="7"/>
      <c r="F13" s="7"/>
      <c r="G13" s="7"/>
      <c r="H13" s="131"/>
      <c r="I13" s="7"/>
      <c r="J13" s="7"/>
      <c r="K13" s="7"/>
      <c r="L13" s="7"/>
      <c r="M13" s="7"/>
      <c r="N13" s="131"/>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172"/>
    </row>
    <row r="14" spans="1:16384" x14ac:dyDescent="0.8">
      <c r="A14" s="55" t="s">
        <v>414</v>
      </c>
      <c r="B14" s="7"/>
      <c r="C14" s="7"/>
      <c r="D14" s="7"/>
      <c r="E14" s="7"/>
      <c r="F14" s="7"/>
      <c r="G14" s="7"/>
      <c r="H14" s="131"/>
      <c r="I14" s="7"/>
      <c r="J14" s="7"/>
      <c r="K14" s="7"/>
      <c r="L14" s="7"/>
      <c r="M14" s="7"/>
      <c r="N14" s="131"/>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172"/>
    </row>
    <row r="15" spans="1:16384" x14ac:dyDescent="0.8">
      <c r="A15" s="22" t="s">
        <v>502</v>
      </c>
      <c r="B15" s="25">
        <f>'Income Statement '!B5/'Income Statement '!B4</f>
        <v>0.66486086221656993</v>
      </c>
      <c r="C15" s="25">
        <f>'Income Statement '!C5/'Income Statement '!C4</f>
        <v>0.67597091335963744</v>
      </c>
      <c r="D15" s="25">
        <f>'Income Statement '!D5/'Income Statement '!D4</f>
        <v>0.69687229924218075</v>
      </c>
      <c r="E15" s="25">
        <f>'Income Statement '!E5/'Income Statement '!E4</f>
        <v>0.70204858323670205</v>
      </c>
      <c r="F15" s="25">
        <f>'Income Statement '!F5/'Income Statement '!F4</f>
        <v>0.69901141492530261</v>
      </c>
      <c r="G15" s="25">
        <f>'Income Statement '!G5/'Income Statement '!G4</f>
        <v>0.68551333663294545</v>
      </c>
      <c r="H15" s="56">
        <f>'Income Statement '!H5/'Income Statement '!H4</f>
        <v>0.67260577025790058</v>
      </c>
      <c r="I15" s="25">
        <f>'Income Statement '!I5/'Income Statement '!I4</f>
        <v>0.66025682597672541</v>
      </c>
      <c r="J15" s="25">
        <f>'Income Statement '!J5/'Income Statement '!J4</f>
        <v>0.64843667766706103</v>
      </c>
      <c r="K15" s="25">
        <f>'Income Statement '!K5/'Income Statement '!K4</f>
        <v>0.63711740865058719</v>
      </c>
      <c r="L15" s="25">
        <f>'Income Statement '!L5/'Income Statement '!L4</f>
        <v>0.62627287039229462</v>
      </c>
      <c r="M15" s="25">
        <f>'Income Statement '!M5/'Income Statement '!M4</f>
        <v>0.61587855295566862</v>
      </c>
      <c r="N15" s="56">
        <f>'Income Statement '!N5/'Income Statement '!N4</f>
        <v>0.60616784120324974</v>
      </c>
      <c r="O15" s="25">
        <f>'Income Statement '!O5/'Income Statement '!O4</f>
        <v>0.60616784120324974</v>
      </c>
      <c r="P15" s="25">
        <f>'Income Statement '!P5/'Income Statement '!P4</f>
        <v>0.60616784120324974</v>
      </c>
      <c r="Q15" s="25">
        <f>'Income Statement '!Q5/'Income Statement '!Q4</f>
        <v>0.61741101609167237</v>
      </c>
      <c r="R15" s="25">
        <f>'Income Statement '!R5/'Income Statement '!R4</f>
        <v>0.62151679934868198</v>
      </c>
      <c r="S15" s="25">
        <f>'Income Statement '!S5/'Income Statement '!S4</f>
        <v>0.62544323172856731</v>
      </c>
      <c r="T15" s="25">
        <f>'Income Statement '!T5/'Income Statement '!T4</f>
        <v>0.62919690746419021</v>
      </c>
      <c r="U15" s="25">
        <f>'Income Statement '!U5/'Income Statement '!U4</f>
        <v>0.63278430115946205</v>
      </c>
      <c r="V15" s="25">
        <f>'Income Statement '!V5/'Income Statement '!V4</f>
        <v>0.63621175616796721</v>
      </c>
      <c r="W15" s="25">
        <f>'Income Statement '!W5/'Income Statement '!W4</f>
        <v>0.6394854748867228</v>
      </c>
      <c r="X15" s="25">
        <f>'Income Statement '!X5/'Income Statement '!X4</f>
        <v>0.64261151078868817</v>
      </c>
      <c r="Y15" s="25">
        <f>'Income Statement '!Y5/'Income Statement '!Y4</f>
        <v>0.64559576202815938</v>
      </c>
      <c r="Z15" s="25">
        <f>'Income Statement '!Z5/'Income Statement '!Z4</f>
        <v>0.64559576202815938</v>
      </c>
      <c r="AA15" s="25">
        <f>'Income Statement '!AA5/'Income Statement '!AA4</f>
        <v>0.6501149323623564</v>
      </c>
      <c r="AB15" s="25">
        <f>'Income Statement '!AB5/'Income Statement '!AB4</f>
        <v>0.6501149323623564</v>
      </c>
      <c r="AC15" s="25">
        <f>'Income Statement '!AC5/'Income Statement '!AC4</f>
        <v>0.6501149323623564</v>
      </c>
      <c r="AD15" s="25">
        <f>'Income Statement '!AD5/'Income Statement '!AD4</f>
        <v>0.6501149323623564</v>
      </c>
      <c r="AE15" s="25">
        <f>'Income Statement '!AE5/'Income Statement '!AE4</f>
        <v>0.6501149323623564</v>
      </c>
      <c r="AF15" s="25">
        <f>'Income Statement '!AF5/'Income Statement '!AF4</f>
        <v>0.6501149323623564</v>
      </c>
      <c r="AG15" s="25">
        <f>'Income Statement '!AG5/'Income Statement '!AG4</f>
        <v>0.6501149323623564</v>
      </c>
      <c r="AH15" s="25">
        <f>'Income Statement '!AH5/'Income Statement '!AH4</f>
        <v>0.6501149323623564</v>
      </c>
      <c r="AI15" s="25">
        <f>'Income Statement '!AI5/'Income Statement '!AI4</f>
        <v>0.6501149323623564</v>
      </c>
      <c r="AJ15" s="25">
        <f>'Income Statement '!AJ5/'Income Statement '!AJ4</f>
        <v>0.6501149323623564</v>
      </c>
      <c r="AK15" s="25">
        <f>'Income Statement '!AK5/'Income Statement '!AK4</f>
        <v>0.6501149323623564</v>
      </c>
      <c r="AL15" s="25">
        <f>'Income Statement '!AL5/'Income Statement '!AL4</f>
        <v>0.6501149323623564</v>
      </c>
      <c r="AM15" s="25">
        <f>'Income Statement '!AM5/'Income Statement '!AM4</f>
        <v>0.6501149323623564</v>
      </c>
      <c r="AN15" s="25">
        <f>'Income Statement '!AN5/'Income Statement '!AN4</f>
        <v>0.6501149323623564</v>
      </c>
      <c r="AO15" s="57">
        <f>'Income Statement '!AO5/'Income Statement '!AO4</f>
        <v>0.6501149323623564</v>
      </c>
    </row>
    <row r="16" spans="1:16384" x14ac:dyDescent="0.8">
      <c r="A16" s="22" t="s">
        <v>415</v>
      </c>
      <c r="B16" s="25">
        <f>'Income Statement '!B9/'Income Statement '!B4</f>
        <v>8.4669105603774567E-2</v>
      </c>
      <c r="C16" s="25">
        <f>'Income Statement '!C9/'Income Statement '!C4</f>
        <v>8.4564298214149847E-2</v>
      </c>
      <c r="D16" s="25">
        <f>'Income Statement '!D9/'Income Statement '!D4</f>
        <v>0.10370552900926382</v>
      </c>
      <c r="E16" s="25">
        <f>'Income Statement '!E9/'Income Statement '!E4</f>
        <v>9.2855231469092858E-2</v>
      </c>
      <c r="F16" s="25">
        <f>'Income Statement '!F9/'Income Statement '!F4</f>
        <v>8.9964488866979372E-2</v>
      </c>
      <c r="G16" s="25">
        <f>'Income Statement '!G9/'Income Statement '!G4</f>
        <v>9.4442465377716264E-2</v>
      </c>
      <c r="H16" s="56">
        <f>'Income Statement '!H9/'Income Statement '!H4</f>
        <v>9.9799318077756438E-2</v>
      </c>
      <c r="I16" s="25">
        <f>'Income Statement '!I9/'Income Statement '!I4</f>
        <v>0.10546001577734382</v>
      </c>
      <c r="J16" s="25">
        <f>'Income Statement '!J9/'Income Statement '!J4</f>
        <v>0.11144179280956897</v>
      </c>
      <c r="K16" s="25">
        <f>'Income Statement '!K9/'Income Statement '!K4</f>
        <v>0.11776286105277599</v>
      </c>
      <c r="L16" s="25">
        <f>'Income Statement '!L9/'Income Statement '!L4</f>
        <v>0.1244424653777163</v>
      </c>
      <c r="M16" s="25">
        <f>'Income Statement '!M9/'Income Statement '!M4</f>
        <v>0.12444246537771629</v>
      </c>
      <c r="N16" s="56">
        <f>'Income Statement '!N9/'Income Statement '!N4</f>
        <v>0.12444246537771628</v>
      </c>
      <c r="O16" s="25">
        <f>'Income Statement '!O9/'Income Statement '!O4</f>
        <v>0.12444246537771629</v>
      </c>
      <c r="P16" s="25">
        <f>'Income Statement '!P9/'Income Statement '!P4</f>
        <v>0.12444246537771629</v>
      </c>
      <c r="Q16" s="25">
        <f>'Income Statement '!Q9/'Income Statement '!Q4</f>
        <v>0.12444246537771628</v>
      </c>
      <c r="R16" s="25">
        <f>'Income Statement '!R9/'Income Statement '!R4</f>
        <v>0.12444246537771629</v>
      </c>
      <c r="S16" s="25">
        <f>'Income Statement '!S9/'Income Statement '!S4</f>
        <v>0.12444246537771629</v>
      </c>
      <c r="T16" s="25">
        <f>'Income Statement '!T9/'Income Statement '!T4</f>
        <v>0.12444246537771629</v>
      </c>
      <c r="U16" s="25">
        <f>'Income Statement '!U9/'Income Statement '!U4</f>
        <v>0.12444246537771629</v>
      </c>
      <c r="V16" s="25">
        <f>'Income Statement '!V9/'Income Statement '!V4</f>
        <v>0.12444246537771629</v>
      </c>
      <c r="W16" s="25">
        <f>'Income Statement '!W9/'Income Statement '!W4</f>
        <v>0.12444246537771629</v>
      </c>
      <c r="X16" s="25">
        <f>'Income Statement '!X9/'Income Statement '!X4</f>
        <v>0.12444246537771629</v>
      </c>
      <c r="Y16" s="25">
        <f>'Income Statement '!Y9/'Income Statement '!Y4</f>
        <v>0.12444246537771629</v>
      </c>
      <c r="Z16" s="25">
        <f>'Income Statement '!Z9/'Income Statement '!Z4</f>
        <v>0.12444246537771629</v>
      </c>
      <c r="AA16" s="25">
        <f>'Income Statement '!AA9/'Income Statement '!AA4</f>
        <v>0.12444246537771629</v>
      </c>
      <c r="AB16" s="25">
        <f>'Income Statement '!AB9/'Income Statement '!AB4</f>
        <v>0.12444246537771629</v>
      </c>
      <c r="AC16" s="25">
        <f>'Income Statement '!AC9/'Income Statement '!AC4</f>
        <v>0.12444246537771629</v>
      </c>
      <c r="AD16" s="25">
        <f>'Income Statement '!AD9/'Income Statement '!AD4</f>
        <v>0.12444246537771629</v>
      </c>
      <c r="AE16" s="25">
        <f>'Income Statement '!AE9/'Income Statement '!AE4</f>
        <v>0.12444246537771629</v>
      </c>
      <c r="AF16" s="25">
        <f>'Income Statement '!AF9/'Income Statement '!AF4</f>
        <v>0.12444246537771629</v>
      </c>
      <c r="AG16" s="25">
        <f>'Income Statement '!AG9/'Income Statement '!AG4</f>
        <v>0.1244424653777163</v>
      </c>
      <c r="AH16" s="25">
        <f>'Income Statement '!AH9/'Income Statement '!AH4</f>
        <v>0.12444246537771629</v>
      </c>
      <c r="AI16" s="25">
        <f>'Income Statement '!AI9/'Income Statement '!AI4</f>
        <v>0.12444246537771628</v>
      </c>
      <c r="AJ16" s="25">
        <f>'Income Statement '!AJ9/'Income Statement '!AJ4</f>
        <v>0.12444246537771629</v>
      </c>
      <c r="AK16" s="25">
        <f>'Income Statement '!AK9/'Income Statement '!AK4</f>
        <v>0.12444246537771629</v>
      </c>
      <c r="AL16" s="25">
        <f>'Income Statement '!AL9/'Income Statement '!AL4</f>
        <v>0.12444246537771628</v>
      </c>
      <c r="AM16" s="25">
        <f>'Income Statement '!AM9/'Income Statement '!AM4</f>
        <v>0.12444246537771628</v>
      </c>
      <c r="AN16" s="25">
        <f>'Income Statement '!AN9/'Income Statement '!AN4</f>
        <v>0.12444246537771629</v>
      </c>
      <c r="AO16" s="57">
        <f>'Income Statement '!AO9/'Income Statement '!AO4</f>
        <v>0.12444246537771629</v>
      </c>
    </row>
    <row r="17" spans="1:41" x14ac:dyDescent="0.8">
      <c r="A17" s="22" t="s">
        <v>416</v>
      </c>
      <c r="B17" s="25">
        <f>('Income Statement '!B10+'Income Statement '!B11)/'Income Statement '!B4</f>
        <v>4.9711924640697215E-2</v>
      </c>
      <c r="C17" s="25">
        <f>('Income Statement '!C10+'Income Statement '!C11)/'Income Statement '!C4</f>
        <v>3.6594710927055144E-2</v>
      </c>
      <c r="D17" s="25">
        <f>('Income Statement '!D10+'Income Statement '!D11)/'Income Statement '!D4</f>
        <v>4.4612055111530137E-2</v>
      </c>
      <c r="E17" s="25">
        <f>('Income Statement '!E10+'Income Statement '!E11)/'Income Statement '!E4</f>
        <v>6.325335236226326E-2</v>
      </c>
      <c r="F17" s="25">
        <f>('Income Statement '!F10+'Income Statement '!F11)/'Income Statement '!F4</f>
        <v>5.1100018596852703E-2</v>
      </c>
      <c r="G17" s="25">
        <f>('Income Statement '!G10+'Income Statement '!G11)/'Income Statement '!G4</f>
        <v>4.4075042007004843E-2</v>
      </c>
      <c r="H17" s="56">
        <f>('Income Statement '!H10+'Income Statement '!H11)/'Income Statement '!H4</f>
        <v>6.6624176201688382E-2</v>
      </c>
      <c r="I17" s="25">
        <f>('Income Statement '!I10+'Income Statement '!I11)/'Income Statement '!I4</f>
        <v>5.2207611067888557E-2</v>
      </c>
      <c r="J17" s="25">
        <f>('Income Statement '!J10+'Income Statement '!J11)/'Income Statement '!J4</f>
        <v>7.0970887702138996E-2</v>
      </c>
      <c r="K17" s="25">
        <f>('Income Statement '!K10+'Income Statement '!K11)/'Income Statement '!K4</f>
        <v>7.3337393267141532E-2</v>
      </c>
      <c r="L17" s="25">
        <f>('Income Statement '!L10+'Income Statement '!L11)/'Income Statement '!L4</f>
        <v>9.5536700437006392E-2</v>
      </c>
      <c r="M17" s="25">
        <f>('Income Statement '!M10+'Income Statement '!M11)/'Income Statement '!M4</f>
        <v>8.131529120793185E-2</v>
      </c>
      <c r="N17" s="56">
        <f>('Income Statement '!N10+'Income Statement '!N11)/'Income Statement '!N4</f>
        <v>8.3963141450948076E-2</v>
      </c>
      <c r="O17" s="25">
        <f>('Income Statement '!O10+'Income Statement '!O11)/'Income Statement '!O4</f>
        <v>9.2754469707149942E-2</v>
      </c>
      <c r="P17" s="25">
        <f>('Income Statement '!P10+'Income Statement '!P11)/'Income Statement '!P4</f>
        <v>9.0698038945179776E-2</v>
      </c>
      <c r="Q17" s="25">
        <f>('Income Statement '!Q10+'Income Statement '!Q11)/'Income Statement '!Q4</f>
        <v>9.4243516028013952E-2</v>
      </c>
      <c r="R17" s="25">
        <f>('Income Statement '!R10+'Income Statement '!R11)/'Income Statement '!R4</f>
        <v>0.1158062257260469</v>
      </c>
      <c r="S17" s="25">
        <f>('Income Statement '!S10+'Income Statement '!S11)/'Income Statement '!S4</f>
        <v>0.11929855500684802</v>
      </c>
      <c r="T17" s="25">
        <f>('Income Statement '!T10+'Income Statement '!T11)/'Income Statement '!T4</f>
        <v>0.11424987600414402</v>
      </c>
      <c r="U17" s="25">
        <f>('Income Statement '!U10+'Income Statement '!U11)/'Income Statement '!U4</f>
        <v>0.10604644083138538</v>
      </c>
      <c r="V17" s="25">
        <f>('Income Statement '!V10+'Income Statement '!V11)/'Income Statement '!V4</f>
        <v>9.1425658587712733E-2</v>
      </c>
      <c r="W17" s="25">
        <f>('Income Statement '!W10+'Income Statement '!W11)/'Income Statement '!W4</f>
        <v>8.3810785608327415E-2</v>
      </c>
      <c r="X17" s="25">
        <f>('Income Statement '!X10+'Income Statement '!X11)/'Income Statement '!X4</f>
        <v>7.8455190185620013E-2</v>
      </c>
      <c r="Y17" s="25">
        <f>('Income Statement '!Y10+'Income Statement '!Y11)/'Income Statement '!Y4</f>
        <v>7.1964324561617485E-2</v>
      </c>
      <c r="Z17" s="25">
        <f>('Income Statement '!Z10+'Income Statement '!Z11)/'Income Statement '!Z4</f>
        <v>6.5514374894397626E-2</v>
      </c>
      <c r="AA17" s="25">
        <f>('Income Statement '!AA10+'Income Statement '!AA11)/'Income Statement '!AA4</f>
        <v>5.489320753104121E-2</v>
      </c>
      <c r="AB17" s="25">
        <f>('Income Statement '!AB10+'Income Statement '!AB11)/'Income Statement '!AB4</f>
        <v>4.4752264903588787E-2</v>
      </c>
      <c r="AC17" s="25">
        <f>('Income Statement '!AC10+'Income Statement '!AC11)/'Income Statement '!AC4</f>
        <v>3.5744963938521189E-2</v>
      </c>
      <c r="AD17" s="25">
        <f>('Income Statement '!AD10+'Income Statement '!AD11)/'Income Statement '!AD4</f>
        <v>2.809103678519705E-2</v>
      </c>
      <c r="AE17" s="25">
        <f>('Income Statement '!AE10+'Income Statement '!AE11)/'Income Statement '!AE4</f>
        <v>2.2351965204537149E-2</v>
      </c>
      <c r="AF17" s="25">
        <f>('Income Statement '!AF10+'Income Statement '!AF11)/'Income Statement '!AF4</f>
        <v>1.750538949144408E-2</v>
      </c>
      <c r="AG17" s="25">
        <f>('Income Statement '!AG10+'Income Statement '!AG11)/'Income Statement '!AG4</f>
        <v>1.3349014506551899E-2</v>
      </c>
      <c r="AH17" s="25">
        <f>('Income Statement '!AH10+'Income Statement '!AH11)/'Income Statement '!AH4</f>
        <v>9.8277781562775748E-3</v>
      </c>
      <c r="AI17" s="25">
        <f>('Income Statement '!AI10+'Income Statement '!AI11)/'Income Statement '!AI4</f>
        <v>1.0038979659419387E-2</v>
      </c>
      <c r="AJ17" s="25">
        <f>('Income Statement '!AJ10+'Income Statement '!AJ11)/'Income Statement '!AJ4</f>
        <v>1.0254168909645558E-2</v>
      </c>
      <c r="AK17" s="25">
        <f>('Income Statement '!AK10+'Income Statement '!AK11)/'Income Statement '!AK4</f>
        <v>1.0470656290532655E-2</v>
      </c>
      <c r="AL17" s="25">
        <f>('Income Statement '!AL10+'Income Statement '!AL11)/'Income Statement '!AL4</f>
        <v>1.0690475609709779E-2</v>
      </c>
      <c r="AM17" s="25">
        <f>('Income Statement '!AM10+'Income Statement '!AM11)/'Income Statement '!AM4</f>
        <v>1.091164136593616E-2</v>
      </c>
      <c r="AN17" s="25">
        <f>('Income Statement '!AN10+'Income Statement '!AN11)/'Income Statement '!AN4</f>
        <v>1.1134855989098786E-2</v>
      </c>
      <c r="AO17" s="57">
        <f>('Income Statement '!AO10+'Income Statement '!AO11)/'Income Statement '!AO4</f>
        <v>1.135917007494525E-2</v>
      </c>
    </row>
    <row r="18" spans="1:41" x14ac:dyDescent="0.8">
      <c r="A18" s="22" t="s">
        <v>738</v>
      </c>
      <c r="B18" s="25"/>
      <c r="C18" s="25"/>
      <c r="D18" s="25"/>
      <c r="E18" s="25"/>
      <c r="F18" s="25"/>
      <c r="G18" s="25"/>
      <c r="H18" s="56"/>
      <c r="I18" s="25"/>
      <c r="J18" s="25"/>
      <c r="K18" s="25"/>
      <c r="L18" s="25"/>
      <c r="M18" s="25"/>
      <c r="N18" s="56"/>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57"/>
    </row>
    <row r="19" spans="1:41" x14ac:dyDescent="0.8">
      <c r="A19" s="22"/>
      <c r="B19" s="7"/>
      <c r="C19" s="7"/>
      <c r="D19" s="7"/>
      <c r="E19" s="7"/>
      <c r="F19" s="7"/>
      <c r="G19" s="7"/>
      <c r="H19" s="131"/>
      <c r="I19" s="7"/>
      <c r="J19" s="7"/>
      <c r="K19" s="7"/>
      <c r="L19" s="7"/>
      <c r="M19" s="7"/>
      <c r="N19" s="13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172"/>
    </row>
    <row r="20" spans="1:41" x14ac:dyDescent="0.8">
      <c r="A20" s="55" t="s">
        <v>417</v>
      </c>
      <c r="B20" s="7"/>
      <c r="C20" s="7"/>
      <c r="D20" s="7"/>
      <c r="E20" s="7"/>
      <c r="F20" s="7"/>
      <c r="G20" s="7"/>
      <c r="H20" s="131"/>
      <c r="I20" s="7"/>
      <c r="J20" s="7"/>
      <c r="K20" s="7"/>
      <c r="L20" s="7"/>
      <c r="M20" s="7"/>
      <c r="N20" s="13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172"/>
    </row>
    <row r="21" spans="1:41" x14ac:dyDescent="0.8">
      <c r="A21" s="22" t="s">
        <v>418</v>
      </c>
      <c r="B21" s="25">
        <f>'Balance Sheet '!B34/'Balance Sheet '!B21</f>
        <v>0.29508993231628378</v>
      </c>
      <c r="C21" s="25">
        <f>'Balance Sheet '!C34/'Balance Sheet '!C21</f>
        <v>0.26112354976592711</v>
      </c>
      <c r="D21" s="25">
        <f>'Balance Sheet '!D34/'Balance Sheet '!D21</f>
        <v>0.23950149336084156</v>
      </c>
      <c r="E21" s="25">
        <f>'Balance Sheet '!E34/'Balance Sheet '!E21</f>
        <v>0.29372465303693807</v>
      </c>
      <c r="F21" s="25">
        <f>'Balance Sheet '!F34/'Balance Sheet '!F21</f>
        <v>0.28501424349012316</v>
      </c>
      <c r="G21" s="25">
        <f>'Balance Sheet '!G34/'Balance Sheet '!G21</f>
        <v>0.33926108525884729</v>
      </c>
      <c r="H21" s="56">
        <f>'Balance Sheet '!H34/'Balance Sheet '!H21</f>
        <v>0.52293258220509375</v>
      </c>
      <c r="I21" s="25">
        <f>'Balance Sheet '!I34/'Balance Sheet '!I21</f>
        <v>0.33525125638694953</v>
      </c>
      <c r="J21" s="25">
        <f>'Balance Sheet '!J34/'Balance Sheet '!J21</f>
        <v>0.30718791882571683</v>
      </c>
      <c r="K21" s="25">
        <f>'Balance Sheet '!K34/'Balance Sheet '!K21</f>
        <v>0.32611755938254922</v>
      </c>
      <c r="L21" s="25">
        <f>'Balance Sheet '!L34/'Balance Sheet '!L21</f>
        <v>0.29394852371598024</v>
      </c>
      <c r="M21" s="25">
        <f>'Balance Sheet '!M34/'Balance Sheet '!M21</f>
        <v>0.31272846090934664</v>
      </c>
      <c r="N21" s="56">
        <f>'Balance Sheet '!N34/'Balance Sheet '!N21</f>
        <v>0.29401175787646794</v>
      </c>
      <c r="O21" s="25">
        <f>'Balance Sheet '!O34/'Balance Sheet '!O21</f>
        <v>0.28938021468272912</v>
      </c>
      <c r="P21" s="25">
        <f>'Balance Sheet '!P34/'Balance Sheet '!P21</f>
        <v>0.27338310550620426</v>
      </c>
      <c r="Q21" s="25">
        <f>'Balance Sheet '!Q34/'Balance Sheet '!Q21</f>
        <v>0.27043910903384716</v>
      </c>
      <c r="R21" s="25">
        <f>'Balance Sheet '!R34/'Balance Sheet '!R21</f>
        <v>0.26382170009134082</v>
      </c>
      <c r="S21" s="25">
        <f>'Balance Sheet '!S34/'Balance Sheet '!S21</f>
        <v>0.2656458171544</v>
      </c>
      <c r="T21" s="25">
        <f>'Balance Sheet '!T34/'Balance Sheet '!T21</f>
        <v>0.26990154327688826</v>
      </c>
      <c r="U21" s="25">
        <f>'Balance Sheet '!U34/'Balance Sheet '!U21</f>
        <v>0.27223493127148524</v>
      </c>
      <c r="V21" s="25">
        <f>'Balance Sheet '!V34/'Balance Sheet '!V21</f>
        <v>0.27147728256302484</v>
      </c>
      <c r="W21" s="25">
        <f>'Balance Sheet '!W34/'Balance Sheet '!W21</f>
        <v>0.27612831891437484</v>
      </c>
      <c r="X21" s="25">
        <f>'Balance Sheet '!X34/'Balance Sheet '!X21</f>
        <v>0.27740268516369487</v>
      </c>
      <c r="Y21" s="25">
        <f>'Balance Sheet '!Y34/'Balance Sheet '!Y21</f>
        <v>0.27989705744007243</v>
      </c>
      <c r="Z21" s="25">
        <f>'Balance Sheet '!Z34/'Balance Sheet '!Z21</f>
        <v>0.27945273945156246</v>
      </c>
      <c r="AA21" s="25">
        <f>'Balance Sheet '!AA34/'Balance Sheet '!AA21</f>
        <v>0.28495558300751028</v>
      </c>
      <c r="AB21" s="25">
        <f>'Balance Sheet '!AB34/'Balance Sheet '!AB21</f>
        <v>0.28742298940203248</v>
      </c>
      <c r="AC21" s="25">
        <f>'Balance Sheet '!AC34/'Balance Sheet '!AC21</f>
        <v>0.2896237425962338</v>
      </c>
      <c r="AD21" s="25">
        <f>'Balance Sheet '!AD34/'Balance Sheet '!AD21</f>
        <v>0.28976519468019468</v>
      </c>
      <c r="AE21" s="25">
        <f>'Balance Sheet '!AE34/'Balance Sheet '!AE21</f>
        <v>0.28875590632792003</v>
      </c>
      <c r="AF21" s="25">
        <f>'Balance Sheet '!AF34/'Balance Sheet '!AF21</f>
        <v>0.28642577718524165</v>
      </c>
      <c r="AG21" s="25">
        <f>'Balance Sheet '!AG34/'Balance Sheet '!AG21</f>
        <v>0.2833312305384646</v>
      </c>
      <c r="AH21" s="25">
        <f>'Balance Sheet '!AH34/'Balance Sheet '!AH21</f>
        <v>0.27946942690569249</v>
      </c>
      <c r="AI21" s="25">
        <f>'Balance Sheet '!AI34/'Balance Sheet '!AI21</f>
        <v>0.27573320900170339</v>
      </c>
      <c r="AJ21" s="25">
        <f>'Balance Sheet '!AJ34/'Balance Sheet '!AJ21</f>
        <v>0.27214897373154567</v>
      </c>
      <c r="AK21" s="25">
        <f>'Balance Sheet '!AK34/'Balance Sheet '!AK21</f>
        <v>0.26872247805945781</v>
      </c>
      <c r="AL21" s="25">
        <f>'Balance Sheet '!AL34/'Balance Sheet '!AL21</f>
        <v>0.26544227716282021</v>
      </c>
      <c r="AM21" s="25">
        <f>'Balance Sheet '!AM34/'Balance Sheet '!AM21</f>
        <v>0.26231202607532711</v>
      </c>
      <c r="AN21" s="25">
        <f>'Balance Sheet '!AN34/'Balance Sheet '!AN21</f>
        <v>0.25932259674061475</v>
      </c>
      <c r="AO21" s="57">
        <f>'Balance Sheet '!AO34/'Balance Sheet '!AO21</f>
        <v>0.2564756252237862</v>
      </c>
    </row>
    <row r="22" spans="1:41" x14ac:dyDescent="0.8">
      <c r="A22" s="22" t="s">
        <v>419</v>
      </c>
      <c r="B22" s="25">
        <f>('Balance Sheet '!B26+'Balance Sheet '!B31)/'Balance Sheet '!B21</f>
        <v>7.6171088197940273E-2</v>
      </c>
      <c r="C22" s="25">
        <f>('Balance Sheet '!C26+'Balance Sheet '!C31)/'Balance Sheet '!C21</f>
        <v>2.1363147335058591E-2</v>
      </c>
      <c r="D22" s="25">
        <f>('Balance Sheet '!D26+'Balance Sheet '!D31)/'Balance Sheet '!D21</f>
        <v>6.4217514903621251E-2</v>
      </c>
      <c r="E22" s="25">
        <f>('Balance Sheet '!E26+'Balance Sheet '!E31)/'Balance Sheet '!E21</f>
        <v>5.4436273102598763E-2</v>
      </c>
      <c r="F22" s="25">
        <f>('Balance Sheet '!F26+'Balance Sheet '!F31)/'Balance Sheet '!F21</f>
        <v>0.13166334541466612</v>
      </c>
      <c r="G22" s="25">
        <f>('Balance Sheet '!G26+'Balance Sheet '!G31)/'Balance Sheet '!G21</f>
        <v>0.20595409048003199</v>
      </c>
      <c r="H22" s="56">
        <f>('Balance Sheet '!H26+'Balance Sheet '!H31)/'Balance Sheet '!H21</f>
        <v>0.35948844740177271</v>
      </c>
      <c r="I22" s="25">
        <f>('Balance Sheet '!I26+'Balance Sheet '!I31)/'Balance Sheet '!I21</f>
        <v>0.16566588026931378</v>
      </c>
      <c r="J22" s="25">
        <f>('Balance Sheet '!J26+'Balance Sheet '!J31)/'Balance Sheet '!J21</f>
        <v>0.1525944474807952</v>
      </c>
      <c r="K22" s="25">
        <f>('Balance Sheet '!K26+'Balance Sheet '!K31)/'Balance Sheet '!K21</f>
        <v>0.16216338348916692</v>
      </c>
      <c r="L22" s="25">
        <f>('Balance Sheet '!L26+'Balance Sheet '!L31)/'Balance Sheet '!L21</f>
        <v>0.14872230335744344</v>
      </c>
      <c r="M22" s="25">
        <f>('Balance Sheet '!M26+'Balance Sheet '!M31)/'Balance Sheet '!M21</f>
        <v>0.16151168872647501</v>
      </c>
      <c r="N22" s="56">
        <f>('Balance Sheet '!N26+'Balance Sheet '!N31)/'Balance Sheet '!N21</f>
        <v>0.15736980371486275</v>
      </c>
      <c r="O22" s="25">
        <f>('Balance Sheet '!O26+'Balance Sheet '!O31)/'Balance Sheet '!O21</f>
        <v>0.14980984357731678</v>
      </c>
      <c r="P22" s="25">
        <f>('Balance Sheet '!P26+'Balance Sheet '!P31)/'Balance Sheet '!P21</f>
        <v>0.14204076037934613</v>
      </c>
      <c r="Q22" s="25">
        <f>('Balance Sheet '!Q26+'Balance Sheet '!Q31)/'Balance Sheet '!Q21</f>
        <v>0.13651882365695198</v>
      </c>
      <c r="R22" s="25">
        <f>('Balance Sheet '!R26+'Balance Sheet '!R31)/'Balance Sheet '!R21</f>
        <v>0.13476955486663675</v>
      </c>
      <c r="S22" s="25">
        <f>('Balance Sheet '!S26+'Balance Sheet '!S31)/'Balance Sheet '!S21</f>
        <v>0.132053633678027</v>
      </c>
      <c r="T22" s="25">
        <f>('Balance Sheet '!T26+'Balance Sheet '!T31)/'Balance Sheet '!T21</f>
        <v>0.13850300990874087</v>
      </c>
      <c r="U22" s="25">
        <f>('Balance Sheet '!U26+'Balance Sheet '!U31)/'Balance Sheet '!U21</f>
        <v>0.13619424520140844</v>
      </c>
      <c r="V22" s="25">
        <f>('Balance Sheet '!V26+'Balance Sheet '!V31)/'Balance Sheet '!V21</f>
        <v>0.13598295714013792</v>
      </c>
      <c r="W22" s="25">
        <f>('Balance Sheet '!W26+'Balance Sheet '!W31)/'Balance Sheet '!W21</f>
        <v>0.13629238865138396</v>
      </c>
      <c r="X22" s="25">
        <f>('Balance Sheet '!X26+'Balance Sheet '!X31)/'Balance Sheet '!X21</f>
        <v>0.13672316957687264</v>
      </c>
      <c r="Y22" s="25">
        <f>('Balance Sheet '!Y26+'Balance Sheet '!Y31)/'Balance Sheet '!Y21</f>
        <v>0.13767886662388898</v>
      </c>
      <c r="Z22" s="25">
        <f>('Balance Sheet '!Z26+'Balance Sheet '!Z31)/'Balance Sheet '!Z21</f>
        <v>0.13662732975797257</v>
      </c>
      <c r="AA22" s="25">
        <f>('Balance Sheet '!AA26+'Balance Sheet '!AA31)/'Balance Sheet '!AA21</f>
        <v>0.137780267661887</v>
      </c>
      <c r="AB22" s="25">
        <f>('Balance Sheet '!AB26+'Balance Sheet '!AB31)/'Balance Sheet '!AB21</f>
        <v>0.13786232082766339</v>
      </c>
      <c r="AC22" s="25">
        <f>('Balance Sheet '!AC26+'Balance Sheet '!AC31)/'Balance Sheet '!AC21</f>
        <v>0.13830898945050235</v>
      </c>
      <c r="AD22" s="25">
        <f>('Balance Sheet '!AD26+'Balance Sheet '!AD31)/'Balance Sheet '!AD21</f>
        <v>0.13792526081336176</v>
      </c>
      <c r="AE22" s="25">
        <f>('Balance Sheet '!AE26+'Balance Sheet '!AE31)/'Balance Sheet '!AE21</f>
        <v>0.13685316618622345</v>
      </c>
      <c r="AF22" s="25">
        <f>('Balance Sheet '!AF26+'Balance Sheet '!AF31)/'Balance Sheet '!AF21</f>
        <v>0.13526714061651735</v>
      </c>
      <c r="AG22" s="25">
        <f>('Balance Sheet '!AG26+'Balance Sheet '!AG31)/'Balance Sheet '!AG21</f>
        <v>0.13323354507744656</v>
      </c>
      <c r="AH22" s="25">
        <f>('Balance Sheet '!AH26+'Balance Sheet '!AH31)/'Balance Sheet '!AH21</f>
        <v>0.130834696570994</v>
      </c>
      <c r="AI22" s="25">
        <f>('Balance Sheet '!AI26+'Balance Sheet '!AI31)/'Balance Sheet '!AI21</f>
        <v>0.12856944799902159</v>
      </c>
      <c r="AJ22" s="25">
        <f>('Balance Sheet '!AJ26+'Balance Sheet '!AJ31)/'Balance Sheet '!AJ21</f>
        <v>0.12639049789316276</v>
      </c>
      <c r="AK22" s="25">
        <f>('Balance Sheet '!AK26+'Balance Sheet '!AK31)/'Balance Sheet '!AK21</f>
        <v>0.12429410931711174</v>
      </c>
      <c r="AL22" s="25">
        <f>('Balance Sheet '!AL26+'Balance Sheet '!AL31)/'Balance Sheet '!AL21</f>
        <v>0.1222793331048696</v>
      </c>
      <c r="AM22" s="25">
        <f>('Balance Sheet '!AM26+'Balance Sheet '!AM31)/'Balance Sheet '!AM21</f>
        <v>0.12034359035965619</v>
      </c>
      <c r="AN22" s="25">
        <f>('Balance Sheet '!AN26+'Balance Sheet '!AN31)/'Balance Sheet '!AN21</f>
        <v>0.11848555655960236</v>
      </c>
      <c r="AO22" s="57">
        <f>('Balance Sheet '!AO26+'Balance Sheet '!AO31)/'Balance Sheet '!AO21</f>
        <v>0.11670292090888124</v>
      </c>
    </row>
    <row r="23" spans="1:41" x14ac:dyDescent="0.8">
      <c r="A23" s="22"/>
      <c r="B23" s="7"/>
      <c r="C23" s="7"/>
      <c r="D23" s="7"/>
      <c r="E23" s="7"/>
      <c r="F23" s="7"/>
      <c r="G23" s="7"/>
      <c r="H23" s="131"/>
      <c r="I23" s="7"/>
      <c r="J23" s="7"/>
      <c r="K23" s="7"/>
      <c r="L23" s="7"/>
      <c r="M23" s="7"/>
      <c r="N23" s="13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172"/>
    </row>
    <row r="24" spans="1:41" x14ac:dyDescent="0.8">
      <c r="A24" s="55" t="s">
        <v>420</v>
      </c>
      <c r="B24" s="213"/>
      <c r="C24" s="456">
        <f>'Income Taxes'!C35</f>
        <v>0.14999999999999997</v>
      </c>
      <c r="D24" s="456">
        <f>'Income Taxes'!D35</f>
        <v>0.25000000000000006</v>
      </c>
      <c r="E24" s="456">
        <f>'Income Taxes'!E35</f>
        <v>0.48</v>
      </c>
      <c r="F24" s="456">
        <f>'Income Taxes'!F35</f>
        <v>0.55000000000000004</v>
      </c>
      <c r="G24" s="456">
        <f>'Income Taxes'!G35</f>
        <v>0.21999999999999997</v>
      </c>
      <c r="H24" s="457">
        <f>'Income Taxes'!H35</f>
        <v>0.37000000000000005</v>
      </c>
      <c r="I24" s="456">
        <f>'Income Taxes'!I35</f>
        <v>0.29677369015724531</v>
      </c>
      <c r="J24" s="456">
        <f>'Income Taxes'!J35</f>
        <v>0.24956403382179349</v>
      </c>
      <c r="K24" s="456">
        <f>'Income Taxes'!K35</f>
        <v>0.2427647343791294</v>
      </c>
      <c r="L24" s="456">
        <f>'Income Taxes'!L35</f>
        <v>0.25930540437824934</v>
      </c>
      <c r="M24" s="456">
        <f>'Income Taxes'!M35</f>
        <v>0.35656952061822378</v>
      </c>
      <c r="N24" s="457">
        <f>'Income Taxes'!N35</f>
        <v>0.34361640839198759</v>
      </c>
      <c r="O24" s="456">
        <f>'Income Taxes'!O35</f>
        <v>0.31002121920907727</v>
      </c>
      <c r="P24" s="456">
        <f>'Income Taxes'!P35</f>
        <v>0.3009456461698794</v>
      </c>
      <c r="Q24" s="456">
        <f>'Income Taxes'!Q35</f>
        <v>0.30909479547704305</v>
      </c>
      <c r="R24" s="456">
        <f>'Income Taxes'!R35</f>
        <v>0.30156650273309255</v>
      </c>
      <c r="S24" s="456">
        <f>'Income Taxes'!S35</f>
        <v>0.30560140039693379</v>
      </c>
      <c r="T24" s="456">
        <f>'Income Taxes'!T35</f>
        <v>0.30372123977623006</v>
      </c>
      <c r="U24" s="456">
        <f>'Income Taxes'!U35</f>
        <v>0.30363858151938278</v>
      </c>
      <c r="V24" s="456">
        <f>'Income Taxes'!V35</f>
        <v>0.30432151426472903</v>
      </c>
      <c r="W24" s="456">
        <f>'Income Taxes'!W35</f>
        <v>0.30389395049389567</v>
      </c>
      <c r="X24" s="456">
        <f>'Income Taxes'!X35</f>
        <v>0.30395165241454847</v>
      </c>
      <c r="Y24" s="456">
        <f>'Income Taxes'!Y35</f>
        <v>0.30405577409582218</v>
      </c>
      <c r="Z24" s="456">
        <f>'Income Taxes'!Z35</f>
        <v>0.30396712838414969</v>
      </c>
      <c r="AA24" s="456">
        <f>'Income Taxes'!AA35</f>
        <v>0.30399152729677381</v>
      </c>
      <c r="AB24" s="456">
        <f>'Income Taxes'!AB35</f>
        <v>0.30400481335839236</v>
      </c>
      <c r="AC24" s="456">
        <f>'Income Taxes'!AC35</f>
        <v>0.30398782316186895</v>
      </c>
      <c r="AD24" s="456">
        <f>'Income Taxes'!AD35</f>
        <v>0.30399472149493906</v>
      </c>
      <c r="AE24" s="456">
        <f>'Income Taxes'!AE35</f>
        <v>0.30399578615145073</v>
      </c>
      <c r="AF24" s="456">
        <f>'Income Taxes'!AF35</f>
        <v>0.30399578615145073</v>
      </c>
      <c r="AG24" s="456">
        <f>'Income Taxes'!AG35</f>
        <v>0.30399578615145073</v>
      </c>
      <c r="AH24" s="456">
        <f>'Income Taxes'!AH35</f>
        <v>0.30399578615145073</v>
      </c>
      <c r="AI24" s="456">
        <f>'Income Taxes'!AI35</f>
        <v>0.30399578615145073</v>
      </c>
      <c r="AJ24" s="456">
        <f>'Income Taxes'!AJ35</f>
        <v>0.30399578615145073</v>
      </c>
      <c r="AK24" s="456">
        <f>'Income Taxes'!AK35</f>
        <v>0.30399578615145073</v>
      </c>
      <c r="AL24" s="456">
        <f>'Income Taxes'!AL35</f>
        <v>0.30399578615145073</v>
      </c>
      <c r="AM24" s="456">
        <f>'Income Taxes'!AM35</f>
        <v>0.30399578615145073</v>
      </c>
      <c r="AN24" s="456">
        <f>'Income Taxes'!AN35</f>
        <v>0.30399578615145073</v>
      </c>
      <c r="AO24" s="458">
        <f>'Income Taxes'!AO35</f>
        <v>0.30399578615145073</v>
      </c>
    </row>
    <row r="25" spans="1:41" x14ac:dyDescent="0.8">
      <c r="A25" s="22"/>
      <c r="B25" s="7"/>
      <c r="C25" s="7"/>
      <c r="D25" s="7"/>
      <c r="E25" s="7"/>
      <c r="F25" s="7"/>
      <c r="G25" s="7"/>
      <c r="H25" s="131"/>
      <c r="I25" s="7"/>
      <c r="J25" s="7"/>
      <c r="K25" s="7"/>
      <c r="L25" s="7"/>
      <c r="M25" s="7"/>
      <c r="N25" s="131"/>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172"/>
    </row>
    <row r="26" spans="1:41" ht="16.75" thickBot="1" x14ac:dyDescent="0.95">
      <c r="A26" s="221" t="s">
        <v>421</v>
      </c>
      <c r="B26" s="294"/>
      <c r="C26" s="294"/>
      <c r="D26" s="294"/>
      <c r="E26" s="294"/>
      <c r="F26" s="294"/>
      <c r="G26" s="294"/>
      <c r="H26" s="270">
        <f>'Fixed Asset Schedule'!L41/'Fixed Asset Schedule'!L22</f>
        <v>2.6356674659227215</v>
      </c>
      <c r="I26" s="222">
        <f>'Fixed Asset Schedule'!M41/'Fixed Asset Schedule'!M22</f>
        <v>0.7555524298198304</v>
      </c>
      <c r="J26" s="222">
        <f>'Fixed Asset Schedule'!N41/'Fixed Asset Schedule'!N22</f>
        <v>2.1118737008757895</v>
      </c>
      <c r="K26" s="222">
        <f>'Fixed Asset Schedule'!O41/'Fixed Asset Schedule'!O22</f>
        <v>0.47485165573524241</v>
      </c>
      <c r="L26" s="222">
        <f>'Fixed Asset Schedule'!P41/'Fixed Asset Schedule'!P22</f>
        <v>1.9645951161309894</v>
      </c>
      <c r="M26" s="222">
        <f>'Fixed Asset Schedule'!Q41/'Fixed Asset Schedule'!Q22</f>
        <v>1.2178282313511568</v>
      </c>
      <c r="N26" s="270">
        <f>'Fixed Asset Schedule'!R41/'Fixed Asset Schedule'!R22</f>
        <v>1.28372758226754</v>
      </c>
      <c r="O26" s="222">
        <f>'Fixed Asset Schedule'!S41/'Fixed Asset Schedule'!S22</f>
        <v>1.0985235051204116</v>
      </c>
      <c r="P26" s="222">
        <f>'Fixed Asset Schedule'!T41/'Fixed Asset Schedule'!T22</f>
        <v>1.1449774977104972</v>
      </c>
      <c r="Q26" s="222">
        <f>'Fixed Asset Schedule'!U41/'Fixed Asset Schedule'!U22</f>
        <v>1.0368520530434475</v>
      </c>
      <c r="R26" s="222">
        <f>'Fixed Asset Schedule'!V41/'Fixed Asset Schedule'!V22</f>
        <v>0.86112442179736148</v>
      </c>
      <c r="S26" s="222">
        <f>'Fixed Asset Schedule'!W41/'Fixed Asset Schedule'!W22</f>
        <v>0.78106512746192536</v>
      </c>
      <c r="T26" s="222">
        <f>'Fixed Asset Schedule'!X41/'Fixed Asset Schedule'!X22</f>
        <v>0.81704845138876792</v>
      </c>
      <c r="U26" s="222">
        <f>'Fixed Asset Schedule'!Y41/'Fixed Asset Schedule'!Y22</f>
        <v>0.72825574143039196</v>
      </c>
      <c r="V26" s="222">
        <f>'Fixed Asset Schedule'!Z41/'Fixed Asset Schedule'!Z22</f>
        <v>0.73440433295873964</v>
      </c>
      <c r="W26" s="222">
        <f>'Fixed Asset Schedule'!AA41/'Fixed Asset Schedule'!AA22</f>
        <v>0.6586225142313894</v>
      </c>
      <c r="X26" s="222">
        <f>'Fixed Asset Schedule'!AB41/'Fixed Asset Schedule'!AB22</f>
        <v>0.59794765719850662</v>
      </c>
      <c r="Y26" s="222">
        <f>'Fixed Asset Schedule'!AC41/'Fixed Asset Schedule'!AC22</f>
        <v>0.54823070112405592</v>
      </c>
      <c r="Z26" s="222">
        <f>'Fixed Asset Schedule'!AD41/'Fixed Asset Schedule'!AD22</f>
        <v>0.50867736137939545</v>
      </c>
      <c r="AA26" s="222">
        <f>'Fixed Asset Schedule'!AE41/'Fixed Asset Schedule'!AE22</f>
        <v>3.1065100364510204E-3</v>
      </c>
      <c r="AB26" s="222">
        <f>'Fixed Asset Schedule'!AF41/'Fixed Asset Schedule'!AF22</f>
        <v>3.9879483102747987E-3</v>
      </c>
      <c r="AC26" s="222">
        <f>'Fixed Asset Schedule'!AG41/'Fixed Asset Schedule'!AG22</f>
        <v>5.2192427524019131E-3</v>
      </c>
      <c r="AD26" s="222">
        <f>'Fixed Asset Schedule'!AH41/'Fixed Asset Schedule'!AH22</f>
        <v>7.0032438247834405E-3</v>
      </c>
      <c r="AE26" s="222">
        <f>'Fixed Asset Schedule'!AI41/'Fixed Asset Schedule'!AI22</f>
        <v>9.2878981416249003E-3</v>
      </c>
      <c r="AF26" s="222">
        <f>'Fixed Asset Schedule'!AJ41/'Fixed Asset Schedule'!AJ22</f>
        <v>1.2663306859929217E-2</v>
      </c>
      <c r="AG26" s="222">
        <f>'Fixed Asset Schedule'!AK41/'Fixed Asset Schedule'!AK22</f>
        <v>1.7977717006771147E-2</v>
      </c>
      <c r="AH26" s="222">
        <f>'Fixed Asset Schedule'!AL41/'Fixed Asset Schedule'!AL22</f>
        <v>2.7243695632095919E-2</v>
      </c>
      <c r="AI26" s="222">
        <f>'Fixed Asset Schedule'!AM41/'Fixed Asset Schedule'!AM22</f>
        <v>2.7242550697827852E-2</v>
      </c>
      <c r="AJ26" s="222">
        <f>'Fixed Asset Schedule'!AN41/'Fixed Asset Schedule'!AN22</f>
        <v>2.7241405922774402E-2</v>
      </c>
      <c r="AK26" s="222">
        <f>'Fixed Asset Schedule'!AO41/'Fixed Asset Schedule'!AO22</f>
        <v>2.7240261306782424E-2</v>
      </c>
      <c r="AL26" s="222">
        <f>'Fixed Asset Schedule'!AP41/'Fixed Asset Schedule'!AP22</f>
        <v>2.7239116850027344E-2</v>
      </c>
      <c r="AM26" s="222">
        <f>'Fixed Asset Schedule'!AQ41/'Fixed Asset Schedule'!AQ22</f>
        <v>2.723797255233271E-2</v>
      </c>
      <c r="AN26" s="222">
        <f>'Fixed Asset Schedule'!AR41/'Fixed Asset Schedule'!AR22</f>
        <v>2.7236828413637733E-2</v>
      </c>
      <c r="AO26" s="455">
        <f>'Fixed Asset Schedule'!AS41/'Fixed Asset Schedule'!AS22</f>
        <v>2.7235684434024965E-2</v>
      </c>
    </row>
  </sheetData>
  <mergeCells count="3">
    <mergeCell ref="B1:G2"/>
    <mergeCell ref="H1:M2"/>
    <mergeCell ref="N1:AO2"/>
  </mergeCells>
  <hyperlinks>
    <hyperlink ref="A1" location="'Cover Page '!A1" display="Back to cover page " xr:uid="{00000000-0004-0000-08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WSO Cover Page</vt:lpstr>
      <vt:lpstr>Forecast Drivers </vt:lpstr>
      <vt:lpstr>Balance Sheet </vt:lpstr>
      <vt:lpstr>Income Statement </vt:lpstr>
      <vt:lpstr>Statement of Cash Flows </vt:lpstr>
      <vt:lpstr>FCF Statement</vt:lpstr>
      <vt:lpstr>APV Valuation</vt:lpstr>
      <vt:lpstr>Sensitivity</vt:lpstr>
      <vt:lpstr>Reasonability Check </vt:lpstr>
      <vt:lpstr>Retained Earnings Schedule</vt:lpstr>
      <vt:lpstr>Revenue Schedule</vt:lpstr>
      <vt:lpstr>Revenue Sensitivity</vt:lpstr>
      <vt:lpstr>Fixed Asset Schedule</vt:lpstr>
      <vt:lpstr>Income Taxes</vt:lpstr>
      <vt:lpstr>Regional Data for Income Taxes</vt:lpstr>
      <vt:lpstr>NOL Schedule Levered</vt:lpstr>
      <vt:lpstr>NOL Schedule Unlevered</vt:lpstr>
      <vt:lpstr>Acquisition Schedule</vt:lpstr>
      <vt:lpstr>Intangibles Schedule</vt:lpstr>
      <vt:lpstr>Obsolete inventory reserve</vt:lpstr>
      <vt:lpstr>R&amp;D Schedule </vt:lpstr>
      <vt:lpstr>R&amp;D Capitalization </vt:lpstr>
      <vt:lpstr>Debt Schedule</vt:lpstr>
      <vt:lpstr>Unlevered Cost of Capital </vt:lpstr>
      <vt:lpstr>Costs of Debt</vt:lpstr>
      <vt:lpstr>Unlevering Betas </vt:lpstr>
      <vt:lpstr>Stock</vt:lpstr>
      <vt:lpstr>Stock Rating</vt:lpstr>
      <vt:lpstr>Comp 1</vt:lpstr>
      <vt:lpstr>Comp 1 Rating</vt:lpstr>
      <vt:lpstr>Comp 2</vt:lpstr>
      <vt:lpstr>Comp 2 Rating</vt:lpstr>
      <vt:lpstr>Comp 3</vt:lpstr>
      <vt:lpstr>Comp 3 Rating</vt:lpstr>
      <vt:lpstr>Comp 4</vt:lpstr>
      <vt:lpstr>Comp 4 Rating</vt:lpstr>
      <vt:lpstr>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Isla Okkinga</cp:lastModifiedBy>
  <cp:lastPrinted>2017-04-14T19:11:11Z</cp:lastPrinted>
  <dcterms:created xsi:type="dcterms:W3CDTF">2017-03-14T16:49:18Z</dcterms:created>
  <dcterms:modified xsi:type="dcterms:W3CDTF">2020-07-21T19:54:08Z</dcterms:modified>
</cp:coreProperties>
</file>