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drawings/drawing1.xml" ContentType="application/vnd.openxmlformats-officedocument.drawing+xml"/>
  <Override PartName="/xl/comments7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28908"/>
  <workbookPr/>
  <mc:AlternateContent xmlns:mc="http://schemas.openxmlformats.org/markup-compatibility/2006">
    <mc:Choice Requires="x15">
      <x15ac:absPath xmlns:x15ac="http://schemas.microsoft.com/office/spreadsheetml/2010/11/ac" url="/Users/ajaypatel/Desktop/Templates/"/>
    </mc:Choice>
  </mc:AlternateContent>
  <bookViews>
    <workbookView xWindow="480" yWindow="460" windowWidth="28320" windowHeight="17540" tabRatio="684" activeTab="9"/>
  </bookViews>
  <sheets>
    <sheet name="Assumptions" sheetId="15" r:id="rId1"/>
    <sheet name="Income Statement" sheetId="1" r:id="rId2"/>
    <sheet name="Balance Sheet" sheetId="4" r:id="rId3"/>
    <sheet name="Cash Flow Statement" sheetId="5" r:id="rId4"/>
    <sheet name="PPE Schedule" sheetId="2" r:id="rId5"/>
    <sheet name="Debt Schedule" sheetId="3" r:id="rId6"/>
    <sheet name="DCF" sheetId="7" r:id="rId7"/>
    <sheet name="LBO Modelling" sheetId="8" r:id="rId8"/>
    <sheet name="FCFE Valuation" sheetId="10" r:id="rId9"/>
    <sheet name="WSO Cover Page" sheetId="16" r:id="rId10"/>
    <sheet name="PE Returns analysis" sheetId="11" r:id="rId11"/>
    <sheet name="WACC Calculation" sheetId="6" r:id="rId12"/>
    <sheet name="Football Field" sheetId="13" state="hidden" r:id="rId13"/>
    <sheet name="Charts" sheetId="14" state="hidden" r:id="rId14"/>
  </sheets>
  <definedNames>
    <definedName name="_xlnm.Print_Area" localSheetId="0">Assumptions!$A$1:$R$75</definedName>
    <definedName name="_xlnm.Print_Area" localSheetId="2">'Balance Sheet'!$A$1:$R$46</definedName>
    <definedName name="_xlnm.Print_Area" localSheetId="6">DCF!$A$1:$M$41,DCF!$O$43:$U$50</definedName>
    <definedName name="_xlnm.Print_Area" localSheetId="5">'Debt Schedule'!$A$1:$Q$40</definedName>
    <definedName name="_xlnm.Print_Area" localSheetId="1">'Income Statement'!$A$1:$Q$100</definedName>
  </definedNames>
  <calcPr calcId="179017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4" i="10" l="1"/>
  <c r="C15" i="10"/>
  <c r="C26" i="7"/>
  <c r="C5" i="6"/>
  <c r="G64" i="1"/>
  <c r="G70" i="1"/>
  <c r="G79" i="1"/>
  <c r="G5" i="2"/>
  <c r="G6" i="2"/>
  <c r="G8" i="2"/>
  <c r="G82" i="1"/>
  <c r="G89" i="1"/>
  <c r="D4" i="8"/>
  <c r="D9" i="8"/>
  <c r="G9" i="8"/>
  <c r="D10" i="8"/>
  <c r="G10" i="8"/>
  <c r="D8" i="8"/>
  <c r="G11" i="8"/>
  <c r="C8" i="6"/>
  <c r="C9" i="6"/>
  <c r="C11" i="6"/>
  <c r="F56" i="1"/>
  <c r="F55" i="1"/>
  <c r="G56" i="1"/>
  <c r="G55" i="1"/>
  <c r="F58" i="1"/>
  <c r="G58" i="1"/>
  <c r="G45" i="1"/>
  <c r="G9" i="1"/>
  <c r="D14" i="1"/>
  <c r="E14" i="1"/>
  <c r="F14" i="1"/>
  <c r="G14" i="1"/>
  <c r="G13" i="1"/>
  <c r="D20" i="1"/>
  <c r="E20" i="1"/>
  <c r="F20" i="1"/>
  <c r="G20" i="1"/>
  <c r="G17" i="1"/>
  <c r="B12" i="15"/>
  <c r="I13" i="15"/>
  <c r="H18" i="1"/>
  <c r="H17" i="1"/>
  <c r="H20" i="1"/>
  <c r="H13" i="1"/>
  <c r="D25" i="1"/>
  <c r="E25" i="1"/>
  <c r="F25" i="1"/>
  <c r="G25" i="1"/>
  <c r="G24" i="1"/>
  <c r="D32" i="1"/>
  <c r="D31" i="1"/>
  <c r="E32" i="1"/>
  <c r="E31" i="1"/>
  <c r="F32" i="1"/>
  <c r="F31" i="1"/>
  <c r="G32" i="1"/>
  <c r="G31" i="1"/>
  <c r="G28" i="1"/>
  <c r="B20" i="15"/>
  <c r="I21" i="15"/>
  <c r="H29" i="1"/>
  <c r="H28" i="1"/>
  <c r="H32" i="1"/>
  <c r="H31" i="1"/>
  <c r="H24" i="1"/>
  <c r="D36" i="1"/>
  <c r="E36" i="1"/>
  <c r="F36" i="1"/>
  <c r="G36" i="1"/>
  <c r="G35" i="1"/>
  <c r="D43" i="1"/>
  <c r="D42" i="1"/>
  <c r="E43" i="1"/>
  <c r="E42" i="1"/>
  <c r="F43" i="1"/>
  <c r="F42" i="1"/>
  <c r="G43" i="1"/>
  <c r="G42" i="1"/>
  <c r="G39" i="1"/>
  <c r="B28" i="15"/>
  <c r="I29" i="15"/>
  <c r="H40" i="1"/>
  <c r="H39" i="1"/>
  <c r="H43" i="1"/>
  <c r="H42" i="1"/>
  <c r="H35" i="1"/>
  <c r="H9" i="1"/>
  <c r="D53" i="1"/>
  <c r="D52" i="1"/>
  <c r="E53" i="1"/>
  <c r="E52" i="1"/>
  <c r="F53" i="1"/>
  <c r="F52" i="1"/>
  <c r="G53" i="1"/>
  <c r="G52" i="1"/>
  <c r="G49" i="1"/>
  <c r="B36" i="15"/>
  <c r="I37" i="15"/>
  <c r="H50" i="1"/>
  <c r="H49" i="1"/>
  <c r="H53" i="1"/>
  <c r="H52" i="1"/>
  <c r="H45" i="1"/>
  <c r="H6" i="1"/>
  <c r="G62" i="1"/>
  <c r="H62" i="1"/>
  <c r="H61" i="1"/>
  <c r="H64" i="1"/>
  <c r="B44" i="15"/>
  <c r="I45" i="15"/>
  <c r="H68" i="1"/>
  <c r="H67" i="1"/>
  <c r="H70" i="1"/>
  <c r="B52" i="15"/>
  <c r="I53" i="15"/>
  <c r="H74" i="1"/>
  <c r="H73" i="1"/>
  <c r="B61" i="15"/>
  <c r="I62" i="15"/>
  <c r="H77" i="1"/>
  <c r="H76" i="1"/>
  <c r="H79" i="1"/>
  <c r="B69" i="15"/>
  <c r="I70" i="15"/>
  <c r="H87" i="1"/>
  <c r="H86" i="1"/>
  <c r="G84" i="1"/>
  <c r="H84" i="1"/>
  <c r="H82" i="1"/>
  <c r="H89" i="1"/>
  <c r="D5" i="8"/>
  <c r="D11" i="8"/>
  <c r="D12" i="8"/>
  <c r="D13" i="8"/>
  <c r="G5" i="3"/>
  <c r="G12" i="3"/>
  <c r="G92" i="1"/>
  <c r="G94" i="1"/>
  <c r="G99" i="1"/>
  <c r="G8" i="4"/>
  <c r="G6" i="5"/>
  <c r="G7" i="5"/>
  <c r="G8" i="5"/>
  <c r="G11" i="5"/>
  <c r="G12" i="5"/>
  <c r="G13" i="5"/>
  <c r="G10" i="5"/>
  <c r="G15" i="5"/>
  <c r="G16" i="5"/>
  <c r="G17" i="5"/>
  <c r="G19" i="5"/>
  <c r="G20" i="5"/>
  <c r="G7" i="3"/>
  <c r="G22" i="5"/>
  <c r="G23" i="5"/>
  <c r="G25" i="5"/>
  <c r="F64" i="1"/>
  <c r="F70" i="1"/>
  <c r="F79" i="1"/>
  <c r="F5" i="3"/>
  <c r="F12" i="3"/>
  <c r="F92" i="1"/>
  <c r="F94" i="1"/>
  <c r="F99" i="1"/>
  <c r="F6" i="5"/>
  <c r="F7" i="5"/>
  <c r="F5" i="2"/>
  <c r="F6" i="2"/>
  <c r="F8" i="2"/>
  <c r="F82" i="1"/>
  <c r="F8" i="5"/>
  <c r="F11" i="5"/>
  <c r="F12" i="5"/>
  <c r="F13" i="5"/>
  <c r="F10" i="5"/>
  <c r="F15" i="5"/>
  <c r="F16" i="5"/>
  <c r="F17" i="5"/>
  <c r="F19" i="5"/>
  <c r="F20" i="5"/>
  <c r="F7" i="3"/>
  <c r="F22" i="5"/>
  <c r="F23" i="5"/>
  <c r="F25" i="5"/>
  <c r="E64" i="1"/>
  <c r="E70" i="1"/>
  <c r="E79" i="1"/>
  <c r="E5" i="3"/>
  <c r="E12" i="3"/>
  <c r="E92" i="1"/>
  <c r="E94" i="1"/>
  <c r="E99" i="1"/>
  <c r="E6" i="5"/>
  <c r="E7" i="5"/>
  <c r="E5" i="2"/>
  <c r="E6" i="2"/>
  <c r="E8" i="2"/>
  <c r="E82" i="1"/>
  <c r="E8" i="5"/>
  <c r="E11" i="5"/>
  <c r="E12" i="5"/>
  <c r="E13" i="5"/>
  <c r="E10" i="5"/>
  <c r="E15" i="5"/>
  <c r="E16" i="5"/>
  <c r="E17" i="5"/>
  <c r="E19" i="5"/>
  <c r="E20" i="5"/>
  <c r="E7" i="3"/>
  <c r="E22" i="5"/>
  <c r="E23" i="5"/>
  <c r="E25" i="5"/>
  <c r="D64" i="1"/>
  <c r="D70" i="1"/>
  <c r="D79" i="1"/>
  <c r="D5" i="3"/>
  <c r="D12" i="3"/>
  <c r="D92" i="1"/>
  <c r="D94" i="1"/>
  <c r="D99" i="1"/>
  <c r="D6" i="5"/>
  <c r="D7" i="5"/>
  <c r="D5" i="2"/>
  <c r="D6" i="2"/>
  <c r="D8" i="2"/>
  <c r="D82" i="1"/>
  <c r="D8" i="5"/>
  <c r="D11" i="5"/>
  <c r="D12" i="5"/>
  <c r="D13" i="5"/>
  <c r="D10" i="5"/>
  <c r="D15" i="5"/>
  <c r="D16" i="5"/>
  <c r="D17" i="5"/>
  <c r="D19" i="5"/>
  <c r="D20" i="5"/>
  <c r="D7" i="3"/>
  <c r="D22" i="5"/>
  <c r="D23" i="5"/>
  <c r="D25" i="5"/>
  <c r="C34" i="4"/>
  <c r="C35" i="4"/>
  <c r="C37" i="4"/>
  <c r="C13" i="4"/>
  <c r="D26" i="5"/>
  <c r="D27" i="5"/>
  <c r="E26" i="5"/>
  <c r="E27" i="5"/>
  <c r="F26" i="5"/>
  <c r="F27" i="5"/>
  <c r="G26" i="5"/>
  <c r="G27" i="5"/>
  <c r="G13" i="4"/>
  <c r="G15" i="4"/>
  <c r="G110" i="1"/>
  <c r="F8" i="4"/>
  <c r="F13" i="4"/>
  <c r="F15" i="4"/>
  <c r="F110" i="1"/>
  <c r="E8" i="4"/>
  <c r="E13" i="4"/>
  <c r="E15" i="4"/>
  <c r="E110" i="1"/>
  <c r="D8" i="4"/>
  <c r="D13" i="4"/>
  <c r="D15" i="4"/>
  <c r="D110" i="1"/>
  <c r="C64" i="1"/>
  <c r="C70" i="1"/>
  <c r="C79" i="1"/>
  <c r="C7" i="3"/>
  <c r="C5" i="3"/>
  <c r="C12" i="3"/>
  <c r="C92" i="1"/>
  <c r="C94" i="1"/>
  <c r="C99" i="1"/>
  <c r="C8" i="4"/>
  <c r="C15" i="4"/>
  <c r="C110" i="1"/>
  <c r="C23" i="4"/>
  <c r="C20" i="4"/>
  <c r="D20" i="4"/>
  <c r="E20" i="4"/>
  <c r="F20" i="4"/>
  <c r="D21" i="4"/>
  <c r="E21" i="4"/>
  <c r="F21" i="4"/>
  <c r="F19" i="4"/>
  <c r="F109" i="1"/>
  <c r="E19" i="4"/>
  <c r="E109" i="1"/>
  <c r="D19" i="4"/>
  <c r="D109" i="1"/>
  <c r="C19" i="4"/>
  <c r="C109" i="1"/>
  <c r="G20" i="4"/>
  <c r="G21" i="4"/>
  <c r="G19" i="4"/>
  <c r="G109" i="1"/>
  <c r="I7" i="8"/>
  <c r="C29" i="8"/>
  <c r="C34" i="8"/>
  <c r="C36" i="8"/>
  <c r="C43" i="8"/>
  <c r="C50" i="8"/>
  <c r="C56" i="8"/>
  <c r="E69" i="15"/>
  <c r="F69" i="15"/>
  <c r="G69" i="15"/>
  <c r="H69" i="15"/>
  <c r="I69" i="15"/>
  <c r="J69" i="15"/>
  <c r="K69" i="15"/>
  <c r="L69" i="15"/>
  <c r="M69" i="15"/>
  <c r="N69" i="15"/>
  <c r="O69" i="15"/>
  <c r="P69" i="15"/>
  <c r="Q69" i="15"/>
  <c r="R69" i="15"/>
  <c r="P70" i="15"/>
  <c r="O87" i="1"/>
  <c r="R65" i="15"/>
  <c r="Q65" i="15"/>
  <c r="P65" i="15"/>
  <c r="O65" i="15"/>
  <c r="N65" i="15"/>
  <c r="M65" i="15"/>
  <c r="L65" i="15"/>
  <c r="K65" i="15"/>
  <c r="J65" i="15"/>
  <c r="I65" i="15"/>
  <c r="R64" i="15"/>
  <c r="Q64" i="15"/>
  <c r="P64" i="15"/>
  <c r="O64" i="15"/>
  <c r="N64" i="15"/>
  <c r="M64" i="15"/>
  <c r="L64" i="15"/>
  <c r="K64" i="15"/>
  <c r="J64" i="15"/>
  <c r="I64" i="15"/>
  <c r="E61" i="15"/>
  <c r="F61" i="15"/>
  <c r="G61" i="15"/>
  <c r="H61" i="15"/>
  <c r="I61" i="15"/>
  <c r="J61" i="15"/>
  <c r="K61" i="15"/>
  <c r="L61" i="15"/>
  <c r="M61" i="15"/>
  <c r="N61" i="15"/>
  <c r="O61" i="15"/>
  <c r="P61" i="15"/>
  <c r="Q61" i="15"/>
  <c r="R61" i="15"/>
  <c r="Q62" i="15"/>
  <c r="P77" i="1"/>
  <c r="R56" i="15"/>
  <c r="Q56" i="15"/>
  <c r="P56" i="15"/>
  <c r="O56" i="15"/>
  <c r="N56" i="15"/>
  <c r="M56" i="15"/>
  <c r="L56" i="15"/>
  <c r="K56" i="15"/>
  <c r="J56" i="15"/>
  <c r="I56" i="15"/>
  <c r="R55" i="15"/>
  <c r="Q55" i="15"/>
  <c r="P55" i="15"/>
  <c r="O55" i="15"/>
  <c r="N55" i="15"/>
  <c r="M55" i="15"/>
  <c r="L55" i="15"/>
  <c r="K55" i="15"/>
  <c r="J55" i="15"/>
  <c r="I55" i="15"/>
  <c r="E52" i="15"/>
  <c r="F52" i="15"/>
  <c r="G52" i="15"/>
  <c r="H52" i="15"/>
  <c r="I52" i="15"/>
  <c r="J52" i="15"/>
  <c r="K52" i="15"/>
  <c r="L52" i="15"/>
  <c r="M52" i="15"/>
  <c r="N52" i="15"/>
  <c r="O52" i="15"/>
  <c r="P52" i="15"/>
  <c r="Q52" i="15"/>
  <c r="R52" i="15"/>
  <c r="R53" i="15"/>
  <c r="Q74" i="1"/>
  <c r="R48" i="15"/>
  <c r="Q48" i="15"/>
  <c r="P48" i="15"/>
  <c r="O48" i="15"/>
  <c r="N48" i="15"/>
  <c r="M48" i="15"/>
  <c r="L48" i="15"/>
  <c r="K48" i="15"/>
  <c r="J48" i="15"/>
  <c r="I48" i="15"/>
  <c r="R47" i="15"/>
  <c r="Q47" i="15"/>
  <c r="P47" i="15"/>
  <c r="O47" i="15"/>
  <c r="N47" i="15"/>
  <c r="M47" i="15"/>
  <c r="L47" i="15"/>
  <c r="K47" i="15"/>
  <c r="J47" i="15"/>
  <c r="I47" i="15"/>
  <c r="E44" i="15"/>
  <c r="F44" i="15"/>
  <c r="G44" i="15"/>
  <c r="H44" i="15"/>
  <c r="I44" i="15"/>
  <c r="J44" i="15"/>
  <c r="K44" i="15"/>
  <c r="L44" i="15"/>
  <c r="M44" i="15"/>
  <c r="N44" i="15"/>
  <c r="O44" i="15"/>
  <c r="P44" i="15"/>
  <c r="Q44" i="15"/>
  <c r="R44" i="15"/>
  <c r="P45" i="15"/>
  <c r="O68" i="1"/>
  <c r="R40" i="15"/>
  <c r="Q40" i="15"/>
  <c r="P40" i="15"/>
  <c r="O40" i="15"/>
  <c r="N40" i="15"/>
  <c r="M40" i="15"/>
  <c r="L40" i="15"/>
  <c r="K40" i="15"/>
  <c r="J40" i="15"/>
  <c r="I40" i="15"/>
  <c r="E36" i="15"/>
  <c r="F36" i="15"/>
  <c r="G36" i="15"/>
  <c r="H36" i="15"/>
  <c r="I36" i="15"/>
  <c r="J36" i="15"/>
  <c r="K36" i="15"/>
  <c r="L36" i="15"/>
  <c r="M36" i="15"/>
  <c r="N36" i="15"/>
  <c r="O36" i="15"/>
  <c r="P36" i="15"/>
  <c r="Q36" i="15"/>
  <c r="R36" i="15"/>
  <c r="R32" i="15"/>
  <c r="Q32" i="15"/>
  <c r="P32" i="15"/>
  <c r="O32" i="15"/>
  <c r="N32" i="15"/>
  <c r="M32" i="15"/>
  <c r="L32" i="15"/>
  <c r="K32" i="15"/>
  <c r="J32" i="15"/>
  <c r="I32" i="15"/>
  <c r="E28" i="15"/>
  <c r="F28" i="15"/>
  <c r="G28" i="15"/>
  <c r="H28" i="15"/>
  <c r="I28" i="15"/>
  <c r="J28" i="15"/>
  <c r="K28" i="15"/>
  <c r="L28" i="15"/>
  <c r="M28" i="15"/>
  <c r="N28" i="15"/>
  <c r="O28" i="15"/>
  <c r="P28" i="15"/>
  <c r="Q28" i="15"/>
  <c r="R28" i="15"/>
  <c r="R24" i="15"/>
  <c r="Q24" i="15"/>
  <c r="P24" i="15"/>
  <c r="O24" i="15"/>
  <c r="N24" i="15"/>
  <c r="M24" i="15"/>
  <c r="L24" i="15"/>
  <c r="K24" i="15"/>
  <c r="J24" i="15"/>
  <c r="I24" i="15"/>
  <c r="E20" i="15"/>
  <c r="F20" i="15"/>
  <c r="G20" i="15"/>
  <c r="H20" i="15"/>
  <c r="I20" i="15"/>
  <c r="J20" i="15"/>
  <c r="K20" i="15"/>
  <c r="L20" i="15"/>
  <c r="M20" i="15"/>
  <c r="N20" i="15"/>
  <c r="O20" i="15"/>
  <c r="P20" i="15"/>
  <c r="Q20" i="15"/>
  <c r="R20" i="15"/>
  <c r="R16" i="15"/>
  <c r="Q16" i="15"/>
  <c r="P16" i="15"/>
  <c r="O16" i="15"/>
  <c r="N16" i="15"/>
  <c r="M16" i="15"/>
  <c r="L16" i="15"/>
  <c r="K16" i="15"/>
  <c r="J16" i="15"/>
  <c r="I16" i="15"/>
  <c r="E12" i="15"/>
  <c r="F12" i="15"/>
  <c r="G12" i="15"/>
  <c r="H12" i="15"/>
  <c r="I12" i="15"/>
  <c r="J12" i="15"/>
  <c r="K12" i="15"/>
  <c r="L12" i="15"/>
  <c r="M12" i="15"/>
  <c r="N12" i="15"/>
  <c r="O12" i="15"/>
  <c r="P12" i="15"/>
  <c r="Q12" i="15"/>
  <c r="R12" i="15"/>
  <c r="O37" i="15"/>
  <c r="N50" i="1"/>
  <c r="O21" i="15"/>
  <c r="N29" i="1"/>
  <c r="O13" i="15"/>
  <c r="N18" i="1"/>
  <c r="M53" i="15"/>
  <c r="L74" i="1"/>
  <c r="Q70" i="15"/>
  <c r="P87" i="1"/>
  <c r="O45" i="15"/>
  <c r="N68" i="1"/>
  <c r="Q45" i="15"/>
  <c r="P68" i="1"/>
  <c r="K45" i="15"/>
  <c r="J68" i="1"/>
  <c r="L53" i="15"/>
  <c r="K74" i="1"/>
  <c r="M70" i="15"/>
  <c r="L87" i="1"/>
  <c r="M45" i="15"/>
  <c r="L68" i="1"/>
  <c r="J70" i="15"/>
  <c r="I87" i="1"/>
  <c r="N70" i="15"/>
  <c r="M87" i="1"/>
  <c r="R70" i="15"/>
  <c r="Q87" i="1"/>
  <c r="K70" i="15"/>
  <c r="J87" i="1"/>
  <c r="O70" i="15"/>
  <c r="N87" i="1"/>
  <c r="L70" i="15"/>
  <c r="K87" i="1"/>
  <c r="J62" i="15"/>
  <c r="I77" i="1"/>
  <c r="N62" i="15"/>
  <c r="M77" i="1"/>
  <c r="R62" i="15"/>
  <c r="Q77" i="1"/>
  <c r="K62" i="15"/>
  <c r="J77" i="1"/>
  <c r="O62" i="15"/>
  <c r="N77" i="1"/>
  <c r="L62" i="15"/>
  <c r="K77" i="1"/>
  <c r="P62" i="15"/>
  <c r="O77" i="1"/>
  <c r="M62" i="15"/>
  <c r="L77" i="1"/>
  <c r="K53" i="15"/>
  <c r="J74" i="1"/>
  <c r="O53" i="15"/>
  <c r="N74" i="1"/>
  <c r="P53" i="15"/>
  <c r="O74" i="1"/>
  <c r="Q53" i="15"/>
  <c r="P74" i="1"/>
  <c r="J53" i="15"/>
  <c r="I74" i="1"/>
  <c r="N53" i="15"/>
  <c r="M74" i="1"/>
  <c r="J45" i="15"/>
  <c r="I68" i="1"/>
  <c r="N45" i="15"/>
  <c r="M68" i="1"/>
  <c r="R45" i="15"/>
  <c r="Q68" i="1"/>
  <c r="L45" i="15"/>
  <c r="K68" i="1"/>
  <c r="P13" i="15"/>
  <c r="O18" i="1"/>
  <c r="P21" i="15"/>
  <c r="O29" i="1"/>
  <c r="P37" i="15"/>
  <c r="O50" i="1"/>
  <c r="Q13" i="15"/>
  <c r="P18" i="1"/>
  <c r="Q21" i="15"/>
  <c r="P29" i="1"/>
  <c r="Q37" i="15"/>
  <c r="P50" i="1"/>
  <c r="R13" i="15"/>
  <c r="Q18" i="1"/>
  <c r="R21" i="15"/>
  <c r="Q29" i="1"/>
  <c r="R37" i="15"/>
  <c r="Q50" i="1"/>
  <c r="N13" i="15"/>
  <c r="M18" i="1"/>
  <c r="K37" i="15"/>
  <c r="J50" i="1"/>
  <c r="N21" i="15"/>
  <c r="M29" i="1"/>
  <c r="J21" i="15"/>
  <c r="I29" i="1"/>
  <c r="K21" i="15"/>
  <c r="J29" i="1"/>
  <c r="M37" i="15"/>
  <c r="L50" i="1"/>
  <c r="L21" i="15"/>
  <c r="K29" i="1"/>
  <c r="J29" i="15"/>
  <c r="I40" i="1"/>
  <c r="K29" i="15"/>
  <c r="J40" i="1"/>
  <c r="M21" i="15"/>
  <c r="L29" i="1"/>
  <c r="N37" i="15"/>
  <c r="M50" i="1"/>
  <c r="J37" i="15"/>
  <c r="I50" i="1"/>
  <c r="L37" i="15"/>
  <c r="K50" i="1"/>
  <c r="L29" i="15"/>
  <c r="K40" i="1"/>
  <c r="M29" i="15"/>
  <c r="L40" i="1"/>
  <c r="N29" i="15"/>
  <c r="M40" i="1"/>
  <c r="O29" i="15"/>
  <c r="N40" i="1"/>
  <c r="P29" i="15"/>
  <c r="O40" i="1"/>
  <c r="J13" i="15"/>
  <c r="I18" i="1"/>
  <c r="R29" i="15"/>
  <c r="Q40" i="1"/>
  <c r="Q29" i="15"/>
  <c r="P40" i="1"/>
  <c r="K13" i="15"/>
  <c r="J18" i="1"/>
  <c r="L13" i="15"/>
  <c r="K18" i="1"/>
  <c r="M13" i="15"/>
  <c r="L18" i="1"/>
  <c r="G49" i="4"/>
  <c r="F49" i="4"/>
  <c r="E49" i="4"/>
  <c r="D49" i="4"/>
  <c r="C49" i="4"/>
  <c r="G23" i="4"/>
  <c r="G51" i="4"/>
  <c r="F23" i="4"/>
  <c r="F51" i="4"/>
  <c r="E23" i="4"/>
  <c r="E51" i="4"/>
  <c r="D23" i="4"/>
  <c r="D51" i="4"/>
  <c r="C51" i="4"/>
  <c r="G104" i="1"/>
  <c r="G107" i="1"/>
  <c r="F104" i="1"/>
  <c r="F107" i="1"/>
  <c r="E104" i="1"/>
  <c r="E107" i="1"/>
  <c r="D104" i="1"/>
  <c r="D107" i="1"/>
  <c r="C104" i="1"/>
  <c r="C107" i="1"/>
  <c r="G103" i="1"/>
  <c r="G105" i="1"/>
  <c r="G106" i="1"/>
  <c r="F89" i="1"/>
  <c r="F103" i="1"/>
  <c r="F105" i="1"/>
  <c r="F106" i="1"/>
  <c r="E89" i="1"/>
  <c r="E103" i="1"/>
  <c r="E105" i="1"/>
  <c r="E106" i="1"/>
  <c r="D89" i="1"/>
  <c r="D103" i="1"/>
  <c r="D105" i="1"/>
  <c r="D106" i="1"/>
  <c r="C82" i="1"/>
  <c r="C89" i="1"/>
  <c r="C103" i="1"/>
  <c r="C105" i="1"/>
  <c r="C106" i="1"/>
  <c r="B103" i="1"/>
  <c r="D2" i="14"/>
  <c r="E2" i="14"/>
  <c r="F2" i="14"/>
  <c r="G2" i="14"/>
  <c r="H2" i="14"/>
  <c r="E10" i="10"/>
  <c r="E8" i="13"/>
  <c r="E15" i="13"/>
  <c r="D16" i="13"/>
  <c r="D15" i="13"/>
  <c r="D14" i="13"/>
  <c r="C17" i="13"/>
  <c r="C16" i="13"/>
  <c r="C15" i="13"/>
  <c r="C14" i="13"/>
  <c r="E9" i="13"/>
  <c r="E14" i="13"/>
  <c r="E7" i="13"/>
  <c r="E16" i="13"/>
  <c r="C5" i="11"/>
  <c r="C7" i="11"/>
  <c r="D43" i="11"/>
  <c r="E43" i="11"/>
  <c r="F43" i="11"/>
  <c r="G43" i="11"/>
  <c r="H43" i="11"/>
  <c r="I43" i="11"/>
  <c r="K43" i="11"/>
  <c r="L43" i="11"/>
  <c r="D29" i="11"/>
  <c r="E24" i="11"/>
  <c r="E29" i="11"/>
  <c r="M31" i="11"/>
  <c r="L31" i="11"/>
  <c r="K31" i="11"/>
  <c r="J31" i="11"/>
  <c r="I31" i="11"/>
  <c r="D14" i="11"/>
  <c r="E14" i="11"/>
  <c r="F14" i="11"/>
  <c r="G14" i="11"/>
  <c r="H14" i="11"/>
  <c r="A13" i="11"/>
  <c r="P37" i="10"/>
  <c r="P38" i="10"/>
  <c r="P35" i="10"/>
  <c r="P34" i="10"/>
  <c r="T33" i="10"/>
  <c r="U33" i="10"/>
  <c r="R33" i="10"/>
  <c r="Q33" i="10"/>
  <c r="G5" i="10"/>
  <c r="A4" i="10"/>
  <c r="H57" i="8"/>
  <c r="H20" i="8"/>
  <c r="D57" i="8"/>
  <c r="D20" i="8"/>
  <c r="C57" i="8"/>
  <c r="C20" i="8"/>
  <c r="H26" i="5"/>
  <c r="M22" i="5"/>
  <c r="I22" i="5"/>
  <c r="L56" i="8"/>
  <c r="Q92" i="1"/>
  <c r="J56" i="8"/>
  <c r="O92" i="1"/>
  <c r="L19" i="8"/>
  <c r="K56" i="8"/>
  <c r="K19" i="8"/>
  <c r="J19" i="8"/>
  <c r="L57" i="8"/>
  <c r="L20" i="8"/>
  <c r="K57" i="8"/>
  <c r="K20" i="8"/>
  <c r="G57" i="8"/>
  <c r="G20" i="8"/>
  <c r="F57" i="8"/>
  <c r="F20" i="8"/>
  <c r="E57" i="8"/>
  <c r="E20" i="8"/>
  <c r="H22" i="5"/>
  <c r="C48" i="8"/>
  <c r="D41" i="8"/>
  <c r="E41" i="8"/>
  <c r="F41" i="8"/>
  <c r="G41" i="8"/>
  <c r="H41" i="8"/>
  <c r="I41" i="8"/>
  <c r="J41" i="8"/>
  <c r="K41" i="8"/>
  <c r="L41" i="8"/>
  <c r="D27" i="8"/>
  <c r="E27" i="8"/>
  <c r="F27" i="8"/>
  <c r="G27" i="8"/>
  <c r="H27" i="8"/>
  <c r="I27" i="8"/>
  <c r="J27" i="8"/>
  <c r="K27" i="8"/>
  <c r="L27" i="8"/>
  <c r="B28" i="8"/>
  <c r="B42" i="8"/>
  <c r="B54" i="8"/>
  <c r="H26" i="4"/>
  <c r="H12" i="4"/>
  <c r="H11" i="4"/>
  <c r="L22" i="5"/>
  <c r="F24" i="11"/>
  <c r="G24" i="11"/>
  <c r="H24" i="11"/>
  <c r="H29" i="11"/>
  <c r="P92" i="1"/>
  <c r="J22" i="5"/>
  <c r="P22" i="5"/>
  <c r="K22" i="5"/>
  <c r="Q22" i="5"/>
  <c r="F29" i="11"/>
  <c r="I14" i="11"/>
  <c r="J14" i="11"/>
  <c r="G10" i="10"/>
  <c r="D10" i="10"/>
  <c r="H5" i="10"/>
  <c r="F10" i="10"/>
  <c r="G29" i="11"/>
  <c r="K14" i="11"/>
  <c r="H10" i="10"/>
  <c r="I5" i="10"/>
  <c r="L14" i="11"/>
  <c r="J5" i="10"/>
  <c r="I10" i="10"/>
  <c r="M14" i="11"/>
  <c r="K5" i="10"/>
  <c r="J10" i="10"/>
  <c r="K10" i="10"/>
  <c r="L5" i="10"/>
  <c r="L10" i="10"/>
  <c r="M5" i="10"/>
  <c r="M10" i="10"/>
  <c r="A4" i="7"/>
  <c r="P49" i="7"/>
  <c r="P50" i="7"/>
  <c r="P47" i="7"/>
  <c r="P46" i="7"/>
  <c r="M14" i="7"/>
  <c r="L14" i="7"/>
  <c r="K14" i="7"/>
  <c r="J14" i="7"/>
  <c r="I14" i="7"/>
  <c r="H14" i="7"/>
  <c r="G14" i="7"/>
  <c r="F14" i="7"/>
  <c r="E14" i="7"/>
  <c r="D14" i="7"/>
  <c r="T45" i="7"/>
  <c r="U45" i="7"/>
  <c r="R45" i="7"/>
  <c r="Q45" i="7"/>
  <c r="G5" i="7"/>
  <c r="H5" i="7"/>
  <c r="I5" i="7"/>
  <c r="J5" i="7"/>
  <c r="K5" i="7"/>
  <c r="L5" i="7"/>
  <c r="M5" i="7"/>
  <c r="J45" i="4"/>
  <c r="K45" i="4"/>
  <c r="J44" i="4"/>
  <c r="K44" i="4"/>
  <c r="J43" i="4"/>
  <c r="K43" i="4"/>
  <c r="L43" i="4"/>
  <c r="M43" i="4"/>
  <c r="G45" i="4"/>
  <c r="F45" i="4"/>
  <c r="E45" i="4"/>
  <c r="D45" i="4"/>
  <c r="C45" i="4"/>
  <c r="G44" i="4"/>
  <c r="F44" i="4"/>
  <c r="E44" i="4"/>
  <c r="D44" i="4"/>
  <c r="C44" i="4"/>
  <c r="H5" i="2"/>
  <c r="N43" i="4"/>
  <c r="O43" i="4"/>
  <c r="P43" i="4"/>
  <c r="Q43" i="4"/>
  <c r="R43" i="4"/>
  <c r="L44" i="4"/>
  <c r="L45" i="4"/>
  <c r="M44" i="4"/>
  <c r="M45" i="4"/>
  <c r="N44" i="4"/>
  <c r="N45" i="4"/>
  <c r="P32" i="1"/>
  <c r="P43" i="1"/>
  <c r="P53" i="1"/>
  <c r="L32" i="1"/>
  <c r="L43" i="1"/>
  <c r="L53" i="1"/>
  <c r="Q32" i="1"/>
  <c r="Q43" i="1"/>
  <c r="Q53" i="1"/>
  <c r="O32" i="1"/>
  <c r="O43" i="1"/>
  <c r="O53" i="1"/>
  <c r="N32" i="1"/>
  <c r="N43" i="1"/>
  <c r="N53" i="1"/>
  <c r="M32" i="1"/>
  <c r="M43" i="1"/>
  <c r="M53" i="1"/>
  <c r="K32" i="1"/>
  <c r="K43" i="1"/>
  <c r="K53" i="1"/>
  <c r="J32" i="1"/>
  <c r="J43" i="1"/>
  <c r="J53" i="1"/>
  <c r="I32" i="1"/>
  <c r="I43" i="1"/>
  <c r="I53" i="1"/>
  <c r="O44" i="4"/>
  <c r="O45" i="4"/>
  <c r="P44" i="4"/>
  <c r="P45" i="4"/>
  <c r="Q23" i="5"/>
  <c r="P23" i="5"/>
  <c r="M23" i="5"/>
  <c r="L23" i="5"/>
  <c r="K23" i="5"/>
  <c r="J23" i="5"/>
  <c r="I23" i="5"/>
  <c r="H23" i="5"/>
  <c r="Q16" i="5"/>
  <c r="P16" i="5"/>
  <c r="O16" i="5"/>
  <c r="N16" i="5"/>
  <c r="M16" i="5"/>
  <c r="L16" i="5"/>
  <c r="K16" i="5"/>
  <c r="J16" i="5"/>
  <c r="I16" i="5"/>
  <c r="H16" i="5"/>
  <c r="Q7" i="5"/>
  <c r="Q15" i="5"/>
  <c r="P7" i="5"/>
  <c r="P15" i="5"/>
  <c r="O7" i="5"/>
  <c r="O15" i="5"/>
  <c r="C4" i="5"/>
  <c r="H8" i="4"/>
  <c r="C4" i="4"/>
  <c r="C42" i="4"/>
  <c r="C7" i="5"/>
  <c r="C4" i="3"/>
  <c r="B4" i="3"/>
  <c r="C84" i="1"/>
  <c r="C6" i="2"/>
  <c r="C5" i="2"/>
  <c r="B4" i="2"/>
  <c r="C4" i="2"/>
  <c r="G87" i="1"/>
  <c r="F87" i="1"/>
  <c r="E87" i="1"/>
  <c r="D87" i="1"/>
  <c r="C87" i="1"/>
  <c r="C68" i="1"/>
  <c r="D68" i="1"/>
  <c r="E68" i="1"/>
  <c r="F68" i="1"/>
  <c r="G68" i="1"/>
  <c r="C77" i="1"/>
  <c r="F62" i="1"/>
  <c r="E62" i="1"/>
  <c r="D62" i="1"/>
  <c r="C62" i="1"/>
  <c r="G7" i="1"/>
  <c r="F7" i="1"/>
  <c r="E7" i="1"/>
  <c r="D7" i="1"/>
  <c r="D56" i="1"/>
  <c r="D58" i="1"/>
  <c r="C58" i="1"/>
  <c r="D55" i="1"/>
  <c r="E45" i="1"/>
  <c r="E46" i="1"/>
  <c r="D4" i="1"/>
  <c r="E4" i="1"/>
  <c r="F4" i="1"/>
  <c r="G4" i="1"/>
  <c r="H4" i="1"/>
  <c r="F77" i="1"/>
  <c r="F43" i="4"/>
  <c r="C74" i="1"/>
  <c r="C43" i="4"/>
  <c r="G74" i="1"/>
  <c r="G43" i="4"/>
  <c r="G77" i="1"/>
  <c r="E71" i="1"/>
  <c r="E43" i="4"/>
  <c r="I4" i="1"/>
  <c r="C28" i="8"/>
  <c r="C42" i="8"/>
  <c r="C54" i="8"/>
  <c r="C14" i="8"/>
  <c r="D74" i="1"/>
  <c r="D43" i="4"/>
  <c r="Q44" i="4"/>
  <c r="Q45" i="4"/>
  <c r="I62" i="1"/>
  <c r="F80" i="1"/>
  <c r="F65" i="1"/>
  <c r="F74" i="1"/>
  <c r="E77" i="1"/>
  <c r="E4" i="2"/>
  <c r="I4" i="2"/>
  <c r="D4" i="3"/>
  <c r="H4" i="3"/>
  <c r="D4" i="4"/>
  <c r="D42" i="4"/>
  <c r="I4" i="4"/>
  <c r="E4" i="5"/>
  <c r="I4" i="5"/>
  <c r="E65" i="1"/>
  <c r="F71" i="1"/>
  <c r="E74" i="1"/>
  <c r="D77" i="1"/>
  <c r="D4" i="2"/>
  <c r="H4" i="2"/>
  <c r="G4" i="3"/>
  <c r="G4" i="4"/>
  <c r="D4" i="5"/>
  <c r="H4" i="5"/>
  <c r="C8" i="5"/>
  <c r="D65" i="1"/>
  <c r="G4" i="2"/>
  <c r="F4" i="3"/>
  <c r="F4" i="4"/>
  <c r="F42" i="4"/>
  <c r="G4" i="5"/>
  <c r="G65" i="1"/>
  <c r="F4" i="2"/>
  <c r="C83" i="1"/>
  <c r="E4" i="3"/>
  <c r="I4" i="3"/>
  <c r="E4" i="4"/>
  <c r="E42" i="4"/>
  <c r="J4" i="4"/>
  <c r="F4" i="5"/>
  <c r="E83" i="1"/>
  <c r="E84" i="1"/>
  <c r="E49" i="1"/>
  <c r="I20" i="1"/>
  <c r="J20" i="1"/>
  <c r="K20" i="1"/>
  <c r="L20" i="1"/>
  <c r="M20" i="1"/>
  <c r="N20" i="1"/>
  <c r="O20" i="1"/>
  <c r="P20" i="1"/>
  <c r="Q20" i="1"/>
  <c r="C55" i="1"/>
  <c r="C45" i="1"/>
  <c r="C49" i="1"/>
  <c r="D45" i="1"/>
  <c r="D49" i="1"/>
  <c r="D50" i="1"/>
  <c r="E9" i="1"/>
  <c r="J4" i="1"/>
  <c r="D28" i="8"/>
  <c r="D42" i="8"/>
  <c r="D54" i="8"/>
  <c r="D14" i="8"/>
  <c r="J62" i="1"/>
  <c r="C6" i="10"/>
  <c r="C15" i="11"/>
  <c r="E6" i="10"/>
  <c r="E15" i="11"/>
  <c r="D6" i="10"/>
  <c r="D15" i="11"/>
  <c r="G83" i="1"/>
  <c r="F83" i="1"/>
  <c r="G42" i="4"/>
  <c r="C6" i="7"/>
  <c r="J42" i="4"/>
  <c r="E6" i="7"/>
  <c r="I42" i="4"/>
  <c r="D6" i="7"/>
  <c r="D84" i="1"/>
  <c r="F84" i="1"/>
  <c r="R44" i="4"/>
  <c r="R45" i="4"/>
  <c r="D83" i="1"/>
  <c r="C71" i="1"/>
  <c r="E80" i="1"/>
  <c r="G71" i="1"/>
  <c r="D71" i="1"/>
  <c r="E50" i="1"/>
  <c r="C28" i="4"/>
  <c r="F90" i="1"/>
  <c r="E90" i="1"/>
  <c r="I42" i="1"/>
  <c r="J42" i="1"/>
  <c r="K42" i="1"/>
  <c r="L42" i="1"/>
  <c r="M42" i="1"/>
  <c r="N42" i="1"/>
  <c r="O42" i="1"/>
  <c r="P42" i="1"/>
  <c r="Q42" i="1"/>
  <c r="D46" i="1"/>
  <c r="D47" i="1"/>
  <c r="E47" i="1"/>
  <c r="F45" i="1"/>
  <c r="F47" i="1"/>
  <c r="G46" i="1"/>
  <c r="E10" i="1"/>
  <c r="E24" i="1"/>
  <c r="E28" i="1"/>
  <c r="E13" i="1"/>
  <c r="E17" i="1"/>
  <c r="E35" i="1"/>
  <c r="E39" i="1"/>
  <c r="C46" i="1"/>
  <c r="C9" i="1"/>
  <c r="F9" i="1"/>
  <c r="D9" i="1"/>
  <c r="E11" i="1"/>
  <c r="G10" i="1"/>
  <c r="I52" i="1"/>
  <c r="J52" i="1"/>
  <c r="K52" i="1"/>
  <c r="L52" i="1"/>
  <c r="M52" i="1"/>
  <c r="N52" i="1"/>
  <c r="O52" i="1"/>
  <c r="P52" i="1"/>
  <c r="Q52" i="1"/>
  <c r="F46" i="1"/>
  <c r="I17" i="1"/>
  <c r="K62" i="1"/>
  <c r="K4" i="1"/>
  <c r="E28" i="8"/>
  <c r="E42" i="8"/>
  <c r="E54" i="8"/>
  <c r="E14" i="8"/>
  <c r="J4" i="3"/>
  <c r="J4" i="2"/>
  <c r="K4" i="4"/>
  <c r="J4" i="5"/>
  <c r="I84" i="1"/>
  <c r="J84" i="1"/>
  <c r="G47" i="1"/>
  <c r="G95" i="1"/>
  <c r="G80" i="1"/>
  <c r="C80" i="1"/>
  <c r="C90" i="1"/>
  <c r="D95" i="1"/>
  <c r="D80" i="1"/>
  <c r="D90" i="1"/>
  <c r="F49" i="1"/>
  <c r="F50" i="1"/>
  <c r="C29" i="4"/>
  <c r="F95" i="1"/>
  <c r="E95" i="1"/>
  <c r="D100" i="1"/>
  <c r="F10" i="1"/>
  <c r="F13" i="1"/>
  <c r="F24" i="1"/>
  <c r="F26" i="1"/>
  <c r="F11" i="1"/>
  <c r="F35" i="1"/>
  <c r="G11" i="1"/>
  <c r="C10" i="1"/>
  <c r="C24" i="1"/>
  <c r="C28" i="1"/>
  <c r="C35" i="1"/>
  <c r="C39" i="1"/>
  <c r="C13" i="1"/>
  <c r="C17" i="1"/>
  <c r="D10" i="1"/>
  <c r="D11" i="1"/>
  <c r="D13" i="1"/>
  <c r="D35" i="1"/>
  <c r="D24" i="1"/>
  <c r="D28" i="1"/>
  <c r="I31" i="1"/>
  <c r="J31" i="1"/>
  <c r="K31" i="1"/>
  <c r="L31" i="1"/>
  <c r="M31" i="1"/>
  <c r="N31" i="1"/>
  <c r="O31" i="1"/>
  <c r="P31" i="1"/>
  <c r="Q31" i="1"/>
  <c r="K42" i="4"/>
  <c r="F15" i="11"/>
  <c r="F6" i="7"/>
  <c r="F6" i="10"/>
  <c r="D29" i="1"/>
  <c r="L4" i="1"/>
  <c r="F28" i="8"/>
  <c r="F42" i="8"/>
  <c r="F54" i="8"/>
  <c r="F14" i="8"/>
  <c r="K4" i="3"/>
  <c r="L4" i="4"/>
  <c r="K4" i="2"/>
  <c r="K4" i="5"/>
  <c r="I49" i="1"/>
  <c r="I39" i="1"/>
  <c r="H15" i="1"/>
  <c r="L62" i="1"/>
  <c r="J17" i="1"/>
  <c r="I13" i="1"/>
  <c r="H23" i="4"/>
  <c r="G90" i="1"/>
  <c r="C8" i="7"/>
  <c r="K84" i="1"/>
  <c r="E100" i="1"/>
  <c r="F100" i="1"/>
  <c r="G100" i="1"/>
  <c r="E26" i="1"/>
  <c r="D37" i="1"/>
  <c r="D39" i="1"/>
  <c r="F28" i="1"/>
  <c r="F29" i="1"/>
  <c r="C95" i="1"/>
  <c r="G26" i="1"/>
  <c r="E29" i="1"/>
  <c r="G50" i="1"/>
  <c r="F15" i="1"/>
  <c r="F17" i="1"/>
  <c r="F18" i="1"/>
  <c r="D15" i="1"/>
  <c r="D17" i="1"/>
  <c r="F37" i="1"/>
  <c r="F39" i="1"/>
  <c r="F40" i="1"/>
  <c r="G15" i="1"/>
  <c r="G37" i="1"/>
  <c r="E37" i="1"/>
  <c r="E15" i="1"/>
  <c r="D26" i="1"/>
  <c r="K17" i="1"/>
  <c r="J13" i="1"/>
  <c r="H47" i="1"/>
  <c r="G15" i="11"/>
  <c r="L42" i="4"/>
  <c r="G6" i="10"/>
  <c r="G6" i="7"/>
  <c r="M4" i="1"/>
  <c r="G28" i="8"/>
  <c r="G42" i="8"/>
  <c r="G54" i="8"/>
  <c r="G14" i="8"/>
  <c r="L4" i="2"/>
  <c r="L4" i="3"/>
  <c r="M4" i="4"/>
  <c r="L4" i="5"/>
  <c r="J49" i="1"/>
  <c r="I45" i="1"/>
  <c r="M62" i="1"/>
  <c r="H37" i="1"/>
  <c r="I15" i="1"/>
  <c r="J39" i="1"/>
  <c r="I35" i="1"/>
  <c r="I28" i="1"/>
  <c r="C24" i="10"/>
  <c r="C36" i="7"/>
  <c r="C37" i="11"/>
  <c r="L84" i="1"/>
  <c r="C6" i="5"/>
  <c r="C100" i="1"/>
  <c r="D28" i="4"/>
  <c r="G18" i="1"/>
  <c r="D40" i="1"/>
  <c r="E40" i="1"/>
  <c r="G29" i="1"/>
  <c r="D18" i="1"/>
  <c r="E18" i="1"/>
  <c r="G40" i="1"/>
  <c r="E28" i="4"/>
  <c r="J28" i="1"/>
  <c r="I24" i="1"/>
  <c r="H26" i="1"/>
  <c r="K49" i="1"/>
  <c r="J45" i="1"/>
  <c r="I37" i="1"/>
  <c r="N62" i="1"/>
  <c r="H15" i="11"/>
  <c r="H6" i="7"/>
  <c r="H6" i="10"/>
  <c r="M42" i="4"/>
  <c r="J15" i="1"/>
  <c r="K39" i="1"/>
  <c r="J35" i="1"/>
  <c r="I47" i="1"/>
  <c r="N4" i="1"/>
  <c r="H28" i="8"/>
  <c r="H42" i="8"/>
  <c r="H54" i="8"/>
  <c r="H14" i="8"/>
  <c r="M4" i="2"/>
  <c r="M4" i="5"/>
  <c r="M4" i="3"/>
  <c r="N4" i="4"/>
  <c r="L17" i="1"/>
  <c r="K13" i="1"/>
  <c r="H22" i="7"/>
  <c r="C32" i="8"/>
  <c r="C46" i="8"/>
  <c r="D43" i="8"/>
  <c r="E22" i="7"/>
  <c r="F22" i="7"/>
  <c r="K22" i="7"/>
  <c r="G22" i="7"/>
  <c r="D22" i="7"/>
  <c r="L22" i="7"/>
  <c r="M22" i="7"/>
  <c r="D29" i="4"/>
  <c r="M84" i="1"/>
  <c r="E29" i="4"/>
  <c r="F28" i="4"/>
  <c r="I6" i="10"/>
  <c r="N42" i="4"/>
  <c r="I15" i="11"/>
  <c r="I6" i="7"/>
  <c r="H25" i="1"/>
  <c r="H11" i="1"/>
  <c r="H14" i="1"/>
  <c r="H36" i="1"/>
  <c r="K15" i="1"/>
  <c r="O4" i="1"/>
  <c r="I28" i="8"/>
  <c r="I42" i="8"/>
  <c r="I54" i="8"/>
  <c r="I14" i="8"/>
  <c r="O4" i="4"/>
  <c r="N4" i="5"/>
  <c r="N4" i="3"/>
  <c r="N4" i="2"/>
  <c r="L39" i="1"/>
  <c r="K35" i="1"/>
  <c r="J47" i="1"/>
  <c r="I26" i="1"/>
  <c r="I9" i="1"/>
  <c r="J37" i="1"/>
  <c r="M17" i="1"/>
  <c r="L13" i="1"/>
  <c r="O62" i="1"/>
  <c r="L49" i="1"/>
  <c r="K45" i="1"/>
  <c r="K28" i="1"/>
  <c r="J24" i="1"/>
  <c r="I22" i="7"/>
  <c r="J22" i="7"/>
  <c r="D50" i="8"/>
  <c r="D46" i="8"/>
  <c r="E43" i="8"/>
  <c r="C58" i="8"/>
  <c r="I23" i="4"/>
  <c r="D29" i="8"/>
  <c r="C19" i="8"/>
  <c r="H92" i="1"/>
  <c r="N84" i="1"/>
  <c r="F29" i="4"/>
  <c r="G28" i="4"/>
  <c r="M49" i="1"/>
  <c r="L45" i="1"/>
  <c r="N17" i="1"/>
  <c r="M13" i="1"/>
  <c r="M39" i="1"/>
  <c r="L35" i="1"/>
  <c r="J6" i="10"/>
  <c r="O42" i="4"/>
  <c r="J15" i="11"/>
  <c r="J6" i="7"/>
  <c r="J26" i="1"/>
  <c r="J9" i="1"/>
  <c r="H10" i="1"/>
  <c r="H7" i="1"/>
  <c r="H46" i="1"/>
  <c r="L28" i="1"/>
  <c r="K24" i="1"/>
  <c r="P62" i="1"/>
  <c r="K47" i="1"/>
  <c r="L15" i="1"/>
  <c r="I25" i="1"/>
  <c r="I11" i="1"/>
  <c r="I6" i="1"/>
  <c r="I14" i="1"/>
  <c r="I36" i="1"/>
  <c r="K37" i="1"/>
  <c r="P4" i="1"/>
  <c r="J28" i="8"/>
  <c r="J42" i="8"/>
  <c r="J54" i="8"/>
  <c r="J14" i="8"/>
  <c r="P4" i="4"/>
  <c r="O4" i="3"/>
  <c r="O4" i="2"/>
  <c r="O4" i="5"/>
  <c r="D36" i="8"/>
  <c r="D56" i="8"/>
  <c r="D32" i="8"/>
  <c r="E46" i="8"/>
  <c r="F43" i="8"/>
  <c r="E50" i="8"/>
  <c r="D20" i="11"/>
  <c r="H7" i="5"/>
  <c r="H15" i="5"/>
  <c r="O84" i="1"/>
  <c r="H65" i="1"/>
  <c r="I11" i="4"/>
  <c r="H11" i="5"/>
  <c r="Q4" i="1"/>
  <c r="K28" i="8"/>
  <c r="K42" i="8"/>
  <c r="K54" i="8"/>
  <c r="K14" i="8"/>
  <c r="P4" i="5"/>
  <c r="P4" i="2"/>
  <c r="P4" i="3"/>
  <c r="Q4" i="4"/>
  <c r="K26" i="1"/>
  <c r="K9" i="1"/>
  <c r="K25" i="1"/>
  <c r="I86" i="1"/>
  <c r="I67" i="1"/>
  <c r="I7" i="1"/>
  <c r="I61" i="1"/>
  <c r="I64" i="1"/>
  <c r="I46" i="1"/>
  <c r="M15" i="1"/>
  <c r="H6" i="2"/>
  <c r="H19" i="5"/>
  <c r="Q62" i="1"/>
  <c r="I26" i="4"/>
  <c r="H12" i="5"/>
  <c r="I12" i="4"/>
  <c r="O17" i="1"/>
  <c r="N13" i="1"/>
  <c r="L37" i="1"/>
  <c r="L47" i="1"/>
  <c r="K6" i="7"/>
  <c r="K6" i="10"/>
  <c r="K15" i="11"/>
  <c r="P42" i="4"/>
  <c r="I10" i="1"/>
  <c r="M28" i="1"/>
  <c r="L24" i="1"/>
  <c r="J25" i="1"/>
  <c r="J6" i="1"/>
  <c r="J10" i="1"/>
  <c r="J11" i="1"/>
  <c r="J14" i="1"/>
  <c r="J36" i="1"/>
  <c r="N39" i="1"/>
  <c r="M35" i="1"/>
  <c r="N49" i="1"/>
  <c r="M45" i="1"/>
  <c r="D31" i="11"/>
  <c r="D19" i="8"/>
  <c r="I92" i="1"/>
  <c r="D58" i="8"/>
  <c r="J23" i="4"/>
  <c r="E29" i="8"/>
  <c r="F46" i="8"/>
  <c r="G43" i="8"/>
  <c r="F50" i="8"/>
  <c r="G29" i="4"/>
  <c r="P84" i="1"/>
  <c r="I76" i="1"/>
  <c r="I65" i="1"/>
  <c r="J11" i="4"/>
  <c r="I11" i="5"/>
  <c r="I73" i="1"/>
  <c r="O49" i="1"/>
  <c r="N45" i="1"/>
  <c r="N15" i="1"/>
  <c r="L15" i="11"/>
  <c r="L6" i="7"/>
  <c r="L6" i="10"/>
  <c r="Q42" i="4"/>
  <c r="H71" i="1"/>
  <c r="M37" i="1"/>
  <c r="L26" i="1"/>
  <c r="L9" i="1"/>
  <c r="P17" i="1"/>
  <c r="O13" i="1"/>
  <c r="K11" i="1"/>
  <c r="K6" i="1"/>
  <c r="K10" i="1"/>
  <c r="K14" i="1"/>
  <c r="K36" i="1"/>
  <c r="O39" i="1"/>
  <c r="N35" i="1"/>
  <c r="N28" i="1"/>
  <c r="M24" i="1"/>
  <c r="H13" i="5"/>
  <c r="D10" i="7"/>
  <c r="H8" i="2"/>
  <c r="H9" i="2"/>
  <c r="H8" i="5"/>
  <c r="H83" i="1"/>
  <c r="I70" i="1"/>
  <c r="J26" i="4"/>
  <c r="I12" i="5"/>
  <c r="J12" i="4"/>
  <c r="I13" i="5"/>
  <c r="R4" i="4"/>
  <c r="L28" i="8"/>
  <c r="L42" i="8"/>
  <c r="L54" i="8"/>
  <c r="L14" i="8"/>
  <c r="Q4" i="2"/>
  <c r="Q4" i="5"/>
  <c r="Q4" i="3"/>
  <c r="H10" i="5"/>
  <c r="D18" i="7"/>
  <c r="M47" i="1"/>
  <c r="J67" i="1"/>
  <c r="J86" i="1"/>
  <c r="J7" i="1"/>
  <c r="J61" i="1"/>
  <c r="J64" i="1"/>
  <c r="J46" i="1"/>
  <c r="H20" i="5"/>
  <c r="D16" i="7"/>
  <c r="I6" i="2"/>
  <c r="I19" i="5"/>
  <c r="I82" i="1"/>
  <c r="G46" i="8"/>
  <c r="H43" i="8"/>
  <c r="G50" i="8"/>
  <c r="E36" i="8"/>
  <c r="E56" i="8"/>
  <c r="E32" i="8"/>
  <c r="E20" i="11"/>
  <c r="I7" i="5"/>
  <c r="I15" i="5"/>
  <c r="K11" i="4"/>
  <c r="J11" i="5"/>
  <c r="J65" i="1"/>
  <c r="J76" i="1"/>
  <c r="J73" i="1"/>
  <c r="I20" i="5"/>
  <c r="E16" i="7"/>
  <c r="R42" i="4"/>
  <c r="M6" i="7"/>
  <c r="M6" i="10"/>
  <c r="M15" i="11"/>
  <c r="N37" i="1"/>
  <c r="O15" i="1"/>
  <c r="H80" i="1"/>
  <c r="H94" i="1"/>
  <c r="I10" i="5"/>
  <c r="E18" i="7"/>
  <c r="O28" i="1"/>
  <c r="N24" i="1"/>
  <c r="J6" i="2"/>
  <c r="J19" i="5"/>
  <c r="J82" i="1"/>
  <c r="P39" i="1"/>
  <c r="O35" i="1"/>
  <c r="K86" i="1"/>
  <c r="K67" i="1"/>
  <c r="K7" i="1"/>
  <c r="K61" i="1"/>
  <c r="K64" i="1"/>
  <c r="K46" i="1"/>
  <c r="Q17" i="1"/>
  <c r="Q13" i="1"/>
  <c r="P13" i="1"/>
  <c r="N47" i="1"/>
  <c r="I71" i="1"/>
  <c r="I79" i="1"/>
  <c r="E10" i="7"/>
  <c r="I83" i="1"/>
  <c r="I8" i="2"/>
  <c r="I8" i="5"/>
  <c r="J70" i="1"/>
  <c r="K12" i="4"/>
  <c r="K26" i="4"/>
  <c r="J12" i="5"/>
  <c r="I8" i="4"/>
  <c r="I5" i="2"/>
  <c r="M26" i="1"/>
  <c r="M9" i="1"/>
  <c r="L25" i="1"/>
  <c r="L6" i="1"/>
  <c r="L10" i="1"/>
  <c r="L11" i="1"/>
  <c r="L14" i="1"/>
  <c r="L36" i="1"/>
  <c r="P49" i="1"/>
  <c r="O45" i="1"/>
  <c r="H50" i="8"/>
  <c r="H46" i="8"/>
  <c r="I43" i="8"/>
  <c r="E19" i="8"/>
  <c r="J92" i="1"/>
  <c r="F29" i="8"/>
  <c r="E58" i="8"/>
  <c r="K23" i="4"/>
  <c r="E31" i="11"/>
  <c r="K65" i="1"/>
  <c r="K73" i="1"/>
  <c r="K76" i="1"/>
  <c r="L11" i="4"/>
  <c r="K11" i="5"/>
  <c r="K6" i="2"/>
  <c r="K19" i="5"/>
  <c r="K82" i="1"/>
  <c r="P28" i="1"/>
  <c r="O24" i="1"/>
  <c r="L86" i="1"/>
  <c r="L67" i="1"/>
  <c r="L7" i="1"/>
  <c r="L61" i="1"/>
  <c r="L64" i="1"/>
  <c r="L46" i="1"/>
  <c r="I9" i="2"/>
  <c r="J71" i="1"/>
  <c r="J79" i="1"/>
  <c r="J94" i="1"/>
  <c r="F10" i="7"/>
  <c r="J8" i="5"/>
  <c r="J8" i="2"/>
  <c r="J83" i="1"/>
  <c r="Q49" i="1"/>
  <c r="Q45" i="1"/>
  <c r="P45" i="1"/>
  <c r="J13" i="5"/>
  <c r="J10" i="5"/>
  <c r="F18" i="7"/>
  <c r="I80" i="1"/>
  <c r="I89" i="1"/>
  <c r="I94" i="1"/>
  <c r="P15" i="1"/>
  <c r="O37" i="1"/>
  <c r="J20" i="5"/>
  <c r="F16" i="7"/>
  <c r="H99" i="1"/>
  <c r="H95" i="1"/>
  <c r="O47" i="1"/>
  <c r="M25" i="1"/>
  <c r="M6" i="1"/>
  <c r="M10" i="1"/>
  <c r="M11" i="1"/>
  <c r="M14" i="1"/>
  <c r="M36" i="1"/>
  <c r="Q15" i="1"/>
  <c r="K70" i="1"/>
  <c r="L26" i="4"/>
  <c r="K12" i="5"/>
  <c r="L12" i="4"/>
  <c r="Q39" i="1"/>
  <c r="Q35" i="1"/>
  <c r="P35" i="1"/>
  <c r="N26" i="1"/>
  <c r="N9" i="1"/>
  <c r="H90" i="1"/>
  <c r="D8" i="7"/>
  <c r="F32" i="8"/>
  <c r="F36" i="8"/>
  <c r="F56" i="8"/>
  <c r="I50" i="8"/>
  <c r="I46" i="8"/>
  <c r="J43" i="8"/>
  <c r="F20" i="11"/>
  <c r="J7" i="5"/>
  <c r="J15" i="5"/>
  <c r="B3" i="14"/>
  <c r="D4" i="13"/>
  <c r="K22" i="13"/>
  <c r="J22" i="13"/>
  <c r="L65" i="1"/>
  <c r="L73" i="1"/>
  <c r="M11" i="4"/>
  <c r="L11" i="5"/>
  <c r="L76" i="1"/>
  <c r="Q47" i="1"/>
  <c r="G10" i="7"/>
  <c r="K83" i="1"/>
  <c r="K8" i="2"/>
  <c r="K8" i="5"/>
  <c r="K71" i="1"/>
  <c r="K79" i="1"/>
  <c r="N25" i="1"/>
  <c r="N6" i="1"/>
  <c r="N10" i="1"/>
  <c r="N11" i="1"/>
  <c r="N14" i="1"/>
  <c r="N36" i="1"/>
  <c r="I90" i="1"/>
  <c r="E8" i="7"/>
  <c r="P47" i="1"/>
  <c r="J5" i="2"/>
  <c r="J9" i="2"/>
  <c r="J8" i="4"/>
  <c r="L70" i="1"/>
  <c r="M26" i="4"/>
  <c r="L12" i="5"/>
  <c r="M12" i="4"/>
  <c r="L13" i="5"/>
  <c r="Q28" i="1"/>
  <c r="Q24" i="1"/>
  <c r="P24" i="1"/>
  <c r="J6" i="13"/>
  <c r="D12" i="7"/>
  <c r="D20" i="7"/>
  <c r="C6" i="11"/>
  <c r="M67" i="1"/>
  <c r="M86" i="1"/>
  <c r="M7" i="1"/>
  <c r="M61" i="1"/>
  <c r="M64" i="1"/>
  <c r="M46" i="1"/>
  <c r="L6" i="2"/>
  <c r="L19" i="5"/>
  <c r="L82" i="1"/>
  <c r="P37" i="1"/>
  <c r="J80" i="1"/>
  <c r="J89" i="1"/>
  <c r="K20" i="5"/>
  <c r="G16" i="7"/>
  <c r="H19" i="4"/>
  <c r="C18" i="11"/>
  <c r="C20" i="11"/>
  <c r="Q37" i="1"/>
  <c r="H100" i="1"/>
  <c r="H6" i="5"/>
  <c r="H17" i="5"/>
  <c r="H25" i="5"/>
  <c r="H27" i="5"/>
  <c r="I99" i="1"/>
  <c r="I95" i="1"/>
  <c r="O26" i="1"/>
  <c r="O9" i="1"/>
  <c r="K13" i="5"/>
  <c r="K10" i="5"/>
  <c r="G18" i="7"/>
  <c r="F31" i="11"/>
  <c r="F58" i="8"/>
  <c r="L23" i="4"/>
  <c r="G29" i="8"/>
  <c r="K92" i="1"/>
  <c r="F19" i="8"/>
  <c r="J45" i="8"/>
  <c r="J57" i="8"/>
  <c r="J46" i="8"/>
  <c r="K43" i="8"/>
  <c r="K46" i="8"/>
  <c r="L43" i="8"/>
  <c r="L46" i="8"/>
  <c r="J95" i="1"/>
  <c r="J99" i="1"/>
  <c r="E12" i="7"/>
  <c r="E20" i="7"/>
  <c r="E24" i="7"/>
  <c r="B4" i="14"/>
  <c r="F24" i="13"/>
  <c r="D24" i="13"/>
  <c r="D22" i="13"/>
  <c r="F23" i="13"/>
  <c r="D23" i="13"/>
  <c r="F22" i="13"/>
  <c r="E3" i="14"/>
  <c r="H3" i="14"/>
  <c r="D3" i="14"/>
  <c r="G3" i="14"/>
  <c r="C3" i="14"/>
  <c r="F3" i="14"/>
  <c r="M65" i="1"/>
  <c r="N11" i="4"/>
  <c r="M11" i="5"/>
  <c r="M73" i="1"/>
  <c r="M76" i="1"/>
  <c r="M70" i="1"/>
  <c r="N26" i="4"/>
  <c r="M12" i="5"/>
  <c r="N12" i="4"/>
  <c r="M13" i="5"/>
  <c r="F6" i="13"/>
  <c r="D6" i="13"/>
  <c r="K8" i="4"/>
  <c r="K5" i="2"/>
  <c r="K9" i="2"/>
  <c r="K80" i="1"/>
  <c r="K89" i="1"/>
  <c r="I100" i="1"/>
  <c r="I6" i="5"/>
  <c r="I17" i="5"/>
  <c r="I25" i="5"/>
  <c r="L10" i="5"/>
  <c r="H18" i="7"/>
  <c r="O25" i="1"/>
  <c r="O6" i="1"/>
  <c r="O10" i="1"/>
  <c r="O11" i="1"/>
  <c r="O14" i="1"/>
  <c r="O36" i="1"/>
  <c r="I26" i="5"/>
  <c r="I13" i="4"/>
  <c r="J90" i="1"/>
  <c r="F8" i="7"/>
  <c r="F12" i="7"/>
  <c r="F20" i="7"/>
  <c r="H10" i="7"/>
  <c r="L8" i="2"/>
  <c r="L8" i="5"/>
  <c r="L83" i="1"/>
  <c r="P26" i="1"/>
  <c r="P9" i="1"/>
  <c r="L79" i="1"/>
  <c r="L71" i="1"/>
  <c r="N86" i="1"/>
  <c r="N67" i="1"/>
  <c r="N7" i="1"/>
  <c r="N61" i="1"/>
  <c r="N64" i="1"/>
  <c r="N46" i="1"/>
  <c r="H28" i="4"/>
  <c r="H15" i="4"/>
  <c r="I19" i="4"/>
  <c r="L20" i="5"/>
  <c r="H16" i="7"/>
  <c r="M6" i="2"/>
  <c r="M19" i="5"/>
  <c r="M82" i="1"/>
  <c r="C16" i="8"/>
  <c r="C23" i="8"/>
  <c r="D8" i="10"/>
  <c r="D12" i="10"/>
  <c r="D24" i="7"/>
  <c r="Q26" i="1"/>
  <c r="Q9" i="1"/>
  <c r="G20" i="11"/>
  <c r="G31" i="11"/>
  <c r="K94" i="1"/>
  <c r="K7" i="5"/>
  <c r="K15" i="5"/>
  <c r="J6" i="5"/>
  <c r="J17" i="5"/>
  <c r="J25" i="5"/>
  <c r="J100" i="1"/>
  <c r="J20" i="8"/>
  <c r="O22" i="5"/>
  <c r="O23" i="5"/>
  <c r="G32" i="8"/>
  <c r="G36" i="8"/>
  <c r="G56" i="8"/>
  <c r="D16" i="8"/>
  <c r="D23" i="8"/>
  <c r="E8" i="10"/>
  <c r="E12" i="10"/>
  <c r="D17" i="13"/>
  <c r="D21" i="13"/>
  <c r="I27" i="5"/>
  <c r="J26" i="5"/>
  <c r="J27" i="5"/>
  <c r="K26" i="5"/>
  <c r="E6" i="13"/>
  <c r="E17" i="13"/>
  <c r="F21" i="13"/>
  <c r="G4" i="14"/>
  <c r="C4" i="14"/>
  <c r="F4" i="14"/>
  <c r="E4" i="14"/>
  <c r="H4" i="14"/>
  <c r="D4" i="14"/>
  <c r="H29" i="4"/>
  <c r="H9" i="4"/>
  <c r="I9" i="4"/>
  <c r="J9" i="4"/>
  <c r="K9" i="4"/>
  <c r="L9" i="4"/>
  <c r="M9" i="4"/>
  <c r="N9" i="4"/>
  <c r="O9" i="4"/>
  <c r="P9" i="4"/>
  <c r="Q9" i="4"/>
  <c r="R9" i="4"/>
  <c r="Q6" i="1"/>
  <c r="Q10" i="1"/>
  <c r="Q11" i="1"/>
  <c r="Q14" i="1"/>
  <c r="Q36" i="1"/>
  <c r="Q25" i="1"/>
  <c r="I10" i="7"/>
  <c r="M83" i="1"/>
  <c r="M8" i="2"/>
  <c r="M8" i="5"/>
  <c r="I28" i="4"/>
  <c r="J19" i="4"/>
  <c r="E16" i="8"/>
  <c r="E23" i="8"/>
  <c r="F8" i="10"/>
  <c r="F12" i="10"/>
  <c r="F24" i="7"/>
  <c r="O7" i="1"/>
  <c r="O86" i="1"/>
  <c r="O67" i="1"/>
  <c r="O61" i="1"/>
  <c r="O64" i="1"/>
  <c r="O46" i="1"/>
  <c r="L80" i="1"/>
  <c r="L89" i="1"/>
  <c r="G8" i="7"/>
  <c r="G12" i="7"/>
  <c r="G20" i="7"/>
  <c r="K90" i="1"/>
  <c r="N6" i="2"/>
  <c r="N19" i="5"/>
  <c r="N82" i="1"/>
  <c r="P25" i="1"/>
  <c r="P6" i="1"/>
  <c r="P11" i="1"/>
  <c r="P14" i="1"/>
  <c r="P36" i="1"/>
  <c r="M71" i="1"/>
  <c r="M79" i="1"/>
  <c r="M10" i="5"/>
  <c r="I18" i="7"/>
  <c r="I16" i="7"/>
  <c r="M20" i="5"/>
  <c r="N70" i="1"/>
  <c r="O26" i="4"/>
  <c r="N12" i="5"/>
  <c r="O12" i="4"/>
  <c r="N73" i="1"/>
  <c r="N76" i="1"/>
  <c r="N65" i="1"/>
  <c r="O11" i="4"/>
  <c r="N11" i="5"/>
  <c r="L8" i="4"/>
  <c r="L5" i="2"/>
  <c r="L9" i="2"/>
  <c r="G19" i="8"/>
  <c r="L92" i="1"/>
  <c r="K95" i="1"/>
  <c r="K99" i="1"/>
  <c r="G58" i="8"/>
  <c r="M23" i="4"/>
  <c r="H29" i="8"/>
  <c r="I15" i="4"/>
  <c r="I29" i="4"/>
  <c r="J13" i="4"/>
  <c r="J15" i="4"/>
  <c r="O65" i="1"/>
  <c r="P11" i="4"/>
  <c r="O11" i="5"/>
  <c r="O73" i="1"/>
  <c r="O76" i="1"/>
  <c r="P10" i="1"/>
  <c r="P86" i="1"/>
  <c r="P67" i="1"/>
  <c r="P7" i="1"/>
  <c r="P61" i="1"/>
  <c r="P64" i="1"/>
  <c r="P46" i="1"/>
  <c r="K13" i="4"/>
  <c r="K15" i="4"/>
  <c r="M80" i="1"/>
  <c r="M89" i="1"/>
  <c r="N20" i="5"/>
  <c r="J16" i="7"/>
  <c r="H8" i="7"/>
  <c r="H12" i="7"/>
  <c r="H20" i="7"/>
  <c r="L90" i="1"/>
  <c r="J28" i="4"/>
  <c r="K19" i="4"/>
  <c r="K28" i="4"/>
  <c r="Q7" i="1"/>
  <c r="Q67" i="1"/>
  <c r="Q86" i="1"/>
  <c r="Q61" i="1"/>
  <c r="Q64" i="1"/>
  <c r="Q46" i="1"/>
  <c r="M8" i="4"/>
  <c r="M5" i="2"/>
  <c r="M9" i="2"/>
  <c r="O70" i="1"/>
  <c r="P12" i="4"/>
  <c r="O13" i="5"/>
  <c r="P26" i="4"/>
  <c r="O12" i="5"/>
  <c r="N71" i="1"/>
  <c r="N79" i="1"/>
  <c r="J10" i="7"/>
  <c r="N8" i="5"/>
  <c r="N8" i="2"/>
  <c r="N83" i="1"/>
  <c r="G24" i="7"/>
  <c r="F16" i="8"/>
  <c r="F23" i="8"/>
  <c r="G8" i="10"/>
  <c r="G12" i="10"/>
  <c r="N13" i="5"/>
  <c r="N10" i="5"/>
  <c r="J18" i="7"/>
  <c r="O6" i="2"/>
  <c r="O19" i="5"/>
  <c r="O82" i="1"/>
  <c r="L7" i="5"/>
  <c r="L15" i="5"/>
  <c r="L94" i="1"/>
  <c r="K100" i="1"/>
  <c r="K6" i="5"/>
  <c r="K17" i="5"/>
  <c r="K25" i="5"/>
  <c r="K27" i="5"/>
  <c r="H36" i="8"/>
  <c r="H56" i="8"/>
  <c r="H32" i="8"/>
  <c r="L19" i="4"/>
  <c r="L28" i="4"/>
  <c r="Q65" i="1"/>
  <c r="Q73" i="1"/>
  <c r="Q76" i="1"/>
  <c r="R11" i="4"/>
  <c r="P65" i="1"/>
  <c r="P73" i="1"/>
  <c r="P76" i="1"/>
  <c r="Q11" i="4"/>
  <c r="P11" i="5"/>
  <c r="K10" i="7"/>
  <c r="O83" i="1"/>
  <c r="O8" i="5"/>
  <c r="O8" i="2"/>
  <c r="O10" i="5"/>
  <c r="K18" i="7"/>
  <c r="H24" i="7"/>
  <c r="G16" i="8"/>
  <c r="G23" i="8"/>
  <c r="H8" i="10"/>
  <c r="H12" i="10"/>
  <c r="O20" i="5"/>
  <c r="K16" i="7"/>
  <c r="N80" i="1"/>
  <c r="N89" i="1"/>
  <c r="N5" i="2"/>
  <c r="N9" i="2"/>
  <c r="N8" i="4"/>
  <c r="Q82" i="1"/>
  <c r="Q6" i="2"/>
  <c r="Q19" i="5"/>
  <c r="K29" i="4"/>
  <c r="P70" i="1"/>
  <c r="Q26" i="4"/>
  <c r="P12" i="5"/>
  <c r="Q12" i="4"/>
  <c r="O71" i="1"/>
  <c r="O79" i="1"/>
  <c r="Q70" i="1"/>
  <c r="R12" i="4"/>
  <c r="R26" i="4"/>
  <c r="Q12" i="5"/>
  <c r="P6" i="2"/>
  <c r="P19" i="5"/>
  <c r="P82" i="1"/>
  <c r="J29" i="4"/>
  <c r="M90" i="1"/>
  <c r="I8" i="7"/>
  <c r="L13" i="4"/>
  <c r="L15" i="4"/>
  <c r="L26" i="5"/>
  <c r="L95" i="1"/>
  <c r="L99" i="1"/>
  <c r="H19" i="8"/>
  <c r="M92" i="1"/>
  <c r="H58" i="8"/>
  <c r="N23" i="4"/>
  <c r="I29" i="8"/>
  <c r="L29" i="4"/>
  <c r="L10" i="7"/>
  <c r="P8" i="5"/>
  <c r="P83" i="1"/>
  <c r="P8" i="2"/>
  <c r="Q71" i="1"/>
  <c r="Q79" i="1"/>
  <c r="Q89" i="1"/>
  <c r="M10" i="7"/>
  <c r="Q8" i="2"/>
  <c r="Q83" i="1"/>
  <c r="Q8" i="5"/>
  <c r="J8" i="7"/>
  <c r="J12" i="7"/>
  <c r="J20" i="7"/>
  <c r="N90" i="1"/>
  <c r="Q11" i="5"/>
  <c r="C8" i="11"/>
  <c r="C9" i="11"/>
  <c r="I12" i="7"/>
  <c r="I20" i="7"/>
  <c r="P20" i="5"/>
  <c r="L16" i="7"/>
  <c r="O80" i="1"/>
  <c r="O94" i="1"/>
  <c r="O89" i="1"/>
  <c r="P79" i="1"/>
  <c r="P71" i="1"/>
  <c r="O8" i="4"/>
  <c r="O5" i="2"/>
  <c r="O9" i="2"/>
  <c r="Q13" i="5"/>
  <c r="Q10" i="5"/>
  <c r="M18" i="7"/>
  <c r="M16" i="7"/>
  <c r="Q20" i="5"/>
  <c r="P13" i="5"/>
  <c r="P10" i="5"/>
  <c r="L18" i="7"/>
  <c r="I31" i="8"/>
  <c r="I57" i="8"/>
  <c r="I36" i="8"/>
  <c r="I56" i="8"/>
  <c r="M7" i="5"/>
  <c r="M15" i="5"/>
  <c r="M94" i="1"/>
  <c r="M19" i="4"/>
  <c r="M28" i="4"/>
  <c r="L100" i="1"/>
  <c r="L6" i="5"/>
  <c r="L17" i="5"/>
  <c r="L25" i="5"/>
  <c r="L27" i="5"/>
  <c r="Q90" i="1"/>
  <c r="M8" i="7"/>
  <c r="M12" i="7"/>
  <c r="M20" i="7"/>
  <c r="I24" i="7"/>
  <c r="H16" i="8"/>
  <c r="H23" i="8"/>
  <c r="I8" i="10"/>
  <c r="I12" i="10"/>
  <c r="P5" i="2"/>
  <c r="P9" i="2"/>
  <c r="P8" i="4"/>
  <c r="O95" i="1"/>
  <c r="O99" i="1"/>
  <c r="P80" i="1"/>
  <c r="P94" i="1"/>
  <c r="P89" i="1"/>
  <c r="Q80" i="1"/>
  <c r="Q94" i="1"/>
  <c r="J24" i="7"/>
  <c r="I16" i="8"/>
  <c r="K8" i="7"/>
  <c r="K12" i="7"/>
  <c r="K20" i="7"/>
  <c r="O90" i="1"/>
  <c r="N22" i="5"/>
  <c r="N23" i="5"/>
  <c r="I20" i="8"/>
  <c r="M99" i="1"/>
  <c r="M95" i="1"/>
  <c r="I32" i="8"/>
  <c r="I19" i="8"/>
  <c r="I23" i="8"/>
  <c r="J8" i="10"/>
  <c r="J12" i="10"/>
  <c r="N92" i="1"/>
  <c r="M26" i="5"/>
  <c r="M13" i="4"/>
  <c r="L16" i="8"/>
  <c r="L23" i="8"/>
  <c r="M8" i="10"/>
  <c r="C30" i="7"/>
  <c r="C31" i="7"/>
  <c r="M24" i="7"/>
  <c r="P90" i="1"/>
  <c r="L8" i="7"/>
  <c r="L12" i="7"/>
  <c r="L20" i="7"/>
  <c r="P95" i="1"/>
  <c r="P99" i="1"/>
  <c r="K24" i="7"/>
  <c r="J16" i="8"/>
  <c r="J23" i="8"/>
  <c r="K8" i="10"/>
  <c r="K12" i="10"/>
  <c r="Q99" i="1"/>
  <c r="Q95" i="1"/>
  <c r="Q8" i="4"/>
  <c r="Q5" i="2"/>
  <c r="Q9" i="2"/>
  <c r="R8" i="4"/>
  <c r="O100" i="1"/>
  <c r="O6" i="5"/>
  <c r="O17" i="5"/>
  <c r="O25" i="5"/>
  <c r="J29" i="8"/>
  <c r="J32" i="8"/>
  <c r="I58" i="8"/>
  <c r="O23" i="4"/>
  <c r="M15" i="4"/>
  <c r="M29" i="4"/>
  <c r="C10" i="11"/>
  <c r="C11" i="11"/>
  <c r="H19" i="11"/>
  <c r="H20" i="11"/>
  <c r="N94" i="1"/>
  <c r="N7" i="5"/>
  <c r="N15" i="5"/>
  <c r="N19" i="4"/>
  <c r="M100" i="1"/>
  <c r="M6" i="5"/>
  <c r="M17" i="5"/>
  <c r="M25" i="5"/>
  <c r="M27" i="5"/>
  <c r="P100" i="1"/>
  <c r="P6" i="5"/>
  <c r="P17" i="5"/>
  <c r="P25" i="5"/>
  <c r="Q100" i="1"/>
  <c r="Q6" i="5"/>
  <c r="Q17" i="5"/>
  <c r="Q25" i="5"/>
  <c r="L24" i="7"/>
  <c r="C33" i="7"/>
  <c r="C35" i="7"/>
  <c r="K16" i="8"/>
  <c r="K23" i="8"/>
  <c r="L8" i="10"/>
  <c r="L12" i="10"/>
  <c r="C18" i="10"/>
  <c r="C19" i="10"/>
  <c r="M12" i="10"/>
  <c r="N95" i="1"/>
  <c r="N99" i="1"/>
  <c r="J58" i="8"/>
  <c r="P23" i="4"/>
  <c r="K29" i="8"/>
  <c r="K32" i="8"/>
  <c r="N28" i="4"/>
  <c r="N13" i="4"/>
  <c r="N15" i="4"/>
  <c r="N26" i="5"/>
  <c r="H27" i="11"/>
  <c r="H31" i="11"/>
  <c r="C36" i="11"/>
  <c r="C38" i="11"/>
  <c r="C22" i="11"/>
  <c r="C21" i="10"/>
  <c r="C23" i="10"/>
  <c r="C26" i="10"/>
  <c r="C29" i="10"/>
  <c r="C41" i="7"/>
  <c r="P45" i="7"/>
  <c r="C40" i="7"/>
  <c r="C38" i="7"/>
  <c r="N100" i="1"/>
  <c r="N6" i="5"/>
  <c r="N17" i="5"/>
  <c r="N25" i="5"/>
  <c r="N27" i="5"/>
  <c r="C39" i="11"/>
  <c r="B44" i="11"/>
  <c r="L29" i="8"/>
  <c r="L32" i="8"/>
  <c r="L58" i="8"/>
  <c r="R23" i="4"/>
  <c r="K58" i="8"/>
  <c r="Q23" i="4"/>
  <c r="O19" i="4"/>
  <c r="N29" i="4"/>
  <c r="C28" i="10"/>
  <c r="P33" i="10"/>
  <c r="O13" i="4"/>
  <c r="O15" i="4"/>
  <c r="O26" i="5"/>
  <c r="O27" i="5"/>
  <c r="O28" i="4"/>
  <c r="P19" i="4"/>
  <c r="O29" i="4"/>
  <c r="P26" i="5"/>
  <c r="P27" i="5"/>
  <c r="P13" i="4"/>
  <c r="P15" i="4"/>
  <c r="Q19" i="4"/>
  <c r="P28" i="4"/>
  <c r="P29" i="4"/>
  <c r="Q26" i="5"/>
  <c r="Q27" i="5"/>
  <c r="R13" i="4"/>
  <c r="R15" i="4"/>
  <c r="Q13" i="4"/>
  <c r="Q15" i="4"/>
  <c r="Q28" i="4"/>
  <c r="R19" i="4"/>
  <c r="R28" i="4"/>
  <c r="R29" i="4"/>
  <c r="Q29" i="4"/>
</calcChain>
</file>

<file path=xl/comments1.xml><?xml version="1.0" encoding="utf-8"?>
<comments xmlns="http://schemas.openxmlformats.org/spreadsheetml/2006/main">
  <authors>
    <author>Dell</author>
  </authors>
  <commentList>
    <comment ref="M14" authorId="0">
      <text>
        <r>
          <rPr>
            <b/>
            <sz val="9"/>
            <color indexed="81"/>
            <rFont val="Tahoma"/>
            <family val="2"/>
          </rPr>
          <t>Assumed growth will reach to 10% in the next 5 years following an increasing trend for healthy drinks</t>
        </r>
      </text>
    </comment>
    <comment ref="M22" authorId="0">
      <text>
        <r>
          <rPr>
            <b/>
            <sz val="9"/>
            <color indexed="81"/>
            <rFont val="Tahoma"/>
            <family val="2"/>
          </rPr>
          <t>Assumed growth will reach to a moderate level of 8% in the next 5 years.</t>
        </r>
      </text>
    </comment>
    <comment ref="M30" authorId="0">
      <text>
        <r>
          <rPr>
            <b/>
            <sz val="9"/>
            <color indexed="81"/>
            <rFont val="Tahoma"/>
            <family val="2"/>
          </rPr>
          <t>Assumed a slow growth in the next 5 years and then a gradual decline after 5 years with increasing shift of focus towards health drinks</t>
        </r>
      </text>
    </comment>
    <comment ref="I46" authorId="0">
      <text>
        <r>
          <rPr>
            <b/>
            <sz val="9"/>
            <color indexed="81"/>
            <rFont val="Tahoma"/>
            <family val="2"/>
          </rPr>
          <t>Assumed at average of last 5 years level to continue in future</t>
        </r>
      </text>
    </comment>
    <comment ref="I54" authorId="0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63" authorId="0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71" authorId="0">
      <text>
        <r>
          <rPr>
            <b/>
            <sz val="9"/>
            <color indexed="81"/>
            <rFont val="Tahoma"/>
            <family val="2"/>
          </rPr>
          <t>Assumed a slight increase in the capex to cater to the increased demand in the forecast period and greadually declining to 1% in perpetuity (maintenance capex)</t>
        </r>
      </text>
    </comment>
    <comment ref="N71" authorId="0">
      <text>
        <r>
          <rPr>
            <b/>
            <sz val="9"/>
            <color indexed="81"/>
            <rFont val="Tahoma"/>
            <family val="2"/>
          </rPr>
          <t>Maintenance capex of 1% assumed after 5 years</t>
        </r>
      </text>
    </comment>
  </commentList>
</comments>
</file>

<file path=xl/comments2.xml><?xml version="1.0" encoding="utf-8"?>
<comments xmlns="http://schemas.openxmlformats.org/spreadsheetml/2006/main">
  <authors>
    <author>Dell</author>
  </authors>
  <commentList>
    <comment ref="D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E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F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G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H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I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J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K21" authorId="0">
      <text>
        <r>
          <rPr>
            <b/>
            <sz val="9"/>
            <color indexed="81"/>
            <rFont val="Tahoma"/>
            <family val="2"/>
          </rPr>
          <t>Assumed inflation at 2% and gradually declined to 1%</t>
        </r>
      </text>
    </comment>
    <comment ref="E56" authorId="0">
      <text>
        <r>
          <rPr>
            <b/>
            <sz val="9"/>
            <color indexed="81"/>
            <rFont val="Tahoma"/>
            <family val="2"/>
          </rPr>
          <t>As per the reserach report (Pg.42)</t>
        </r>
      </text>
    </comment>
    <comment ref="E58" authorId="0">
      <text>
        <r>
          <rPr>
            <b/>
            <sz val="9"/>
            <color indexed="81"/>
            <rFont val="Tahoma"/>
            <family val="2"/>
          </rPr>
          <t>Assumed market share</t>
        </r>
      </text>
    </comment>
    <comment ref="H62" authorId="0">
      <text>
        <r>
          <rPr>
            <b/>
            <sz val="9"/>
            <color indexed="81"/>
            <rFont val="Tahoma"/>
            <family val="2"/>
          </rPr>
          <t>Based on average on last year's discount offered</t>
        </r>
      </text>
    </comment>
    <comment ref="Q84" authorId="0">
      <text>
        <r>
          <rPr>
            <b/>
            <sz val="9"/>
            <color indexed="81"/>
            <rFont val="Tahoma"/>
            <family val="2"/>
          </rPr>
          <t xml:space="preserve">Gradually increased to 95% of capex in the perpetuity </t>
        </r>
      </text>
    </comment>
  </commentList>
</comments>
</file>

<file path=xl/comments3.xml><?xml version="1.0" encoding="utf-8"?>
<comments xmlns="http://schemas.openxmlformats.org/spreadsheetml/2006/main">
  <authors>
    <author>Dell</author>
  </authors>
  <commentList>
    <comment ref="C20" authorId="0">
      <text>
        <r>
          <rPr>
            <b/>
            <sz val="9"/>
            <color indexed="81"/>
            <rFont val="Tahoma"/>
            <family val="2"/>
          </rPr>
          <t>Balancing Figure</t>
        </r>
      </text>
    </comment>
    <comment ref="C32" authorId="0">
      <text>
        <r>
          <rPr>
            <b/>
            <sz val="9"/>
            <color indexed="81"/>
            <rFont val="Tahoma"/>
            <family val="2"/>
          </rPr>
          <t>Assumed a current ration of 3:1 (average of processed food industry and Dairy/Juice in GCC)</t>
        </r>
      </text>
    </comment>
    <comment ref="I43" authorId="0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4" authorId="0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5" authorId="0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</commentList>
</comments>
</file>

<file path=xl/comments4.xml><?xml version="1.0" encoding="utf-8"?>
<comments xmlns="http://schemas.openxmlformats.org/spreadsheetml/2006/main">
  <authors>
    <author>Dell</author>
  </authors>
  <commentList>
    <comment ref="C7" authorId="0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H7" authorId="0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C8" authorId="0">
      <text>
        <r>
          <rPr>
            <b/>
            <sz val="9"/>
            <color indexed="81"/>
            <rFont val="Tahoma"/>
            <family val="2"/>
          </rPr>
          <t>Assumed same as 2008</t>
        </r>
      </text>
    </comment>
  </commentList>
</comments>
</file>

<file path=xl/comments5.xml><?xml version="1.0" encoding="utf-8"?>
<comments xmlns="http://schemas.openxmlformats.org/spreadsheetml/2006/main">
  <authors>
    <author>Dell</author>
  </authors>
  <commentList>
    <comment ref="C7" authorId="0">
      <text>
        <r>
          <rPr>
            <b/>
            <sz val="9"/>
            <color indexed="81"/>
            <rFont val="Tahoma"/>
            <family val="2"/>
          </rPr>
          <t>Assumed a repayment of $5m based on trend between 2008-2011</t>
        </r>
      </text>
    </comment>
    <comment ref="C10" authorId="0">
      <text>
        <r>
          <rPr>
            <sz val="9"/>
            <color indexed="81"/>
            <rFont val="Tahoma"/>
            <family val="2"/>
          </rPr>
          <t xml:space="preserve">Assumed a 1% spread to sovereing bonds yield of 5% </t>
        </r>
      </text>
    </comment>
  </commentList>
</comments>
</file>

<file path=xl/comments6.xml><?xml version="1.0" encoding="utf-8"?>
<comments xmlns="http://schemas.openxmlformats.org/spreadsheetml/2006/main">
  <authors>
    <author>Dell</author>
  </authors>
  <commentList>
    <comment ref="E9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9" authorId="0">
      <text>
        <r>
          <rPr>
            <b/>
            <sz val="9"/>
            <color rgb="FF000000"/>
            <rFont val="Tahoma"/>
            <family val="2"/>
          </rPr>
          <t>Assumed Interest rate &amp; tenure</t>
        </r>
      </text>
    </comment>
    <comment ref="E10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10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</commentList>
</comments>
</file>

<file path=xl/comments7.xml><?xml version="1.0" encoding="utf-8"?>
<comments xmlns="http://schemas.openxmlformats.org/spreadsheetml/2006/main">
  <authors>
    <author>Dell</author>
  </authors>
  <commentList>
    <comment ref="C7" authorId="0">
      <text>
        <r>
          <rPr>
            <b/>
            <sz val="9"/>
            <color indexed="81"/>
            <rFont val="Tahoma"/>
            <family val="2"/>
          </rPr>
          <t>Assumed a hurdle rate of 15% as the proposal is evaluated from the perspective of a private equity player</t>
        </r>
      </text>
    </comment>
  </commentList>
</comments>
</file>

<file path=xl/sharedStrings.xml><?xml version="1.0" encoding="utf-8"?>
<sst xmlns="http://schemas.openxmlformats.org/spreadsheetml/2006/main" count="322" uniqueCount="210">
  <si>
    <t>(YE 31-Dec, USDm)</t>
  </si>
  <si>
    <t>Beverages</t>
  </si>
  <si>
    <t>Confectionery</t>
  </si>
  <si>
    <t>Market Size</t>
  </si>
  <si>
    <t>Water</t>
  </si>
  <si>
    <t>Carbonates</t>
  </si>
  <si>
    <t>Price per litre ($)</t>
  </si>
  <si>
    <t>Juices/Sports Energy Drinks</t>
  </si>
  <si>
    <t>% of Gross Sales</t>
  </si>
  <si>
    <t>Price per KG ($)</t>
  </si>
  <si>
    <t>% of Beverage Sales</t>
  </si>
  <si>
    <t>% Growth</t>
  </si>
  <si>
    <t>% growth</t>
  </si>
  <si>
    <t>Market Share in Confectionery Ind.(%)</t>
  </si>
  <si>
    <t>Water Volumes (mLtrs)</t>
  </si>
  <si>
    <t>Juices/Sports Energy Drinks Volumes (mLtrs)</t>
  </si>
  <si>
    <t>Carbonates Volumes (mLtrs)</t>
  </si>
  <si>
    <t>Confectionery Volumes (mKgs)</t>
  </si>
  <si>
    <t>Cost of Goods Sold</t>
  </si>
  <si>
    <t>Discounts and Rebates</t>
  </si>
  <si>
    <t>Net Sales</t>
  </si>
  <si>
    <t>Gross Profit</t>
  </si>
  <si>
    <t>% of Net Sales</t>
  </si>
  <si>
    <t>Selling Expenses</t>
  </si>
  <si>
    <t>General &amp; Administrative Expenses</t>
  </si>
  <si>
    <t>EBITDA</t>
  </si>
  <si>
    <t>EBIT</t>
  </si>
  <si>
    <t>% margin</t>
  </si>
  <si>
    <t>Depreciation &amp; Amortisation</t>
  </si>
  <si>
    <t>% of Capex</t>
  </si>
  <si>
    <t>Capital Expenditure</t>
  </si>
  <si>
    <t>PPE Schedule</t>
  </si>
  <si>
    <t>Opening Balance</t>
  </si>
  <si>
    <t>(+) Additions</t>
  </si>
  <si>
    <t>(-) Sale</t>
  </si>
  <si>
    <t>(-) Depreciation</t>
  </si>
  <si>
    <t>Closing Balance</t>
  </si>
  <si>
    <t>% of Gross sales</t>
  </si>
  <si>
    <t>Interest Expense</t>
  </si>
  <si>
    <t>Debt Schedule</t>
  </si>
  <si>
    <t>(-) Repayment</t>
  </si>
  <si>
    <t>Interest Rate</t>
  </si>
  <si>
    <t>EBT</t>
  </si>
  <si>
    <t>Taxes</t>
  </si>
  <si>
    <t>PAT (Carried over to Retained Earnings)</t>
  </si>
  <si>
    <t>Balance Sheet</t>
  </si>
  <si>
    <t>Assets</t>
  </si>
  <si>
    <t>Liabilities</t>
  </si>
  <si>
    <t>Fixed Assets</t>
  </si>
  <si>
    <t>Current Assets</t>
  </si>
  <si>
    <t>Accounts Receivables</t>
  </si>
  <si>
    <t>Inventory</t>
  </si>
  <si>
    <t>Current Liabilities</t>
  </si>
  <si>
    <t>Accounts Payables</t>
  </si>
  <si>
    <t>Equity</t>
  </si>
  <si>
    <t>Shareholders' Funds</t>
  </si>
  <si>
    <t>Equity Share Capital</t>
  </si>
  <si>
    <t>Retained Earnings</t>
  </si>
  <si>
    <t>Long Term Debt</t>
  </si>
  <si>
    <t>Cash</t>
  </si>
  <si>
    <t>Total Assets</t>
  </si>
  <si>
    <t>Total Liabilities</t>
  </si>
  <si>
    <t>Current Ratio</t>
  </si>
  <si>
    <t>Industry Average - GCC</t>
  </si>
  <si>
    <t>Assumed Current Assets</t>
  </si>
  <si>
    <t>Balance Cash</t>
  </si>
  <si>
    <t>Assumed Current Ratio of Company</t>
  </si>
  <si>
    <t>Check</t>
  </si>
  <si>
    <t>Cash Flow Statement</t>
  </si>
  <si>
    <t>Cash Flow from Operating Activities</t>
  </si>
  <si>
    <t>Net Profit</t>
  </si>
  <si>
    <t>Add: Interest</t>
  </si>
  <si>
    <t>Add: Depreciation &amp; Amortisation</t>
  </si>
  <si>
    <t>Changes in working capital</t>
  </si>
  <si>
    <t>Change in Accounts receivables</t>
  </si>
  <si>
    <t>Change in Accounts payables</t>
  </si>
  <si>
    <t>Change in Accounts inventory</t>
  </si>
  <si>
    <t>Less: Interest Expenses</t>
  </si>
  <si>
    <t>Less: Taxes</t>
  </si>
  <si>
    <t>Cash Flow from Investing Activities</t>
  </si>
  <si>
    <t>Cash Flow from Financing Activities</t>
  </si>
  <si>
    <t>Debt Repayment</t>
  </si>
  <si>
    <t>Net Change in cash during the year</t>
  </si>
  <si>
    <t>Add: Opening Cash Flow</t>
  </si>
  <si>
    <t>Closing Cash Flow</t>
  </si>
  <si>
    <t>Income Statement</t>
  </si>
  <si>
    <t>Gross Sales</t>
  </si>
  <si>
    <t>Days Payable Calculation</t>
  </si>
  <si>
    <t>Accounts Receivables Days</t>
  </si>
  <si>
    <t>Accounts Payables Days</t>
  </si>
  <si>
    <t>Inventory Days</t>
  </si>
  <si>
    <t>Target capital structure</t>
  </si>
  <si>
    <t>Debt</t>
  </si>
  <si>
    <t>Cost of Equity</t>
  </si>
  <si>
    <t>pre-tax Cost of Debt</t>
  </si>
  <si>
    <t>Post tax cost of debt</t>
  </si>
  <si>
    <t>WACC</t>
  </si>
  <si>
    <t xml:space="preserve">Discounted Cash Flow </t>
  </si>
  <si>
    <t>D&amp;A</t>
  </si>
  <si>
    <t>Capex</t>
  </si>
  <si>
    <t>NWC Change</t>
  </si>
  <si>
    <t>FCF</t>
  </si>
  <si>
    <t>Factor</t>
  </si>
  <si>
    <t>Discounted FCF</t>
  </si>
  <si>
    <t>PGR</t>
  </si>
  <si>
    <t>Terminal value</t>
  </si>
  <si>
    <t>Discounted TV</t>
  </si>
  <si>
    <t>PV of CF</t>
  </si>
  <si>
    <t>EV</t>
  </si>
  <si>
    <t>Net Debt</t>
  </si>
  <si>
    <t>Minority Interest</t>
  </si>
  <si>
    <t>Equity Value</t>
  </si>
  <si>
    <t>Sensitivity Table</t>
  </si>
  <si>
    <t>1 Year Fwd EV/EBITDA</t>
  </si>
  <si>
    <t>1 Year Fwd EV/EBIT</t>
  </si>
  <si>
    <t>Juice Co.</t>
  </si>
  <si>
    <t>LBO Modelling</t>
  </si>
  <si>
    <t>Free Cash Flow before Financing</t>
  </si>
  <si>
    <t>2011 (Adj.)</t>
  </si>
  <si>
    <t>Transaction GW (as per LBO)</t>
  </si>
  <si>
    <t>LTM EBITDA (2011A)</t>
  </si>
  <si>
    <t>EBITDA FY+1 (2012)</t>
  </si>
  <si>
    <t>Assumed Valuation (FY+1 EV/EBITDA)</t>
  </si>
  <si>
    <t>Assumed Leverage Level (LTM EBITDA)</t>
  </si>
  <si>
    <t>Senior Debt</t>
  </si>
  <si>
    <t>Sub Debt</t>
  </si>
  <si>
    <t>Enterprise Value</t>
  </si>
  <si>
    <t>($m)</t>
  </si>
  <si>
    <t>LBO Net Debt (Total)</t>
  </si>
  <si>
    <t>Equity Value in BS</t>
  </si>
  <si>
    <t>7 years</t>
  </si>
  <si>
    <t>8 years</t>
  </si>
  <si>
    <t>Less:</t>
  </si>
  <si>
    <t>Interest Payments</t>
  </si>
  <si>
    <t>Repayments</t>
  </si>
  <si>
    <t>Subordinated Debt</t>
  </si>
  <si>
    <t>Average Cost of debt</t>
  </si>
  <si>
    <t>Interest</t>
  </si>
  <si>
    <t>Repayment</t>
  </si>
  <si>
    <t>LBO financed after 2011</t>
  </si>
  <si>
    <t>Cash Outflow &amp; Debt</t>
  </si>
  <si>
    <t>Debt Outstanding</t>
  </si>
  <si>
    <t>Cash Available to equity holders</t>
  </si>
  <si>
    <t>Cash utilised to make repayments</t>
  </si>
  <si>
    <t>IRR Valuation</t>
  </si>
  <si>
    <t>FCFE</t>
  </si>
  <si>
    <t>COE</t>
  </si>
  <si>
    <t>Free Cash Flow to Equity</t>
  </si>
  <si>
    <t>IRR Returns Analysis</t>
  </si>
  <si>
    <t>Returns in 5 years</t>
  </si>
  <si>
    <t>Entry Multiple (FY1 EBITDA)</t>
  </si>
  <si>
    <t>EBITDA FY1</t>
  </si>
  <si>
    <t>EXIT Multiple (5 years)</t>
  </si>
  <si>
    <t>EBITDA FY1 (EXIT)</t>
  </si>
  <si>
    <t>Enterprise Value (EXIT) $m</t>
  </si>
  <si>
    <t>Less: Net Debt</t>
  </si>
  <si>
    <t>Equity Value (EXIT) $m</t>
  </si>
  <si>
    <t>Equity Investment</t>
  </si>
  <si>
    <t>Equity inflow at the time of sale</t>
  </si>
  <si>
    <t>Total Cashflows</t>
  </si>
  <si>
    <t>IRR</t>
  </si>
  <si>
    <t>Entry Equity Value</t>
  </si>
  <si>
    <t>Enterprise value</t>
  </si>
  <si>
    <t>EV/EBITDA FY+1</t>
  </si>
  <si>
    <t>5 year Exit scenario (Exit Multiple = 12.0x FY+1 EBITDA)</t>
  </si>
  <si>
    <t>Entry Price</t>
  </si>
  <si>
    <t>FY+1 EBITDA</t>
  </si>
  <si>
    <t>DCF</t>
  </si>
  <si>
    <t>LBO (5 year exit)</t>
  </si>
  <si>
    <t>10-12% WACC, 1.5-2.5% PGR</t>
  </si>
  <si>
    <t>14-16% CoE, 1.5-2.5% PGR</t>
  </si>
  <si>
    <t>5 Year exit, Exit Multiple = 12x, Returns: 20-25%</t>
  </si>
  <si>
    <t>Trading Comps FY+1 EBITDA</t>
  </si>
  <si>
    <t>FY1</t>
  </si>
  <si>
    <t>FY2</t>
  </si>
  <si>
    <t>EBITDA-Capex</t>
  </si>
  <si>
    <t>EBITDA-Capex / EBITDA</t>
  </si>
  <si>
    <t>Capex / Net Sales</t>
  </si>
  <si>
    <t>WC</t>
  </si>
  <si>
    <t>Select Case</t>
  </si>
  <si>
    <t>Base Case</t>
  </si>
  <si>
    <t>Downside case</t>
  </si>
  <si>
    <t>Upside case</t>
  </si>
  <si>
    <t>Actual</t>
  </si>
  <si>
    <t>Base</t>
  </si>
  <si>
    <t>Downside</t>
  </si>
  <si>
    <t>Upside</t>
  </si>
  <si>
    <t>Inputs</t>
  </si>
  <si>
    <t>Juices/Sports Energy Drinks Volume Growth</t>
  </si>
  <si>
    <t>Water Volume Growth</t>
  </si>
  <si>
    <t>Carbonates Volume Growth</t>
  </si>
  <si>
    <t>Confectionery Volume Growth</t>
  </si>
  <si>
    <t>COGS as % of Gross Sales</t>
  </si>
  <si>
    <t>Selling expenses as % of Net Sales</t>
  </si>
  <si>
    <t>General and Administrative as % of Net Sales</t>
  </si>
  <si>
    <t>Capex as a % of Gross Sales</t>
  </si>
  <si>
    <t>ROE</t>
  </si>
  <si>
    <t>ROA</t>
  </si>
  <si>
    <t>Welcome to WallStreetOasis' free financial model templates! Download more free templates, master your finance career, and get top interviewing/networking/modeling tips at WallStreetOasis.com. You can find other services and information at WSO below:</t>
  </si>
  <si>
    <t>FREE RESOURCES</t>
  </si>
  <si>
    <t>PREMIUM RESOURCES &amp; SERVICES</t>
  </si>
  <si>
    <t>Join the WSO Community! &gt;&gt;</t>
  </si>
  <si>
    <t>Interview &amp; Prep Courses (IB, PE, HF, Consulting) &gt;&gt;</t>
  </si>
  <si>
    <t>Top FAQs &amp; Resources &gt;&gt;</t>
  </si>
  <si>
    <t>Resume Review Service &gt;&gt;</t>
  </si>
  <si>
    <t>Industry Reports &amp; Company Database &gt;&gt;</t>
  </si>
  <si>
    <t>Find a Mentor &gt;&gt;</t>
  </si>
  <si>
    <t>WSO Templates (Resume, Networking, Models, etc) &gt;&gt;</t>
  </si>
  <si>
    <t>GMAT/Series 7 Exam Prep Courses &gt;&gt;</t>
  </si>
  <si>
    <t>The Talent Oasis - Land a Job! 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</si>
</sst>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#,##0;\(#,##0\);\-\-"/>
    <numFmt numFmtId="165" formatCode="0&quot;A&quot;"/>
    <numFmt numFmtId="166" formatCode="0&quot;E&quot;"/>
    <numFmt numFmtId="167" formatCode="#,##0.0;\(#,##0.0\);\-\-"/>
    <numFmt numFmtId="168" formatCode="#,##0.0"/>
    <numFmt numFmtId="169" formatCode="0%;\(0%\)"/>
    <numFmt numFmtId="170" formatCode="0&quot; days&quot;"/>
    <numFmt numFmtId="171" formatCode="0.0%"/>
    <numFmt numFmtId="172" formatCode="0.0"/>
    <numFmt numFmtId="173" formatCode="0.0\x"/>
    <numFmt numFmtId="174" formatCode="0.0;\(0.0\)"/>
  </numFmts>
  <fonts count="3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name val="Arial"/>
      <family val="2"/>
    </font>
    <font>
      <sz val="10"/>
      <name val="Arial"/>
    </font>
    <font>
      <b/>
      <u/>
      <sz val="10"/>
      <name val="Arial"/>
      <family val="2"/>
    </font>
    <font>
      <i/>
      <sz val="10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rgb="FFFF0000"/>
      <name val="Arial"/>
      <family val="2"/>
    </font>
    <font>
      <sz val="10"/>
      <color theme="0"/>
      <name val="Arial"/>
      <family val="2"/>
    </font>
    <font>
      <i/>
      <sz val="10"/>
      <color theme="0"/>
      <name val="Arial"/>
      <family val="2"/>
    </font>
    <font>
      <b/>
      <sz val="10"/>
      <color theme="0"/>
      <name val="Arial"/>
      <family val="2"/>
    </font>
    <font>
      <b/>
      <i/>
      <sz val="10"/>
      <color theme="0"/>
      <name val="Arial"/>
      <family val="2"/>
    </font>
    <font>
      <sz val="10"/>
      <color theme="3" tint="-0.499984740745262"/>
      <name val="Arial"/>
      <family val="2"/>
    </font>
    <font>
      <b/>
      <sz val="10"/>
      <color theme="3" tint="-0.499984740745262"/>
      <name val="Arial"/>
      <family val="2"/>
    </font>
    <font>
      <b/>
      <sz val="10"/>
      <color rgb="FFC00000"/>
      <name val="Arial"/>
      <family val="2"/>
    </font>
    <font>
      <sz val="10"/>
      <color rgb="FFC0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0"/>
      <color theme="3"/>
      <name val="Arial"/>
      <family val="2"/>
    </font>
    <font>
      <b/>
      <sz val="11"/>
      <color theme="0"/>
      <name val="Calibri"/>
      <family val="2"/>
      <scheme val="minor"/>
    </font>
    <font>
      <b/>
      <sz val="9"/>
      <color rgb="FF000000"/>
      <name val="Tahoma"/>
      <family val="2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b/>
      <u/>
      <sz val="18"/>
      <color theme="10"/>
      <name val="Calibri"/>
      <family val="2"/>
      <scheme val="minor"/>
    </font>
    <font>
      <u/>
      <sz val="18"/>
      <color theme="1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485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dashed">
        <color theme="0" tint="-0.14996795556505021"/>
      </right>
      <top/>
      <bottom/>
      <diagonal/>
    </border>
    <border>
      <left/>
      <right style="dashed">
        <color theme="0" tint="-0.14996795556505021"/>
      </right>
      <top/>
      <bottom style="thin">
        <color theme="0" tint="-0.24994659260841701"/>
      </bottom>
      <diagonal/>
    </border>
    <border>
      <left style="thin">
        <color theme="0"/>
      </left>
      <right style="dashed">
        <color theme="0" tint="-0.14996795556505021"/>
      </right>
      <top/>
      <bottom/>
      <diagonal/>
    </border>
    <border>
      <left/>
      <right style="thin">
        <color theme="0"/>
      </right>
      <top/>
      <bottom/>
      <diagonal/>
    </border>
    <border>
      <left/>
      <right style="dashed">
        <color theme="0" tint="-0.14996795556505021"/>
      </right>
      <top style="thin">
        <color auto="1"/>
      </top>
      <bottom/>
      <diagonal/>
    </border>
    <border>
      <left/>
      <right style="dashed">
        <color theme="0" tint="-0.14996795556505021"/>
      </right>
      <top/>
      <bottom style="thin">
        <color auto="1"/>
      </bottom>
      <diagonal/>
    </border>
    <border>
      <left/>
      <right style="dashed">
        <color theme="0" tint="-0.14996795556505021"/>
      </right>
      <top style="thin">
        <color auto="1"/>
      </top>
      <bottom style="double">
        <color auto="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dashed">
        <color theme="0" tint="-0.14996795556505021"/>
      </right>
      <top style="thin">
        <color theme="0" tint="-0.14996795556505021"/>
      </top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</cellStyleXfs>
  <cellXfs count="267">
    <xf numFmtId="0" fontId="0" fillId="0" borderId="0" xfId="0"/>
    <xf numFmtId="0" fontId="10" fillId="0" borderId="0" xfId="0" applyFont="1"/>
    <xf numFmtId="164" fontId="10" fillId="0" borderId="0" xfId="0" applyNumberFormat="1" applyFont="1"/>
    <xf numFmtId="165" fontId="10" fillId="0" borderId="0" xfId="0" applyNumberFormat="1" applyFont="1"/>
    <xf numFmtId="166" fontId="10" fillId="0" borderId="0" xfId="0" applyNumberFormat="1" applyFont="1"/>
    <xf numFmtId="164" fontId="11" fillId="0" borderId="0" xfId="0" applyNumberFormat="1" applyFont="1"/>
    <xf numFmtId="167" fontId="10" fillId="0" borderId="0" xfId="0" applyNumberFormat="1" applyFont="1"/>
    <xf numFmtId="167" fontId="11" fillId="0" borderId="0" xfId="0" applyNumberFormat="1" applyFont="1"/>
    <xf numFmtId="9" fontId="11" fillId="0" borderId="0" xfId="0" applyNumberFormat="1" applyFont="1"/>
    <xf numFmtId="9" fontId="11" fillId="2" borderId="0" xfId="0" applyNumberFormat="1" applyFont="1" applyFill="1"/>
    <xf numFmtId="9" fontId="11" fillId="3" borderId="0" xfId="0" applyNumberFormat="1" applyFont="1" applyFill="1"/>
    <xf numFmtId="9" fontId="11" fillId="4" borderId="0" xfId="0" applyNumberFormat="1" applyFont="1" applyFill="1"/>
    <xf numFmtId="167" fontId="10" fillId="0" borderId="0" xfId="0" applyNumberFormat="1" applyFont="1" applyFill="1"/>
    <xf numFmtId="167" fontId="10" fillId="3" borderId="0" xfId="0" applyNumberFormat="1" applyFont="1" applyFill="1"/>
    <xf numFmtId="9" fontId="10" fillId="0" borderId="0" xfId="0" applyNumberFormat="1" applyFont="1"/>
    <xf numFmtId="164" fontId="10" fillId="0" borderId="0" xfId="0" applyNumberFormat="1" applyFont="1" applyAlignment="1">
      <alignment horizontal="left" indent="1"/>
    </xf>
    <xf numFmtId="164" fontId="11" fillId="0" borderId="0" xfId="0" applyNumberFormat="1" applyFont="1" applyAlignment="1">
      <alignment horizontal="left" indent="1"/>
    </xf>
    <xf numFmtId="164" fontId="10" fillId="0" borderId="0" xfId="0" applyNumberFormat="1" applyFont="1" applyAlignment="1">
      <alignment horizontal="left" indent="2"/>
    </xf>
    <xf numFmtId="164" fontId="11" fillId="0" borderId="0" xfId="0" applyNumberFormat="1" applyFont="1" applyAlignment="1">
      <alignment horizontal="left" indent="2"/>
    </xf>
    <xf numFmtId="164" fontId="12" fillId="0" borderId="0" xfId="0" applyNumberFormat="1" applyFont="1" applyAlignment="1">
      <alignment horizontal="left" indent="1"/>
    </xf>
    <xf numFmtId="164" fontId="12" fillId="0" borderId="0" xfId="0" applyNumberFormat="1" applyFont="1"/>
    <xf numFmtId="164" fontId="10" fillId="0" borderId="15" xfId="0" applyNumberFormat="1" applyFont="1" applyBorder="1"/>
    <xf numFmtId="167" fontId="10" fillId="0" borderId="15" xfId="0" applyNumberFormat="1" applyFont="1" applyBorder="1"/>
    <xf numFmtId="164" fontId="10" fillId="0" borderId="0" xfId="0" applyNumberFormat="1" applyFont="1" applyFill="1"/>
    <xf numFmtId="164" fontId="11" fillId="0" borderId="0" xfId="0" applyNumberFormat="1" applyFont="1" applyFill="1"/>
    <xf numFmtId="164" fontId="12" fillId="0" borderId="0" xfId="0" applyNumberFormat="1" applyFont="1" applyFill="1"/>
    <xf numFmtId="167" fontId="11" fillId="0" borderId="0" xfId="0" applyNumberFormat="1" applyFont="1" applyFill="1"/>
    <xf numFmtId="9" fontId="11" fillId="0" borderId="0" xfId="0" applyNumberFormat="1" applyFont="1" applyFill="1"/>
    <xf numFmtId="164" fontId="11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2"/>
    </xf>
    <xf numFmtId="164" fontId="11" fillId="0" borderId="0" xfId="0" applyNumberFormat="1" applyFont="1" applyFill="1" applyAlignment="1">
      <alignment horizontal="left" indent="2"/>
    </xf>
    <xf numFmtId="167" fontId="12" fillId="0" borderId="0" xfId="0" applyNumberFormat="1" applyFont="1" applyFill="1"/>
    <xf numFmtId="167" fontId="12" fillId="0" borderId="0" xfId="0" applyNumberFormat="1" applyFont="1"/>
    <xf numFmtId="164" fontId="10" fillId="0" borderId="0" xfId="0" applyNumberFormat="1" applyFont="1" applyFill="1" applyAlignment="1">
      <alignment horizontal="left"/>
    </xf>
    <xf numFmtId="164" fontId="10" fillId="0" borderId="0" xfId="0" applyNumberFormat="1" applyFont="1" applyFill="1" applyBorder="1"/>
    <xf numFmtId="164" fontId="12" fillId="0" borderId="0" xfId="0" applyNumberFormat="1" applyFont="1" applyFill="1" applyBorder="1"/>
    <xf numFmtId="167" fontId="10" fillId="0" borderId="0" xfId="0" applyNumberFormat="1" applyFont="1" applyFill="1" applyBorder="1"/>
    <xf numFmtId="164" fontId="11" fillId="0" borderId="0" xfId="0" applyNumberFormat="1" applyFont="1" applyFill="1" applyBorder="1"/>
    <xf numFmtId="167" fontId="11" fillId="0" borderId="0" xfId="0" applyNumberFormat="1" applyFont="1" applyFill="1" applyBorder="1"/>
    <xf numFmtId="9" fontId="11" fillId="0" borderId="0" xfId="0" applyNumberFormat="1" applyFont="1" applyFill="1" applyBorder="1"/>
    <xf numFmtId="164" fontId="12" fillId="0" borderId="0" xfId="0" applyNumberFormat="1" applyFont="1" applyFill="1" applyBorder="1" applyAlignment="1">
      <alignment horizontal="left" indent="1"/>
    </xf>
    <xf numFmtId="164" fontId="10" fillId="0" borderId="0" xfId="0" applyNumberFormat="1" applyFont="1" applyFill="1" applyBorder="1" applyAlignment="1">
      <alignment horizontal="left"/>
    </xf>
    <xf numFmtId="164" fontId="10" fillId="0" borderId="0" xfId="0" applyNumberFormat="1" applyFont="1" applyFill="1" applyBorder="1" applyAlignment="1">
      <alignment horizontal="left" indent="1"/>
    </xf>
    <xf numFmtId="164" fontId="11" fillId="0" borderId="0" xfId="0" applyNumberFormat="1" applyFont="1" applyFill="1" applyBorder="1" applyAlignment="1">
      <alignment horizontal="left" indent="2"/>
    </xf>
    <xf numFmtId="167" fontId="12" fillId="0" borderId="0" xfId="0" applyNumberFormat="1" applyFont="1" applyFill="1" applyBorder="1"/>
    <xf numFmtId="164" fontId="10" fillId="0" borderId="0" xfId="0" applyNumberFormat="1" applyFont="1" applyFill="1" applyBorder="1" applyAlignment="1">
      <alignment horizontal="left" indent="2"/>
    </xf>
    <xf numFmtId="164" fontId="12" fillId="0" borderId="0" xfId="0" applyNumberFormat="1" applyFont="1" applyFill="1" applyBorder="1" applyAlignment="1">
      <alignment horizontal="left"/>
    </xf>
    <xf numFmtId="164" fontId="11" fillId="0" borderId="0" xfId="0" applyNumberFormat="1" applyFont="1" applyFill="1" applyBorder="1" applyAlignment="1">
      <alignment horizontal="left" indent="1"/>
    </xf>
    <xf numFmtId="9" fontId="10" fillId="0" borderId="0" xfId="0" applyNumberFormat="1" applyFont="1" applyFill="1" applyBorder="1"/>
    <xf numFmtId="169" fontId="11" fillId="0" borderId="0" xfId="0" applyNumberFormat="1" applyFont="1"/>
    <xf numFmtId="164" fontId="11" fillId="0" borderId="0" xfId="0" applyNumberFormat="1" applyFont="1" applyAlignment="1">
      <alignment horizontal="left" indent="3"/>
    </xf>
    <xf numFmtId="164" fontId="12" fillId="0" borderId="0" xfId="0" applyNumberFormat="1" applyFont="1" applyAlignment="1">
      <alignment horizontal="left"/>
    </xf>
    <xf numFmtId="164" fontId="11" fillId="0" borderId="0" xfId="0" applyNumberFormat="1" applyFont="1" applyAlignment="1">
      <alignment horizontal="left"/>
    </xf>
    <xf numFmtId="164" fontId="12" fillId="0" borderId="1" xfId="0" applyNumberFormat="1" applyFont="1" applyFill="1" applyBorder="1" applyAlignment="1">
      <alignment horizontal="left"/>
    </xf>
    <xf numFmtId="167" fontId="12" fillId="0" borderId="1" xfId="0" applyNumberFormat="1" applyFont="1" applyFill="1" applyBorder="1"/>
    <xf numFmtId="164" fontId="12" fillId="5" borderId="0" xfId="0" applyNumberFormat="1" applyFont="1" applyFill="1"/>
    <xf numFmtId="164" fontId="10" fillId="0" borderId="1" xfId="0" applyNumberFormat="1" applyFont="1" applyFill="1" applyBorder="1" applyAlignment="1">
      <alignment horizontal="left"/>
    </xf>
    <xf numFmtId="164" fontId="12" fillId="0" borderId="2" xfId="0" applyNumberFormat="1" applyFont="1" applyFill="1" applyBorder="1" applyAlignment="1">
      <alignment horizontal="left"/>
    </xf>
    <xf numFmtId="167" fontId="10" fillId="0" borderId="3" xfId="0" applyNumberFormat="1" applyFont="1" applyFill="1" applyBorder="1"/>
    <xf numFmtId="164" fontId="10" fillId="0" borderId="4" xfId="0" applyNumberFormat="1" applyFont="1" applyFill="1" applyBorder="1" applyAlignment="1">
      <alignment horizontal="left"/>
    </xf>
    <xf numFmtId="167" fontId="10" fillId="0" borderId="5" xfId="0" applyNumberFormat="1" applyFont="1" applyFill="1" applyBorder="1"/>
    <xf numFmtId="164" fontId="10" fillId="0" borderId="4" xfId="0" applyNumberFormat="1" applyFont="1" applyFill="1" applyBorder="1" applyAlignment="1">
      <alignment horizontal="left" indent="2"/>
    </xf>
    <xf numFmtId="164" fontId="11" fillId="0" borderId="4" xfId="0" applyNumberFormat="1" applyFont="1" applyFill="1" applyBorder="1" applyAlignment="1">
      <alignment horizontal="left" indent="2"/>
    </xf>
    <xf numFmtId="9" fontId="11" fillId="0" borderId="5" xfId="0" applyNumberFormat="1" applyFont="1" applyFill="1" applyBorder="1"/>
    <xf numFmtId="164" fontId="10" fillId="0" borderId="6" xfId="0" applyNumberFormat="1" applyFont="1" applyFill="1" applyBorder="1" applyAlignment="1">
      <alignment horizontal="left"/>
    </xf>
    <xf numFmtId="164" fontId="10" fillId="5" borderId="6" xfId="0" applyNumberFormat="1" applyFont="1" applyFill="1" applyBorder="1" applyAlignment="1">
      <alignment horizontal="left"/>
    </xf>
    <xf numFmtId="167" fontId="10" fillId="5" borderId="7" xfId="0" applyNumberFormat="1" applyFont="1" applyFill="1" applyBorder="1"/>
    <xf numFmtId="164" fontId="13" fillId="0" borderId="0" xfId="0" applyNumberFormat="1" applyFont="1" applyFill="1"/>
    <xf numFmtId="164" fontId="13" fillId="0" borderId="0" xfId="0" applyNumberFormat="1" applyFont="1" applyFill="1" applyAlignment="1">
      <alignment horizontal="left" indent="2"/>
    </xf>
    <xf numFmtId="167" fontId="13" fillId="0" borderId="0" xfId="0" applyNumberFormat="1" applyFont="1" applyFill="1"/>
    <xf numFmtId="165" fontId="14" fillId="6" borderId="16" xfId="0" applyNumberFormat="1" applyFont="1" applyFill="1" applyBorder="1"/>
    <xf numFmtId="166" fontId="14" fillId="6" borderId="16" xfId="0" applyNumberFormat="1" applyFont="1" applyFill="1" applyBorder="1"/>
    <xf numFmtId="165" fontId="10" fillId="0" borderId="17" xfId="0" applyNumberFormat="1" applyFont="1" applyBorder="1"/>
    <xf numFmtId="167" fontId="10" fillId="0" borderId="17" xfId="0" applyNumberFormat="1" applyFont="1" applyBorder="1"/>
    <xf numFmtId="9" fontId="11" fillId="0" borderId="17" xfId="0" applyNumberFormat="1" applyFont="1" applyBorder="1"/>
    <xf numFmtId="9" fontId="11" fillId="3" borderId="17" xfId="0" applyNumberFormat="1" applyFont="1" applyFill="1" applyBorder="1"/>
    <xf numFmtId="9" fontId="11" fillId="2" borderId="17" xfId="0" applyNumberFormat="1" applyFont="1" applyFill="1" applyBorder="1"/>
    <xf numFmtId="167" fontId="11" fillId="0" borderId="17" xfId="0" applyNumberFormat="1" applyFont="1" applyBorder="1"/>
    <xf numFmtId="9" fontId="10" fillId="0" borderId="17" xfId="0" applyNumberFormat="1" applyFont="1" applyBorder="1"/>
    <xf numFmtId="167" fontId="10" fillId="0" borderId="18" xfId="0" applyNumberFormat="1" applyFont="1" applyBorder="1"/>
    <xf numFmtId="164" fontId="15" fillId="6" borderId="0" xfId="0" applyNumberFormat="1" applyFont="1" applyFill="1"/>
    <xf numFmtId="164" fontId="15" fillId="6" borderId="16" xfId="0" applyNumberFormat="1" applyFont="1" applyFill="1" applyBorder="1"/>
    <xf numFmtId="167" fontId="10" fillId="0" borderId="17" xfId="0" applyNumberFormat="1" applyFont="1" applyFill="1" applyBorder="1"/>
    <xf numFmtId="9" fontId="11" fillId="0" borderId="17" xfId="0" applyNumberFormat="1" applyFont="1" applyFill="1" applyBorder="1"/>
    <xf numFmtId="165" fontId="16" fillId="6" borderId="16" xfId="0" applyNumberFormat="1" applyFont="1" applyFill="1" applyBorder="1"/>
    <xf numFmtId="165" fontId="16" fillId="6" borderId="19" xfId="0" applyNumberFormat="1" applyFont="1" applyFill="1" applyBorder="1"/>
    <xf numFmtId="166" fontId="16" fillId="6" borderId="20" xfId="0" applyNumberFormat="1" applyFont="1" applyFill="1" applyBorder="1"/>
    <xf numFmtId="166" fontId="16" fillId="6" borderId="16" xfId="0" applyNumberFormat="1" applyFont="1" applyFill="1" applyBorder="1"/>
    <xf numFmtId="164" fontId="16" fillId="6" borderId="0" xfId="0" applyNumberFormat="1" applyFont="1" applyFill="1"/>
    <xf numFmtId="167" fontId="11" fillId="0" borderId="17" xfId="0" applyNumberFormat="1" applyFont="1" applyFill="1" applyBorder="1"/>
    <xf numFmtId="167" fontId="12" fillId="0" borderId="17" xfId="0" applyNumberFormat="1" applyFont="1" applyFill="1" applyBorder="1"/>
    <xf numFmtId="164" fontId="12" fillId="0" borderId="8" xfId="0" applyNumberFormat="1" applyFont="1" applyFill="1" applyBorder="1"/>
    <xf numFmtId="167" fontId="10" fillId="0" borderId="8" xfId="0" applyNumberFormat="1" applyFont="1" applyFill="1" applyBorder="1"/>
    <xf numFmtId="167" fontId="12" fillId="0" borderId="8" xfId="0" applyNumberFormat="1" applyFont="1" applyFill="1" applyBorder="1"/>
    <xf numFmtId="167" fontId="12" fillId="0" borderId="21" xfId="0" applyNumberFormat="1" applyFont="1" applyFill="1" applyBorder="1"/>
    <xf numFmtId="164" fontId="17" fillId="6" borderId="0" xfId="0" applyNumberFormat="1" applyFont="1" applyFill="1"/>
    <xf numFmtId="165" fontId="15" fillId="6" borderId="16" xfId="0" applyNumberFormat="1" applyFont="1" applyFill="1" applyBorder="1"/>
    <xf numFmtId="164" fontId="10" fillId="2" borderId="9" xfId="0" applyNumberFormat="1" applyFont="1" applyFill="1" applyBorder="1" applyAlignment="1">
      <alignment horizontal="left"/>
    </xf>
    <xf numFmtId="9" fontId="10" fillId="2" borderId="10" xfId="0" applyNumberFormat="1" applyFont="1" applyFill="1" applyBorder="1"/>
    <xf numFmtId="167" fontId="10" fillId="2" borderId="11" xfId="0" applyNumberFormat="1" applyFont="1" applyFill="1" applyBorder="1"/>
    <xf numFmtId="167" fontId="10" fillId="2" borderId="10" xfId="0" applyNumberFormat="1" applyFont="1" applyFill="1" applyBorder="1"/>
    <xf numFmtId="167" fontId="12" fillId="5" borderId="0" xfId="0" applyNumberFormat="1" applyFont="1" applyFill="1"/>
    <xf numFmtId="167" fontId="12" fillId="5" borderId="17" xfId="0" applyNumberFormat="1" applyFont="1" applyFill="1" applyBorder="1"/>
    <xf numFmtId="167" fontId="12" fillId="0" borderId="17" xfId="0" applyNumberFormat="1" applyFont="1" applyBorder="1"/>
    <xf numFmtId="170" fontId="10" fillId="0" borderId="17" xfId="0" applyNumberFormat="1" applyFont="1" applyFill="1" applyBorder="1"/>
    <xf numFmtId="164" fontId="16" fillId="6" borderId="2" xfId="0" applyNumberFormat="1" applyFont="1" applyFill="1" applyBorder="1" applyAlignment="1">
      <alignment horizontal="left"/>
    </xf>
    <xf numFmtId="170" fontId="10" fillId="0" borderId="0" xfId="0" applyNumberFormat="1" applyFont="1" applyFill="1" applyBorder="1"/>
    <xf numFmtId="170" fontId="10" fillId="3" borderId="0" xfId="0" applyNumberFormat="1" applyFont="1" applyFill="1" applyBorder="1"/>
    <xf numFmtId="170" fontId="10" fillId="0" borderId="5" xfId="0" applyNumberFormat="1" applyFont="1" applyFill="1" applyBorder="1"/>
    <xf numFmtId="170" fontId="10" fillId="0" borderId="12" xfId="0" applyNumberFormat="1" applyFont="1" applyFill="1" applyBorder="1"/>
    <xf numFmtId="170" fontId="10" fillId="0" borderId="22" xfId="0" applyNumberFormat="1" applyFont="1" applyFill="1" applyBorder="1"/>
    <xf numFmtId="170" fontId="10" fillId="3" borderId="12" xfId="0" applyNumberFormat="1" applyFont="1" applyFill="1" applyBorder="1"/>
    <xf numFmtId="170" fontId="10" fillId="0" borderId="7" xfId="0" applyNumberFormat="1" applyFont="1" applyFill="1" applyBorder="1"/>
    <xf numFmtId="167" fontId="10" fillId="0" borderId="0" xfId="0" applyNumberFormat="1" applyFont="1" applyBorder="1"/>
    <xf numFmtId="164" fontId="12" fillId="5" borderId="1" xfId="0" applyNumberFormat="1" applyFont="1" applyFill="1" applyBorder="1" applyAlignment="1">
      <alignment horizontal="left"/>
    </xf>
    <xf numFmtId="167" fontId="10" fillId="5" borderId="1" xfId="0" applyNumberFormat="1" applyFont="1" applyFill="1" applyBorder="1"/>
    <xf numFmtId="167" fontId="12" fillId="5" borderId="1" xfId="0" applyNumberFormat="1" applyFont="1" applyFill="1" applyBorder="1"/>
    <xf numFmtId="167" fontId="12" fillId="5" borderId="23" xfId="0" applyNumberFormat="1" applyFont="1" applyFill="1" applyBorder="1"/>
    <xf numFmtId="164" fontId="12" fillId="0" borderId="24" xfId="0" applyNumberFormat="1" applyFont="1" applyFill="1" applyBorder="1"/>
    <xf numFmtId="9" fontId="11" fillId="0" borderId="24" xfId="0" applyNumberFormat="1" applyFont="1" applyFill="1" applyBorder="1"/>
    <xf numFmtId="167" fontId="12" fillId="0" borderId="24" xfId="0" applyNumberFormat="1" applyFont="1" applyFill="1" applyBorder="1"/>
    <xf numFmtId="167" fontId="12" fillId="0" borderId="25" xfId="0" applyNumberFormat="1" applyFont="1" applyFill="1" applyBorder="1"/>
    <xf numFmtId="167" fontId="10" fillId="0" borderId="24" xfId="0" applyNumberFormat="1" applyFont="1" applyFill="1" applyBorder="1"/>
    <xf numFmtId="0" fontId="5" fillId="0" borderId="0" xfId="0" applyFont="1"/>
    <xf numFmtId="0" fontId="16" fillId="6" borderId="0" xfId="0" applyFont="1" applyFill="1"/>
    <xf numFmtId="171" fontId="16" fillId="6" borderId="0" xfId="0" applyNumberFormat="1" applyFont="1" applyFill="1"/>
    <xf numFmtId="171" fontId="18" fillId="3" borderId="0" xfId="0" applyNumberFormat="1" applyFont="1" applyFill="1"/>
    <xf numFmtId="171" fontId="10" fillId="0" borderId="0" xfId="0" applyNumberFormat="1" applyFont="1"/>
    <xf numFmtId="171" fontId="10" fillId="3" borderId="0" xfId="0" applyNumberFormat="1" applyFont="1" applyFill="1"/>
    <xf numFmtId="0" fontId="6" fillId="0" borderId="0" xfId="0" applyFont="1"/>
    <xf numFmtId="0" fontId="5" fillId="4" borderId="12" xfId="0" applyFont="1" applyFill="1" applyBorder="1"/>
    <xf numFmtId="0" fontId="5" fillId="4" borderId="0" xfId="0" applyFont="1" applyFill="1"/>
    <xf numFmtId="1" fontId="5" fillId="4" borderId="0" xfId="0" applyNumberFormat="1" applyFont="1" applyFill="1"/>
    <xf numFmtId="172" fontId="5" fillId="4" borderId="0" xfId="0" applyNumberFormat="1" applyFont="1" applyFill="1"/>
    <xf numFmtId="0" fontId="4" fillId="4" borderId="0" xfId="0" applyFont="1" applyFill="1"/>
    <xf numFmtId="0" fontId="14" fillId="6" borderId="0" xfId="0" applyFont="1" applyFill="1"/>
    <xf numFmtId="0" fontId="4" fillId="4" borderId="2" xfId="0" applyFont="1" applyFill="1" applyBorder="1"/>
    <xf numFmtId="0" fontId="4" fillId="4" borderId="8" xfId="0" applyFont="1" applyFill="1" applyBorder="1"/>
    <xf numFmtId="173" fontId="4" fillId="4" borderId="3" xfId="0" applyNumberFormat="1" applyFont="1" applyFill="1" applyBorder="1"/>
    <xf numFmtId="0" fontId="4" fillId="4" borderId="6" xfId="0" applyFont="1" applyFill="1" applyBorder="1"/>
    <xf numFmtId="0" fontId="4" fillId="4" borderId="12" xfId="0" applyFont="1" applyFill="1" applyBorder="1"/>
    <xf numFmtId="173" fontId="4" fillId="4" borderId="7" xfId="0" applyNumberFormat="1" applyFont="1" applyFill="1" applyBorder="1"/>
    <xf numFmtId="9" fontId="5" fillId="4" borderId="5" xfId="0" applyNumberFormat="1" applyFont="1" applyFill="1" applyBorder="1"/>
    <xf numFmtId="0" fontId="5" fillId="0" borderId="0" xfId="0" applyFont="1" applyFill="1"/>
    <xf numFmtId="9" fontId="5" fillId="0" borderId="0" xfId="0" applyNumberFormat="1" applyFont="1" applyFill="1"/>
    <xf numFmtId="0" fontId="4" fillId="4" borderId="24" xfId="0" applyFont="1" applyFill="1" applyBorder="1"/>
    <xf numFmtId="1" fontId="4" fillId="4" borderId="24" xfId="0" applyNumberFormat="1" applyFont="1" applyFill="1" applyBorder="1"/>
    <xf numFmtId="167" fontId="10" fillId="0" borderId="24" xfId="0" applyNumberFormat="1" applyFont="1" applyBorder="1"/>
    <xf numFmtId="9" fontId="19" fillId="3" borderId="3" xfId="0" applyNumberFormat="1" applyFont="1" applyFill="1" applyBorder="1"/>
    <xf numFmtId="0" fontId="4" fillId="4" borderId="4" xfId="0" applyFont="1" applyFill="1" applyBorder="1"/>
    <xf numFmtId="0" fontId="4" fillId="4" borderId="0" xfId="0" applyFont="1" applyFill="1" applyBorder="1"/>
    <xf numFmtId="9" fontId="19" fillId="3" borderId="5" xfId="0" applyNumberFormat="1" applyFont="1" applyFill="1" applyBorder="1"/>
    <xf numFmtId="0" fontId="5" fillId="4" borderId="4" xfId="0" applyFont="1" applyFill="1" applyBorder="1"/>
    <xf numFmtId="0" fontId="5" fillId="4" borderId="0" xfId="0" applyFont="1" applyFill="1" applyBorder="1"/>
    <xf numFmtId="0" fontId="5" fillId="4" borderId="5" xfId="0" applyFont="1" applyFill="1" applyBorder="1"/>
    <xf numFmtId="167" fontId="10" fillId="0" borderId="5" xfId="0" applyNumberFormat="1" applyFont="1" applyBorder="1"/>
    <xf numFmtId="167" fontId="10" fillId="0" borderId="7" xfId="0" applyNumberFormat="1" applyFont="1" applyBorder="1"/>
    <xf numFmtId="167" fontId="12" fillId="0" borderId="5" xfId="0" applyNumberFormat="1" applyFont="1" applyBorder="1"/>
    <xf numFmtId="167" fontId="12" fillId="0" borderId="7" xfId="0" applyNumberFormat="1" applyFont="1" applyBorder="1"/>
    <xf numFmtId="1" fontId="14" fillId="4" borderId="0" xfId="0" applyNumberFormat="1" applyFont="1" applyFill="1"/>
    <xf numFmtId="167" fontId="10" fillId="0" borderId="2" xfId="0" applyNumberFormat="1" applyFont="1" applyBorder="1"/>
    <xf numFmtId="167" fontId="10" fillId="0" borderId="8" xfId="0" applyNumberFormat="1" applyFont="1" applyBorder="1"/>
    <xf numFmtId="167" fontId="10" fillId="0" borderId="3" xfId="0" applyNumberFormat="1" applyFont="1" applyBorder="1"/>
    <xf numFmtId="167" fontId="10" fillId="0" borderId="4" xfId="0" applyNumberFormat="1" applyFont="1" applyBorder="1"/>
    <xf numFmtId="167" fontId="10" fillId="0" borderId="6" xfId="0" applyNumberFormat="1" applyFont="1" applyBorder="1"/>
    <xf numFmtId="167" fontId="10" fillId="0" borderId="12" xfId="0" applyNumberFormat="1" applyFont="1" applyBorder="1"/>
    <xf numFmtId="167" fontId="10" fillId="2" borderId="0" xfId="0" applyNumberFormat="1" applyFont="1" applyFill="1" applyBorder="1"/>
    <xf numFmtId="167" fontId="12" fillId="2" borderId="0" xfId="0" applyNumberFormat="1" applyFont="1" applyFill="1" applyBorder="1"/>
    <xf numFmtId="0" fontId="7" fillId="4" borderId="0" xfId="0" applyFont="1" applyFill="1"/>
    <xf numFmtId="1" fontId="4" fillId="4" borderId="0" xfId="0" applyNumberFormat="1" applyFont="1" applyFill="1" applyBorder="1"/>
    <xf numFmtId="0" fontId="14" fillId="4" borderId="0" xfId="0" applyFont="1" applyFill="1"/>
    <xf numFmtId="0" fontId="7" fillId="4" borderId="12" xfId="0" applyFont="1" applyFill="1" applyBorder="1"/>
    <xf numFmtId="9" fontId="4" fillId="5" borderId="12" xfId="0" applyNumberFormat="1" applyFont="1" applyFill="1" applyBorder="1"/>
    <xf numFmtId="168" fontId="5" fillId="4" borderId="0" xfId="0" applyNumberFormat="1" applyFont="1" applyFill="1"/>
    <xf numFmtId="4" fontId="5" fillId="4" borderId="0" xfId="0" applyNumberFormat="1" applyFont="1" applyFill="1"/>
    <xf numFmtId="165" fontId="10" fillId="0" borderId="0" xfId="0" applyNumberFormat="1" applyFont="1" applyBorder="1"/>
    <xf numFmtId="165" fontId="16" fillId="6" borderId="20" xfId="0" applyNumberFormat="1" applyFont="1" applyFill="1" applyBorder="1"/>
    <xf numFmtId="164" fontId="20" fillId="0" borderId="0" xfId="0" applyNumberFormat="1" applyFont="1" applyFill="1" applyAlignment="1">
      <alignment horizontal="left" indent="1"/>
    </xf>
    <xf numFmtId="173" fontId="10" fillId="0" borderId="0" xfId="0" applyNumberFormat="1" applyFont="1"/>
    <xf numFmtId="173" fontId="11" fillId="0" borderId="0" xfId="0" applyNumberFormat="1" applyFont="1"/>
    <xf numFmtId="164" fontId="10" fillId="0" borderId="0" xfId="0" applyNumberFormat="1" applyFont="1" applyAlignment="1">
      <alignment horizontal="center"/>
    </xf>
    <xf numFmtId="164" fontId="12" fillId="0" borderId="2" xfId="0" applyNumberFormat="1" applyFont="1" applyBorder="1"/>
    <xf numFmtId="164" fontId="12" fillId="0" borderId="8" xfId="0" applyNumberFormat="1" applyFont="1" applyBorder="1"/>
    <xf numFmtId="164" fontId="12" fillId="0" borderId="3" xfId="0" applyNumberFormat="1" applyFont="1" applyBorder="1"/>
    <xf numFmtId="164" fontId="12" fillId="0" borderId="6" xfId="0" applyNumberFormat="1" applyFont="1" applyBorder="1"/>
    <xf numFmtId="164" fontId="12" fillId="0" borderId="12" xfId="0" applyNumberFormat="1" applyFont="1" applyBorder="1"/>
    <xf numFmtId="164" fontId="12" fillId="0" borderId="7" xfId="0" applyNumberFormat="1" applyFont="1" applyBorder="1"/>
    <xf numFmtId="164" fontId="11" fillId="0" borderId="0" xfId="0" applyNumberFormat="1" applyFont="1" applyAlignment="1">
      <alignment horizontal="center"/>
    </xf>
    <xf numFmtId="164" fontId="16" fillId="6" borderId="0" xfId="0" applyNumberFormat="1" applyFont="1" applyFill="1" applyBorder="1" applyAlignment="1">
      <alignment horizontal="left"/>
    </xf>
    <xf numFmtId="171" fontId="11" fillId="0" borderId="0" xfId="0" applyNumberFormat="1" applyFont="1" applyAlignment="1">
      <alignment horizontal="center"/>
    </xf>
    <xf numFmtId="167" fontId="16" fillId="6" borderId="0" xfId="0" applyNumberFormat="1" applyFont="1" applyFill="1"/>
    <xf numFmtId="167" fontId="14" fillId="6" borderId="0" xfId="0" applyNumberFormat="1" applyFont="1" applyFill="1"/>
    <xf numFmtId="165" fontId="16" fillId="6" borderId="26" xfId="0" applyNumberFormat="1" applyFont="1" applyFill="1" applyBorder="1"/>
    <xf numFmtId="165" fontId="16" fillId="6" borderId="13" xfId="0" applyNumberFormat="1" applyFont="1" applyFill="1" applyBorder="1"/>
    <xf numFmtId="165" fontId="10" fillId="7" borderId="13" xfId="0" applyNumberFormat="1" applyFont="1" applyFill="1" applyBorder="1"/>
    <xf numFmtId="167" fontId="10" fillId="7" borderId="13" xfId="0" applyNumberFormat="1" applyFont="1" applyFill="1" applyBorder="1"/>
    <xf numFmtId="9" fontId="11" fillId="7" borderId="13" xfId="0" applyNumberFormat="1" applyFont="1" applyFill="1" applyBorder="1"/>
    <xf numFmtId="167" fontId="21" fillId="7" borderId="13" xfId="0" applyNumberFormat="1" applyFont="1" applyFill="1" applyBorder="1"/>
    <xf numFmtId="167" fontId="12" fillId="7" borderId="14" xfId="0" applyNumberFormat="1" applyFont="1" applyFill="1" applyBorder="1"/>
    <xf numFmtId="167" fontId="12" fillId="7" borderId="13" xfId="0" applyNumberFormat="1" applyFont="1" applyFill="1" applyBorder="1"/>
    <xf numFmtId="167" fontId="5" fillId="4" borderId="0" xfId="0" applyNumberFormat="1" applyFont="1" applyFill="1"/>
    <xf numFmtId="173" fontId="5" fillId="4" borderId="0" xfId="0" applyNumberFormat="1" applyFont="1" applyFill="1"/>
    <xf numFmtId="0" fontId="5" fillId="4" borderId="24" xfId="0" applyFont="1" applyFill="1" applyBorder="1"/>
    <xf numFmtId="174" fontId="4" fillId="4" borderId="24" xfId="0" applyNumberFormat="1" applyFont="1" applyFill="1" applyBorder="1"/>
    <xf numFmtId="174" fontId="10" fillId="0" borderId="24" xfId="0" applyNumberFormat="1" applyFont="1" applyBorder="1"/>
    <xf numFmtId="174" fontId="5" fillId="4" borderId="0" xfId="0" applyNumberFormat="1" applyFont="1" applyFill="1" applyBorder="1"/>
    <xf numFmtId="174" fontId="10" fillId="0" borderId="0" xfId="0" applyNumberFormat="1" applyFont="1" applyBorder="1"/>
    <xf numFmtId="174" fontId="5" fillId="4" borderId="0" xfId="0" applyNumberFormat="1" applyFont="1" applyFill="1"/>
    <xf numFmtId="174" fontId="10" fillId="0" borderId="0" xfId="0" applyNumberFormat="1" applyFont="1"/>
    <xf numFmtId="174" fontId="4" fillId="4" borderId="0" xfId="0" applyNumberFormat="1" applyFont="1" applyFill="1"/>
    <xf numFmtId="14" fontId="14" fillId="4" borderId="0" xfId="0" applyNumberFormat="1" applyFont="1" applyFill="1"/>
    <xf numFmtId="0" fontId="4" fillId="7" borderId="9" xfId="0" applyFont="1" applyFill="1" applyBorder="1"/>
    <xf numFmtId="0" fontId="12" fillId="7" borderId="11" xfId="0" applyFont="1" applyFill="1" applyBorder="1"/>
    <xf numFmtId="9" fontId="12" fillId="7" borderId="10" xfId="0" applyNumberFormat="1" applyFont="1" applyFill="1" applyBorder="1"/>
    <xf numFmtId="0" fontId="12" fillId="0" borderId="0" xfId="0" applyFont="1"/>
    <xf numFmtId="173" fontId="12" fillId="0" borderId="0" xfId="0" applyNumberFormat="1" applyFont="1"/>
    <xf numFmtId="0" fontId="10" fillId="0" borderId="0" xfId="0" applyFont="1" applyAlignment="1">
      <alignment horizontal="right"/>
    </xf>
    <xf numFmtId="167" fontId="14" fillId="0" borderId="0" xfId="0" applyNumberFormat="1" applyFont="1"/>
    <xf numFmtId="168" fontId="10" fillId="0" borderId="0" xfId="0" applyNumberFormat="1" applyFont="1"/>
    <xf numFmtId="9" fontId="10" fillId="2" borderId="0" xfId="0" applyNumberFormat="1" applyFont="1" applyFill="1"/>
    <xf numFmtId="168" fontId="10" fillId="2" borderId="0" xfId="0" applyNumberFormat="1" applyFont="1" applyFill="1"/>
    <xf numFmtId="0" fontId="10" fillId="0" borderId="0" xfId="0" applyFont="1" applyAlignment="1">
      <alignment horizontal="left"/>
    </xf>
    <xf numFmtId="171" fontId="10" fillId="0" borderId="0" xfId="1" applyNumberFormat="1" applyFont="1"/>
    <xf numFmtId="10" fontId="10" fillId="0" borderId="0" xfId="1" applyNumberFormat="1" applyFont="1"/>
    <xf numFmtId="0" fontId="22" fillId="5" borderId="2" xfId="0" applyFont="1" applyFill="1" applyBorder="1"/>
    <xf numFmtId="0" fontId="23" fillId="3" borderId="3" xfId="0" applyFont="1" applyFill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22" fillId="0" borderId="0" xfId="0" applyFont="1"/>
    <xf numFmtId="0" fontId="24" fillId="3" borderId="0" xfId="0" applyFont="1" applyFill="1" applyAlignment="1">
      <alignment horizontal="left"/>
    </xf>
    <xf numFmtId="0" fontId="22" fillId="0" borderId="27" xfId="0" applyFont="1" applyBorder="1"/>
    <xf numFmtId="171" fontId="0" fillId="0" borderId="0" xfId="0" applyNumberFormat="1"/>
    <xf numFmtId="171" fontId="24" fillId="3" borderId="0" xfId="0" applyNumberFormat="1" applyFont="1" applyFill="1"/>
    <xf numFmtId="167" fontId="25" fillId="0" borderId="0" xfId="0" applyNumberFormat="1" applyFont="1"/>
    <xf numFmtId="171" fontId="4" fillId="5" borderId="5" xfId="0" applyNumberFormat="1" applyFont="1" applyFill="1" applyBorder="1" applyAlignment="1">
      <alignment horizontal="center"/>
    </xf>
    <xf numFmtId="167" fontId="10" fillId="3" borderId="0" xfId="0" applyNumberFormat="1" applyFont="1" applyFill="1" applyBorder="1"/>
    <xf numFmtId="171" fontId="11" fillId="0" borderId="0" xfId="0" applyNumberFormat="1" applyFont="1"/>
    <xf numFmtId="0" fontId="26" fillId="6" borderId="0" xfId="0" applyFont="1" applyFill="1" applyAlignment="1">
      <alignment horizontal="center"/>
    </xf>
    <xf numFmtId="0" fontId="4" fillId="8" borderId="0" xfId="0" applyFont="1" applyFill="1" applyAlignment="1">
      <alignment horizontal="center" vertical="center" textRotation="90"/>
    </xf>
    <xf numFmtId="0" fontId="16" fillId="6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4" fillId="8" borderId="0" xfId="0" applyFont="1" applyFill="1" applyAlignment="1">
      <alignment horizontal="center"/>
    </xf>
    <xf numFmtId="0" fontId="1" fillId="9" borderId="0" xfId="2" applyFill="1"/>
    <xf numFmtId="0" fontId="1" fillId="0" borderId="28" xfId="2" applyFill="1" applyBorder="1"/>
    <xf numFmtId="0" fontId="1" fillId="0" borderId="29" xfId="2" applyFill="1" applyBorder="1"/>
    <xf numFmtId="0" fontId="1" fillId="0" borderId="30" xfId="2" applyFill="1" applyBorder="1"/>
    <xf numFmtId="0" fontId="1" fillId="0" borderId="31" xfId="2" applyFill="1" applyBorder="1"/>
    <xf numFmtId="0" fontId="1" fillId="0" borderId="0" xfId="2" applyFill="1" applyBorder="1"/>
    <xf numFmtId="0" fontId="1" fillId="0" borderId="32" xfId="2" applyFill="1" applyBorder="1"/>
    <xf numFmtId="0" fontId="29" fillId="0" borderId="0" xfId="2" applyFont="1" applyFill="1" applyBorder="1" applyAlignment="1">
      <alignment horizontal="center" vertical="center" wrapText="1"/>
    </xf>
    <xf numFmtId="0" fontId="29" fillId="0" borderId="0" xfId="2" applyFont="1" applyFill="1" applyBorder="1" applyAlignment="1">
      <alignment horizontal="center" vertical="center" wrapText="1"/>
    </xf>
    <xf numFmtId="0" fontId="29" fillId="10" borderId="0" xfId="2" applyFont="1" applyFill="1" applyBorder="1" applyAlignment="1">
      <alignment horizontal="center"/>
    </xf>
    <xf numFmtId="0" fontId="29" fillId="0" borderId="0" xfId="2" applyFont="1" applyFill="1" applyBorder="1" applyAlignment="1">
      <alignment horizontal="center"/>
    </xf>
    <xf numFmtId="0" fontId="31" fillId="0" borderId="0" xfId="3" applyFont="1" applyFill="1" applyBorder="1" applyAlignment="1"/>
    <xf numFmtId="0" fontId="30" fillId="0" borderId="0" xfId="3" applyFill="1" applyBorder="1"/>
    <xf numFmtId="0" fontId="32" fillId="0" borderId="0" xfId="3" applyFont="1" applyFill="1" applyBorder="1"/>
    <xf numFmtId="0" fontId="32" fillId="0" borderId="0" xfId="3" applyFont="1" applyFill="1" applyBorder="1" applyAlignment="1"/>
    <xf numFmtId="0" fontId="33" fillId="0" borderId="0" xfId="3" applyFont="1" applyFill="1" applyBorder="1" applyAlignment="1">
      <alignment wrapText="1"/>
    </xf>
    <xf numFmtId="0" fontId="28" fillId="0" borderId="31" xfId="2" applyFont="1" applyFill="1" applyBorder="1" applyAlignment="1">
      <alignment wrapText="1"/>
    </xf>
    <xf numFmtId="0" fontId="28" fillId="0" borderId="0" xfId="2" applyFont="1" applyFill="1" applyBorder="1" applyAlignment="1">
      <alignment wrapText="1"/>
    </xf>
    <xf numFmtId="0" fontId="30" fillId="0" borderId="0" xfId="3" applyFill="1" applyBorder="1" applyAlignment="1">
      <alignment wrapText="1"/>
    </xf>
    <xf numFmtId="0" fontId="1" fillId="0" borderId="33" xfId="2" applyFill="1" applyBorder="1"/>
    <xf numFmtId="0" fontId="1" fillId="0" borderId="34" xfId="2" applyFill="1" applyBorder="1"/>
    <xf numFmtId="0" fontId="1" fillId="0" borderId="35" xfId="2" applyFill="1" applyBorder="1"/>
  </cellXfs>
  <cellStyles count="4">
    <cellStyle name="Hyperlink" xfId="3" builtinId="8"/>
    <cellStyle name="Normal" xfId="0" builtinId="0"/>
    <cellStyle name="Normal 2" xfId="2"/>
    <cellStyle name="Per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Relationship Id="rId1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noFill/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Field'!$D$14:$D$17</c:f>
              <c:numCache>
                <c:formatCode>General</c:formatCode>
                <c:ptCount val="4"/>
                <c:pt idx="0">
                  <c:v>440.0</c:v>
                </c:pt>
                <c:pt idx="1">
                  <c:v>510.0</c:v>
                </c:pt>
                <c:pt idx="2">
                  <c:v>550.0</c:v>
                </c:pt>
                <c:pt idx="3">
                  <c:v>396.242491565028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25-514A-B0B4-61B3928DBD0E}"/>
            </c:ext>
          </c:extLst>
        </c:ser>
        <c:ser>
          <c:idx val="1"/>
          <c:order val="1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0.0569232283464567"/>
                  <c:y val="0.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490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325-514A-B0B4-61B3928DBD0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.0686590113735783"/>
                  <c:y val="0.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580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325-514A-B0B4-61B3928DBD0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.151789807524059"/>
                  <c:y val="4.24377813600667E-17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750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325-514A-B0B4-61B3928DBD0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0796417322834646"/>
                  <c:y val="0.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476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1325-514A-B0B4-61B3928DBD0E}"/>
                </c:ex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Field'!$E$14:$E$17</c:f>
              <c:numCache>
                <c:formatCode>General</c:formatCode>
                <c:ptCount val="4"/>
                <c:pt idx="0">
                  <c:v>50.0</c:v>
                </c:pt>
                <c:pt idx="1">
                  <c:v>70.0</c:v>
                </c:pt>
                <c:pt idx="2">
                  <c:v>200.0</c:v>
                </c:pt>
                <c:pt idx="3">
                  <c:v>79.2484983130056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1325-514A-B0B4-61B3928DB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33439648"/>
        <c:axId val="1803296480"/>
      </c:barChart>
      <c:catAx>
        <c:axId val="1833439648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03296480"/>
        <c:crosses val="autoZero"/>
        <c:auto val="1"/>
        <c:lblAlgn val="ctr"/>
        <c:lblOffset val="100"/>
        <c:noMultiLvlLbl val="0"/>
      </c:catAx>
      <c:valAx>
        <c:axId val="1803296480"/>
        <c:scaling>
          <c:orientation val="minMax"/>
          <c:max val="800.0"/>
          <c:min val="300.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33439648"/>
        <c:crosses val="autoZero"/>
        <c:crossBetween val="between"/>
        <c:majorUnit val="100.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2514601</xdr:colOff>
      <xdr:row>1</xdr:row>
      <xdr:rowOff>177801</xdr:rowOff>
    </xdr:from>
    <xdr:to>
      <xdr:col>5</xdr:col>
      <xdr:colOff>2692401</xdr:colOff>
      <xdr:row>11</xdr:row>
      <xdr:rowOff>12701</xdr:rowOff>
    </xdr:to>
    <xdr:pic>
      <xdr:nvPicPr>
        <xdr:cNvPr id="2" name="Picture 1" descr="mage result for Wallstreetoasis logo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1564" b="23783"/>
        <a:stretch/>
      </xdr:blipFill>
      <xdr:spPr bwMode="auto">
        <a:xfrm>
          <a:off x="3352801" y="393701"/>
          <a:ext cx="5753100" cy="1866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3</xdr:row>
      <xdr:rowOff>101600</xdr:rowOff>
    </xdr:from>
    <xdr:to>
      <xdr:col>18</xdr:col>
      <xdr:colOff>342900</xdr:colOff>
      <xdr:row>17</xdr:row>
      <xdr:rowOff>177800</xdr:rowOff>
    </xdr:to>
    <xdr:graphicFrame macro="">
      <xdr:nvGraphicFramePr>
        <xdr:cNvPr id="23553" name="Chart 1">
          <a:extLst>
            <a:ext uri="{FF2B5EF4-FFF2-40B4-BE49-F238E27FC236}">
              <a16:creationId xmlns:a16="http://schemas.microsoft.com/office/drawing/2014/main" xmlns="" id="{AB16742E-176F-8C47-B602-6AAE0ED361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wallstreetoasis.com/industry-reports-wall-street-oasis" TargetMode="External"/><Relationship Id="rId4" Type="http://schemas.openxmlformats.org/officeDocument/2006/relationships/hyperlink" Target="https://www.wallstreetoasis.com/finance-interview-courses-wall-street-oasis" TargetMode="External"/><Relationship Id="rId5" Type="http://schemas.openxmlformats.org/officeDocument/2006/relationships/hyperlink" Target="https://www.wallstreetoasis.com/all-wso-templates" TargetMode="External"/><Relationship Id="rId6" Type="http://schemas.openxmlformats.org/officeDocument/2006/relationships/hyperlink" Target="https://www.wallstreetoasis.com/best-resume-review-service-finance-pros-help-your-cv" TargetMode="External"/><Relationship Id="rId7" Type="http://schemas.openxmlformats.org/officeDocument/2006/relationships/hyperlink" Target="https://www.wallstreetoasis.com/wall-street-mentors-finance-mock-interviews" TargetMode="External"/><Relationship Id="rId8" Type="http://schemas.openxmlformats.org/officeDocument/2006/relationships/hyperlink" Target="https://www.wallstreetoasis.com/the-talent-oasis" TargetMode="External"/><Relationship Id="rId9" Type="http://schemas.openxmlformats.org/officeDocument/2006/relationships/hyperlink" Target="https://www.wallstreetoasis.com/gmat-pill-promo-code-333-off-gmat-prep-discount" TargetMode="External"/><Relationship Id="rId10" Type="http://schemas.openxmlformats.org/officeDocument/2006/relationships/drawing" Target="../drawings/drawing1.xml"/><Relationship Id="rId1" Type="http://schemas.openxmlformats.org/officeDocument/2006/relationships/hyperlink" Target="https://www.wallstreetoasis.com/user/register" TargetMode="External"/><Relationship Id="rId2" Type="http://schemas.openxmlformats.org/officeDocument/2006/relationships/hyperlink" Target="https://www.wallstreetoasis.com/top-frequently-asked-questions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7.vml"/><Relationship Id="rId2" Type="http://schemas.openxmlformats.org/officeDocument/2006/relationships/comments" Target="../comments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Relationship Id="rId2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3.vml"/><Relationship Id="rId2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4.vml"/><Relationship Id="rId2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5.vml"/><Relationship Id="rId2" Type="http://schemas.openxmlformats.org/officeDocument/2006/relationships/comments" Target="../comments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6.vml"/><Relationship Id="rId2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R73"/>
  <sheetViews>
    <sheetView showGridLines="0" zoomScaleSheetLayoutView="100" workbookViewId="0">
      <selection activeCell="I13" sqref="I13"/>
    </sheetView>
  </sheetViews>
  <sheetFormatPr baseColWidth="10" defaultColWidth="8.83203125" defaultRowHeight="15" x14ac:dyDescent="0.2"/>
  <cols>
    <col min="1" max="1" width="2.6640625" customWidth="1"/>
    <col min="2" max="2" width="33.83203125" bestFit="1" customWidth="1"/>
  </cols>
  <sheetData>
    <row r="2" spans="2:18" x14ac:dyDescent="0.2">
      <c r="B2" s="225" t="s">
        <v>179</v>
      </c>
      <c r="C2" s="226">
        <v>1</v>
      </c>
    </row>
    <row r="3" spans="2:18" x14ac:dyDescent="0.2">
      <c r="B3" s="227" t="s">
        <v>180</v>
      </c>
      <c r="C3" s="228">
        <v>1</v>
      </c>
    </row>
    <row r="4" spans="2:18" x14ac:dyDescent="0.2">
      <c r="B4" s="227" t="s">
        <v>181</v>
      </c>
      <c r="C4" s="228">
        <v>2</v>
      </c>
    </row>
    <row r="5" spans="2:18" x14ac:dyDescent="0.2">
      <c r="B5" s="229" t="s">
        <v>182</v>
      </c>
      <c r="C5" s="230">
        <v>3</v>
      </c>
    </row>
    <row r="9" spans="2:18" x14ac:dyDescent="0.2">
      <c r="B9" s="240" t="s">
        <v>187</v>
      </c>
      <c r="C9" s="240"/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40"/>
      <c r="P9" s="240"/>
      <c r="Q9" s="240"/>
      <c r="R9" s="240"/>
    </row>
    <row r="11" spans="2:18" x14ac:dyDescent="0.2">
      <c r="B11" s="231" t="s">
        <v>188</v>
      </c>
    </row>
    <row r="12" spans="2:18" x14ac:dyDescent="0.2">
      <c r="B12" s="232">
        <f>$C$2</f>
        <v>1</v>
      </c>
      <c r="D12" s="233">
        <v>2007</v>
      </c>
      <c r="E12" s="233">
        <f>+D12+1</f>
        <v>2008</v>
      </c>
      <c r="F12" s="233">
        <f>+E12+1</f>
        <v>2009</v>
      </c>
      <c r="G12" s="233">
        <f t="shared" ref="G12:N12" si="0">+F12+1</f>
        <v>2010</v>
      </c>
      <c r="H12" s="233">
        <f t="shared" si="0"/>
        <v>2011</v>
      </c>
      <c r="I12" s="233">
        <f t="shared" si="0"/>
        <v>2012</v>
      </c>
      <c r="J12" s="233">
        <f t="shared" si="0"/>
        <v>2013</v>
      </c>
      <c r="K12" s="233">
        <f t="shared" si="0"/>
        <v>2014</v>
      </c>
      <c r="L12" s="233">
        <f t="shared" si="0"/>
        <v>2015</v>
      </c>
      <c r="M12" s="233">
        <f t="shared" si="0"/>
        <v>2016</v>
      </c>
      <c r="N12" s="233">
        <f t="shared" si="0"/>
        <v>2017</v>
      </c>
      <c r="O12" s="233">
        <f>+N12+1</f>
        <v>2018</v>
      </c>
      <c r="P12" s="233">
        <f>+O12+1</f>
        <v>2019</v>
      </c>
      <c r="Q12" s="233">
        <f>+P12+1</f>
        <v>2020</v>
      </c>
      <c r="R12" s="233">
        <f>+Q12+1</f>
        <v>2021</v>
      </c>
    </row>
    <row r="13" spans="2:18" x14ac:dyDescent="0.2">
      <c r="B13" t="s">
        <v>183</v>
      </c>
      <c r="D13" s="234"/>
      <c r="E13" s="234"/>
      <c r="F13" s="234"/>
      <c r="G13" s="234"/>
      <c r="H13" s="234"/>
      <c r="I13" s="234">
        <f t="shared" ref="I13:N13" si="1">CHOOSE($B12,I14,I15,I16)</f>
        <v>0.05</v>
      </c>
      <c r="J13" s="234">
        <f t="shared" si="1"/>
        <v>0.06</v>
      </c>
      <c r="K13" s="234">
        <f t="shared" si="1"/>
        <v>7.0000000000000007E-2</v>
      </c>
      <c r="L13" s="234">
        <f t="shared" si="1"/>
        <v>0.08</v>
      </c>
      <c r="M13" s="234">
        <f t="shared" si="1"/>
        <v>0.1</v>
      </c>
      <c r="N13" s="234">
        <f t="shared" si="1"/>
        <v>0.08</v>
      </c>
      <c r="O13" s="234">
        <f>CHOOSE($B12,O14,O15,O16)</f>
        <v>0.06</v>
      </c>
      <c r="P13" s="234">
        <f>CHOOSE($B12,P14,P15,P16)</f>
        <v>0.04</v>
      </c>
      <c r="Q13" s="234">
        <f>CHOOSE($B12,Q14,Q15,Q16)</f>
        <v>0.03</v>
      </c>
      <c r="R13" s="234">
        <f>CHOOSE($B12,R14,R15,R16)</f>
        <v>0.01</v>
      </c>
    </row>
    <row r="14" spans="2:18" x14ac:dyDescent="0.2">
      <c r="B14" t="s">
        <v>184</v>
      </c>
      <c r="D14" s="235"/>
      <c r="E14" s="235"/>
      <c r="F14" s="235"/>
      <c r="G14" s="235"/>
      <c r="H14" s="235"/>
      <c r="I14" s="235">
        <v>0.05</v>
      </c>
      <c r="J14" s="235">
        <v>0.06</v>
      </c>
      <c r="K14" s="235">
        <v>7.0000000000000007E-2</v>
      </c>
      <c r="L14" s="235">
        <v>0.08</v>
      </c>
      <c r="M14" s="235">
        <v>0.1</v>
      </c>
      <c r="N14" s="235">
        <v>0.08</v>
      </c>
      <c r="O14" s="235">
        <v>0.06</v>
      </c>
      <c r="P14" s="235">
        <v>0.04</v>
      </c>
      <c r="Q14" s="235">
        <v>0.03</v>
      </c>
      <c r="R14" s="235">
        <v>0.01</v>
      </c>
    </row>
    <row r="15" spans="2:18" x14ac:dyDescent="0.2">
      <c r="B15" t="s">
        <v>185</v>
      </c>
      <c r="D15" s="235"/>
      <c r="E15" s="235"/>
      <c r="F15" s="235"/>
      <c r="G15" s="235"/>
      <c r="H15" s="235"/>
      <c r="I15" s="235">
        <v>0.02</v>
      </c>
      <c r="J15" s="235">
        <v>0.02</v>
      </c>
      <c r="K15" s="235">
        <v>0.02</v>
      </c>
      <c r="L15" s="235">
        <v>0.02</v>
      </c>
      <c r="M15" s="235">
        <v>0.02</v>
      </c>
      <c r="N15" s="235">
        <v>0.02</v>
      </c>
      <c r="O15" s="235">
        <v>0.01</v>
      </c>
      <c r="P15" s="235">
        <v>0.01</v>
      </c>
      <c r="Q15" s="235">
        <v>0.01</v>
      </c>
      <c r="R15" s="235">
        <v>0.01</v>
      </c>
    </row>
    <row r="16" spans="2:18" x14ac:dyDescent="0.2">
      <c r="B16" t="s">
        <v>186</v>
      </c>
      <c r="D16" s="235"/>
      <c r="E16" s="235"/>
      <c r="F16" s="235"/>
      <c r="G16" s="235"/>
      <c r="H16" s="235"/>
      <c r="I16" s="235">
        <f>+I14+1%</f>
        <v>6.0000000000000005E-2</v>
      </c>
      <c r="J16" s="235">
        <f t="shared" ref="J16:R16" si="2">+J14+1%</f>
        <v>6.9999999999999993E-2</v>
      </c>
      <c r="K16" s="235">
        <f t="shared" si="2"/>
        <v>0.08</v>
      </c>
      <c r="L16" s="235">
        <f t="shared" si="2"/>
        <v>0.09</v>
      </c>
      <c r="M16" s="235">
        <f t="shared" si="2"/>
        <v>0.11</v>
      </c>
      <c r="N16" s="235">
        <f t="shared" si="2"/>
        <v>0.09</v>
      </c>
      <c r="O16" s="235">
        <f t="shared" si="2"/>
        <v>6.9999999999999993E-2</v>
      </c>
      <c r="P16" s="235">
        <f t="shared" si="2"/>
        <v>0.05</v>
      </c>
      <c r="Q16" s="235">
        <f t="shared" si="2"/>
        <v>0.04</v>
      </c>
      <c r="R16" s="235">
        <f t="shared" si="2"/>
        <v>0.02</v>
      </c>
    </row>
    <row r="19" spans="2:18" x14ac:dyDescent="0.2">
      <c r="B19" s="231" t="s">
        <v>189</v>
      </c>
    </row>
    <row r="20" spans="2:18" x14ac:dyDescent="0.2">
      <c r="B20" s="232">
        <f>$C$2</f>
        <v>1</v>
      </c>
      <c r="D20" s="233">
        <v>2007</v>
      </c>
      <c r="E20" s="233">
        <f t="shared" ref="E20:R20" si="3">+D20+1</f>
        <v>2008</v>
      </c>
      <c r="F20" s="233">
        <f t="shared" si="3"/>
        <v>2009</v>
      </c>
      <c r="G20" s="233">
        <f t="shared" si="3"/>
        <v>2010</v>
      </c>
      <c r="H20" s="233">
        <f t="shared" si="3"/>
        <v>2011</v>
      </c>
      <c r="I20" s="233">
        <f t="shared" si="3"/>
        <v>2012</v>
      </c>
      <c r="J20" s="233">
        <f t="shared" si="3"/>
        <v>2013</v>
      </c>
      <c r="K20" s="233">
        <f t="shared" si="3"/>
        <v>2014</v>
      </c>
      <c r="L20" s="233">
        <f t="shared" si="3"/>
        <v>2015</v>
      </c>
      <c r="M20" s="233">
        <f t="shared" si="3"/>
        <v>2016</v>
      </c>
      <c r="N20" s="233">
        <f t="shared" si="3"/>
        <v>2017</v>
      </c>
      <c r="O20" s="233">
        <f t="shared" si="3"/>
        <v>2018</v>
      </c>
      <c r="P20" s="233">
        <f t="shared" si="3"/>
        <v>2019</v>
      </c>
      <c r="Q20" s="233">
        <f t="shared" si="3"/>
        <v>2020</v>
      </c>
      <c r="R20" s="233">
        <f t="shared" si="3"/>
        <v>2021</v>
      </c>
    </row>
    <row r="21" spans="2:18" x14ac:dyDescent="0.2">
      <c r="B21" t="s">
        <v>183</v>
      </c>
      <c r="D21" s="234"/>
      <c r="E21" s="234"/>
      <c r="F21" s="234"/>
      <c r="G21" s="234"/>
      <c r="H21" s="234"/>
      <c r="I21" s="234">
        <f t="shared" ref="I21:N21" si="4">CHOOSE($B20,I22,I23,I24)</f>
        <v>0.04</v>
      </c>
      <c r="J21" s="234">
        <f t="shared" si="4"/>
        <v>0.05</v>
      </c>
      <c r="K21" s="234">
        <f t="shared" si="4"/>
        <v>0.06</v>
      </c>
      <c r="L21" s="234">
        <f t="shared" si="4"/>
        <v>7.0000000000000007E-2</v>
      </c>
      <c r="M21" s="234">
        <f t="shared" si="4"/>
        <v>0.08</v>
      </c>
      <c r="N21" s="234">
        <f t="shared" si="4"/>
        <v>7.0000000000000007E-2</v>
      </c>
      <c r="O21" s="234">
        <f>CHOOSE($B20,O22,O23,O24)</f>
        <v>0.06</v>
      </c>
      <c r="P21" s="234">
        <f>CHOOSE($B20,P22,P23,P24)</f>
        <v>0.05</v>
      </c>
      <c r="Q21" s="234">
        <f>CHOOSE($B20,Q22,Q23,Q24)</f>
        <v>0.03</v>
      </c>
      <c r="R21" s="234">
        <f>CHOOSE($B20,R22,R23,R24)</f>
        <v>0.01</v>
      </c>
    </row>
    <row r="22" spans="2:18" x14ac:dyDescent="0.2">
      <c r="B22" t="s">
        <v>184</v>
      </c>
      <c r="D22" s="235"/>
      <c r="E22" s="235"/>
      <c r="F22" s="235"/>
      <c r="G22" s="235"/>
      <c r="H22" s="235"/>
      <c r="I22" s="235">
        <v>0.04</v>
      </c>
      <c r="J22" s="235">
        <v>0.05</v>
      </c>
      <c r="K22" s="235">
        <v>0.06</v>
      </c>
      <c r="L22" s="235">
        <v>7.0000000000000007E-2</v>
      </c>
      <c r="M22" s="235">
        <v>0.08</v>
      </c>
      <c r="N22" s="235">
        <v>7.0000000000000007E-2</v>
      </c>
      <c r="O22" s="235">
        <v>0.06</v>
      </c>
      <c r="P22" s="235">
        <v>0.05</v>
      </c>
      <c r="Q22" s="235">
        <v>0.03</v>
      </c>
      <c r="R22" s="235">
        <v>0.01</v>
      </c>
    </row>
    <row r="23" spans="2:18" x14ac:dyDescent="0.2">
      <c r="B23" t="s">
        <v>185</v>
      </c>
      <c r="D23" s="235"/>
      <c r="E23" s="235"/>
      <c r="F23" s="235"/>
      <c r="G23" s="235"/>
      <c r="H23" s="235"/>
      <c r="I23" s="235">
        <v>0.02</v>
      </c>
      <c r="J23" s="235">
        <v>0.02</v>
      </c>
      <c r="K23" s="235">
        <v>0.02</v>
      </c>
      <c r="L23" s="235">
        <v>0.02</v>
      </c>
      <c r="M23" s="235">
        <v>0.02</v>
      </c>
      <c r="N23" s="235">
        <v>0.02</v>
      </c>
      <c r="O23" s="235">
        <v>0.01</v>
      </c>
      <c r="P23" s="235">
        <v>0.01</v>
      </c>
      <c r="Q23" s="235">
        <v>0.01</v>
      </c>
      <c r="R23" s="235">
        <v>0.01</v>
      </c>
    </row>
    <row r="24" spans="2:18" x14ac:dyDescent="0.2">
      <c r="B24" t="s">
        <v>186</v>
      </c>
      <c r="D24" s="235"/>
      <c r="E24" s="235"/>
      <c r="F24" s="235"/>
      <c r="G24" s="235"/>
      <c r="H24" s="235"/>
      <c r="I24" s="235">
        <f>+I22+1%</f>
        <v>0.05</v>
      </c>
      <c r="J24" s="235">
        <f t="shared" ref="J24:R24" si="5">+J22+1%</f>
        <v>6.0000000000000005E-2</v>
      </c>
      <c r="K24" s="235">
        <f t="shared" si="5"/>
        <v>6.9999999999999993E-2</v>
      </c>
      <c r="L24" s="235">
        <f t="shared" si="5"/>
        <v>0.08</v>
      </c>
      <c r="M24" s="235">
        <f t="shared" si="5"/>
        <v>0.09</v>
      </c>
      <c r="N24" s="235">
        <f t="shared" si="5"/>
        <v>0.08</v>
      </c>
      <c r="O24" s="235">
        <f t="shared" si="5"/>
        <v>6.9999999999999993E-2</v>
      </c>
      <c r="P24" s="235">
        <f t="shared" si="5"/>
        <v>6.0000000000000005E-2</v>
      </c>
      <c r="Q24" s="235">
        <f t="shared" si="5"/>
        <v>0.04</v>
      </c>
      <c r="R24" s="235">
        <f t="shared" si="5"/>
        <v>0.02</v>
      </c>
    </row>
    <row r="27" spans="2:18" x14ac:dyDescent="0.2">
      <c r="B27" s="231" t="s">
        <v>190</v>
      </c>
    </row>
    <row r="28" spans="2:18" x14ac:dyDescent="0.2">
      <c r="B28" s="232">
        <f>$C$2</f>
        <v>1</v>
      </c>
      <c r="D28" s="233">
        <v>2007</v>
      </c>
      <c r="E28" s="233">
        <f t="shared" ref="E28:R28" si="6">+D28+1</f>
        <v>2008</v>
      </c>
      <c r="F28" s="233">
        <f t="shared" si="6"/>
        <v>2009</v>
      </c>
      <c r="G28" s="233">
        <f t="shared" si="6"/>
        <v>2010</v>
      </c>
      <c r="H28" s="233">
        <f t="shared" si="6"/>
        <v>2011</v>
      </c>
      <c r="I28" s="233">
        <f t="shared" si="6"/>
        <v>2012</v>
      </c>
      <c r="J28" s="233">
        <f t="shared" si="6"/>
        <v>2013</v>
      </c>
      <c r="K28" s="233">
        <f t="shared" si="6"/>
        <v>2014</v>
      </c>
      <c r="L28" s="233">
        <f t="shared" si="6"/>
        <v>2015</v>
      </c>
      <c r="M28" s="233">
        <f t="shared" si="6"/>
        <v>2016</v>
      </c>
      <c r="N28" s="233">
        <f t="shared" si="6"/>
        <v>2017</v>
      </c>
      <c r="O28" s="233">
        <f t="shared" si="6"/>
        <v>2018</v>
      </c>
      <c r="P28" s="233">
        <f t="shared" si="6"/>
        <v>2019</v>
      </c>
      <c r="Q28" s="233">
        <f t="shared" si="6"/>
        <v>2020</v>
      </c>
      <c r="R28" s="233">
        <f t="shared" si="6"/>
        <v>2021</v>
      </c>
    </row>
    <row r="29" spans="2:18" x14ac:dyDescent="0.2">
      <c r="B29" t="s">
        <v>183</v>
      </c>
      <c r="D29" s="234"/>
      <c r="E29" s="234"/>
      <c r="F29" s="234"/>
      <c r="G29" s="234"/>
      <c r="H29" s="234"/>
      <c r="I29" s="234">
        <f t="shared" ref="I29:N29" si="7">CHOOSE($B28,I30,I31,I32)</f>
        <v>4.4999999999999998E-2</v>
      </c>
      <c r="J29" s="234">
        <f t="shared" si="7"/>
        <v>0.05</v>
      </c>
      <c r="K29" s="234">
        <f t="shared" si="7"/>
        <v>5.5E-2</v>
      </c>
      <c r="L29" s="234">
        <f t="shared" si="7"/>
        <v>0.06</v>
      </c>
      <c r="M29" s="234">
        <f t="shared" si="7"/>
        <v>0.06</v>
      </c>
      <c r="N29" s="234">
        <f t="shared" si="7"/>
        <v>0.05</v>
      </c>
      <c r="O29" s="234">
        <f>CHOOSE($B28,O30,O31,O32)</f>
        <v>0.04</v>
      </c>
      <c r="P29" s="234">
        <f>CHOOSE($B28,P30,P31,P32)</f>
        <v>0.03</v>
      </c>
      <c r="Q29" s="234">
        <f>CHOOSE($B28,Q30,Q31,Q32)</f>
        <v>0.02</v>
      </c>
      <c r="R29" s="234">
        <f>CHOOSE($B28,R30,R31,R32)</f>
        <v>0.01</v>
      </c>
    </row>
    <row r="30" spans="2:18" x14ac:dyDescent="0.2">
      <c r="B30" t="s">
        <v>184</v>
      </c>
      <c r="D30" s="235"/>
      <c r="E30" s="235"/>
      <c r="F30" s="235"/>
      <c r="G30" s="235"/>
      <c r="H30" s="235"/>
      <c r="I30" s="235">
        <v>4.4999999999999998E-2</v>
      </c>
      <c r="J30" s="235">
        <v>0.05</v>
      </c>
      <c r="K30" s="235">
        <v>5.5E-2</v>
      </c>
      <c r="L30" s="235">
        <v>0.06</v>
      </c>
      <c r="M30" s="235">
        <v>0.06</v>
      </c>
      <c r="N30" s="235">
        <v>0.05</v>
      </c>
      <c r="O30" s="235">
        <v>0.04</v>
      </c>
      <c r="P30" s="235">
        <v>0.03</v>
      </c>
      <c r="Q30" s="235">
        <v>0.02</v>
      </c>
      <c r="R30" s="235">
        <v>0.01</v>
      </c>
    </row>
    <row r="31" spans="2:18" x14ac:dyDescent="0.2">
      <c r="B31" t="s">
        <v>185</v>
      </c>
      <c r="D31" s="235"/>
      <c r="E31" s="235"/>
      <c r="F31" s="235"/>
      <c r="G31" s="235"/>
      <c r="H31" s="235"/>
      <c r="I31" s="235">
        <v>0.02</v>
      </c>
      <c r="J31" s="235">
        <v>0.02</v>
      </c>
      <c r="K31" s="235">
        <v>0.02</v>
      </c>
      <c r="L31" s="235">
        <v>0.02</v>
      </c>
      <c r="M31" s="235">
        <v>0.02</v>
      </c>
      <c r="N31" s="235">
        <v>0.02</v>
      </c>
      <c r="O31" s="235">
        <v>0.01</v>
      </c>
      <c r="P31" s="235">
        <v>0.01</v>
      </c>
      <c r="Q31" s="235">
        <v>0.01</v>
      </c>
      <c r="R31" s="235">
        <v>0.01</v>
      </c>
    </row>
    <row r="32" spans="2:18" x14ac:dyDescent="0.2">
      <c r="B32" t="s">
        <v>186</v>
      </c>
      <c r="D32" s="235"/>
      <c r="E32" s="235"/>
      <c r="F32" s="235"/>
      <c r="G32" s="235"/>
      <c r="H32" s="235"/>
      <c r="I32" s="235">
        <f>+I30+1%</f>
        <v>5.5E-2</v>
      </c>
      <c r="J32" s="235">
        <f t="shared" ref="J32:R32" si="8">+J30+1%</f>
        <v>6.0000000000000005E-2</v>
      </c>
      <c r="K32" s="235">
        <f t="shared" si="8"/>
        <v>6.5000000000000002E-2</v>
      </c>
      <c r="L32" s="235">
        <f t="shared" si="8"/>
        <v>6.9999999999999993E-2</v>
      </c>
      <c r="M32" s="235">
        <f t="shared" si="8"/>
        <v>6.9999999999999993E-2</v>
      </c>
      <c r="N32" s="235">
        <f t="shared" si="8"/>
        <v>6.0000000000000005E-2</v>
      </c>
      <c r="O32" s="235">
        <f t="shared" si="8"/>
        <v>0.05</v>
      </c>
      <c r="P32" s="235">
        <f t="shared" si="8"/>
        <v>0.04</v>
      </c>
      <c r="Q32" s="235">
        <f t="shared" si="8"/>
        <v>0.03</v>
      </c>
      <c r="R32" s="235">
        <f t="shared" si="8"/>
        <v>0.02</v>
      </c>
    </row>
    <row r="35" spans="2:18" x14ac:dyDescent="0.2">
      <c r="B35" s="231" t="s">
        <v>191</v>
      </c>
    </row>
    <row r="36" spans="2:18" x14ac:dyDescent="0.2">
      <c r="B36" s="232">
        <f>$C$2</f>
        <v>1</v>
      </c>
      <c r="D36" s="233">
        <v>2007</v>
      </c>
      <c r="E36" s="233">
        <f t="shared" ref="E36:R36" si="9">+D36+1</f>
        <v>2008</v>
      </c>
      <c r="F36" s="233">
        <f t="shared" si="9"/>
        <v>2009</v>
      </c>
      <c r="G36" s="233">
        <f t="shared" si="9"/>
        <v>2010</v>
      </c>
      <c r="H36" s="233">
        <f t="shared" si="9"/>
        <v>2011</v>
      </c>
      <c r="I36" s="233">
        <f t="shared" si="9"/>
        <v>2012</v>
      </c>
      <c r="J36" s="233">
        <f t="shared" si="9"/>
        <v>2013</v>
      </c>
      <c r="K36" s="233">
        <f t="shared" si="9"/>
        <v>2014</v>
      </c>
      <c r="L36" s="233">
        <f t="shared" si="9"/>
        <v>2015</v>
      </c>
      <c r="M36" s="233">
        <f t="shared" si="9"/>
        <v>2016</v>
      </c>
      <c r="N36" s="233">
        <f t="shared" si="9"/>
        <v>2017</v>
      </c>
      <c r="O36" s="233">
        <f t="shared" si="9"/>
        <v>2018</v>
      </c>
      <c r="P36" s="233">
        <f t="shared" si="9"/>
        <v>2019</v>
      </c>
      <c r="Q36" s="233">
        <f t="shared" si="9"/>
        <v>2020</v>
      </c>
      <c r="R36" s="233">
        <f t="shared" si="9"/>
        <v>2021</v>
      </c>
    </row>
    <row r="37" spans="2:18" x14ac:dyDescent="0.2">
      <c r="B37" t="s">
        <v>183</v>
      </c>
      <c r="D37" s="234"/>
      <c r="E37" s="234"/>
      <c r="F37" s="234"/>
      <c r="G37" s="234"/>
      <c r="H37" s="234"/>
      <c r="I37" s="234">
        <f t="shared" ref="I37:N37" si="10">CHOOSE($B36,I38,I39,I40)</f>
        <v>0.1</v>
      </c>
      <c r="J37" s="234">
        <f t="shared" si="10"/>
        <v>0.11</v>
      </c>
      <c r="K37" s="234">
        <f t="shared" si="10"/>
        <v>0.12</v>
      </c>
      <c r="L37" s="234">
        <f t="shared" si="10"/>
        <v>0.14000000000000001</v>
      </c>
      <c r="M37" s="234">
        <f t="shared" si="10"/>
        <v>0.15</v>
      </c>
      <c r="N37" s="234">
        <f t="shared" si="10"/>
        <v>0.12</v>
      </c>
      <c r="O37" s="234">
        <f>CHOOSE($B36,O38,O39,O40)</f>
        <v>0.08</v>
      </c>
      <c r="P37" s="234">
        <f>CHOOSE($B36,P38,P39,P40)</f>
        <v>0.05</v>
      </c>
      <c r="Q37" s="234">
        <f>CHOOSE($B36,Q38,Q39,Q40)</f>
        <v>0.03</v>
      </c>
      <c r="R37" s="234">
        <f>CHOOSE($B36,R38,R39,R40)</f>
        <v>0.01</v>
      </c>
    </row>
    <row r="38" spans="2:18" x14ac:dyDescent="0.2">
      <c r="B38" t="s">
        <v>184</v>
      </c>
      <c r="D38" s="235"/>
      <c r="E38" s="235"/>
      <c r="F38" s="235"/>
      <c r="G38" s="235"/>
      <c r="H38" s="235"/>
      <c r="I38" s="235">
        <v>0.1</v>
      </c>
      <c r="J38" s="235">
        <v>0.11</v>
      </c>
      <c r="K38" s="235">
        <v>0.12</v>
      </c>
      <c r="L38" s="235">
        <v>0.14000000000000001</v>
      </c>
      <c r="M38" s="235">
        <v>0.15</v>
      </c>
      <c r="N38" s="235">
        <v>0.12</v>
      </c>
      <c r="O38" s="235">
        <v>0.08</v>
      </c>
      <c r="P38" s="235">
        <v>0.05</v>
      </c>
      <c r="Q38" s="235">
        <v>0.03</v>
      </c>
      <c r="R38" s="235">
        <v>0.01</v>
      </c>
    </row>
    <row r="39" spans="2:18" x14ac:dyDescent="0.2">
      <c r="B39" t="s">
        <v>185</v>
      </c>
      <c r="D39" s="235"/>
      <c r="E39" s="235"/>
      <c r="F39" s="235"/>
      <c r="G39" s="235"/>
      <c r="H39" s="235"/>
      <c r="I39" s="235">
        <v>0.05</v>
      </c>
      <c r="J39" s="235">
        <v>0.04</v>
      </c>
      <c r="K39" s="235">
        <v>0.03</v>
      </c>
      <c r="L39" s="235">
        <v>0.02</v>
      </c>
      <c r="M39" s="235">
        <v>0.02</v>
      </c>
      <c r="N39" s="235">
        <v>0.02</v>
      </c>
      <c r="O39" s="235">
        <v>0.02</v>
      </c>
      <c r="P39" s="235">
        <v>0.02</v>
      </c>
      <c r="Q39" s="235">
        <v>0.01</v>
      </c>
      <c r="R39" s="235">
        <v>0.01</v>
      </c>
    </row>
    <row r="40" spans="2:18" x14ac:dyDescent="0.2">
      <c r="B40" t="s">
        <v>186</v>
      </c>
      <c r="D40" s="235"/>
      <c r="E40" s="235"/>
      <c r="F40" s="235"/>
      <c r="G40" s="235"/>
      <c r="H40" s="235"/>
      <c r="I40" s="235">
        <f>+I38+1%</f>
        <v>0.11</v>
      </c>
      <c r="J40" s="235">
        <f t="shared" ref="J40:R40" si="11">+J38+1%</f>
        <v>0.12</v>
      </c>
      <c r="K40" s="235">
        <f t="shared" si="11"/>
        <v>0.13</v>
      </c>
      <c r="L40" s="235">
        <f t="shared" si="11"/>
        <v>0.15000000000000002</v>
      </c>
      <c r="M40" s="235">
        <f t="shared" si="11"/>
        <v>0.16</v>
      </c>
      <c r="N40" s="235">
        <f t="shared" si="11"/>
        <v>0.13</v>
      </c>
      <c r="O40" s="235">
        <f t="shared" si="11"/>
        <v>0.09</v>
      </c>
      <c r="P40" s="235">
        <f t="shared" si="11"/>
        <v>6.0000000000000005E-2</v>
      </c>
      <c r="Q40" s="235">
        <f t="shared" si="11"/>
        <v>0.04</v>
      </c>
      <c r="R40" s="235">
        <f t="shared" si="11"/>
        <v>0.02</v>
      </c>
    </row>
    <row r="43" spans="2:18" x14ac:dyDescent="0.2">
      <c r="B43" s="231" t="s">
        <v>192</v>
      </c>
    </row>
    <row r="44" spans="2:18" x14ac:dyDescent="0.2">
      <c r="B44" s="232">
        <f>$C$2</f>
        <v>1</v>
      </c>
      <c r="D44" s="233">
        <v>2007</v>
      </c>
      <c r="E44" s="233">
        <f t="shared" ref="E44:R44" si="12">+D44+1</f>
        <v>2008</v>
      </c>
      <c r="F44" s="233">
        <f t="shared" si="12"/>
        <v>2009</v>
      </c>
      <c r="G44" s="233">
        <f t="shared" si="12"/>
        <v>2010</v>
      </c>
      <c r="H44" s="233">
        <f t="shared" si="12"/>
        <v>2011</v>
      </c>
      <c r="I44" s="233">
        <f t="shared" si="12"/>
        <v>2012</v>
      </c>
      <c r="J44" s="233">
        <f t="shared" si="12"/>
        <v>2013</v>
      </c>
      <c r="K44" s="233">
        <f t="shared" si="12"/>
        <v>2014</v>
      </c>
      <c r="L44" s="233">
        <f t="shared" si="12"/>
        <v>2015</v>
      </c>
      <c r="M44" s="233">
        <f t="shared" si="12"/>
        <v>2016</v>
      </c>
      <c r="N44" s="233">
        <f t="shared" si="12"/>
        <v>2017</v>
      </c>
      <c r="O44" s="233">
        <f t="shared" si="12"/>
        <v>2018</v>
      </c>
      <c r="P44" s="233">
        <f t="shared" si="12"/>
        <v>2019</v>
      </c>
      <c r="Q44" s="233">
        <f t="shared" si="12"/>
        <v>2020</v>
      </c>
      <c r="R44" s="233">
        <f t="shared" si="12"/>
        <v>2021</v>
      </c>
    </row>
    <row r="45" spans="2:18" x14ac:dyDescent="0.2">
      <c r="B45" t="s">
        <v>183</v>
      </c>
      <c r="D45" s="234"/>
      <c r="E45" s="234"/>
      <c r="F45" s="234"/>
      <c r="G45" s="234"/>
      <c r="H45" s="234"/>
      <c r="I45" s="234">
        <f t="shared" ref="I45:R45" si="13">CHOOSE($B44,I46,I47,I48)</f>
        <v>0.71</v>
      </c>
      <c r="J45" s="234">
        <f t="shared" si="13"/>
        <v>0.71</v>
      </c>
      <c r="K45" s="234">
        <f t="shared" si="13"/>
        <v>0.71</v>
      </c>
      <c r="L45" s="234">
        <f t="shared" si="13"/>
        <v>0.71</v>
      </c>
      <c r="M45" s="234">
        <f t="shared" si="13"/>
        <v>0.71</v>
      </c>
      <c r="N45" s="234">
        <f t="shared" si="13"/>
        <v>0.71</v>
      </c>
      <c r="O45" s="234">
        <f t="shared" si="13"/>
        <v>0.71</v>
      </c>
      <c r="P45" s="234">
        <f t="shared" si="13"/>
        <v>0.71</v>
      </c>
      <c r="Q45" s="234">
        <f t="shared" si="13"/>
        <v>0.71</v>
      </c>
      <c r="R45" s="234">
        <f t="shared" si="13"/>
        <v>0.71</v>
      </c>
    </row>
    <row r="46" spans="2:18" x14ac:dyDescent="0.2">
      <c r="B46" t="s">
        <v>184</v>
      </c>
      <c r="D46" s="235"/>
      <c r="E46" s="235"/>
      <c r="F46" s="235"/>
      <c r="G46" s="235"/>
      <c r="H46" s="235"/>
      <c r="I46" s="235">
        <v>0.71</v>
      </c>
      <c r="J46" s="235">
        <v>0.71</v>
      </c>
      <c r="K46" s="235">
        <v>0.71</v>
      </c>
      <c r="L46" s="235">
        <v>0.71</v>
      </c>
      <c r="M46" s="235">
        <v>0.71</v>
      </c>
      <c r="N46" s="235">
        <v>0.71</v>
      </c>
      <c r="O46" s="235">
        <v>0.71</v>
      </c>
      <c r="P46" s="235">
        <v>0.71</v>
      </c>
      <c r="Q46" s="235">
        <v>0.71</v>
      </c>
      <c r="R46" s="235">
        <v>0.71</v>
      </c>
    </row>
    <row r="47" spans="2:18" x14ac:dyDescent="0.2">
      <c r="B47" t="s">
        <v>185</v>
      </c>
      <c r="D47" s="235"/>
      <c r="E47" s="235"/>
      <c r="F47" s="235"/>
      <c r="G47" s="235"/>
      <c r="H47" s="235"/>
      <c r="I47" s="235">
        <f>+I46+1%</f>
        <v>0.72</v>
      </c>
      <c r="J47" s="235">
        <f t="shared" ref="J47:R47" si="14">+J46+1%</f>
        <v>0.72</v>
      </c>
      <c r="K47" s="235">
        <f t="shared" si="14"/>
        <v>0.72</v>
      </c>
      <c r="L47" s="235">
        <f t="shared" si="14"/>
        <v>0.72</v>
      </c>
      <c r="M47" s="235">
        <f t="shared" si="14"/>
        <v>0.72</v>
      </c>
      <c r="N47" s="235">
        <f t="shared" si="14"/>
        <v>0.72</v>
      </c>
      <c r="O47" s="235">
        <f t="shared" si="14"/>
        <v>0.72</v>
      </c>
      <c r="P47" s="235">
        <f t="shared" si="14"/>
        <v>0.72</v>
      </c>
      <c r="Q47" s="235">
        <f t="shared" si="14"/>
        <v>0.72</v>
      </c>
      <c r="R47" s="235">
        <f t="shared" si="14"/>
        <v>0.72</v>
      </c>
    </row>
    <row r="48" spans="2:18" x14ac:dyDescent="0.2">
      <c r="B48" t="s">
        <v>186</v>
      </c>
      <c r="D48" s="235"/>
      <c r="E48" s="235"/>
      <c r="F48" s="235"/>
      <c r="G48" s="235"/>
      <c r="H48" s="235"/>
      <c r="I48" s="235">
        <f>+I46-1%</f>
        <v>0.7</v>
      </c>
      <c r="J48" s="235">
        <f t="shared" ref="J48:R48" si="15">+J46-1%</f>
        <v>0.7</v>
      </c>
      <c r="K48" s="235">
        <f t="shared" si="15"/>
        <v>0.7</v>
      </c>
      <c r="L48" s="235">
        <f t="shared" si="15"/>
        <v>0.7</v>
      </c>
      <c r="M48" s="235">
        <f t="shared" si="15"/>
        <v>0.7</v>
      </c>
      <c r="N48" s="235">
        <f t="shared" si="15"/>
        <v>0.7</v>
      </c>
      <c r="O48" s="235">
        <f t="shared" si="15"/>
        <v>0.7</v>
      </c>
      <c r="P48" s="235">
        <f t="shared" si="15"/>
        <v>0.7</v>
      </c>
      <c r="Q48" s="235">
        <f t="shared" si="15"/>
        <v>0.7</v>
      </c>
      <c r="R48" s="235">
        <f t="shared" si="15"/>
        <v>0.7</v>
      </c>
    </row>
    <row r="51" spans="2:18" x14ac:dyDescent="0.2">
      <c r="B51" s="231" t="s">
        <v>193</v>
      </c>
    </row>
    <row r="52" spans="2:18" x14ac:dyDescent="0.2">
      <c r="B52" s="232">
        <f>$C$2</f>
        <v>1</v>
      </c>
      <c r="D52" s="233">
        <v>2007</v>
      </c>
      <c r="E52" s="233">
        <f t="shared" ref="E52:R52" si="16">+D52+1</f>
        <v>2008</v>
      </c>
      <c r="F52" s="233">
        <f t="shared" si="16"/>
        <v>2009</v>
      </c>
      <c r="G52" s="233">
        <f t="shared" si="16"/>
        <v>2010</v>
      </c>
      <c r="H52" s="233">
        <f t="shared" si="16"/>
        <v>2011</v>
      </c>
      <c r="I52" s="233">
        <f t="shared" si="16"/>
        <v>2012</v>
      </c>
      <c r="J52" s="233">
        <f t="shared" si="16"/>
        <v>2013</v>
      </c>
      <c r="K52" s="233">
        <f t="shared" si="16"/>
        <v>2014</v>
      </c>
      <c r="L52" s="233">
        <f t="shared" si="16"/>
        <v>2015</v>
      </c>
      <c r="M52" s="233">
        <f t="shared" si="16"/>
        <v>2016</v>
      </c>
      <c r="N52" s="233">
        <f t="shared" si="16"/>
        <v>2017</v>
      </c>
      <c r="O52" s="233">
        <f t="shared" si="16"/>
        <v>2018</v>
      </c>
      <c r="P52" s="233">
        <f t="shared" si="16"/>
        <v>2019</v>
      </c>
      <c r="Q52" s="233">
        <f t="shared" si="16"/>
        <v>2020</v>
      </c>
      <c r="R52" s="233">
        <f t="shared" si="16"/>
        <v>2021</v>
      </c>
    </row>
    <row r="53" spans="2:18" x14ac:dyDescent="0.2">
      <c r="B53" t="s">
        <v>183</v>
      </c>
      <c r="D53" s="234"/>
      <c r="E53" s="234"/>
      <c r="F53" s="234"/>
      <c r="G53" s="234"/>
      <c r="H53" s="234"/>
      <c r="I53" s="234">
        <f t="shared" ref="I53:R53" si="17">CHOOSE($B52,I54,I55,I56)</f>
        <v>0.03</v>
      </c>
      <c r="J53" s="234">
        <f t="shared" si="17"/>
        <v>0.03</v>
      </c>
      <c r="K53" s="234">
        <f t="shared" si="17"/>
        <v>0.03</v>
      </c>
      <c r="L53" s="234">
        <f t="shared" si="17"/>
        <v>0.03</v>
      </c>
      <c r="M53" s="234">
        <f t="shared" si="17"/>
        <v>0.03</v>
      </c>
      <c r="N53" s="234">
        <f t="shared" si="17"/>
        <v>0.03</v>
      </c>
      <c r="O53" s="234">
        <f t="shared" si="17"/>
        <v>0.03</v>
      </c>
      <c r="P53" s="234">
        <f t="shared" si="17"/>
        <v>0.03</v>
      </c>
      <c r="Q53" s="234">
        <f t="shared" si="17"/>
        <v>0.03</v>
      </c>
      <c r="R53" s="234">
        <f t="shared" si="17"/>
        <v>0.03</v>
      </c>
    </row>
    <row r="54" spans="2:18" x14ac:dyDescent="0.2">
      <c r="B54" t="s">
        <v>184</v>
      </c>
      <c r="D54" s="235"/>
      <c r="E54" s="235"/>
      <c r="F54" s="235"/>
      <c r="G54" s="235"/>
      <c r="H54" s="235"/>
      <c r="I54" s="235">
        <v>0.03</v>
      </c>
      <c r="J54" s="235">
        <v>0.03</v>
      </c>
      <c r="K54" s="235">
        <v>0.03</v>
      </c>
      <c r="L54" s="235">
        <v>0.03</v>
      </c>
      <c r="M54" s="235">
        <v>0.03</v>
      </c>
      <c r="N54" s="235">
        <v>0.03</v>
      </c>
      <c r="O54" s="235">
        <v>0.03</v>
      </c>
      <c r="P54" s="235">
        <v>0.03</v>
      </c>
      <c r="Q54" s="235">
        <v>0.03</v>
      </c>
      <c r="R54" s="235">
        <v>0.03</v>
      </c>
    </row>
    <row r="55" spans="2:18" x14ac:dyDescent="0.2">
      <c r="B55" t="s">
        <v>185</v>
      </c>
      <c r="D55" s="235"/>
      <c r="E55" s="235"/>
      <c r="F55" s="235"/>
      <c r="G55" s="235"/>
      <c r="H55" s="235"/>
      <c r="I55" s="235">
        <f>+I54+0.5%</f>
        <v>3.4999999999999996E-2</v>
      </c>
      <c r="J55" s="235">
        <f t="shared" ref="J55:R55" si="18">+J54+0.5%</f>
        <v>3.4999999999999996E-2</v>
      </c>
      <c r="K55" s="235">
        <f t="shared" si="18"/>
        <v>3.4999999999999996E-2</v>
      </c>
      <c r="L55" s="235">
        <f t="shared" si="18"/>
        <v>3.4999999999999996E-2</v>
      </c>
      <c r="M55" s="235">
        <f t="shared" si="18"/>
        <v>3.4999999999999996E-2</v>
      </c>
      <c r="N55" s="235">
        <f t="shared" si="18"/>
        <v>3.4999999999999996E-2</v>
      </c>
      <c r="O55" s="235">
        <f t="shared" si="18"/>
        <v>3.4999999999999996E-2</v>
      </c>
      <c r="P55" s="235">
        <f t="shared" si="18"/>
        <v>3.4999999999999996E-2</v>
      </c>
      <c r="Q55" s="235">
        <f t="shared" si="18"/>
        <v>3.4999999999999996E-2</v>
      </c>
      <c r="R55" s="235">
        <f t="shared" si="18"/>
        <v>3.4999999999999996E-2</v>
      </c>
    </row>
    <row r="56" spans="2:18" x14ac:dyDescent="0.2">
      <c r="B56" t="s">
        <v>186</v>
      </c>
      <c r="D56" s="235"/>
      <c r="E56" s="235"/>
      <c r="F56" s="235"/>
      <c r="G56" s="235"/>
      <c r="H56" s="235"/>
      <c r="I56" s="235">
        <f>I54-0.5%</f>
        <v>2.4999999999999998E-2</v>
      </c>
      <c r="J56" s="235">
        <f t="shared" ref="J56:R56" si="19">J54-0.5%</f>
        <v>2.4999999999999998E-2</v>
      </c>
      <c r="K56" s="235">
        <f t="shared" si="19"/>
        <v>2.4999999999999998E-2</v>
      </c>
      <c r="L56" s="235">
        <f t="shared" si="19"/>
        <v>2.4999999999999998E-2</v>
      </c>
      <c r="M56" s="235">
        <f t="shared" si="19"/>
        <v>2.4999999999999998E-2</v>
      </c>
      <c r="N56" s="235">
        <f t="shared" si="19"/>
        <v>2.4999999999999998E-2</v>
      </c>
      <c r="O56" s="235">
        <f t="shared" si="19"/>
        <v>2.4999999999999998E-2</v>
      </c>
      <c r="P56" s="235">
        <f t="shared" si="19"/>
        <v>2.4999999999999998E-2</v>
      </c>
      <c r="Q56" s="235">
        <f t="shared" si="19"/>
        <v>2.4999999999999998E-2</v>
      </c>
      <c r="R56" s="235">
        <f t="shared" si="19"/>
        <v>2.4999999999999998E-2</v>
      </c>
    </row>
    <row r="60" spans="2:18" x14ac:dyDescent="0.2">
      <c r="B60" s="231" t="s">
        <v>194</v>
      </c>
    </row>
    <row r="61" spans="2:18" x14ac:dyDescent="0.2">
      <c r="B61" s="232">
        <f>$C$2</f>
        <v>1</v>
      </c>
      <c r="D61" s="233">
        <v>2007</v>
      </c>
      <c r="E61" s="233">
        <f t="shared" ref="E61:R61" si="20">+D61+1</f>
        <v>2008</v>
      </c>
      <c r="F61" s="233">
        <f t="shared" si="20"/>
        <v>2009</v>
      </c>
      <c r="G61" s="233">
        <f t="shared" si="20"/>
        <v>2010</v>
      </c>
      <c r="H61" s="233">
        <f t="shared" si="20"/>
        <v>2011</v>
      </c>
      <c r="I61" s="233">
        <f t="shared" si="20"/>
        <v>2012</v>
      </c>
      <c r="J61" s="233">
        <f t="shared" si="20"/>
        <v>2013</v>
      </c>
      <c r="K61" s="233">
        <f t="shared" si="20"/>
        <v>2014</v>
      </c>
      <c r="L61" s="233">
        <f t="shared" si="20"/>
        <v>2015</v>
      </c>
      <c r="M61" s="233">
        <f t="shared" si="20"/>
        <v>2016</v>
      </c>
      <c r="N61" s="233">
        <f t="shared" si="20"/>
        <v>2017</v>
      </c>
      <c r="O61" s="233">
        <f t="shared" si="20"/>
        <v>2018</v>
      </c>
      <c r="P61" s="233">
        <f t="shared" si="20"/>
        <v>2019</v>
      </c>
      <c r="Q61" s="233">
        <f t="shared" si="20"/>
        <v>2020</v>
      </c>
      <c r="R61" s="233">
        <f t="shared" si="20"/>
        <v>2021</v>
      </c>
    </row>
    <row r="62" spans="2:18" x14ac:dyDescent="0.2">
      <c r="B62" t="s">
        <v>183</v>
      </c>
      <c r="D62" s="234"/>
      <c r="E62" s="234"/>
      <c r="F62" s="234"/>
      <c r="G62" s="234"/>
      <c r="H62" s="234"/>
      <c r="I62" s="234">
        <f t="shared" ref="I62:R62" si="21">CHOOSE($B61,I63,I64,I65)</f>
        <v>0.12</v>
      </c>
      <c r="J62" s="234">
        <f t="shared" si="21"/>
        <v>0.12</v>
      </c>
      <c r="K62" s="234">
        <f t="shared" si="21"/>
        <v>0.12</v>
      </c>
      <c r="L62" s="234">
        <f t="shared" si="21"/>
        <v>0.12</v>
      </c>
      <c r="M62" s="234">
        <f t="shared" si="21"/>
        <v>0.12</v>
      </c>
      <c r="N62" s="234">
        <f t="shared" si="21"/>
        <v>0.12</v>
      </c>
      <c r="O62" s="234">
        <f t="shared" si="21"/>
        <v>0.12</v>
      </c>
      <c r="P62" s="234">
        <f t="shared" si="21"/>
        <v>0.12</v>
      </c>
      <c r="Q62" s="234">
        <f t="shared" si="21"/>
        <v>0.12</v>
      </c>
      <c r="R62" s="234">
        <f t="shared" si="21"/>
        <v>0.12</v>
      </c>
    </row>
    <row r="63" spans="2:18" x14ac:dyDescent="0.2">
      <c r="B63" t="s">
        <v>184</v>
      </c>
      <c r="D63" s="235"/>
      <c r="E63" s="235"/>
      <c r="F63" s="235"/>
      <c r="G63" s="235"/>
      <c r="H63" s="235"/>
      <c r="I63" s="235">
        <v>0.12</v>
      </c>
      <c r="J63" s="235">
        <v>0.12</v>
      </c>
      <c r="K63" s="235">
        <v>0.12</v>
      </c>
      <c r="L63" s="235">
        <v>0.12</v>
      </c>
      <c r="M63" s="235">
        <v>0.12</v>
      </c>
      <c r="N63" s="235">
        <v>0.12</v>
      </c>
      <c r="O63" s="235">
        <v>0.12</v>
      </c>
      <c r="P63" s="235">
        <v>0.12</v>
      </c>
      <c r="Q63" s="235">
        <v>0.12</v>
      </c>
      <c r="R63" s="235">
        <v>0.12</v>
      </c>
    </row>
    <row r="64" spans="2:18" x14ac:dyDescent="0.2">
      <c r="B64" t="s">
        <v>185</v>
      </c>
      <c r="D64" s="235"/>
      <c r="E64" s="235"/>
      <c r="F64" s="235"/>
      <c r="G64" s="235"/>
      <c r="H64" s="235"/>
      <c r="I64" s="235">
        <f t="shared" ref="I64:R64" si="22">+I63+0.5%</f>
        <v>0.125</v>
      </c>
      <c r="J64" s="235">
        <f t="shared" si="22"/>
        <v>0.125</v>
      </c>
      <c r="K64" s="235">
        <f t="shared" si="22"/>
        <v>0.125</v>
      </c>
      <c r="L64" s="235">
        <f t="shared" si="22"/>
        <v>0.125</v>
      </c>
      <c r="M64" s="235">
        <f t="shared" si="22"/>
        <v>0.125</v>
      </c>
      <c r="N64" s="235">
        <f t="shared" si="22"/>
        <v>0.125</v>
      </c>
      <c r="O64" s="235">
        <f t="shared" si="22"/>
        <v>0.125</v>
      </c>
      <c r="P64" s="235">
        <f t="shared" si="22"/>
        <v>0.125</v>
      </c>
      <c r="Q64" s="235">
        <f t="shared" si="22"/>
        <v>0.125</v>
      </c>
      <c r="R64" s="235">
        <f t="shared" si="22"/>
        <v>0.125</v>
      </c>
    </row>
    <row r="65" spans="2:18" x14ac:dyDescent="0.2">
      <c r="B65" t="s">
        <v>186</v>
      </c>
      <c r="D65" s="235"/>
      <c r="E65" s="235"/>
      <c r="F65" s="235"/>
      <c r="G65" s="235"/>
      <c r="H65" s="235"/>
      <c r="I65" s="235">
        <f>I63-0.5%</f>
        <v>0.11499999999999999</v>
      </c>
      <c r="J65" s="235">
        <f t="shared" ref="J65:R65" si="23">J63-0.5%</f>
        <v>0.11499999999999999</v>
      </c>
      <c r="K65" s="235">
        <f t="shared" si="23"/>
        <v>0.11499999999999999</v>
      </c>
      <c r="L65" s="235">
        <f t="shared" si="23"/>
        <v>0.11499999999999999</v>
      </c>
      <c r="M65" s="235">
        <f t="shared" si="23"/>
        <v>0.11499999999999999</v>
      </c>
      <c r="N65" s="235">
        <f t="shared" si="23"/>
        <v>0.11499999999999999</v>
      </c>
      <c r="O65" s="235">
        <f t="shared" si="23"/>
        <v>0.11499999999999999</v>
      </c>
      <c r="P65" s="235">
        <f t="shared" si="23"/>
        <v>0.11499999999999999</v>
      </c>
      <c r="Q65" s="235">
        <f t="shared" si="23"/>
        <v>0.11499999999999999</v>
      </c>
      <c r="R65" s="235">
        <f t="shared" si="23"/>
        <v>0.11499999999999999</v>
      </c>
    </row>
    <row r="68" spans="2:18" x14ac:dyDescent="0.2">
      <c r="B68" s="231" t="s">
        <v>195</v>
      </c>
    </row>
    <row r="69" spans="2:18" x14ac:dyDescent="0.2">
      <c r="B69" s="232">
        <f>$C$2</f>
        <v>1</v>
      </c>
      <c r="D69" s="233">
        <v>2007</v>
      </c>
      <c r="E69" s="233">
        <f t="shared" ref="E69:R69" si="24">+D69+1</f>
        <v>2008</v>
      </c>
      <c r="F69" s="233">
        <f t="shared" si="24"/>
        <v>2009</v>
      </c>
      <c r="G69" s="233">
        <f t="shared" si="24"/>
        <v>2010</v>
      </c>
      <c r="H69" s="233">
        <f t="shared" si="24"/>
        <v>2011</v>
      </c>
      <c r="I69" s="233">
        <f t="shared" si="24"/>
        <v>2012</v>
      </c>
      <c r="J69" s="233">
        <f t="shared" si="24"/>
        <v>2013</v>
      </c>
      <c r="K69" s="233">
        <f t="shared" si="24"/>
        <v>2014</v>
      </c>
      <c r="L69" s="233">
        <f t="shared" si="24"/>
        <v>2015</v>
      </c>
      <c r="M69" s="233">
        <f t="shared" si="24"/>
        <v>2016</v>
      </c>
      <c r="N69" s="233">
        <f t="shared" si="24"/>
        <v>2017</v>
      </c>
      <c r="O69" s="233">
        <f t="shared" si="24"/>
        <v>2018</v>
      </c>
      <c r="P69" s="233">
        <f t="shared" si="24"/>
        <v>2019</v>
      </c>
      <c r="Q69" s="233">
        <f t="shared" si="24"/>
        <v>2020</v>
      </c>
      <c r="R69" s="233">
        <f t="shared" si="24"/>
        <v>2021</v>
      </c>
    </row>
    <row r="70" spans="2:18" x14ac:dyDescent="0.2">
      <c r="B70" t="s">
        <v>183</v>
      </c>
      <c r="D70" s="234"/>
      <c r="E70" s="234"/>
      <c r="F70" s="234"/>
      <c r="G70" s="234"/>
      <c r="H70" s="234"/>
      <c r="I70" s="234">
        <f t="shared" ref="I70:R70" si="25">CHOOSE($B69,I71,I72,I73)</f>
        <v>0.02</v>
      </c>
      <c r="J70" s="234">
        <f t="shared" si="25"/>
        <v>0.02</v>
      </c>
      <c r="K70" s="234">
        <f t="shared" si="25"/>
        <v>0.02</v>
      </c>
      <c r="L70" s="234">
        <f t="shared" si="25"/>
        <v>0.02</v>
      </c>
      <c r="M70" s="234">
        <f t="shared" si="25"/>
        <v>0.02</v>
      </c>
      <c r="N70" s="234">
        <f t="shared" si="25"/>
        <v>0.01</v>
      </c>
      <c r="O70" s="234">
        <f t="shared" si="25"/>
        <v>0.01</v>
      </c>
      <c r="P70" s="234">
        <f t="shared" si="25"/>
        <v>0.01</v>
      </c>
      <c r="Q70" s="234">
        <f t="shared" si="25"/>
        <v>0.01</v>
      </c>
      <c r="R70" s="234">
        <f t="shared" si="25"/>
        <v>0.01</v>
      </c>
    </row>
    <row r="71" spans="2:18" x14ac:dyDescent="0.2">
      <c r="B71" t="s">
        <v>184</v>
      </c>
      <c r="D71" s="235"/>
      <c r="E71" s="235"/>
      <c r="F71" s="235"/>
      <c r="G71" s="235"/>
      <c r="H71" s="235"/>
      <c r="I71" s="235">
        <v>0.02</v>
      </c>
      <c r="J71" s="235">
        <v>0.02</v>
      </c>
      <c r="K71" s="235">
        <v>0.02</v>
      </c>
      <c r="L71" s="235">
        <v>0.02</v>
      </c>
      <c r="M71" s="235">
        <v>0.02</v>
      </c>
      <c r="N71" s="235">
        <v>0.01</v>
      </c>
      <c r="O71" s="235">
        <v>0.01</v>
      </c>
      <c r="P71" s="235">
        <v>0.01</v>
      </c>
      <c r="Q71" s="235">
        <v>0.01</v>
      </c>
      <c r="R71" s="235">
        <v>0.01</v>
      </c>
    </row>
    <row r="72" spans="2:18" x14ac:dyDescent="0.2">
      <c r="B72" t="s">
        <v>185</v>
      </c>
      <c r="D72" s="235"/>
      <c r="E72" s="235"/>
      <c r="F72" s="235"/>
      <c r="G72" s="235"/>
      <c r="H72" s="235"/>
      <c r="I72" s="235">
        <v>0.01</v>
      </c>
      <c r="J72" s="235">
        <v>0.01</v>
      </c>
      <c r="K72" s="235">
        <v>0.01</v>
      </c>
      <c r="L72" s="235">
        <v>0.01</v>
      </c>
      <c r="M72" s="235">
        <v>0.01</v>
      </c>
      <c r="N72" s="235">
        <v>0.01</v>
      </c>
      <c r="O72" s="235">
        <v>0.01</v>
      </c>
      <c r="P72" s="235">
        <v>0.01</v>
      </c>
      <c r="Q72" s="235">
        <v>0.01</v>
      </c>
      <c r="R72" s="235">
        <v>0.01</v>
      </c>
    </row>
    <row r="73" spans="2:18" x14ac:dyDescent="0.2">
      <c r="B73" t="s">
        <v>186</v>
      </c>
      <c r="D73" s="235"/>
      <c r="E73" s="235"/>
      <c r="F73" s="235"/>
      <c r="G73" s="235"/>
      <c r="H73" s="235"/>
      <c r="I73" s="235">
        <v>0.03</v>
      </c>
      <c r="J73" s="235">
        <v>0.03</v>
      </c>
      <c r="K73" s="235">
        <v>0.03</v>
      </c>
      <c r="L73" s="235">
        <v>0.02</v>
      </c>
      <c r="M73" s="235">
        <v>0.02</v>
      </c>
      <c r="N73" s="235">
        <v>0.01</v>
      </c>
      <c r="O73" s="235">
        <v>0.01</v>
      </c>
      <c r="P73" s="235">
        <v>0.01</v>
      </c>
      <c r="Q73" s="235">
        <v>0.01</v>
      </c>
      <c r="R73" s="235">
        <v>0.01</v>
      </c>
    </row>
  </sheetData>
  <mergeCells count="1">
    <mergeCell ref="B9:R9"/>
  </mergeCells>
  <phoneticPr fontId="8" type="noConversion"/>
  <pageMargins left="0.75" right="0.75" top="1" bottom="1" header="0.3" footer="0.3"/>
  <pageSetup scale="49" orientation="portrait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7"/>
  <sheetViews>
    <sheetView showGridLines="0" tabSelected="1" workbookViewId="0"/>
  </sheetViews>
  <sheetFormatPr baseColWidth="10" defaultRowHeight="16" x14ac:dyDescent="0.2"/>
  <cols>
    <col min="1" max="1" width="4.33203125" style="245" customWidth="1"/>
    <col min="2" max="3" width="3.33203125" style="245" customWidth="1"/>
    <col min="4" max="4" width="72" style="245" customWidth="1"/>
    <col min="5" max="5" width="1.1640625" style="245" customWidth="1"/>
    <col min="6" max="6" width="67.33203125" style="245" customWidth="1"/>
    <col min="7" max="8" width="3.1640625" style="245" customWidth="1"/>
    <col min="9" max="16384" width="10.83203125" style="245"/>
  </cols>
  <sheetData>
    <row r="1" spans="2:8" ht="17" thickBot="1" x14ac:dyDescent="0.25"/>
    <row r="2" spans="2:8" x14ac:dyDescent="0.2">
      <c r="B2" s="246"/>
      <c r="C2" s="247"/>
      <c r="D2" s="247"/>
      <c r="E2" s="247"/>
      <c r="F2" s="247"/>
      <c r="G2" s="247"/>
      <c r="H2" s="248"/>
    </row>
    <row r="3" spans="2:8" x14ac:dyDescent="0.2">
      <c r="B3" s="249"/>
      <c r="C3" s="250"/>
      <c r="D3" s="250"/>
      <c r="E3" s="250"/>
      <c r="F3" s="250"/>
      <c r="G3" s="250"/>
      <c r="H3" s="251"/>
    </row>
    <row r="4" spans="2:8" x14ac:dyDescent="0.2">
      <c r="B4" s="249"/>
      <c r="C4" s="250"/>
      <c r="D4" s="250"/>
      <c r="E4" s="250"/>
      <c r="F4" s="250"/>
      <c r="G4" s="250"/>
      <c r="H4" s="251"/>
    </row>
    <row r="5" spans="2:8" x14ac:dyDescent="0.2">
      <c r="B5" s="249"/>
      <c r="C5" s="250"/>
      <c r="D5" s="250"/>
      <c r="E5" s="250"/>
      <c r="F5" s="250"/>
      <c r="G5" s="250"/>
      <c r="H5" s="251"/>
    </row>
    <row r="6" spans="2:8" x14ac:dyDescent="0.2">
      <c r="B6" s="249"/>
      <c r="C6" s="250"/>
      <c r="D6" s="250"/>
      <c r="E6" s="250"/>
      <c r="F6" s="250"/>
      <c r="G6" s="250"/>
      <c r="H6" s="251"/>
    </row>
    <row r="7" spans="2:8" x14ac:dyDescent="0.2">
      <c r="B7" s="249"/>
      <c r="C7" s="250"/>
      <c r="D7" s="250"/>
      <c r="E7" s="250"/>
      <c r="F7" s="250"/>
      <c r="G7" s="250"/>
      <c r="H7" s="251"/>
    </row>
    <row r="8" spans="2:8" x14ac:dyDescent="0.2">
      <c r="B8" s="249"/>
      <c r="C8" s="250"/>
      <c r="D8" s="250"/>
      <c r="E8" s="250"/>
      <c r="F8" s="250"/>
      <c r="G8" s="250"/>
      <c r="H8" s="251"/>
    </row>
    <row r="9" spans="2:8" x14ac:dyDescent="0.2">
      <c r="B9" s="249"/>
      <c r="C9" s="250"/>
      <c r="D9" s="250"/>
      <c r="E9" s="250"/>
      <c r="F9" s="250"/>
      <c r="G9" s="250"/>
      <c r="H9" s="251"/>
    </row>
    <row r="10" spans="2:8" x14ac:dyDescent="0.2">
      <c r="B10" s="249"/>
      <c r="C10" s="250"/>
      <c r="D10" s="250"/>
      <c r="E10" s="250"/>
      <c r="F10" s="250"/>
      <c r="G10" s="250"/>
      <c r="H10" s="251"/>
    </row>
    <row r="11" spans="2:8" x14ac:dyDescent="0.2">
      <c r="B11" s="249"/>
      <c r="C11" s="250"/>
      <c r="D11" s="250"/>
      <c r="E11" s="250"/>
      <c r="F11" s="250"/>
      <c r="G11" s="250"/>
      <c r="H11" s="251"/>
    </row>
    <row r="12" spans="2:8" x14ac:dyDescent="0.2">
      <c r="B12" s="249"/>
      <c r="C12" s="250"/>
      <c r="D12" s="250"/>
      <c r="E12" s="250"/>
      <c r="F12" s="250"/>
      <c r="G12" s="250"/>
      <c r="H12" s="251"/>
    </row>
    <row r="13" spans="2:8" ht="71" customHeight="1" x14ac:dyDescent="0.2">
      <c r="B13" s="249"/>
      <c r="C13" s="250"/>
      <c r="D13" s="252" t="s">
        <v>198</v>
      </c>
      <c r="E13" s="252"/>
      <c r="F13" s="252"/>
      <c r="G13" s="250"/>
      <c r="H13" s="251"/>
    </row>
    <row r="14" spans="2:8" ht="24" x14ac:dyDescent="0.2">
      <c r="B14" s="249"/>
      <c r="C14" s="250"/>
      <c r="D14" s="253"/>
      <c r="E14" s="253"/>
      <c r="F14" s="253"/>
      <c r="G14" s="250"/>
      <c r="H14" s="251"/>
    </row>
    <row r="15" spans="2:8" ht="24" x14ac:dyDescent="0.3">
      <c r="B15" s="249"/>
      <c r="C15" s="250"/>
      <c r="D15" s="254" t="s">
        <v>199</v>
      </c>
      <c r="E15" s="255"/>
      <c r="F15" s="254" t="s">
        <v>200</v>
      </c>
      <c r="G15" s="250"/>
      <c r="H15" s="251"/>
    </row>
    <row r="16" spans="2:8" ht="5" customHeight="1" x14ac:dyDescent="0.2">
      <c r="B16" s="249"/>
      <c r="C16" s="250"/>
      <c r="D16" s="256"/>
      <c r="E16" s="256"/>
      <c r="F16" s="257"/>
      <c r="G16" s="250"/>
      <c r="H16" s="251"/>
    </row>
    <row r="17" spans="2:8" ht="24" x14ac:dyDescent="0.3">
      <c r="B17" s="249"/>
      <c r="C17" s="250"/>
      <c r="D17" s="258" t="s">
        <v>201</v>
      </c>
      <c r="E17" s="258"/>
      <c r="F17" s="259" t="s">
        <v>202</v>
      </c>
      <c r="G17" s="250"/>
      <c r="H17" s="251"/>
    </row>
    <row r="18" spans="2:8" ht="24" x14ac:dyDescent="0.3">
      <c r="B18" s="249"/>
      <c r="C18" s="250"/>
      <c r="D18" s="259" t="s">
        <v>203</v>
      </c>
      <c r="E18" s="259"/>
      <c r="F18" s="259" t="s">
        <v>204</v>
      </c>
      <c r="G18" s="250"/>
      <c r="H18" s="251"/>
    </row>
    <row r="19" spans="2:8" ht="24" x14ac:dyDescent="0.3">
      <c r="B19" s="249"/>
      <c r="C19" s="250"/>
      <c r="D19" s="259" t="s">
        <v>205</v>
      </c>
      <c r="E19" s="259"/>
      <c r="F19" s="259" t="s">
        <v>206</v>
      </c>
      <c r="G19" s="250"/>
      <c r="H19" s="251"/>
    </row>
    <row r="20" spans="2:8" ht="24" x14ac:dyDescent="0.3">
      <c r="B20" s="249"/>
      <c r="C20" s="250"/>
      <c r="D20" s="259" t="s">
        <v>207</v>
      </c>
      <c r="E20" s="259"/>
      <c r="F20" s="259" t="s">
        <v>208</v>
      </c>
      <c r="G20" s="250"/>
      <c r="H20" s="251"/>
    </row>
    <row r="21" spans="2:8" ht="24" x14ac:dyDescent="0.3">
      <c r="B21" s="249"/>
      <c r="C21" s="250"/>
      <c r="D21" s="259" t="s">
        <v>209</v>
      </c>
      <c r="E21" s="259"/>
      <c r="F21" s="260"/>
      <c r="G21" s="250"/>
      <c r="H21" s="251"/>
    </row>
    <row r="22" spans="2:8" x14ac:dyDescent="0.2">
      <c r="B22" s="261"/>
      <c r="C22" s="262"/>
      <c r="D22" s="256"/>
      <c r="E22" s="256"/>
      <c r="F22" s="263"/>
      <c r="G22" s="250"/>
      <c r="H22" s="251"/>
    </row>
    <row r="23" spans="2:8" x14ac:dyDescent="0.2">
      <c r="B23" s="261"/>
      <c r="C23" s="262"/>
      <c r="D23" s="256"/>
      <c r="E23" s="256"/>
      <c r="F23" s="263"/>
      <c r="G23" s="250"/>
      <c r="H23" s="251"/>
    </row>
    <row r="24" spans="2:8" x14ac:dyDescent="0.2">
      <c r="B24" s="249"/>
      <c r="C24" s="250"/>
      <c r="D24" s="256"/>
      <c r="E24" s="256"/>
      <c r="F24" s="257"/>
      <c r="G24" s="250"/>
      <c r="H24" s="251"/>
    </row>
    <row r="25" spans="2:8" x14ac:dyDescent="0.2">
      <c r="B25" s="249"/>
      <c r="C25" s="250"/>
      <c r="D25" s="256"/>
      <c r="E25" s="256"/>
      <c r="F25" s="257"/>
      <c r="G25" s="250"/>
      <c r="H25" s="251"/>
    </row>
    <row r="26" spans="2:8" x14ac:dyDescent="0.2">
      <c r="B26" s="249"/>
      <c r="C26" s="250"/>
      <c r="D26" s="250"/>
      <c r="E26" s="250"/>
      <c r="F26" s="250"/>
      <c r="G26" s="250"/>
      <c r="H26" s="251"/>
    </row>
    <row r="27" spans="2:8" ht="17" thickBot="1" x14ac:dyDescent="0.25">
      <c r="B27" s="264"/>
      <c r="C27" s="265"/>
      <c r="D27" s="265"/>
      <c r="E27" s="265"/>
      <c r="F27" s="265"/>
      <c r="G27" s="265"/>
      <c r="H27" s="266"/>
    </row>
  </sheetData>
  <mergeCells count="1">
    <mergeCell ref="D13:F13"/>
  </mergeCells>
  <hyperlinks>
    <hyperlink ref="D17" r:id="rId1"/>
    <hyperlink ref="D18" r:id="rId2"/>
    <hyperlink ref="D19" r:id="rId3"/>
    <hyperlink ref="F17" r:id="rId4" display="Interview &amp; Prep Courses (IB, PE, HF, Consulting)"/>
    <hyperlink ref="D20" r:id="rId5" display="WSO Templates (Resume, Networking, Models, etc)"/>
    <hyperlink ref="F18" r:id="rId6" display="Resume Review Service"/>
    <hyperlink ref="F19" r:id="rId7" display="Find a Mentor"/>
    <hyperlink ref="D21" r:id="rId8" display="The Talent Oasis - Land a Job!"/>
    <hyperlink ref="F20" r:id="rId9" display="GMAT/Series 7 Exam Prep Courses"/>
  </hyperlinks>
  <pageMargins left="0.7" right="0.7" top="0.75" bottom="0.75" header="0.3" footer="0.3"/>
  <pageSetup orientation="portrait" horizontalDpi="0" verticalDpi="0"/>
  <drawing r:id="rId1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0000"/>
  </sheetPr>
  <dimension ref="A1:M44"/>
  <sheetViews>
    <sheetView showGridLines="0" zoomScale="70" zoomScaleNormal="70" zoomScaleSheetLayoutView="85" workbookViewId="0">
      <selection activeCell="A2" sqref="A2"/>
    </sheetView>
  </sheetViews>
  <sheetFormatPr baseColWidth="10" defaultColWidth="8.83203125" defaultRowHeight="13" x14ac:dyDescent="0.15"/>
  <cols>
    <col min="1" max="1" width="15.1640625" style="1" customWidth="1"/>
    <col min="2" max="2" width="13" style="1" customWidth="1"/>
    <col min="3" max="3" width="12.5" style="1" customWidth="1"/>
    <col min="4" max="8" width="10.1640625" style="1" bestFit="1" customWidth="1"/>
    <col min="9" max="16384" width="8.83203125" style="1"/>
  </cols>
  <sheetData>
    <row r="1" spans="1:13" x14ac:dyDescent="0.15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x14ac:dyDescent="0.15">
      <c r="A2" s="125" t="s">
        <v>148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13" x14ac:dyDescent="0.15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</row>
    <row r="4" spans="1:13" x14ac:dyDescent="0.15">
      <c r="A4" s="132" t="s">
        <v>149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</row>
    <row r="5" spans="1:13" x14ac:dyDescent="0.15">
      <c r="A5" s="132" t="s">
        <v>150</v>
      </c>
      <c r="B5" s="132"/>
      <c r="C5" s="202">
        <f>'LBO Modelling'!C6</f>
        <v>12</v>
      </c>
      <c r="D5" s="202"/>
      <c r="E5" s="132"/>
      <c r="F5" s="132"/>
      <c r="G5" s="132"/>
      <c r="H5" s="132"/>
      <c r="I5" s="132"/>
      <c r="J5" s="132"/>
      <c r="K5" s="132"/>
      <c r="L5" s="132"/>
      <c r="M5" s="132"/>
    </row>
    <row r="6" spans="1:13" x14ac:dyDescent="0.15">
      <c r="A6" s="132" t="s">
        <v>151</v>
      </c>
      <c r="B6" s="132"/>
      <c r="C6" s="202">
        <f>+DCF!D8</f>
        <v>39.624249156502799</v>
      </c>
      <c r="D6" s="202"/>
      <c r="E6" s="132"/>
      <c r="F6" s="132"/>
      <c r="G6" s="132"/>
      <c r="H6" s="132"/>
      <c r="I6" s="132"/>
      <c r="J6" s="132"/>
      <c r="K6" s="132"/>
      <c r="L6" s="132"/>
      <c r="M6" s="132"/>
    </row>
    <row r="7" spans="1:13" x14ac:dyDescent="0.15">
      <c r="A7" s="132" t="s">
        <v>152</v>
      </c>
      <c r="B7" s="132"/>
      <c r="C7" s="202">
        <f>+C5</f>
        <v>12</v>
      </c>
      <c r="D7" s="202"/>
      <c r="E7" s="132"/>
      <c r="F7" s="132"/>
      <c r="G7" s="132"/>
      <c r="H7" s="132"/>
      <c r="I7" s="132"/>
      <c r="J7" s="132"/>
      <c r="K7" s="132"/>
      <c r="L7" s="132"/>
      <c r="M7" s="132"/>
    </row>
    <row r="8" spans="1:13" x14ac:dyDescent="0.15">
      <c r="A8" s="132" t="s">
        <v>153</v>
      </c>
      <c r="B8" s="132"/>
      <c r="C8" s="174">
        <f>DCF!I8</f>
        <v>59.774436969643936</v>
      </c>
      <c r="D8" s="202"/>
      <c r="E8" s="132"/>
      <c r="F8" s="132"/>
      <c r="G8" s="132"/>
      <c r="H8" s="132"/>
      <c r="I8" s="132"/>
      <c r="J8" s="132"/>
      <c r="K8" s="132"/>
      <c r="L8" s="132"/>
      <c r="M8" s="132"/>
    </row>
    <row r="9" spans="1:13" x14ac:dyDescent="0.15">
      <c r="A9" s="132" t="s">
        <v>154</v>
      </c>
      <c r="B9" s="132"/>
      <c r="C9" s="174">
        <f>+C7*C8</f>
        <v>717.29324363572721</v>
      </c>
      <c r="D9" s="202"/>
      <c r="E9" s="132"/>
      <c r="F9" s="132"/>
      <c r="G9" s="132"/>
      <c r="H9" s="132"/>
      <c r="I9" s="132"/>
      <c r="J9" s="132"/>
      <c r="K9" s="132"/>
      <c r="L9" s="132"/>
      <c r="M9" s="132"/>
    </row>
    <row r="10" spans="1:13" x14ac:dyDescent="0.15">
      <c r="A10" s="132" t="s">
        <v>155</v>
      </c>
      <c r="B10" s="132"/>
      <c r="C10" s="174">
        <f>+'Balance Sheet'!M23-'Balance Sheet'!M13</f>
        <v>77.964799241732436</v>
      </c>
      <c r="D10" s="202"/>
      <c r="E10" s="132"/>
      <c r="F10" s="132"/>
      <c r="G10" s="132"/>
      <c r="H10" s="132"/>
      <c r="I10" s="132"/>
      <c r="J10" s="132"/>
      <c r="K10" s="132"/>
      <c r="L10" s="132"/>
      <c r="M10" s="132"/>
    </row>
    <row r="11" spans="1:13" x14ac:dyDescent="0.15">
      <c r="A11" s="132" t="s">
        <v>156</v>
      </c>
      <c r="B11" s="132"/>
      <c r="C11" s="174">
        <f>+C9-C10</f>
        <v>639.3284443939948</v>
      </c>
      <c r="D11" s="202"/>
      <c r="E11" s="132"/>
      <c r="F11" s="132"/>
      <c r="G11" s="132"/>
      <c r="H11" s="132"/>
      <c r="I11" s="132"/>
      <c r="J11" s="132"/>
      <c r="K11" s="132"/>
      <c r="L11" s="132"/>
      <c r="M11" s="132"/>
    </row>
    <row r="12" spans="1:13" x14ac:dyDescent="0.15">
      <c r="A12" s="132"/>
      <c r="B12" s="132"/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</row>
    <row r="13" spans="1:13" x14ac:dyDescent="0.15">
      <c r="A13" s="172" t="str">
        <f>'Balance Sheet'!B4</f>
        <v>(YE 31-Dec, USDm)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</row>
    <row r="14" spans="1:13" x14ac:dyDescent="0.15">
      <c r="A14" s="132"/>
      <c r="B14" s="132"/>
      <c r="C14" s="211">
        <v>40908</v>
      </c>
      <c r="D14" s="211">
        <f>+C14+366</f>
        <v>41274</v>
      </c>
      <c r="E14" s="211">
        <f>+D14+365</f>
        <v>41639</v>
      </c>
      <c r="F14" s="211">
        <f>+E14+365</f>
        <v>42004</v>
      </c>
      <c r="G14" s="211">
        <f>+F14+365</f>
        <v>42369</v>
      </c>
      <c r="H14" s="211">
        <f>+G14+366</f>
        <v>42735</v>
      </c>
      <c r="I14" s="171">
        <f>+H14+1</f>
        <v>42736</v>
      </c>
      <c r="J14" s="171">
        <f>+I14+1</f>
        <v>42737</v>
      </c>
      <c r="K14" s="171">
        <f>+J14+1</f>
        <v>42738</v>
      </c>
      <c r="L14" s="171">
        <f>+K14+1</f>
        <v>42739</v>
      </c>
      <c r="M14" s="171">
        <f>+L14+1</f>
        <v>42740</v>
      </c>
    </row>
    <row r="15" spans="1:13" x14ac:dyDescent="0.15">
      <c r="A15" s="132"/>
      <c r="B15" s="132"/>
      <c r="C15" s="86">
        <f>+'Balance Sheet'!G4</f>
        <v>2011</v>
      </c>
      <c r="D15" s="87">
        <f>+'Balance Sheet'!I4</f>
        <v>2012</v>
      </c>
      <c r="E15" s="88">
        <f>+'Balance Sheet'!J4</f>
        <v>2013</v>
      </c>
      <c r="F15" s="88">
        <f>+'Balance Sheet'!K4</f>
        <v>2014</v>
      </c>
      <c r="G15" s="88">
        <f>+'Balance Sheet'!L4</f>
        <v>2015</v>
      </c>
      <c r="H15" s="88">
        <f>+'Balance Sheet'!M4</f>
        <v>2016</v>
      </c>
      <c r="I15" s="88">
        <f>+'Balance Sheet'!N4</f>
        <v>2017</v>
      </c>
      <c r="J15" s="88">
        <f>+'Balance Sheet'!O4</f>
        <v>2018</v>
      </c>
      <c r="K15" s="88">
        <f>+'Balance Sheet'!P4</f>
        <v>2019</v>
      </c>
      <c r="L15" s="88">
        <f>+'Balance Sheet'!Q4</f>
        <v>2020</v>
      </c>
      <c r="M15" s="88">
        <f>+'Balance Sheet'!R4</f>
        <v>2021</v>
      </c>
    </row>
    <row r="16" spans="1:13" x14ac:dyDescent="0.15">
      <c r="A16" s="132"/>
      <c r="B16" s="132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</row>
    <row r="17" spans="1:13" x14ac:dyDescent="0.15">
      <c r="A17" s="203" t="s">
        <v>147</v>
      </c>
      <c r="B17" s="146"/>
      <c r="C17" s="204"/>
      <c r="D17" s="205"/>
      <c r="E17" s="205"/>
      <c r="F17" s="205"/>
      <c r="G17" s="205"/>
      <c r="H17" s="205"/>
      <c r="I17" s="205"/>
      <c r="J17" s="205"/>
      <c r="K17" s="205"/>
      <c r="L17" s="205"/>
      <c r="M17" s="205"/>
    </row>
    <row r="18" spans="1:13" x14ac:dyDescent="0.15">
      <c r="A18" s="154" t="s">
        <v>157</v>
      </c>
      <c r="B18" s="151"/>
      <c r="C18" s="206">
        <f>-'LBO Modelling'!D12</f>
        <v>-240.49498987803378</v>
      </c>
      <c r="D18" s="207"/>
      <c r="E18" s="207"/>
      <c r="F18" s="207"/>
      <c r="G18" s="207"/>
      <c r="H18" s="207"/>
      <c r="I18" s="207"/>
      <c r="J18" s="207"/>
      <c r="K18" s="207"/>
      <c r="L18" s="207"/>
      <c r="M18" s="207"/>
    </row>
    <row r="19" spans="1:13" x14ac:dyDescent="0.15">
      <c r="A19" s="132" t="s">
        <v>158</v>
      </c>
      <c r="B19" s="169"/>
      <c r="C19" s="208"/>
      <c r="D19" s="209"/>
      <c r="E19" s="209"/>
      <c r="F19" s="209"/>
      <c r="G19" s="209"/>
      <c r="H19" s="209">
        <f>+C11</f>
        <v>639.3284443939948</v>
      </c>
      <c r="I19" s="209"/>
      <c r="J19" s="209"/>
      <c r="K19" s="209"/>
      <c r="L19" s="209"/>
      <c r="M19" s="209"/>
    </row>
    <row r="20" spans="1:13" x14ac:dyDescent="0.15">
      <c r="A20" s="135" t="s">
        <v>159</v>
      </c>
      <c r="B20" s="135"/>
      <c r="C20" s="210">
        <f t="shared" ref="C20:H20" si="0">+C17+C18+C19</f>
        <v>-240.49498987803378</v>
      </c>
      <c r="D20" s="210">
        <f t="shared" si="0"/>
        <v>0</v>
      </c>
      <c r="E20" s="210">
        <f t="shared" si="0"/>
        <v>0</v>
      </c>
      <c r="F20" s="210">
        <f t="shared" si="0"/>
        <v>0</v>
      </c>
      <c r="G20" s="210">
        <f t="shared" si="0"/>
        <v>0</v>
      </c>
      <c r="H20" s="210">
        <f t="shared" si="0"/>
        <v>639.3284443939948</v>
      </c>
      <c r="I20" s="209"/>
      <c r="J20" s="209"/>
      <c r="K20" s="209"/>
      <c r="L20" s="209"/>
      <c r="M20" s="209"/>
    </row>
    <row r="21" spans="1:13" x14ac:dyDescent="0.15">
      <c r="A21" s="132"/>
      <c r="B21" s="132"/>
      <c r="C21" s="132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15">
      <c r="A22" s="212" t="s">
        <v>160</v>
      </c>
      <c r="B22" s="213"/>
      <c r="C22" s="214">
        <f>+XIRR(C20:H20,C14:H14)</f>
        <v>0.2157118022441864</v>
      </c>
    </row>
    <row r="24" spans="1:13" x14ac:dyDescent="0.15">
      <c r="D24" s="1">
        <v>1</v>
      </c>
      <c r="E24" s="1">
        <f>+D24+1</f>
        <v>2</v>
      </c>
      <c r="F24" s="1">
        <f>+E24+1</f>
        <v>3</v>
      </c>
      <c r="G24" s="1">
        <f>+F24+1</f>
        <v>4</v>
      </c>
      <c r="H24" s="1">
        <f>+G24+1</f>
        <v>5</v>
      </c>
    </row>
    <row r="25" spans="1:13" x14ac:dyDescent="0.15">
      <c r="A25" s="132"/>
      <c r="B25" s="132"/>
      <c r="C25" s="86">
        <v>2011</v>
      </c>
      <c r="D25" s="87">
        <v>2012</v>
      </c>
      <c r="E25" s="88">
        <v>2013</v>
      </c>
      <c r="F25" s="88">
        <v>2014</v>
      </c>
      <c r="G25" s="88">
        <v>2015</v>
      </c>
      <c r="H25" s="88">
        <v>2016</v>
      </c>
      <c r="I25" s="88">
        <v>2017</v>
      </c>
      <c r="J25" s="88">
        <v>2018</v>
      </c>
      <c r="K25" s="88">
        <v>2019</v>
      </c>
      <c r="L25" s="88">
        <v>2020</v>
      </c>
      <c r="M25" s="88">
        <v>2021</v>
      </c>
    </row>
    <row r="26" spans="1:13" x14ac:dyDescent="0.15">
      <c r="A26" s="132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</row>
    <row r="27" spans="1:13" x14ac:dyDescent="0.15">
      <c r="A27" s="135" t="s">
        <v>159</v>
      </c>
      <c r="B27" s="135"/>
      <c r="C27" s="210"/>
      <c r="D27" s="210"/>
      <c r="E27" s="210"/>
      <c r="F27" s="210"/>
      <c r="G27" s="210"/>
      <c r="H27" s="210">
        <f>+H20</f>
        <v>639.3284443939948</v>
      </c>
      <c r="I27" s="209"/>
      <c r="J27" s="209"/>
      <c r="K27" s="209"/>
      <c r="L27" s="209"/>
      <c r="M27" s="209"/>
    </row>
    <row r="28" spans="1:13" x14ac:dyDescent="0.15">
      <c r="A28" s="135"/>
      <c r="B28" s="135"/>
      <c r="C28" s="210"/>
      <c r="D28" s="210"/>
      <c r="E28" s="210"/>
      <c r="F28" s="210"/>
      <c r="G28" s="210"/>
      <c r="H28" s="210"/>
      <c r="I28" s="209"/>
      <c r="J28" s="209"/>
      <c r="K28" s="209"/>
      <c r="L28" s="209"/>
      <c r="M28" s="209"/>
    </row>
    <row r="29" spans="1:13" x14ac:dyDescent="0.15">
      <c r="A29" s="169" t="s">
        <v>102</v>
      </c>
      <c r="B29" s="169"/>
      <c r="C29" s="169"/>
      <c r="D29" s="7">
        <f>1/((1+$C$34)^D24)</f>
        <v>0.82256337246542677</v>
      </c>
      <c r="E29" s="7">
        <f>1/((1+$C$34)^E24)</f>
        <v>0.67661050172169646</v>
      </c>
      <c r="F29" s="7">
        <f>1/((1+$C$34)^F24)</f>
        <v>0.5565550161417232</v>
      </c>
      <c r="G29" s="7">
        <f>1/((1+$C$34)^G24)</f>
        <v>0.45780177104008585</v>
      </c>
      <c r="H29" s="7">
        <f>1/((1+$C$34)^H24)</f>
        <v>0.37657096870737816</v>
      </c>
      <c r="I29" s="7"/>
      <c r="J29" s="7"/>
      <c r="K29" s="7"/>
      <c r="L29" s="7"/>
      <c r="M29" s="7"/>
    </row>
    <row r="30" spans="1:13" x14ac:dyDescent="0.15">
      <c r="A30" s="132"/>
      <c r="B30" s="132"/>
      <c r="C30" s="132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15">
      <c r="A31" s="132" t="s">
        <v>103</v>
      </c>
      <c r="B31" s="132"/>
      <c r="C31" s="132"/>
      <c r="D31" s="6">
        <f>+D27*D29</f>
        <v>0</v>
      </c>
      <c r="E31" s="6">
        <f t="shared" ref="E31:M31" si="1">+E27*E29</f>
        <v>0</v>
      </c>
      <c r="F31" s="6">
        <f t="shared" si="1"/>
        <v>0</v>
      </c>
      <c r="G31" s="6">
        <f t="shared" si="1"/>
        <v>0</v>
      </c>
      <c r="H31" s="6">
        <f t="shared" si="1"/>
        <v>240.75253162762777</v>
      </c>
      <c r="I31" s="6">
        <f t="shared" si="1"/>
        <v>0</v>
      </c>
      <c r="J31" s="6">
        <f t="shared" si="1"/>
        <v>0</v>
      </c>
      <c r="K31" s="6">
        <f t="shared" si="1"/>
        <v>0</v>
      </c>
      <c r="L31" s="6">
        <f t="shared" si="1"/>
        <v>0</v>
      </c>
      <c r="M31" s="6">
        <f t="shared" si="1"/>
        <v>0</v>
      </c>
    </row>
    <row r="32" spans="1:13" x14ac:dyDescent="0.15">
      <c r="A32" s="132"/>
      <c r="B32" s="132"/>
      <c r="C32" s="132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15">
      <c r="A33" s="132"/>
      <c r="B33" s="132"/>
      <c r="C33" s="132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15">
      <c r="A34" s="212" t="s">
        <v>160</v>
      </c>
      <c r="B34" s="213"/>
      <c r="C34" s="214">
        <v>0.2157118022441864</v>
      </c>
    </row>
    <row r="36" spans="1:13" x14ac:dyDescent="0.15">
      <c r="A36" s="1" t="s">
        <v>161</v>
      </c>
      <c r="C36" s="6">
        <f>+SUM(D31:H31)</f>
        <v>240.75253162762777</v>
      </c>
    </row>
    <row r="37" spans="1:13" x14ac:dyDescent="0.15">
      <c r="A37" s="1" t="s">
        <v>109</v>
      </c>
      <c r="C37" s="6">
        <f>+DCF!C36</f>
        <v>234.99599999999981</v>
      </c>
    </row>
    <row r="38" spans="1:13" x14ac:dyDescent="0.15">
      <c r="A38" s="215" t="s">
        <v>162</v>
      </c>
      <c r="B38" s="215"/>
      <c r="C38" s="33">
        <f>C36+C37</f>
        <v>475.74853162762759</v>
      </c>
    </row>
    <row r="39" spans="1:13" x14ac:dyDescent="0.15">
      <c r="A39" s="215" t="s">
        <v>163</v>
      </c>
      <c r="B39" s="215"/>
      <c r="C39" s="216">
        <f>+C38/DCF!D8</f>
        <v>12.006499599489615</v>
      </c>
    </row>
    <row r="42" spans="1:13" x14ac:dyDescent="0.15">
      <c r="C42" s="136" t="s">
        <v>164</v>
      </c>
      <c r="D42" s="136"/>
      <c r="E42" s="136"/>
      <c r="F42" s="136"/>
      <c r="G42" s="136"/>
      <c r="H42" s="136"/>
      <c r="I42" s="136"/>
      <c r="J42" s="136"/>
      <c r="K42" s="136"/>
      <c r="L42" s="136"/>
      <c r="M42" s="136"/>
    </row>
    <row r="43" spans="1:13" x14ac:dyDescent="0.15">
      <c r="C43" s="220">
        <v>0.15</v>
      </c>
      <c r="D43" s="14">
        <f>+C43+0.01</f>
        <v>0.16</v>
      </c>
      <c r="E43" s="14">
        <f t="shared" ref="E43:L43" si="2">+D43+0.01</f>
        <v>0.17</v>
      </c>
      <c r="F43" s="14">
        <f t="shared" si="2"/>
        <v>0.18000000000000002</v>
      </c>
      <c r="G43" s="14">
        <f t="shared" si="2"/>
        <v>0.19000000000000003</v>
      </c>
      <c r="H43" s="220">
        <f t="shared" si="2"/>
        <v>0.20000000000000004</v>
      </c>
      <c r="I43" s="14">
        <f t="shared" si="2"/>
        <v>0.21000000000000005</v>
      </c>
      <c r="J43" s="220">
        <v>0.2157118022441864</v>
      </c>
      <c r="K43" s="14">
        <f t="shared" si="2"/>
        <v>0.22571180224418641</v>
      </c>
      <c r="L43" s="14">
        <f t="shared" si="2"/>
        <v>0.23571180224418642</v>
      </c>
      <c r="M43" s="220">
        <v>0.25</v>
      </c>
    </row>
    <row r="44" spans="1:13" x14ac:dyDescent="0.15">
      <c r="A44" s="217" t="s">
        <v>165</v>
      </c>
      <c r="B44" s="218">
        <f>+C38</f>
        <v>475.74853162762759</v>
      </c>
      <c r="C44" s="221">
        <f t="dataTable" ref="C44:M44" dt2D="0" dtr="1" r1="C34"/>
        <v>552.85522876714037</v>
      </c>
      <c r="D44" s="219">
        <v>539.38859350049586</v>
      </c>
      <c r="E44" s="219">
        <v>526.6008334937485</v>
      </c>
      <c r="F44" s="219">
        <v>514.45235524289728</v>
      </c>
      <c r="G44" s="219">
        <v>502.90618244160231</v>
      </c>
      <c r="H44" s="221">
        <v>491.92776295411937</v>
      </c>
      <c r="I44" s="219">
        <v>481.48479147752607</v>
      </c>
      <c r="J44" s="221">
        <v>475.74853162762759</v>
      </c>
      <c r="K44" s="219">
        <v>466.08655075116474</v>
      </c>
      <c r="L44" s="219">
        <v>456.88616542462773</v>
      </c>
      <c r="M44" s="221">
        <v>444.49114465902403</v>
      </c>
    </row>
  </sheetData>
  <phoneticPr fontId="8" type="noConversion"/>
  <pageMargins left="0.75" right="0.75" top="1" bottom="1" header="0.3" footer="0.3"/>
  <pageSetup paperSize="9" scale="63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C11"/>
  <sheetViews>
    <sheetView showGridLines="0" zoomScaleSheetLayoutView="100" workbookViewId="0">
      <selection activeCell="G9" sqref="G9"/>
    </sheetView>
  </sheetViews>
  <sheetFormatPr baseColWidth="10" defaultColWidth="8.83203125" defaultRowHeight="13" x14ac:dyDescent="0.15"/>
  <cols>
    <col min="1" max="1" width="3.33203125" style="1" customWidth="1"/>
    <col min="2" max="2" width="20.33203125" style="1" bestFit="1" customWidth="1"/>
    <col min="3" max="16384" width="8.83203125" style="1"/>
  </cols>
  <sheetData>
    <row r="2" spans="2:3" x14ac:dyDescent="0.15">
      <c r="B2" s="130" t="s">
        <v>91</v>
      </c>
    </row>
    <row r="4" spans="2:3" x14ac:dyDescent="0.15">
      <c r="B4" s="124" t="s">
        <v>92</v>
      </c>
      <c r="C4" s="127">
        <v>0.4</v>
      </c>
    </row>
    <row r="5" spans="2:3" x14ac:dyDescent="0.15">
      <c r="B5" s="124" t="s">
        <v>54</v>
      </c>
      <c r="C5" s="128">
        <f>1-C4</f>
        <v>0.6</v>
      </c>
    </row>
    <row r="6" spans="2:3" x14ac:dyDescent="0.15">
      <c r="C6" s="128"/>
    </row>
    <row r="7" spans="2:3" x14ac:dyDescent="0.15">
      <c r="B7" s="124" t="s">
        <v>93</v>
      </c>
      <c r="C7" s="129">
        <v>0.15</v>
      </c>
    </row>
    <row r="8" spans="2:3" x14ac:dyDescent="0.15">
      <c r="B8" s="124" t="s">
        <v>94</v>
      </c>
      <c r="C8" s="129">
        <f>+'LBO Modelling'!G11</f>
        <v>6.0000000000000005E-2</v>
      </c>
    </row>
    <row r="9" spans="2:3" x14ac:dyDescent="0.15">
      <c r="B9" s="124" t="s">
        <v>95</v>
      </c>
      <c r="C9" s="128">
        <f>+C8</f>
        <v>6.0000000000000005E-2</v>
      </c>
    </row>
    <row r="10" spans="2:3" x14ac:dyDescent="0.15">
      <c r="B10" s="124"/>
      <c r="C10" s="128"/>
    </row>
    <row r="11" spans="2:3" x14ac:dyDescent="0.15">
      <c r="B11" s="125" t="s">
        <v>96</v>
      </c>
      <c r="C11" s="126">
        <f>+(C7*C5)+(C4*C9)</f>
        <v>0.114</v>
      </c>
    </row>
  </sheetData>
  <phoneticPr fontId="8" type="noConversion"/>
  <pageMargins left="0.75" right="0.75" top="1" bottom="1" header="0.3" footer="0.3"/>
  <pageSetup paperSize="9" orientation="portrait"/>
  <headerFooter alignWithMargins="0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K24"/>
  <sheetViews>
    <sheetView showGridLines="0" zoomScale="85" zoomScaleNormal="85" workbookViewId="0">
      <selection activeCell="G22" sqref="G22"/>
    </sheetView>
  </sheetViews>
  <sheetFormatPr baseColWidth="10" defaultColWidth="8.83203125" defaultRowHeight="13" x14ac:dyDescent="0.15"/>
  <cols>
    <col min="1" max="2" width="8.83203125" style="1"/>
    <col min="3" max="3" width="26.33203125" style="1" bestFit="1" customWidth="1"/>
    <col min="4" max="5" width="8.83203125" style="1"/>
    <col min="6" max="6" width="5.5" style="1" bestFit="1" customWidth="1"/>
    <col min="7" max="7" width="42.83203125" style="1" bestFit="1" customWidth="1"/>
    <col min="8" max="8" width="5.5" style="1" bestFit="1" customWidth="1"/>
    <col min="9" max="9" width="12.6640625" style="1" bestFit="1" customWidth="1"/>
    <col min="10" max="16384" width="8.83203125" style="1"/>
  </cols>
  <sheetData>
    <row r="4" spans="3:10" x14ac:dyDescent="0.15">
      <c r="C4" s="1" t="s">
        <v>173</v>
      </c>
      <c r="D4" s="1">
        <f>+DCF!$D$8</f>
        <v>39.624249156502799</v>
      </c>
    </row>
    <row r="6" spans="3:10" x14ac:dyDescent="0.15">
      <c r="C6" s="222" t="s">
        <v>172</v>
      </c>
      <c r="D6" s="219">
        <f>+G6*J6</f>
        <v>396.24249156502799</v>
      </c>
      <c r="E6" s="219">
        <f>+F6-D6</f>
        <v>79.248498313005598</v>
      </c>
      <c r="F6" s="219">
        <f>+H6*J6</f>
        <v>475.49098987803359</v>
      </c>
      <c r="G6" s="179">
        <v>10</v>
      </c>
      <c r="H6" s="179">
        <v>12</v>
      </c>
      <c r="I6" s="1" t="s">
        <v>166</v>
      </c>
      <c r="J6" s="1">
        <f>+DCF!D8</f>
        <v>39.624249156502799</v>
      </c>
    </row>
    <row r="7" spans="3:10" x14ac:dyDescent="0.15">
      <c r="C7" s="1" t="s">
        <v>167</v>
      </c>
      <c r="D7" s="219">
        <v>550</v>
      </c>
      <c r="E7" s="219">
        <f>+F7-D7</f>
        <v>200</v>
      </c>
      <c r="F7" s="219">
        <v>750</v>
      </c>
      <c r="G7" s="1" t="s">
        <v>169</v>
      </c>
    </row>
    <row r="8" spans="3:10" x14ac:dyDescent="0.15">
      <c r="C8" s="1" t="s">
        <v>145</v>
      </c>
      <c r="D8" s="219">
        <v>510</v>
      </c>
      <c r="E8" s="219">
        <f>+F8-D8</f>
        <v>70</v>
      </c>
      <c r="F8" s="219">
        <v>580</v>
      </c>
      <c r="G8" s="1" t="s">
        <v>170</v>
      </c>
    </row>
    <row r="9" spans="3:10" x14ac:dyDescent="0.15">
      <c r="C9" s="1" t="s">
        <v>168</v>
      </c>
      <c r="D9" s="219">
        <v>440</v>
      </c>
      <c r="E9" s="219">
        <f>+F9-D9</f>
        <v>50</v>
      </c>
      <c r="F9" s="219">
        <v>490</v>
      </c>
      <c r="G9" s="1" t="s">
        <v>171</v>
      </c>
    </row>
    <row r="14" spans="3:10" x14ac:dyDescent="0.15">
      <c r="C14" s="1" t="str">
        <f>+C9</f>
        <v>LBO (5 year exit)</v>
      </c>
      <c r="D14" s="1">
        <f>+D9</f>
        <v>440</v>
      </c>
      <c r="E14" s="1">
        <f>+E9</f>
        <v>50</v>
      </c>
    </row>
    <row r="15" spans="3:10" x14ac:dyDescent="0.15">
      <c r="C15" s="1" t="str">
        <f>+C8</f>
        <v>FCFE</v>
      </c>
      <c r="D15" s="1">
        <f>+D8</f>
        <v>510</v>
      </c>
      <c r="E15" s="1">
        <f>+E8</f>
        <v>70</v>
      </c>
    </row>
    <row r="16" spans="3:10" x14ac:dyDescent="0.15">
      <c r="C16" s="1" t="str">
        <f>+C7</f>
        <v>DCF</v>
      </c>
      <c r="D16" s="1">
        <f>+D7</f>
        <v>550</v>
      </c>
      <c r="E16" s="1">
        <f>+E7</f>
        <v>200</v>
      </c>
    </row>
    <row r="17" spans="3:11" x14ac:dyDescent="0.15">
      <c r="C17" s="1" t="str">
        <f>+C6</f>
        <v>Trading Comps FY+1 EBITDA</v>
      </c>
      <c r="D17" s="1">
        <f>+D6</f>
        <v>396.24249156502799</v>
      </c>
      <c r="E17" s="1">
        <f>+E6</f>
        <v>79.248498313005598</v>
      </c>
    </row>
    <row r="21" spans="3:11" x14ac:dyDescent="0.15">
      <c r="C21" s="222" t="s">
        <v>172</v>
      </c>
      <c r="D21" s="179">
        <f>D6/$D$4</f>
        <v>10</v>
      </c>
      <c r="F21" s="179">
        <f>F6/$D$4</f>
        <v>12</v>
      </c>
      <c r="J21" s="1">
        <v>400</v>
      </c>
      <c r="K21" s="1">
        <v>750</v>
      </c>
    </row>
    <row r="22" spans="3:11" x14ac:dyDescent="0.15">
      <c r="C22" s="1" t="s">
        <v>167</v>
      </c>
      <c r="D22" s="179">
        <f>D7/$D$4</f>
        <v>13.880389198737376</v>
      </c>
      <c r="F22" s="179">
        <f>F7/$D$4</f>
        <v>18.927803452823692</v>
      </c>
      <c r="J22" s="1">
        <f>+J21/DCF!$D$8</f>
        <v>10.094828508172636</v>
      </c>
      <c r="K22" s="1">
        <f>+K21/DCF!$D$8</f>
        <v>18.927803452823692</v>
      </c>
    </row>
    <row r="23" spans="3:11" x14ac:dyDescent="0.15">
      <c r="C23" s="1" t="s">
        <v>145</v>
      </c>
      <c r="D23" s="179">
        <f>D8/$D$4</f>
        <v>12.870906347920112</v>
      </c>
      <c r="F23" s="179">
        <f>F8/$D$4</f>
        <v>14.637501336850322</v>
      </c>
    </row>
    <row r="24" spans="3:11" x14ac:dyDescent="0.15">
      <c r="C24" s="1" t="s">
        <v>168</v>
      </c>
      <c r="D24" s="179">
        <f>D9/$D$4</f>
        <v>11.1043113589899</v>
      </c>
      <c r="F24" s="179">
        <f>F9/$D$4</f>
        <v>12.36616492251148</v>
      </c>
    </row>
  </sheetData>
  <pageMargins left="0.75" right="0.75" top="1" bottom="1" header="0.3" footer="0.3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"/>
  <sheetViews>
    <sheetView workbookViewId="0">
      <selection activeCell="G22" sqref="G22"/>
    </sheetView>
  </sheetViews>
  <sheetFormatPr baseColWidth="10" defaultColWidth="8.83203125" defaultRowHeight="15" x14ac:dyDescent="0.2"/>
  <sheetData>
    <row r="2" spans="1:8" x14ac:dyDescent="0.2">
      <c r="C2">
        <v>300</v>
      </c>
      <c r="D2">
        <f>+C2+100</f>
        <v>400</v>
      </c>
      <c r="E2">
        <f>+D2+100</f>
        <v>500</v>
      </c>
      <c r="F2">
        <f>+E2+100</f>
        <v>600</v>
      </c>
      <c r="G2">
        <f>+F2+100</f>
        <v>700</v>
      </c>
      <c r="H2">
        <f>+G2+100</f>
        <v>800</v>
      </c>
    </row>
    <row r="3" spans="1:8" x14ac:dyDescent="0.2">
      <c r="A3" t="s">
        <v>173</v>
      </c>
      <c r="B3">
        <f>+DCF!$D$8</f>
        <v>39.624249156502799</v>
      </c>
      <c r="C3" s="179">
        <f t="shared" ref="C3:H3" si="0">C2/$B$3</f>
        <v>7.5711213811294771</v>
      </c>
      <c r="D3" s="179">
        <f t="shared" si="0"/>
        <v>10.094828508172636</v>
      </c>
      <c r="E3" s="179">
        <f t="shared" si="0"/>
        <v>12.618535635215796</v>
      </c>
      <c r="F3" s="179">
        <f t="shared" si="0"/>
        <v>15.142242762258954</v>
      </c>
      <c r="G3" s="179">
        <f t="shared" si="0"/>
        <v>17.665949889302112</v>
      </c>
      <c r="H3" s="179">
        <f t="shared" si="0"/>
        <v>20.189657016345272</v>
      </c>
    </row>
    <row r="4" spans="1:8" x14ac:dyDescent="0.2">
      <c r="A4" t="s">
        <v>174</v>
      </c>
      <c r="B4">
        <f>+DCF!$E$8</f>
        <v>42.687896050238059</v>
      </c>
      <c r="C4" s="179">
        <f t="shared" ref="C4:H4" si="1">C2/$B$4</f>
        <v>7.0277532452510503</v>
      </c>
      <c r="D4" s="179">
        <f t="shared" si="1"/>
        <v>9.3703376603347337</v>
      </c>
      <c r="E4" s="179">
        <f t="shared" si="1"/>
        <v>11.712922075418417</v>
      </c>
      <c r="F4" s="179">
        <f t="shared" si="1"/>
        <v>14.055506490502101</v>
      </c>
      <c r="G4" s="179">
        <f t="shared" si="1"/>
        <v>16.398090905585782</v>
      </c>
      <c r="H4" s="179">
        <f t="shared" si="1"/>
        <v>18.740675320669467</v>
      </c>
    </row>
  </sheetData>
  <pageMargins left="0.75" right="0.75" top="1" bottom="1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10"/>
  <sheetViews>
    <sheetView showGridLines="0" zoomScaleSheetLayoutView="85" workbookViewId="0">
      <pane xSplit="2" ySplit="5" topLeftCell="C23" activePane="bottomRight" state="frozen"/>
      <selection pane="topRight" activeCell="C1" sqref="C1"/>
      <selection pane="bottomLeft" activeCell="A6" sqref="A6"/>
      <selection pane="bottomRight" activeCell="B2" sqref="B2"/>
    </sheetView>
  </sheetViews>
  <sheetFormatPr baseColWidth="10" defaultColWidth="8.83203125" defaultRowHeight="13" x14ac:dyDescent="0.15"/>
  <cols>
    <col min="1" max="1" width="2.6640625" style="2" customWidth="1"/>
    <col min="2" max="2" width="42.33203125" style="2" customWidth="1"/>
    <col min="3" max="3" width="9.33203125" style="6" bestFit="1" customWidth="1"/>
    <col min="4" max="5" width="9.5" style="6" bestFit="1" customWidth="1"/>
    <col min="6" max="17" width="9.33203125" style="6" bestFit="1" customWidth="1"/>
    <col min="18" max="16384" width="8.83203125" style="6"/>
  </cols>
  <sheetData>
    <row r="1" spans="1:17" s="2" customFormat="1" x14ac:dyDescent="0.15"/>
    <row r="2" spans="1:17" s="2" customFormat="1" x14ac:dyDescent="0.15">
      <c r="B2" s="89" t="s">
        <v>85</v>
      </c>
    </row>
    <row r="3" spans="1:17" s="2" customFormat="1" x14ac:dyDescent="0.15">
      <c r="B3" s="5"/>
    </row>
    <row r="4" spans="1:17" s="2" customFormat="1" x14ac:dyDescent="0.15">
      <c r="B4" s="81" t="s">
        <v>0</v>
      </c>
      <c r="C4" s="85">
        <v>2007</v>
      </c>
      <c r="D4" s="85">
        <f>+C4+1</f>
        <v>2008</v>
      </c>
      <c r="E4" s="85">
        <f t="shared" ref="E4:Q4" si="0">+D4+1</f>
        <v>2009</v>
      </c>
      <c r="F4" s="85">
        <f t="shared" si="0"/>
        <v>2010</v>
      </c>
      <c r="G4" s="86">
        <f t="shared" si="0"/>
        <v>2011</v>
      </c>
      <c r="H4" s="87">
        <f t="shared" si="0"/>
        <v>2012</v>
      </c>
      <c r="I4" s="88">
        <f t="shared" si="0"/>
        <v>2013</v>
      </c>
      <c r="J4" s="88">
        <f t="shared" si="0"/>
        <v>2014</v>
      </c>
      <c r="K4" s="88">
        <f t="shared" si="0"/>
        <v>2015</v>
      </c>
      <c r="L4" s="88">
        <f t="shared" si="0"/>
        <v>2016</v>
      </c>
      <c r="M4" s="88">
        <f t="shared" si="0"/>
        <v>2017</v>
      </c>
      <c r="N4" s="88">
        <f t="shared" si="0"/>
        <v>2018</v>
      </c>
      <c r="O4" s="88">
        <f t="shared" si="0"/>
        <v>2019</v>
      </c>
      <c r="P4" s="88">
        <f t="shared" si="0"/>
        <v>2020</v>
      </c>
      <c r="Q4" s="88">
        <f t="shared" si="0"/>
        <v>2021</v>
      </c>
    </row>
    <row r="5" spans="1:17" s="2" customFormat="1" ht="5" customHeight="1" x14ac:dyDescent="0.15">
      <c r="B5" s="5"/>
      <c r="C5" s="3"/>
      <c r="D5" s="3"/>
      <c r="E5" s="3"/>
      <c r="F5" s="3"/>
      <c r="G5" s="73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x14ac:dyDescent="0.15">
      <c r="B6" s="20" t="s">
        <v>86</v>
      </c>
      <c r="C6" s="33">
        <v>212.63800000000001</v>
      </c>
      <c r="D6" s="33">
        <v>260.48200000000003</v>
      </c>
      <c r="E6" s="33">
        <v>273.50599999999997</v>
      </c>
      <c r="F6" s="33">
        <v>277.60899999999998</v>
      </c>
      <c r="G6" s="104">
        <v>291.48899999999998</v>
      </c>
      <c r="H6" s="33">
        <f>+H9+H45</f>
        <v>308.60898117018746</v>
      </c>
      <c r="I6" s="33">
        <f t="shared" ref="I6:Q6" si="1">+I9+I45</f>
        <v>331.0081842554917</v>
      </c>
      <c r="J6" s="33">
        <f t="shared" si="1"/>
        <v>362.51112477322846</v>
      </c>
      <c r="K6" s="33">
        <f t="shared" si="1"/>
        <v>399.52298795291426</v>
      </c>
      <c r="L6" s="33">
        <f t="shared" si="1"/>
        <v>444.66890018218101</v>
      </c>
      <c r="M6" s="33">
        <f t="shared" si="1"/>
        <v>486.50462728897151</v>
      </c>
      <c r="N6" s="33">
        <f t="shared" si="1"/>
        <v>522.25520195999081</v>
      </c>
      <c r="O6" s="33">
        <f t="shared" si="1"/>
        <v>550.46246161646002</v>
      </c>
      <c r="P6" s="33">
        <f t="shared" si="1"/>
        <v>571.5559195603737</v>
      </c>
      <c r="Q6" s="33">
        <f t="shared" si="1"/>
        <v>583.04419354353718</v>
      </c>
    </row>
    <row r="7" spans="1:17" s="7" customFormat="1" x14ac:dyDescent="0.15">
      <c r="A7" s="5"/>
      <c r="B7" s="5" t="s">
        <v>12</v>
      </c>
      <c r="D7" s="8">
        <f t="shared" ref="D7:Q7" si="2">+D6/C6-1</f>
        <v>0.22500211627272648</v>
      </c>
      <c r="E7" s="8">
        <f t="shared" si="2"/>
        <v>4.9999616096313426E-2</v>
      </c>
      <c r="F7" s="8">
        <f t="shared" si="2"/>
        <v>1.5001499053037159E-2</v>
      </c>
      <c r="G7" s="75">
        <f t="shared" si="2"/>
        <v>4.9998379015089522E-2</v>
      </c>
      <c r="H7" s="8">
        <f t="shared" si="2"/>
        <v>5.873285499688663E-2</v>
      </c>
      <c r="I7" s="8">
        <f t="shared" si="2"/>
        <v>7.2581176997411623E-2</v>
      </c>
      <c r="J7" s="8">
        <f t="shared" si="2"/>
        <v>9.5172693655879215E-2</v>
      </c>
      <c r="K7" s="8">
        <f t="shared" si="2"/>
        <v>0.10209855822449265</v>
      </c>
      <c r="L7" s="8">
        <f t="shared" si="2"/>
        <v>0.1129995359230429</v>
      </c>
      <c r="M7" s="8">
        <f t="shared" si="2"/>
        <v>9.4082871749408215E-2</v>
      </c>
      <c r="N7" s="8">
        <f t="shared" si="2"/>
        <v>7.3484552182448981E-2</v>
      </c>
      <c r="O7" s="8">
        <f t="shared" si="2"/>
        <v>5.4010490562102831E-2</v>
      </c>
      <c r="P7" s="8">
        <f t="shared" si="2"/>
        <v>3.8319521156759073E-2</v>
      </c>
      <c r="Q7" s="8">
        <f t="shared" si="2"/>
        <v>2.0100000000000007E-2</v>
      </c>
    </row>
    <row r="8" spans="1:17" x14ac:dyDescent="0.15">
      <c r="G8" s="74"/>
    </row>
    <row r="9" spans="1:17" x14ac:dyDescent="0.15">
      <c r="B9" s="19" t="s">
        <v>1</v>
      </c>
      <c r="C9" s="33">
        <f>+C6-C45</f>
        <v>192.30742148760331</v>
      </c>
      <c r="D9" s="33">
        <f>+D6-D45</f>
        <v>238.11836363636365</v>
      </c>
      <c r="E9" s="33">
        <f>+E6-E45</f>
        <v>248.90599999999998</v>
      </c>
      <c r="F9" s="33">
        <f>+F6-F45</f>
        <v>250.54899999999998</v>
      </c>
      <c r="G9" s="104">
        <f>+G6-G45</f>
        <v>261.72299999999996</v>
      </c>
      <c r="H9" s="33">
        <f>+H13+H24+H35</f>
        <v>275.64864288018748</v>
      </c>
      <c r="I9" s="33">
        <f t="shared" ref="I9:Q9" si="3">+I13+I24+I35</f>
        <v>294.01903130356072</v>
      </c>
      <c r="J9" s="33">
        <f t="shared" si="3"/>
        <v>320.11179035393627</v>
      </c>
      <c r="K9" s="33">
        <f t="shared" si="3"/>
        <v>350.2210418901613</v>
      </c>
      <c r="L9" s="33">
        <f t="shared" si="3"/>
        <v>386.95111192651615</v>
      </c>
      <c r="M9" s="33">
        <f t="shared" si="3"/>
        <v>420.8264016770853</v>
      </c>
      <c r="N9" s="33">
        <f t="shared" si="3"/>
        <v>450.32966352790197</v>
      </c>
      <c r="O9" s="33">
        <f t="shared" si="3"/>
        <v>474.0343844785225</v>
      </c>
      <c r="P9" s="33">
        <f t="shared" si="3"/>
        <v>492.04779091377719</v>
      </c>
      <c r="Q9" s="33">
        <f t="shared" si="3"/>
        <v>501.93795151114415</v>
      </c>
    </row>
    <row r="10" spans="1:17" s="7" customFormat="1" x14ac:dyDescent="0.15">
      <c r="A10" s="5"/>
      <c r="B10" s="16" t="s">
        <v>8</v>
      </c>
      <c r="C10" s="8">
        <f>+C9/C6</f>
        <v>0.90438878040427062</v>
      </c>
      <c r="D10" s="8">
        <f>+D9/D6</f>
        <v>0.91414517562197628</v>
      </c>
      <c r="E10" s="8">
        <f>+E9/E6</f>
        <v>0.91005681776633784</v>
      </c>
      <c r="F10" s="8">
        <f>+F9/F6</f>
        <v>0.90252477405271436</v>
      </c>
      <c r="G10" s="75">
        <f>+G9/G6</f>
        <v>0.89788293897882931</v>
      </c>
      <c r="H10" s="8">
        <f t="shared" ref="H10:Q10" si="4">+H9/H6</f>
        <v>0.89319708660123709</v>
      </c>
      <c r="I10" s="8">
        <f t="shared" si="4"/>
        <v>0.88825305623446293</v>
      </c>
      <c r="J10" s="8">
        <f t="shared" si="4"/>
        <v>0.88303990823504963</v>
      </c>
      <c r="K10" s="8">
        <f t="shared" si="4"/>
        <v>0.87659797421077701</v>
      </c>
      <c r="L10" s="8">
        <f t="shared" si="4"/>
        <v>0.87020052845607632</v>
      </c>
      <c r="M10" s="8">
        <f t="shared" si="4"/>
        <v>0.86499979254488157</v>
      </c>
      <c r="N10" s="8">
        <f t="shared" si="4"/>
        <v>0.86227894301070274</v>
      </c>
      <c r="O10" s="8">
        <f t="shared" si="4"/>
        <v>0.86115660473285915</v>
      </c>
      <c r="P10" s="8">
        <f t="shared" si="4"/>
        <v>0.86089177642014081</v>
      </c>
      <c r="Q10" s="8">
        <f t="shared" si="4"/>
        <v>0.86089177642014092</v>
      </c>
    </row>
    <row r="11" spans="1:17" s="7" customFormat="1" x14ac:dyDescent="0.15">
      <c r="A11" s="5"/>
      <c r="B11" s="16" t="s">
        <v>11</v>
      </c>
      <c r="C11" s="8"/>
      <c r="D11" s="8">
        <f>+D9/C9-1</f>
        <v>0.23821723464641975</v>
      </c>
      <c r="E11" s="8">
        <f t="shared" ref="E11:Q11" si="5">+E9/D9-1</f>
        <v>4.5303672505117687E-2</v>
      </c>
      <c r="F11" s="8">
        <f t="shared" si="5"/>
        <v>6.6008854748378365E-3</v>
      </c>
      <c r="G11" s="75">
        <f t="shared" si="5"/>
        <v>4.4598062654410908E-2</v>
      </c>
      <c r="H11" s="8">
        <f t="shared" si="5"/>
        <v>5.3207562500000138E-2</v>
      </c>
      <c r="I11" s="8">
        <f t="shared" si="5"/>
        <v>6.6644218637992969E-2</v>
      </c>
      <c r="J11" s="8">
        <f t="shared" si="5"/>
        <v>8.8745136444708717E-2</v>
      </c>
      <c r="K11" s="8">
        <f t="shared" si="5"/>
        <v>9.4058552179331789E-2</v>
      </c>
      <c r="L11" s="8">
        <f t="shared" si="5"/>
        <v>0.10487682247223273</v>
      </c>
      <c r="M11" s="8">
        <f t="shared" si="5"/>
        <v>8.7544107527987247E-2</v>
      </c>
      <c r="N11" s="8">
        <f t="shared" si="5"/>
        <v>7.0107915599495918E-2</v>
      </c>
      <c r="O11" s="8">
        <f t="shared" si="5"/>
        <v>5.2638595390134268E-2</v>
      </c>
      <c r="P11" s="8">
        <f t="shared" si="5"/>
        <v>3.8000210586139227E-2</v>
      </c>
      <c r="Q11" s="8">
        <f t="shared" si="5"/>
        <v>2.0100000000000007E-2</v>
      </c>
    </row>
    <row r="12" spans="1:17" x14ac:dyDescent="0.15">
      <c r="B12" s="15"/>
      <c r="G12" s="74"/>
    </row>
    <row r="13" spans="1:17" x14ac:dyDescent="0.15">
      <c r="B13" s="17" t="s">
        <v>7</v>
      </c>
      <c r="C13" s="6">
        <f>+C$9*C14</f>
        <v>96.153710743801653</v>
      </c>
      <c r="D13" s="6">
        <f>+D$9*D14</f>
        <v>119.05918181818183</v>
      </c>
      <c r="E13" s="6">
        <f>+E$9*E14</f>
        <v>124.45299999999999</v>
      </c>
      <c r="F13" s="6">
        <f>+F$9*F14</f>
        <v>125.27449999999999</v>
      </c>
      <c r="G13" s="74">
        <f>+G$9*G14</f>
        <v>130.86149999999998</v>
      </c>
      <c r="H13" s="6">
        <f>+H17*H20</f>
        <v>138.31831542374999</v>
      </c>
      <c r="I13" s="6">
        <f t="shared" ref="I13:Q13" si="6">+I17*I20</f>
        <v>148.23313825530292</v>
      </c>
      <c r="J13" s="6">
        <f t="shared" si="6"/>
        <v>162.32884972170703</v>
      </c>
      <c r="K13" s="6">
        <f t="shared" si="6"/>
        <v>178.82146085343248</v>
      </c>
      <c r="L13" s="6">
        <f t="shared" si="6"/>
        <v>200.24427186367373</v>
      </c>
      <c r="M13" s="6">
        <f t="shared" si="6"/>
        <v>219.72403463057191</v>
      </c>
      <c r="N13" s="6">
        <f t="shared" si="6"/>
        <v>236.16818138232392</v>
      </c>
      <c r="O13" s="6">
        <f t="shared" si="6"/>
        <v>248.56228754126829</v>
      </c>
      <c r="P13" s="6">
        <f t="shared" si="6"/>
        <v>258.57934772918139</v>
      </c>
      <c r="Q13" s="6">
        <f t="shared" si="6"/>
        <v>263.77679261853797</v>
      </c>
    </row>
    <row r="14" spans="1:17" s="7" customFormat="1" x14ac:dyDescent="0.15">
      <c r="A14" s="5"/>
      <c r="B14" s="18" t="s">
        <v>10</v>
      </c>
      <c r="C14" s="10">
        <v>0.5</v>
      </c>
      <c r="D14" s="8">
        <f>+C14</f>
        <v>0.5</v>
      </c>
      <c r="E14" s="8">
        <f>+D14</f>
        <v>0.5</v>
      </c>
      <c r="F14" s="8">
        <f>+E14</f>
        <v>0.5</v>
      </c>
      <c r="G14" s="75">
        <f>+F14</f>
        <v>0.5</v>
      </c>
      <c r="H14" s="8">
        <f>+H13/H9</f>
        <v>0.50179211469534046</v>
      </c>
      <c r="I14" s="8">
        <f t="shared" ref="I14:Q14" si="7">+I13/I9</f>
        <v>0.50416171224732464</v>
      </c>
      <c r="J14" s="8">
        <f t="shared" si="7"/>
        <v>0.50710050242831028</v>
      </c>
      <c r="K14" s="8">
        <f t="shared" si="7"/>
        <v>0.51059599357115637</v>
      </c>
      <c r="L14" s="8">
        <f t="shared" si="7"/>
        <v>0.51749243170982562</v>
      </c>
      <c r="M14" s="8">
        <f t="shared" si="7"/>
        <v>0.52212511799384154</v>
      </c>
      <c r="N14" s="8">
        <f t="shared" si="7"/>
        <v>0.52443398805260177</v>
      </c>
      <c r="O14" s="8">
        <f t="shared" si="7"/>
        <v>0.52435497440698864</v>
      </c>
      <c r="P14" s="8">
        <f t="shared" si="7"/>
        <v>0.5255167333420524</v>
      </c>
      <c r="Q14" s="8">
        <f t="shared" si="7"/>
        <v>0.5255167333420524</v>
      </c>
    </row>
    <row r="15" spans="1:17" s="7" customFormat="1" x14ac:dyDescent="0.15">
      <c r="A15" s="5"/>
      <c r="B15" s="18" t="s">
        <v>11</v>
      </c>
      <c r="C15" s="8"/>
      <c r="D15" s="8">
        <f>+D13/C13-1</f>
        <v>0.23821723464641975</v>
      </c>
      <c r="E15" s="8">
        <f t="shared" ref="E15:Q15" si="8">+E13/D13-1</f>
        <v>4.5303672505117687E-2</v>
      </c>
      <c r="F15" s="8">
        <f t="shared" si="8"/>
        <v>6.6008854748378365E-3</v>
      </c>
      <c r="G15" s="75">
        <f t="shared" si="8"/>
        <v>4.4598062654410908E-2</v>
      </c>
      <c r="H15" s="8">
        <f t="shared" si="8"/>
        <v>5.6982500000000158E-2</v>
      </c>
      <c r="I15" s="8">
        <f t="shared" si="8"/>
        <v>7.1681200000000223E-2</v>
      </c>
      <c r="J15" s="8">
        <f t="shared" si="8"/>
        <v>9.5091499999999884E-2</v>
      </c>
      <c r="K15" s="8">
        <f t="shared" si="8"/>
        <v>0.10160000000000013</v>
      </c>
      <c r="L15" s="8">
        <f t="shared" si="8"/>
        <v>0.11980000000000013</v>
      </c>
      <c r="M15" s="8">
        <f t="shared" si="8"/>
        <v>9.7280000000000033E-2</v>
      </c>
      <c r="N15" s="8">
        <f t="shared" si="8"/>
        <v>7.4840000000000018E-2</v>
      </c>
      <c r="O15" s="8">
        <f t="shared" si="8"/>
        <v>5.2480000000000082E-2</v>
      </c>
      <c r="P15" s="8">
        <f t="shared" si="8"/>
        <v>4.0300000000000002E-2</v>
      </c>
      <c r="Q15" s="8">
        <f t="shared" si="8"/>
        <v>2.0100000000000007E-2</v>
      </c>
    </row>
    <row r="16" spans="1:17" x14ac:dyDescent="0.15">
      <c r="B16" s="17"/>
      <c r="G16" s="74"/>
    </row>
    <row r="17" spans="1:17" x14ac:dyDescent="0.15">
      <c r="B17" s="51" t="s">
        <v>15</v>
      </c>
      <c r="C17" s="6">
        <f>+C13/C20</f>
        <v>24.038427685950413</v>
      </c>
      <c r="D17" s="6">
        <f>+D13/D20</f>
        <v>26.516285337810316</v>
      </c>
      <c r="E17" s="6">
        <f>+E13/E20</f>
        <v>27.29181808271635</v>
      </c>
      <c r="F17" s="6">
        <f>+F13/F20</f>
        <v>27.232863704951004</v>
      </c>
      <c r="G17" s="74">
        <f>+G13/G20</f>
        <v>28.20064105747057</v>
      </c>
      <c r="H17" s="6">
        <f>+G17*(1+H18)</f>
        <v>29.610673110344099</v>
      </c>
      <c r="I17" s="6">
        <f t="shared" ref="I17:Q17" si="9">+H17*(1+I18)</f>
        <v>31.387313496964747</v>
      </c>
      <c r="J17" s="6">
        <f t="shared" si="9"/>
        <v>33.584425441752281</v>
      </c>
      <c r="K17" s="6">
        <f t="shared" si="9"/>
        <v>36.271179477092467</v>
      </c>
      <c r="L17" s="6">
        <f t="shared" si="9"/>
        <v>39.898297424801719</v>
      </c>
      <c r="M17" s="6">
        <f t="shared" si="9"/>
        <v>43.090161218785859</v>
      </c>
      <c r="N17" s="6">
        <f t="shared" si="9"/>
        <v>45.675570891913011</v>
      </c>
      <c r="O17" s="6">
        <f t="shared" si="9"/>
        <v>47.502593727589534</v>
      </c>
      <c r="P17" s="6">
        <f t="shared" si="9"/>
        <v>48.927671539417219</v>
      </c>
      <c r="Q17" s="6">
        <f t="shared" si="9"/>
        <v>49.416948254811395</v>
      </c>
    </row>
    <row r="18" spans="1:17" x14ac:dyDescent="0.15">
      <c r="B18" s="51" t="s">
        <v>11</v>
      </c>
      <c r="C18" s="8"/>
      <c r="D18" s="8">
        <f>D17/C17-1</f>
        <v>0.1030790234798975</v>
      </c>
      <c r="E18" s="8">
        <f>E17/D17-1</f>
        <v>2.9247412864432443E-2</v>
      </c>
      <c r="F18" s="50">
        <f>F17/E17-1</f>
        <v>-2.1601484220167277E-3</v>
      </c>
      <c r="G18" s="75">
        <f>G17/F17-1</f>
        <v>3.5537112916392388E-2</v>
      </c>
      <c r="H18" s="27">
        <f>Assumptions!I13</f>
        <v>0.05</v>
      </c>
      <c r="I18" s="27">
        <f>Assumptions!J13</f>
        <v>0.06</v>
      </c>
      <c r="J18" s="27">
        <f>Assumptions!K13</f>
        <v>7.0000000000000007E-2</v>
      </c>
      <c r="K18" s="27">
        <f>Assumptions!L13</f>
        <v>0.08</v>
      </c>
      <c r="L18" s="27">
        <f>Assumptions!M13</f>
        <v>0.1</v>
      </c>
      <c r="M18" s="27">
        <f>Assumptions!N13</f>
        <v>0.08</v>
      </c>
      <c r="N18" s="27">
        <f>Assumptions!O13</f>
        <v>0.06</v>
      </c>
      <c r="O18" s="27">
        <f>Assumptions!P13</f>
        <v>0.04</v>
      </c>
      <c r="P18" s="27">
        <f>Assumptions!Q13</f>
        <v>0.03</v>
      </c>
      <c r="Q18" s="27">
        <f>Assumptions!R13</f>
        <v>0.01</v>
      </c>
    </row>
    <row r="19" spans="1:17" x14ac:dyDescent="0.15">
      <c r="B19" s="51"/>
      <c r="G19" s="74"/>
    </row>
    <row r="20" spans="1:17" x14ac:dyDescent="0.15">
      <c r="B20" s="51" t="s">
        <v>6</v>
      </c>
      <c r="C20" s="13">
        <v>4</v>
      </c>
      <c r="D20" s="6">
        <f>C20*(1+D21)</f>
        <v>4.4900399999999996</v>
      </c>
      <c r="E20" s="6">
        <f>D20*(1+E21)</f>
        <v>4.5600846239999999</v>
      </c>
      <c r="F20" s="6">
        <f>E20*(1+F21)</f>
        <v>4.6001221669987196</v>
      </c>
      <c r="G20" s="74">
        <f>F20*(1+G21)</f>
        <v>4.6403732359599585</v>
      </c>
      <c r="H20" s="6">
        <f>+G20*(1+H21)</f>
        <v>4.6712317179790928</v>
      </c>
      <c r="I20" s="6">
        <f t="shared" ref="I20:Q20" si="10">+H20*(1+I21)</f>
        <v>4.7227086915112224</v>
      </c>
      <c r="J20" s="6">
        <f t="shared" si="10"/>
        <v>4.8334562103271601</v>
      </c>
      <c r="K20" s="6">
        <f t="shared" si="10"/>
        <v>4.9301253345337033</v>
      </c>
      <c r="L20" s="6">
        <f t="shared" si="10"/>
        <v>5.0188675905553097</v>
      </c>
      <c r="M20" s="6">
        <f t="shared" si="10"/>
        <v>5.0991694720041947</v>
      </c>
      <c r="N20" s="6">
        <f t="shared" si="10"/>
        <v>5.1705578446122535</v>
      </c>
      <c r="O20" s="6">
        <f t="shared" si="10"/>
        <v>5.2326045387476006</v>
      </c>
      <c r="P20" s="6">
        <f t="shared" si="10"/>
        <v>5.2849305841350764</v>
      </c>
      <c r="Q20" s="6">
        <f t="shared" si="10"/>
        <v>5.3377798899764271</v>
      </c>
    </row>
    <row r="21" spans="1:17" x14ac:dyDescent="0.15">
      <c r="B21" s="51" t="s">
        <v>11</v>
      </c>
      <c r="C21" s="8"/>
      <c r="D21" s="10">
        <v>0.12250999999999999</v>
      </c>
      <c r="E21" s="10">
        <v>1.5599999999999999E-2</v>
      </c>
      <c r="F21" s="10">
        <v>8.7799999999999996E-3</v>
      </c>
      <c r="G21" s="76">
        <v>8.7500000000000008E-3</v>
      </c>
      <c r="H21" s="239">
        <v>6.6499999999999997E-3</v>
      </c>
      <c r="I21" s="239">
        <v>1.102E-2</v>
      </c>
      <c r="J21" s="239">
        <v>2.3449999999999999E-2</v>
      </c>
      <c r="K21" s="128">
        <v>0.02</v>
      </c>
      <c r="L21" s="128">
        <v>1.7999999999999999E-2</v>
      </c>
      <c r="M21" s="128">
        <v>1.6E-2</v>
      </c>
      <c r="N21" s="128">
        <v>1.4E-2</v>
      </c>
      <c r="O21" s="128">
        <v>1.2E-2</v>
      </c>
      <c r="P21" s="128">
        <v>0.01</v>
      </c>
      <c r="Q21" s="128">
        <v>0.01</v>
      </c>
    </row>
    <row r="22" spans="1:17" x14ac:dyDescent="0.15">
      <c r="B22" s="15"/>
      <c r="G22" s="74"/>
    </row>
    <row r="23" spans="1:17" x14ac:dyDescent="0.15">
      <c r="B23" s="15"/>
      <c r="G23" s="74"/>
    </row>
    <row r="24" spans="1:17" x14ac:dyDescent="0.15">
      <c r="B24" s="17" t="s">
        <v>4</v>
      </c>
      <c r="C24" s="6">
        <f>+C$9*C25</f>
        <v>48.076855371900827</v>
      </c>
      <c r="D24" s="6">
        <f>+D$9*D25</f>
        <v>59.529590909090913</v>
      </c>
      <c r="E24" s="6">
        <f>+E$9*E25</f>
        <v>62.226499999999994</v>
      </c>
      <c r="F24" s="6">
        <f>+F$9*F25</f>
        <v>62.637249999999995</v>
      </c>
      <c r="G24" s="74">
        <f>+G$9*G25</f>
        <v>65.430749999999989</v>
      </c>
      <c r="H24" s="6">
        <f>+H28*H31</f>
        <v>68.500499066999993</v>
      </c>
      <c r="I24" s="6">
        <f t="shared" ref="I24:Q24" si="11">+I28*I31</f>
        <v>72.718143295054247</v>
      </c>
      <c r="J24" s="6">
        <f t="shared" si="11"/>
        <v>78.888786780642661</v>
      </c>
      <c r="K24" s="6">
        <f t="shared" si="11"/>
        <v>86.099221892393402</v>
      </c>
      <c r="L24" s="6">
        <f t="shared" si="11"/>
        <v>94.660928517373009</v>
      </c>
      <c r="M24" s="6">
        <f t="shared" si="11"/>
        <v>102.90778860980656</v>
      </c>
      <c r="N24" s="6">
        <f t="shared" si="11"/>
        <v>110.60940750936449</v>
      </c>
      <c r="O24" s="6">
        <f t="shared" si="11"/>
        <v>117.53355641945072</v>
      </c>
      <c r="P24" s="6">
        <f t="shared" si="11"/>
        <v>122.27015874315457</v>
      </c>
      <c r="Q24" s="6">
        <f t="shared" si="11"/>
        <v>124.72778893389197</v>
      </c>
    </row>
    <row r="25" spans="1:17" s="7" customFormat="1" x14ac:dyDescent="0.15">
      <c r="A25" s="5"/>
      <c r="B25" s="18" t="s">
        <v>10</v>
      </c>
      <c r="C25" s="10">
        <v>0.25</v>
      </c>
      <c r="D25" s="8">
        <f>+C25</f>
        <v>0.25</v>
      </c>
      <c r="E25" s="8">
        <f>+D25</f>
        <v>0.25</v>
      </c>
      <c r="F25" s="8">
        <f>+E25</f>
        <v>0.25</v>
      </c>
      <c r="G25" s="75">
        <f>+F25</f>
        <v>0.25</v>
      </c>
      <c r="H25" s="8">
        <f>+H24/H9</f>
        <v>0.24850657108721624</v>
      </c>
      <c r="I25" s="8">
        <f t="shared" ref="I25:Q25" si="12">+I24/I9</f>
        <v>0.24732461355529128</v>
      </c>
      <c r="J25" s="8">
        <f t="shared" si="12"/>
        <v>0.24644136566609473</v>
      </c>
      <c r="K25" s="8">
        <f t="shared" si="12"/>
        <v>0.2458425154231493</v>
      </c>
      <c r="L25" s="8">
        <f t="shared" si="12"/>
        <v>0.24463278589919021</v>
      </c>
      <c r="M25" s="8">
        <f t="shared" si="12"/>
        <v>0.24453738691226715</v>
      </c>
      <c r="N25" s="8">
        <f t="shared" si="12"/>
        <v>0.24561874659298619</v>
      </c>
      <c r="O25" s="8">
        <f t="shared" si="12"/>
        <v>0.24794310342855713</v>
      </c>
      <c r="P25" s="8">
        <f t="shared" si="12"/>
        <v>0.24849244524823055</v>
      </c>
      <c r="Q25" s="8">
        <f t="shared" si="12"/>
        <v>0.24849244524823053</v>
      </c>
    </row>
    <row r="26" spans="1:17" s="7" customFormat="1" x14ac:dyDescent="0.15">
      <c r="A26" s="5"/>
      <c r="B26" s="18" t="s">
        <v>11</v>
      </c>
      <c r="C26" s="8"/>
      <c r="D26" s="8">
        <f>+D24/C24-1</f>
        <v>0.23821723464641975</v>
      </c>
      <c r="E26" s="8">
        <f t="shared" ref="E26:Q26" si="13">+E24/D24-1</f>
        <v>4.5303672505117687E-2</v>
      </c>
      <c r="F26" s="8">
        <f t="shared" si="13"/>
        <v>6.6008854748378365E-3</v>
      </c>
      <c r="G26" s="75">
        <f t="shared" si="13"/>
        <v>4.4598062654410908E-2</v>
      </c>
      <c r="H26" s="8">
        <f t="shared" si="13"/>
        <v>4.6915999999999958E-2</v>
      </c>
      <c r="I26" s="8">
        <f t="shared" si="13"/>
        <v>6.1571000000000042E-2</v>
      </c>
      <c r="J26" s="8">
        <f t="shared" si="13"/>
        <v>8.485699999999996E-2</v>
      </c>
      <c r="K26" s="8">
        <f t="shared" si="13"/>
        <v>9.1399999999999926E-2</v>
      </c>
      <c r="L26" s="8">
        <f t="shared" si="13"/>
        <v>9.9439999999999973E-2</v>
      </c>
      <c r="M26" s="8">
        <f t="shared" si="13"/>
        <v>8.7120000000000086E-2</v>
      </c>
      <c r="N26" s="8">
        <f t="shared" si="13"/>
        <v>7.4840000000000018E-2</v>
      </c>
      <c r="O26" s="8">
        <f t="shared" si="13"/>
        <v>6.2600000000000211E-2</v>
      </c>
      <c r="P26" s="8">
        <f t="shared" si="13"/>
        <v>4.029999999999978E-2</v>
      </c>
      <c r="Q26" s="8">
        <f t="shared" si="13"/>
        <v>2.0100000000000007E-2</v>
      </c>
    </row>
    <row r="27" spans="1:17" x14ac:dyDescent="0.15">
      <c r="B27" s="17"/>
      <c r="G27" s="74"/>
    </row>
    <row r="28" spans="1:17" x14ac:dyDescent="0.15">
      <c r="B28" s="51" t="s">
        <v>14</v>
      </c>
      <c r="C28" s="6">
        <f>+C24/C31</f>
        <v>96.153710743801653</v>
      </c>
      <c r="D28" s="6">
        <f>+D24/D31</f>
        <v>106.06514135124127</v>
      </c>
      <c r="E28" s="6">
        <f>+E24/E31</f>
        <v>109.1672723308654</v>
      </c>
      <c r="F28" s="6">
        <f>+F24/F31</f>
        <v>108.93145481980402</v>
      </c>
      <c r="G28" s="74">
        <f>+G24/G31</f>
        <v>112.80256422988228</v>
      </c>
      <c r="H28" s="6">
        <f t="shared" ref="H28:Q28" si="14">+G28*(1+H29)</f>
        <v>117.31466679907757</v>
      </c>
      <c r="I28" s="6">
        <f t="shared" si="14"/>
        <v>123.18040013903145</v>
      </c>
      <c r="J28" s="6">
        <f t="shared" si="14"/>
        <v>130.57122414737333</v>
      </c>
      <c r="K28" s="6">
        <f t="shared" si="14"/>
        <v>139.71120983768947</v>
      </c>
      <c r="L28" s="6">
        <f t="shared" si="14"/>
        <v>150.88810662470465</v>
      </c>
      <c r="M28" s="6">
        <f t="shared" si="14"/>
        <v>161.45027408843399</v>
      </c>
      <c r="N28" s="6">
        <f t="shared" si="14"/>
        <v>171.13729053374004</v>
      </c>
      <c r="O28" s="6">
        <f t="shared" si="14"/>
        <v>179.69415506042705</v>
      </c>
      <c r="P28" s="6">
        <f t="shared" si="14"/>
        <v>185.08497971223986</v>
      </c>
      <c r="Q28" s="6">
        <f t="shared" si="14"/>
        <v>186.93582950936226</v>
      </c>
    </row>
    <row r="29" spans="1:17" s="7" customFormat="1" x14ac:dyDescent="0.15">
      <c r="A29" s="5"/>
      <c r="B29" s="51" t="s">
        <v>11</v>
      </c>
      <c r="C29" s="8"/>
      <c r="D29" s="8">
        <f>D28/C28-1</f>
        <v>0.1030790234798975</v>
      </c>
      <c r="E29" s="8">
        <f>E28/D28-1</f>
        <v>2.9247412864432443E-2</v>
      </c>
      <c r="F29" s="50">
        <f>F28/E28-1</f>
        <v>-2.1601484220167277E-3</v>
      </c>
      <c r="G29" s="75">
        <f>G28/F28-1</f>
        <v>3.5537112916392388E-2</v>
      </c>
      <c r="H29" s="27">
        <f>Assumptions!I21</f>
        <v>0.04</v>
      </c>
      <c r="I29" s="27">
        <f>Assumptions!J21</f>
        <v>0.05</v>
      </c>
      <c r="J29" s="27">
        <f>Assumptions!K21</f>
        <v>0.06</v>
      </c>
      <c r="K29" s="27">
        <f>Assumptions!L21</f>
        <v>7.0000000000000007E-2</v>
      </c>
      <c r="L29" s="27">
        <f>Assumptions!M21</f>
        <v>0.08</v>
      </c>
      <c r="M29" s="27">
        <f>Assumptions!N21</f>
        <v>7.0000000000000007E-2</v>
      </c>
      <c r="N29" s="27">
        <f>Assumptions!O21</f>
        <v>0.06</v>
      </c>
      <c r="O29" s="27">
        <f>Assumptions!P21</f>
        <v>0.05</v>
      </c>
      <c r="P29" s="27">
        <f>Assumptions!Q21</f>
        <v>0.03</v>
      </c>
      <c r="Q29" s="27">
        <f>Assumptions!R21</f>
        <v>0.01</v>
      </c>
    </row>
    <row r="30" spans="1:17" x14ac:dyDescent="0.15">
      <c r="B30" s="51"/>
      <c r="G30" s="74"/>
    </row>
    <row r="31" spans="1:17" x14ac:dyDescent="0.15">
      <c r="B31" s="51" t="s">
        <v>6</v>
      </c>
      <c r="C31" s="13">
        <v>0.5</v>
      </c>
      <c r="D31" s="6">
        <f>C31*(1+D32)</f>
        <v>0.56125499999999995</v>
      </c>
      <c r="E31" s="6">
        <f>D31*(1+E32)</f>
        <v>0.57001057799999999</v>
      </c>
      <c r="F31" s="6">
        <f>E31*(1+F32)</f>
        <v>0.57501527087483995</v>
      </c>
      <c r="G31" s="74">
        <f>F31*(1+G32)</f>
        <v>0.58004665449499482</v>
      </c>
      <c r="H31" s="6">
        <f t="shared" ref="H31:Q31" si="15">+G31*(1+H32)</f>
        <v>0.58390396474738659</v>
      </c>
      <c r="I31" s="6">
        <f t="shared" si="15"/>
        <v>0.5903385864389028</v>
      </c>
      <c r="J31" s="6">
        <f t="shared" si="15"/>
        <v>0.60418202629089501</v>
      </c>
      <c r="K31" s="6">
        <f t="shared" si="15"/>
        <v>0.61626566681671291</v>
      </c>
      <c r="L31" s="6">
        <f t="shared" si="15"/>
        <v>0.62735844881941372</v>
      </c>
      <c r="M31" s="6">
        <f t="shared" si="15"/>
        <v>0.63739618400052434</v>
      </c>
      <c r="N31" s="6">
        <f t="shared" si="15"/>
        <v>0.64631973057653169</v>
      </c>
      <c r="O31" s="6">
        <f t="shared" si="15"/>
        <v>0.65407556734345007</v>
      </c>
      <c r="P31" s="6">
        <f t="shared" si="15"/>
        <v>0.66061632301688455</v>
      </c>
      <c r="Q31" s="6">
        <f t="shared" si="15"/>
        <v>0.66722248624705338</v>
      </c>
    </row>
    <row r="32" spans="1:17" s="7" customFormat="1" x14ac:dyDescent="0.15">
      <c r="A32" s="5"/>
      <c r="B32" s="51" t="s">
        <v>11</v>
      </c>
      <c r="C32" s="8"/>
      <c r="D32" s="9">
        <f>+D21</f>
        <v>0.12250999999999999</v>
      </c>
      <c r="E32" s="9">
        <f>+E21</f>
        <v>1.5599999999999999E-2</v>
      </c>
      <c r="F32" s="9">
        <f>+F21</f>
        <v>8.7799999999999996E-3</v>
      </c>
      <c r="G32" s="77">
        <f>+G21</f>
        <v>8.7500000000000008E-3</v>
      </c>
      <c r="H32" s="239">
        <f>+H21</f>
        <v>6.6499999999999997E-3</v>
      </c>
      <c r="I32" s="239">
        <f t="shared" ref="I32:Q32" si="16">+I21</f>
        <v>1.102E-2</v>
      </c>
      <c r="J32" s="239">
        <f t="shared" si="16"/>
        <v>2.3449999999999999E-2</v>
      </c>
      <c r="K32" s="128">
        <f t="shared" si="16"/>
        <v>0.02</v>
      </c>
      <c r="L32" s="128">
        <f t="shared" si="16"/>
        <v>1.7999999999999999E-2</v>
      </c>
      <c r="M32" s="128">
        <f t="shared" si="16"/>
        <v>1.6E-2</v>
      </c>
      <c r="N32" s="128">
        <f t="shared" si="16"/>
        <v>1.4E-2</v>
      </c>
      <c r="O32" s="128">
        <f t="shared" si="16"/>
        <v>1.2E-2</v>
      </c>
      <c r="P32" s="128">
        <f t="shared" si="16"/>
        <v>0.01</v>
      </c>
      <c r="Q32" s="128">
        <f t="shared" si="16"/>
        <v>0.01</v>
      </c>
    </row>
    <row r="33" spans="1:17" x14ac:dyDescent="0.15">
      <c r="B33" s="17"/>
      <c r="C33" s="12"/>
      <c r="G33" s="74"/>
    </row>
    <row r="34" spans="1:17" x14ac:dyDescent="0.15">
      <c r="B34" s="17"/>
      <c r="G34" s="74"/>
    </row>
    <row r="35" spans="1:17" x14ac:dyDescent="0.15">
      <c r="B35" s="17" t="s">
        <v>5</v>
      </c>
      <c r="C35" s="6">
        <f>+C$9*C36</f>
        <v>48.076855371900827</v>
      </c>
      <c r="D35" s="6">
        <f>+D$9*D36</f>
        <v>59.529590909090913</v>
      </c>
      <c r="E35" s="6">
        <f>+E$9*E36</f>
        <v>62.226499999999994</v>
      </c>
      <c r="F35" s="6">
        <f>+F$9*F36</f>
        <v>62.637249999999995</v>
      </c>
      <c r="G35" s="74">
        <f>+G$9*G36</f>
        <v>65.430749999999989</v>
      </c>
      <c r="H35" s="6">
        <f>+H39*H42</f>
        <v>68.829828389437495</v>
      </c>
      <c r="I35" s="6">
        <f t="shared" ref="I35:Q35" si="17">+I39*I42</f>
        <v>73.067749753203543</v>
      </c>
      <c r="J35" s="6">
        <f t="shared" si="17"/>
        <v>78.894153851586552</v>
      </c>
      <c r="K35" s="6">
        <f t="shared" si="17"/>
        <v>85.300359144335388</v>
      </c>
      <c r="L35" s="6">
        <f t="shared" si="17"/>
        <v>92.045911545469437</v>
      </c>
      <c r="M35" s="6">
        <f t="shared" si="17"/>
        <v>98.194578436706806</v>
      </c>
      <c r="N35" s="6">
        <f t="shared" si="17"/>
        <v>103.55207463621353</v>
      </c>
      <c r="O35" s="6">
        <f t="shared" si="17"/>
        <v>107.93854051780355</v>
      </c>
      <c r="P35" s="6">
        <f t="shared" si="17"/>
        <v>111.1982844414412</v>
      </c>
      <c r="Q35" s="6">
        <f t="shared" si="17"/>
        <v>113.43336995871418</v>
      </c>
    </row>
    <row r="36" spans="1:17" s="7" customFormat="1" x14ac:dyDescent="0.15">
      <c r="A36" s="5"/>
      <c r="B36" s="18" t="s">
        <v>10</v>
      </c>
      <c r="C36" s="10">
        <v>0.25</v>
      </c>
      <c r="D36" s="8">
        <f>+C36</f>
        <v>0.25</v>
      </c>
      <c r="E36" s="8">
        <f>+D36</f>
        <v>0.25</v>
      </c>
      <c r="F36" s="8">
        <f>+E36</f>
        <v>0.25</v>
      </c>
      <c r="G36" s="75">
        <f>+F36</f>
        <v>0.25</v>
      </c>
      <c r="H36" s="8">
        <f>+H35/H9</f>
        <v>0.24970131421744324</v>
      </c>
      <c r="I36" s="8">
        <f t="shared" ref="I36:Q36" si="18">+I35/I9</f>
        <v>0.24851367419738402</v>
      </c>
      <c r="J36" s="8">
        <f t="shared" si="18"/>
        <v>0.24645813190559485</v>
      </c>
      <c r="K36" s="8">
        <f t="shared" si="18"/>
        <v>0.24356149100569424</v>
      </c>
      <c r="L36" s="8">
        <f t="shared" si="18"/>
        <v>0.23787478239098431</v>
      </c>
      <c r="M36" s="8">
        <f t="shared" si="18"/>
        <v>0.23333749509389126</v>
      </c>
      <c r="N36" s="8">
        <f t="shared" si="18"/>
        <v>0.22994726535441198</v>
      </c>
      <c r="O36" s="8">
        <f t="shared" si="18"/>
        <v>0.22770192216445431</v>
      </c>
      <c r="P36" s="8">
        <f t="shared" si="18"/>
        <v>0.22599082140971702</v>
      </c>
      <c r="Q36" s="8">
        <f t="shared" si="18"/>
        <v>0.22599082140971702</v>
      </c>
    </row>
    <row r="37" spans="1:17" s="7" customFormat="1" x14ac:dyDescent="0.15">
      <c r="A37" s="5"/>
      <c r="B37" s="18" t="s">
        <v>11</v>
      </c>
      <c r="C37" s="8"/>
      <c r="D37" s="8">
        <f>+D35/C35-1</f>
        <v>0.23821723464641975</v>
      </c>
      <c r="E37" s="8">
        <f t="shared" ref="E37:Q37" si="19">+E35/D35-1</f>
        <v>4.5303672505117687E-2</v>
      </c>
      <c r="F37" s="8">
        <f t="shared" si="19"/>
        <v>6.6008854748378365E-3</v>
      </c>
      <c r="G37" s="75">
        <f t="shared" si="19"/>
        <v>4.4598062654410908E-2</v>
      </c>
      <c r="H37" s="8">
        <f t="shared" si="19"/>
        <v>5.1949250000000058E-2</v>
      </c>
      <c r="I37" s="8">
        <f t="shared" si="19"/>
        <v>6.157099999999982E-2</v>
      </c>
      <c r="J37" s="8">
        <f t="shared" si="19"/>
        <v>7.9739749999999887E-2</v>
      </c>
      <c r="K37" s="8">
        <f t="shared" si="19"/>
        <v>8.1200000000000161E-2</v>
      </c>
      <c r="L37" s="8">
        <f t="shared" si="19"/>
        <v>7.9080000000000039E-2</v>
      </c>
      <c r="M37" s="8">
        <f t="shared" si="19"/>
        <v>6.6800000000000193E-2</v>
      </c>
      <c r="N37" s="8">
        <f t="shared" si="19"/>
        <v>5.4559999999999942E-2</v>
      </c>
      <c r="O37" s="8">
        <f t="shared" si="19"/>
        <v>4.2360000000000175E-2</v>
      </c>
      <c r="P37" s="8">
        <f t="shared" si="19"/>
        <v>3.0200000000000005E-2</v>
      </c>
      <c r="Q37" s="8">
        <f t="shared" si="19"/>
        <v>2.0100000000000007E-2</v>
      </c>
    </row>
    <row r="38" spans="1:17" x14ac:dyDescent="0.15">
      <c r="B38" s="17"/>
      <c r="G38" s="74"/>
    </row>
    <row r="39" spans="1:17" x14ac:dyDescent="0.15">
      <c r="B39" s="51" t="s">
        <v>16</v>
      </c>
      <c r="C39" s="6">
        <f>+C35/C42</f>
        <v>32.051236914600551</v>
      </c>
      <c r="D39" s="6">
        <f>+D35/D42</f>
        <v>35.355047117080424</v>
      </c>
      <c r="E39" s="6">
        <f>+E35/E42</f>
        <v>36.389090776955136</v>
      </c>
      <c r="F39" s="6">
        <f>+F35/F42</f>
        <v>36.310484939934675</v>
      </c>
      <c r="G39" s="74">
        <f>+G35/G42</f>
        <v>37.600854743294093</v>
      </c>
      <c r="H39" s="6">
        <f t="shared" ref="H39:Q39" si="20">+G39*(1+H40)</f>
        <v>39.292893206742328</v>
      </c>
      <c r="I39" s="6">
        <f t="shared" si="20"/>
        <v>41.257537867079442</v>
      </c>
      <c r="J39" s="6">
        <f t="shared" si="20"/>
        <v>43.526702449768806</v>
      </c>
      <c r="K39" s="6">
        <f t="shared" si="20"/>
        <v>46.138304596754935</v>
      </c>
      <c r="L39" s="6">
        <f t="shared" si="20"/>
        <v>48.906602872560235</v>
      </c>
      <c r="M39" s="6">
        <f t="shared" si="20"/>
        <v>51.351933016188248</v>
      </c>
      <c r="N39" s="6">
        <f t="shared" si="20"/>
        <v>53.406010336835777</v>
      </c>
      <c r="O39" s="6">
        <f t="shared" si="20"/>
        <v>55.008190646940854</v>
      </c>
      <c r="P39" s="6">
        <f t="shared" si="20"/>
        <v>56.108354459879671</v>
      </c>
      <c r="Q39" s="6">
        <f t="shared" si="20"/>
        <v>56.669438004478465</v>
      </c>
    </row>
    <row r="40" spans="1:17" x14ac:dyDescent="0.15">
      <c r="B40" s="51" t="s">
        <v>11</v>
      </c>
      <c r="C40" s="8"/>
      <c r="D40" s="8">
        <f>D39/C39-1</f>
        <v>0.10307902347989772</v>
      </c>
      <c r="E40" s="8">
        <f>E39/D39-1</f>
        <v>2.9247412864432443E-2</v>
      </c>
      <c r="F40" s="50">
        <f>F39/E39-1</f>
        <v>-2.1601484220167277E-3</v>
      </c>
      <c r="G40" s="75">
        <f>G39/F39-1</f>
        <v>3.5537112916392166E-2</v>
      </c>
      <c r="H40" s="27">
        <f>Assumptions!I29</f>
        <v>4.4999999999999998E-2</v>
      </c>
      <c r="I40" s="27">
        <f>Assumptions!J29</f>
        <v>0.05</v>
      </c>
      <c r="J40" s="27">
        <f>Assumptions!K29</f>
        <v>5.5E-2</v>
      </c>
      <c r="K40" s="27">
        <f>Assumptions!L29</f>
        <v>0.06</v>
      </c>
      <c r="L40" s="27">
        <f>Assumptions!M29</f>
        <v>0.06</v>
      </c>
      <c r="M40" s="27">
        <f>Assumptions!N29</f>
        <v>0.05</v>
      </c>
      <c r="N40" s="27">
        <f>Assumptions!O29</f>
        <v>0.04</v>
      </c>
      <c r="O40" s="27">
        <f>Assumptions!P29</f>
        <v>0.03</v>
      </c>
      <c r="P40" s="27">
        <f>Assumptions!Q29</f>
        <v>0.02</v>
      </c>
      <c r="Q40" s="27">
        <f>Assumptions!R29</f>
        <v>0.01</v>
      </c>
    </row>
    <row r="41" spans="1:17" x14ac:dyDescent="0.15">
      <c r="B41" s="51"/>
      <c r="G41" s="74"/>
    </row>
    <row r="42" spans="1:17" x14ac:dyDescent="0.15">
      <c r="B42" s="51" t="s">
        <v>6</v>
      </c>
      <c r="C42" s="13">
        <v>1.5</v>
      </c>
      <c r="D42" s="6">
        <f>C42*(1+D43)</f>
        <v>1.6837649999999997</v>
      </c>
      <c r="E42" s="6">
        <f>D42*(1+E43)</f>
        <v>1.7100317339999997</v>
      </c>
      <c r="F42" s="6">
        <f>E42*(1+F43)</f>
        <v>1.7250458126245198</v>
      </c>
      <c r="G42" s="74">
        <f>F42*(1+G43)</f>
        <v>1.7401399634849843</v>
      </c>
      <c r="H42" s="6">
        <f t="shared" ref="H42:Q42" si="21">+G42*(1+H43)</f>
        <v>1.7517118942421597</v>
      </c>
      <c r="I42" s="6">
        <f t="shared" si="21"/>
        <v>1.7710157593167084</v>
      </c>
      <c r="J42" s="6">
        <f t="shared" si="21"/>
        <v>1.8125460788726853</v>
      </c>
      <c r="K42" s="6">
        <f t="shared" si="21"/>
        <v>1.8487970004501391</v>
      </c>
      <c r="L42" s="6">
        <f t="shared" si="21"/>
        <v>1.8820753464582416</v>
      </c>
      <c r="M42" s="6">
        <f t="shared" si="21"/>
        <v>1.9121885520015736</v>
      </c>
      <c r="N42" s="6">
        <f t="shared" si="21"/>
        <v>1.9389591917295956</v>
      </c>
      <c r="O42" s="6">
        <f t="shared" si="21"/>
        <v>1.9622267020303508</v>
      </c>
      <c r="P42" s="6">
        <f t="shared" si="21"/>
        <v>1.9818489690506542</v>
      </c>
      <c r="Q42" s="6">
        <f t="shared" si="21"/>
        <v>2.0016674587411609</v>
      </c>
    </row>
    <row r="43" spans="1:17" x14ac:dyDescent="0.15">
      <c r="B43" s="51" t="s">
        <v>11</v>
      </c>
      <c r="C43" s="8"/>
      <c r="D43" s="9">
        <f>+D32</f>
        <v>0.12250999999999999</v>
      </c>
      <c r="E43" s="9">
        <f>+E32</f>
        <v>1.5599999999999999E-2</v>
      </c>
      <c r="F43" s="9">
        <f>+F32</f>
        <v>8.7799999999999996E-3</v>
      </c>
      <c r="G43" s="77">
        <f>+G32</f>
        <v>8.7500000000000008E-3</v>
      </c>
      <c r="H43" s="239">
        <f>+H32</f>
        <v>6.6499999999999997E-3</v>
      </c>
      <c r="I43" s="239">
        <f t="shared" ref="I43:Q43" si="22">+I32</f>
        <v>1.102E-2</v>
      </c>
      <c r="J43" s="239">
        <f t="shared" si="22"/>
        <v>2.3449999999999999E-2</v>
      </c>
      <c r="K43" s="128">
        <f t="shared" si="22"/>
        <v>0.02</v>
      </c>
      <c r="L43" s="128">
        <f t="shared" si="22"/>
        <v>1.7999999999999999E-2</v>
      </c>
      <c r="M43" s="128">
        <f t="shared" si="22"/>
        <v>1.6E-2</v>
      </c>
      <c r="N43" s="128">
        <f t="shared" si="22"/>
        <v>1.4E-2</v>
      </c>
      <c r="O43" s="128">
        <f t="shared" si="22"/>
        <v>1.2E-2</v>
      </c>
      <c r="P43" s="128">
        <f t="shared" si="22"/>
        <v>0.01</v>
      </c>
      <c r="Q43" s="128">
        <f t="shared" si="22"/>
        <v>0.01</v>
      </c>
    </row>
    <row r="44" spans="1:17" x14ac:dyDescent="0.15">
      <c r="B44" s="17"/>
      <c r="G44" s="74"/>
    </row>
    <row r="45" spans="1:17" x14ac:dyDescent="0.15">
      <c r="B45" s="19" t="s">
        <v>2</v>
      </c>
      <c r="C45" s="33">
        <f>+C55*C58</f>
        <v>20.330578512396688</v>
      </c>
      <c r="D45" s="33">
        <f>+D55*D58</f>
        <v>22.36363636363636</v>
      </c>
      <c r="E45" s="33">
        <f>+E55*E58</f>
        <v>24.599999999999998</v>
      </c>
      <c r="F45" s="33">
        <f>+F55*F58</f>
        <v>27.06</v>
      </c>
      <c r="G45" s="104">
        <f>+G55*G58</f>
        <v>29.766000000000002</v>
      </c>
      <c r="H45" s="33">
        <f>+H49*H52</f>
        <v>32.96033829000001</v>
      </c>
      <c r="I45" s="33">
        <f t="shared" ref="I45:Q45" si="23">+I49*I52</f>
        <v>36.989152951930954</v>
      </c>
      <c r="J45" s="33">
        <f t="shared" si="23"/>
        <v>42.399334419292188</v>
      </c>
      <c r="K45" s="33">
        <f t="shared" si="23"/>
        <v>49.301946062752954</v>
      </c>
      <c r="L45" s="33">
        <f t="shared" si="23"/>
        <v>57.717788255664878</v>
      </c>
      <c r="M45" s="33">
        <f t="shared" si="23"/>
        <v>65.678225611886191</v>
      </c>
      <c r="N45" s="33">
        <f t="shared" si="23"/>
        <v>71.9255384320888</v>
      </c>
      <c r="O45" s="33">
        <f t="shared" si="23"/>
        <v>76.428077137937564</v>
      </c>
      <c r="P45" s="33">
        <f t="shared" si="23"/>
        <v>79.508128646596447</v>
      </c>
      <c r="Q45" s="33">
        <f t="shared" si="23"/>
        <v>81.106242032393041</v>
      </c>
    </row>
    <row r="46" spans="1:17" s="7" customFormat="1" x14ac:dyDescent="0.15">
      <c r="A46" s="5"/>
      <c r="B46" s="16" t="s">
        <v>8</v>
      </c>
      <c r="C46" s="8">
        <f t="shared" ref="C46:H46" si="24">+C45/C6</f>
        <v>9.5611219595729297E-2</v>
      </c>
      <c r="D46" s="8">
        <f t="shared" si="24"/>
        <v>8.585482437802365E-2</v>
      </c>
      <c r="E46" s="8">
        <f t="shared" si="24"/>
        <v>8.9943182233662156E-2</v>
      </c>
      <c r="F46" s="8">
        <f t="shared" si="24"/>
        <v>9.7475225947285568E-2</v>
      </c>
      <c r="G46" s="75">
        <f t="shared" si="24"/>
        <v>0.10211706102117063</v>
      </c>
      <c r="H46" s="8">
        <f t="shared" si="24"/>
        <v>0.10680291339876299</v>
      </c>
      <c r="I46" s="8">
        <f t="shared" ref="I46:Q46" si="25">+I45/I6</f>
        <v>0.11174694376553704</v>
      </c>
      <c r="J46" s="8">
        <f t="shared" si="25"/>
        <v>0.11696009176495041</v>
      </c>
      <c r="K46" s="8">
        <f t="shared" si="25"/>
        <v>0.12340202578922299</v>
      </c>
      <c r="L46" s="8">
        <f t="shared" si="25"/>
        <v>0.12979947154392377</v>
      </c>
      <c r="M46" s="8">
        <f t="shared" si="25"/>
        <v>0.13500020745511837</v>
      </c>
      <c r="N46" s="8">
        <f t="shared" si="25"/>
        <v>0.13772105698929718</v>
      </c>
      <c r="O46" s="8">
        <f t="shared" si="25"/>
        <v>0.13884339526714096</v>
      </c>
      <c r="P46" s="8">
        <f t="shared" si="25"/>
        <v>0.13910822357985914</v>
      </c>
      <c r="Q46" s="8">
        <f t="shared" si="25"/>
        <v>0.13910822357985916</v>
      </c>
    </row>
    <row r="47" spans="1:17" s="7" customFormat="1" x14ac:dyDescent="0.15">
      <c r="A47" s="5"/>
      <c r="B47" s="16" t="s">
        <v>11</v>
      </c>
      <c r="C47" s="8"/>
      <c r="D47" s="8">
        <f>+D45/C45-1</f>
        <v>0.10000000000000009</v>
      </c>
      <c r="E47" s="8">
        <f>+E45/D45-1</f>
        <v>0.10000000000000009</v>
      </c>
      <c r="F47" s="8">
        <f>+F45/E45-1</f>
        <v>0.10000000000000009</v>
      </c>
      <c r="G47" s="75">
        <f>+G45/F45-1</f>
        <v>0.10000000000000009</v>
      </c>
      <c r="H47" s="8">
        <f>+H45/G45-1</f>
        <v>0.10731500000000027</v>
      </c>
      <c r="I47" s="8">
        <f t="shared" ref="I47:Q47" si="26">+I45/H45-1</f>
        <v>0.12223220000000024</v>
      </c>
      <c r="J47" s="8">
        <f t="shared" si="26"/>
        <v>0.14626400000000017</v>
      </c>
      <c r="K47" s="8">
        <f t="shared" si="26"/>
        <v>0.16279999999999983</v>
      </c>
      <c r="L47" s="8">
        <f t="shared" si="26"/>
        <v>0.17069999999999985</v>
      </c>
      <c r="M47" s="8">
        <f t="shared" si="26"/>
        <v>0.13792000000000026</v>
      </c>
      <c r="N47" s="8">
        <f t="shared" si="26"/>
        <v>9.5119999999999871E-2</v>
      </c>
      <c r="O47" s="8">
        <f t="shared" si="26"/>
        <v>6.2599999999999989E-2</v>
      </c>
      <c r="P47" s="8">
        <f t="shared" si="26"/>
        <v>4.0300000000000002E-2</v>
      </c>
      <c r="Q47" s="8">
        <f t="shared" si="26"/>
        <v>2.0100000000000007E-2</v>
      </c>
    </row>
    <row r="48" spans="1:17" s="7" customFormat="1" x14ac:dyDescent="0.15">
      <c r="A48" s="5"/>
      <c r="B48" s="16"/>
      <c r="D48" s="8"/>
      <c r="E48" s="8"/>
      <c r="G48" s="78"/>
    </row>
    <row r="49" spans="1:17" x14ac:dyDescent="0.15">
      <c r="B49" s="18" t="s">
        <v>17</v>
      </c>
      <c r="C49" s="6">
        <f>+C45/C52</f>
        <v>2.0330578512396689</v>
      </c>
      <c r="D49" s="6">
        <f>+D45/D52</f>
        <v>1.9922883861735183</v>
      </c>
      <c r="E49" s="6">
        <f>+E45/E52</f>
        <v>2.1578546916018806</v>
      </c>
      <c r="F49" s="6">
        <f>+F45/F52</f>
        <v>2.3529809876901493</v>
      </c>
      <c r="G49" s="74">
        <f>+G45/G52</f>
        <v>2.5658280906658386</v>
      </c>
      <c r="H49" s="6">
        <f>+G49*(1+H50)</f>
        <v>2.8224108997324229</v>
      </c>
      <c r="I49" s="6">
        <f t="shared" ref="I49:Q49" si="27">+H49*(1+I50)</f>
        <v>3.1328760987029898</v>
      </c>
      <c r="J49" s="6">
        <f t="shared" si="27"/>
        <v>3.508821230547349</v>
      </c>
      <c r="K49" s="6">
        <f t="shared" si="27"/>
        <v>4.0000562028239779</v>
      </c>
      <c r="L49" s="6">
        <f t="shared" si="27"/>
        <v>4.6000646332475741</v>
      </c>
      <c r="M49" s="6">
        <f t="shared" si="27"/>
        <v>5.1520723892372837</v>
      </c>
      <c r="N49" s="6">
        <f t="shared" si="27"/>
        <v>5.5642381803762664</v>
      </c>
      <c r="O49" s="6">
        <f t="shared" si="27"/>
        <v>5.8424500893950801</v>
      </c>
      <c r="P49" s="6">
        <f t="shared" si="27"/>
        <v>6.0177235920769325</v>
      </c>
      <c r="Q49" s="6">
        <f t="shared" si="27"/>
        <v>6.077900827997702</v>
      </c>
    </row>
    <row r="50" spans="1:17" x14ac:dyDescent="0.15">
      <c r="B50" s="18" t="s">
        <v>11</v>
      </c>
      <c r="C50" s="8"/>
      <c r="D50" s="50">
        <f>D49/C49-1</f>
        <v>-2.0053273467496857E-2</v>
      </c>
      <c r="E50" s="8">
        <f>E49/D49-1</f>
        <v>8.3103584088223492E-2</v>
      </c>
      <c r="F50" s="8">
        <f>F49/E49-1</f>
        <v>9.0426059200222175E-2</v>
      </c>
      <c r="G50" s="75">
        <f>G49/F49-1</f>
        <v>9.0458488228005063E-2</v>
      </c>
      <c r="H50" s="27">
        <f>Assumptions!I37</f>
        <v>0.1</v>
      </c>
      <c r="I50" s="27">
        <f>Assumptions!J37</f>
        <v>0.11</v>
      </c>
      <c r="J50" s="27">
        <f>Assumptions!K37</f>
        <v>0.12</v>
      </c>
      <c r="K50" s="27">
        <f>Assumptions!L37</f>
        <v>0.14000000000000001</v>
      </c>
      <c r="L50" s="27">
        <f>Assumptions!M37</f>
        <v>0.15</v>
      </c>
      <c r="M50" s="27">
        <f>Assumptions!N37</f>
        <v>0.12</v>
      </c>
      <c r="N50" s="27">
        <f>Assumptions!O37</f>
        <v>0.08</v>
      </c>
      <c r="O50" s="27">
        <f>Assumptions!P37</f>
        <v>0.05</v>
      </c>
      <c r="P50" s="27">
        <f>Assumptions!Q37</f>
        <v>0.03</v>
      </c>
      <c r="Q50" s="27">
        <f>Assumptions!R37</f>
        <v>0.01</v>
      </c>
    </row>
    <row r="51" spans="1:17" x14ac:dyDescent="0.15">
      <c r="B51" s="18"/>
      <c r="G51" s="74"/>
    </row>
    <row r="52" spans="1:17" x14ac:dyDescent="0.15">
      <c r="B52" s="18" t="s">
        <v>9</v>
      </c>
      <c r="C52" s="13">
        <v>10</v>
      </c>
      <c r="D52" s="6">
        <f>C52*(1+D53)</f>
        <v>11.225099999999999</v>
      </c>
      <c r="E52" s="6">
        <f>D52*(1+E53)</f>
        <v>11.400211560000001</v>
      </c>
      <c r="F52" s="6">
        <f>E52*(1+F53)</f>
        <v>11.500305417496801</v>
      </c>
      <c r="G52" s="74">
        <f>F52*(1+G53)</f>
        <v>11.600933089899899</v>
      </c>
      <c r="H52" s="6">
        <f>+G52*(1+H53)</f>
        <v>11.678079294947734</v>
      </c>
      <c r="I52" s="6">
        <f t="shared" ref="I52:Q52" si="28">+H52*(1+I53)</f>
        <v>11.806771728778058</v>
      </c>
      <c r="J52" s="6">
        <f t="shared" si="28"/>
        <v>12.083640525817902</v>
      </c>
      <c r="K52" s="6">
        <f t="shared" si="28"/>
        <v>12.32531333633426</v>
      </c>
      <c r="L52" s="6">
        <f t="shared" si="28"/>
        <v>12.547168976388276</v>
      </c>
      <c r="M52" s="6">
        <f t="shared" si="28"/>
        <v>12.747923680010489</v>
      </c>
      <c r="N52" s="6">
        <f t="shared" si="28"/>
        <v>12.926394611530636</v>
      </c>
      <c r="O52" s="6">
        <f t="shared" si="28"/>
        <v>13.081511346869004</v>
      </c>
      <c r="P52" s="6">
        <f t="shared" si="28"/>
        <v>13.212326460337694</v>
      </c>
      <c r="Q52" s="6">
        <f t="shared" si="28"/>
        <v>13.344449724941072</v>
      </c>
    </row>
    <row r="53" spans="1:17" x14ac:dyDescent="0.15">
      <c r="B53" s="18" t="s">
        <v>11</v>
      </c>
      <c r="C53" s="8"/>
      <c r="D53" s="9">
        <f>+D43</f>
        <v>0.12250999999999999</v>
      </c>
      <c r="E53" s="9">
        <f>+E43</f>
        <v>1.5599999999999999E-2</v>
      </c>
      <c r="F53" s="9">
        <f>+F43</f>
        <v>8.7799999999999996E-3</v>
      </c>
      <c r="G53" s="77">
        <f>+G43</f>
        <v>8.7500000000000008E-3</v>
      </c>
      <c r="H53" s="239">
        <f>+H43</f>
        <v>6.6499999999999997E-3</v>
      </c>
      <c r="I53" s="239">
        <f t="shared" ref="I53:Q53" si="29">+I43</f>
        <v>1.102E-2</v>
      </c>
      <c r="J53" s="239">
        <f t="shared" si="29"/>
        <v>2.3449999999999999E-2</v>
      </c>
      <c r="K53" s="239">
        <f t="shared" si="29"/>
        <v>0.02</v>
      </c>
      <c r="L53" s="239">
        <f t="shared" si="29"/>
        <v>1.7999999999999999E-2</v>
      </c>
      <c r="M53" s="239">
        <f t="shared" si="29"/>
        <v>1.6E-2</v>
      </c>
      <c r="N53" s="239">
        <f t="shared" si="29"/>
        <v>1.4E-2</v>
      </c>
      <c r="O53" s="239">
        <f t="shared" si="29"/>
        <v>1.2E-2</v>
      </c>
      <c r="P53" s="239">
        <f t="shared" si="29"/>
        <v>0.01</v>
      </c>
      <c r="Q53" s="239">
        <f t="shared" si="29"/>
        <v>0.01</v>
      </c>
    </row>
    <row r="54" spans="1:17" x14ac:dyDescent="0.15">
      <c r="B54" s="18"/>
      <c r="G54" s="74"/>
    </row>
    <row r="55" spans="1:17" x14ac:dyDescent="0.15">
      <c r="B55" s="18" t="s">
        <v>3</v>
      </c>
      <c r="C55" s="6">
        <f>+D55/(D56+1)</f>
        <v>67.7685950413223</v>
      </c>
      <c r="D55" s="6">
        <f>+E55/(E56+1)</f>
        <v>74.545454545454533</v>
      </c>
      <c r="E55" s="236">
        <v>82</v>
      </c>
      <c r="F55" s="6">
        <f>+E55*(1+F56)</f>
        <v>90.2</v>
      </c>
      <c r="G55" s="74">
        <f>+F55*(1+G56)</f>
        <v>99.220000000000013</v>
      </c>
    </row>
    <row r="56" spans="1:17" x14ac:dyDescent="0.15">
      <c r="B56" s="18" t="s">
        <v>11</v>
      </c>
      <c r="D56" s="9">
        <f>E56</f>
        <v>0.1</v>
      </c>
      <c r="E56" s="10">
        <v>0.1</v>
      </c>
      <c r="F56" s="14">
        <f>E56</f>
        <v>0.1</v>
      </c>
      <c r="G56" s="79">
        <f>F56</f>
        <v>0.1</v>
      </c>
    </row>
    <row r="57" spans="1:17" x14ac:dyDescent="0.15">
      <c r="B57" s="17"/>
      <c r="E57" s="11"/>
      <c r="G57" s="74"/>
    </row>
    <row r="58" spans="1:17" s="7" customFormat="1" x14ac:dyDescent="0.15">
      <c r="A58" s="5"/>
      <c r="B58" s="18" t="s">
        <v>13</v>
      </c>
      <c r="C58" s="9">
        <f>D58</f>
        <v>0.3</v>
      </c>
      <c r="D58" s="9">
        <f>+E58</f>
        <v>0.3</v>
      </c>
      <c r="E58" s="10">
        <v>0.3</v>
      </c>
      <c r="F58" s="9">
        <f>E58</f>
        <v>0.3</v>
      </c>
      <c r="G58" s="77">
        <f>F58</f>
        <v>0.3</v>
      </c>
    </row>
    <row r="59" spans="1:17" x14ac:dyDescent="0.15">
      <c r="B59" s="21"/>
      <c r="C59" s="22"/>
      <c r="D59" s="22"/>
      <c r="E59" s="22"/>
      <c r="F59" s="22"/>
      <c r="G59" s="80"/>
      <c r="H59" s="22"/>
      <c r="I59" s="22"/>
      <c r="J59" s="22"/>
      <c r="K59" s="22"/>
      <c r="L59" s="22"/>
      <c r="M59" s="22"/>
      <c r="N59" s="22"/>
      <c r="O59" s="22"/>
      <c r="P59" s="22"/>
      <c r="Q59" s="22"/>
    </row>
    <row r="60" spans="1:17" x14ac:dyDescent="0.15">
      <c r="G60" s="74"/>
    </row>
    <row r="61" spans="1:17" x14ac:dyDescent="0.15">
      <c r="B61" s="15" t="s">
        <v>19</v>
      </c>
      <c r="C61" s="6">
        <v>-2.1259999999999999</v>
      </c>
      <c r="D61" s="6">
        <v>-2.605</v>
      </c>
      <c r="E61" s="6">
        <v>-4.1029999999999998</v>
      </c>
      <c r="F61" s="6">
        <v>-5.5519999999999996</v>
      </c>
      <c r="G61" s="74">
        <v>-8.7449999999999992</v>
      </c>
      <c r="H61" s="6">
        <f>-H62*H6</f>
        <v>-9.2586188169477719</v>
      </c>
      <c r="I61" s="6">
        <f t="shared" ref="I61:Q61" si="30">-I62*I6</f>
        <v>-9.9306202680522251</v>
      </c>
      <c r="J61" s="6">
        <f t="shared" si="30"/>
        <v>-10.875744148636425</v>
      </c>
      <c r="K61" s="6">
        <f t="shared" si="30"/>
        <v>-11.986141945830667</v>
      </c>
      <c r="L61" s="6">
        <f t="shared" si="30"/>
        <v>-13.340570423217249</v>
      </c>
      <c r="M61" s="6">
        <f t="shared" si="30"/>
        <v>-14.595689599408745</v>
      </c>
      <c r="N61" s="6">
        <f t="shared" si="30"/>
        <v>-15.668247313415325</v>
      </c>
      <c r="O61" s="6">
        <f t="shared" si="30"/>
        <v>-16.514497037061236</v>
      </c>
      <c r="P61" s="6">
        <f t="shared" si="30"/>
        <v>-17.147324655666143</v>
      </c>
      <c r="Q61" s="6">
        <f t="shared" si="30"/>
        <v>-17.491985881245029</v>
      </c>
    </row>
    <row r="62" spans="1:17" s="7" customFormat="1" x14ac:dyDescent="0.15">
      <c r="A62" s="5"/>
      <c r="B62" s="16" t="s">
        <v>8</v>
      </c>
      <c r="C62" s="8">
        <f>-C61/C6</f>
        <v>9.9982129252532467E-3</v>
      </c>
      <c r="D62" s="8">
        <f>-D61/D6</f>
        <v>1.0000691026635236E-2</v>
      </c>
      <c r="E62" s="8">
        <f>-E61/E6</f>
        <v>1.5001499053037229E-2</v>
      </c>
      <c r="F62" s="8">
        <f>-F61/F6</f>
        <v>1.9999351606035828E-2</v>
      </c>
      <c r="G62" s="75">
        <f>-G61/G6</f>
        <v>3.0001132118193139E-2</v>
      </c>
      <c r="H62" s="10">
        <f>+G62</f>
        <v>3.0001132118193139E-2</v>
      </c>
      <c r="I62" s="8">
        <f>+H62</f>
        <v>3.0001132118193139E-2</v>
      </c>
      <c r="J62" s="8">
        <f t="shared" ref="J62:Q62" si="31">+I62</f>
        <v>3.0001132118193139E-2</v>
      </c>
      <c r="K62" s="8">
        <f t="shared" si="31"/>
        <v>3.0001132118193139E-2</v>
      </c>
      <c r="L62" s="8">
        <f t="shared" si="31"/>
        <v>3.0001132118193139E-2</v>
      </c>
      <c r="M62" s="8">
        <f t="shared" si="31"/>
        <v>3.0001132118193139E-2</v>
      </c>
      <c r="N62" s="8">
        <f t="shared" si="31"/>
        <v>3.0001132118193139E-2</v>
      </c>
      <c r="O62" s="8">
        <f t="shared" si="31"/>
        <v>3.0001132118193139E-2</v>
      </c>
      <c r="P62" s="8">
        <f t="shared" si="31"/>
        <v>3.0001132118193139E-2</v>
      </c>
      <c r="Q62" s="8">
        <f t="shared" si="31"/>
        <v>3.0001132118193139E-2</v>
      </c>
    </row>
    <row r="63" spans="1:17" x14ac:dyDescent="0.15">
      <c r="G63" s="74"/>
    </row>
    <row r="64" spans="1:17" x14ac:dyDescent="0.15">
      <c r="B64" s="20" t="s">
        <v>20</v>
      </c>
      <c r="C64" s="33">
        <f>+C6+C61</f>
        <v>210.512</v>
      </c>
      <c r="D64" s="33">
        <f>+D6+D61</f>
        <v>257.87700000000001</v>
      </c>
      <c r="E64" s="33">
        <f>+E6+E61</f>
        <v>269.40299999999996</v>
      </c>
      <c r="F64" s="33">
        <f>+F6+F61</f>
        <v>272.05699999999996</v>
      </c>
      <c r="G64" s="104">
        <f>+G6+G61</f>
        <v>282.74399999999997</v>
      </c>
      <c r="H64" s="33">
        <f t="shared" ref="H64:Q64" si="32">+H6+H61</f>
        <v>299.35036235323969</v>
      </c>
      <c r="I64" s="33">
        <f t="shared" si="32"/>
        <v>321.07756398743948</v>
      </c>
      <c r="J64" s="33">
        <f t="shared" si="32"/>
        <v>351.63538062459202</v>
      </c>
      <c r="K64" s="33">
        <f t="shared" si="32"/>
        <v>387.53684600708357</v>
      </c>
      <c r="L64" s="33">
        <f t="shared" si="32"/>
        <v>431.32832975896378</v>
      </c>
      <c r="M64" s="33">
        <f t="shared" si="32"/>
        <v>471.90893768956278</v>
      </c>
      <c r="N64" s="33">
        <f t="shared" si="32"/>
        <v>506.58695464657546</v>
      </c>
      <c r="O64" s="33">
        <f t="shared" si="32"/>
        <v>533.94796457939879</v>
      </c>
      <c r="P64" s="33">
        <f t="shared" si="32"/>
        <v>554.40859490470757</v>
      </c>
      <c r="Q64" s="33">
        <f t="shared" si="32"/>
        <v>565.55220766229218</v>
      </c>
    </row>
    <row r="65" spans="1:17" x14ac:dyDescent="0.15">
      <c r="B65" s="5" t="s">
        <v>11</v>
      </c>
      <c r="D65" s="8">
        <f t="shared" ref="D65:Q65" si="33">+D64/C64-1</f>
        <v>0.22499904993539555</v>
      </c>
      <c r="E65" s="8">
        <f t="shared" si="33"/>
        <v>4.4695727032654897E-2</v>
      </c>
      <c r="F65" s="8">
        <f t="shared" si="33"/>
        <v>9.8514121965975754E-3</v>
      </c>
      <c r="G65" s="75">
        <f t="shared" si="33"/>
        <v>3.9282209242916144E-2</v>
      </c>
      <c r="H65" s="8">
        <f t="shared" si="33"/>
        <v>5.873285499688663E-2</v>
      </c>
      <c r="I65" s="8">
        <f t="shared" si="33"/>
        <v>7.2581176997411623E-2</v>
      </c>
      <c r="J65" s="8">
        <f t="shared" si="33"/>
        <v>9.5172693655879215E-2</v>
      </c>
      <c r="K65" s="8">
        <f t="shared" si="33"/>
        <v>0.10209855822449265</v>
      </c>
      <c r="L65" s="8">
        <f t="shared" si="33"/>
        <v>0.1129995359230429</v>
      </c>
      <c r="M65" s="8">
        <f t="shared" si="33"/>
        <v>9.4082871749408215E-2</v>
      </c>
      <c r="N65" s="8">
        <f t="shared" si="33"/>
        <v>7.3484552182448759E-2</v>
      </c>
      <c r="O65" s="8">
        <f t="shared" si="33"/>
        <v>5.4010490562102831E-2</v>
      </c>
      <c r="P65" s="8">
        <f t="shared" si="33"/>
        <v>3.8319521156759295E-2</v>
      </c>
      <c r="Q65" s="8">
        <f t="shared" si="33"/>
        <v>2.0100000000000007E-2</v>
      </c>
    </row>
    <row r="66" spans="1:17" x14ac:dyDescent="0.15">
      <c r="G66" s="74"/>
    </row>
    <row r="67" spans="1:17" x14ac:dyDescent="0.15">
      <c r="B67" s="15" t="s">
        <v>18</v>
      </c>
      <c r="C67" s="6">
        <v>-148.84700000000001</v>
      </c>
      <c r="D67" s="6">
        <v>-177.12799999999999</v>
      </c>
      <c r="E67" s="6">
        <v>-205.13</v>
      </c>
      <c r="F67" s="6">
        <v>-201.26599999999999</v>
      </c>
      <c r="G67" s="74">
        <v>-204.042</v>
      </c>
      <c r="H67" s="6">
        <f>-H68*H6</f>
        <v>-219.1123766308331</v>
      </c>
      <c r="I67" s="6">
        <f t="shared" ref="I67:Q67" si="34">-I68*I6</f>
        <v>-235.0158108213991</v>
      </c>
      <c r="J67" s="6">
        <f t="shared" si="34"/>
        <v>-257.38289858899219</v>
      </c>
      <c r="K67" s="6">
        <f t="shared" si="34"/>
        <v>-283.6613214465691</v>
      </c>
      <c r="L67" s="6">
        <f t="shared" si="34"/>
        <v>-315.71491912934852</v>
      </c>
      <c r="M67" s="6">
        <f t="shared" si="34"/>
        <v>-345.41828537516977</v>
      </c>
      <c r="N67" s="6">
        <f t="shared" si="34"/>
        <v>-370.80119339159347</v>
      </c>
      <c r="O67" s="6">
        <f t="shared" si="34"/>
        <v>-390.82834774768662</v>
      </c>
      <c r="P67" s="6">
        <f t="shared" si="34"/>
        <v>-405.80470288786529</v>
      </c>
      <c r="Q67" s="6">
        <f t="shared" si="34"/>
        <v>-413.96137741591139</v>
      </c>
    </row>
    <row r="68" spans="1:17" s="7" customFormat="1" x14ac:dyDescent="0.15">
      <c r="A68" s="5"/>
      <c r="B68" s="16" t="s">
        <v>8</v>
      </c>
      <c r="C68" s="8">
        <f>-C67/C6</f>
        <v>0.70000188113131234</v>
      </c>
      <c r="D68" s="8">
        <f>-D67/D6</f>
        <v>0.68000092136884682</v>
      </c>
      <c r="E68" s="8">
        <f>-E67/E6</f>
        <v>0.75000182811346006</v>
      </c>
      <c r="F68" s="8">
        <f>-F67/F6</f>
        <v>0.72499810885093785</v>
      </c>
      <c r="G68" s="75">
        <f>-G67/G6</f>
        <v>0.69999897080164264</v>
      </c>
      <c r="H68" s="27">
        <f>Assumptions!I45</f>
        <v>0.71</v>
      </c>
      <c r="I68" s="8">
        <f>Assumptions!J45</f>
        <v>0.71</v>
      </c>
      <c r="J68" s="8">
        <f>Assumptions!K45</f>
        <v>0.71</v>
      </c>
      <c r="K68" s="8">
        <f>Assumptions!L45</f>
        <v>0.71</v>
      </c>
      <c r="L68" s="8">
        <f>Assumptions!M45</f>
        <v>0.71</v>
      </c>
      <c r="M68" s="8">
        <f>Assumptions!N45</f>
        <v>0.71</v>
      </c>
      <c r="N68" s="8">
        <f>Assumptions!O45</f>
        <v>0.71</v>
      </c>
      <c r="O68" s="8">
        <f>Assumptions!P45</f>
        <v>0.71</v>
      </c>
      <c r="P68" s="8">
        <f>Assumptions!Q45</f>
        <v>0.71</v>
      </c>
      <c r="Q68" s="8">
        <f>Assumptions!R45</f>
        <v>0.71</v>
      </c>
    </row>
    <row r="69" spans="1:17" x14ac:dyDescent="0.15">
      <c r="G69" s="74"/>
    </row>
    <row r="70" spans="1:17" x14ac:dyDescent="0.15">
      <c r="B70" s="20" t="s">
        <v>21</v>
      </c>
      <c r="C70" s="33">
        <f>+C64+C67</f>
        <v>61.664999999999992</v>
      </c>
      <c r="D70" s="33">
        <f>+D64+D67</f>
        <v>80.749000000000024</v>
      </c>
      <c r="E70" s="33">
        <f>+E64+E67</f>
        <v>64.272999999999968</v>
      </c>
      <c r="F70" s="33">
        <f>+F64+F67</f>
        <v>70.790999999999968</v>
      </c>
      <c r="G70" s="104">
        <f>+G64+G67</f>
        <v>78.70199999999997</v>
      </c>
      <c r="H70" s="33">
        <f t="shared" ref="H70:Q70" si="35">+H64+H67</f>
        <v>80.237985722406592</v>
      </c>
      <c r="I70" s="33">
        <f t="shared" si="35"/>
        <v>86.061753166040376</v>
      </c>
      <c r="J70" s="33">
        <f t="shared" si="35"/>
        <v>94.252482035599826</v>
      </c>
      <c r="K70" s="33">
        <f t="shared" si="35"/>
        <v>103.87552456051446</v>
      </c>
      <c r="L70" s="33">
        <f t="shared" si="35"/>
        <v>115.61341062961526</v>
      </c>
      <c r="M70" s="33">
        <f t="shared" si="35"/>
        <v>126.490652314393</v>
      </c>
      <c r="N70" s="33">
        <f t="shared" si="35"/>
        <v>135.78576125498199</v>
      </c>
      <c r="O70" s="33">
        <f t="shared" si="35"/>
        <v>143.11961683171216</v>
      </c>
      <c r="P70" s="33">
        <f t="shared" si="35"/>
        <v>148.60389201684228</v>
      </c>
      <c r="Q70" s="33">
        <f t="shared" si="35"/>
        <v>151.59083024638079</v>
      </c>
    </row>
    <row r="71" spans="1:17" x14ac:dyDescent="0.15">
      <c r="B71" s="5" t="s">
        <v>22</v>
      </c>
      <c r="C71" s="8">
        <f t="shared" ref="C71:Q71" si="36">+C70/C64</f>
        <v>0.29292866914950211</v>
      </c>
      <c r="D71" s="8">
        <f t="shared" si="36"/>
        <v>0.31312990301577892</v>
      </c>
      <c r="E71" s="8">
        <f t="shared" si="36"/>
        <v>0.23857566545287162</v>
      </c>
      <c r="F71" s="8">
        <f t="shared" si="36"/>
        <v>0.26020650084357316</v>
      </c>
      <c r="G71" s="75">
        <f t="shared" si="36"/>
        <v>0.27835073423308709</v>
      </c>
      <c r="H71" s="8">
        <f t="shared" si="36"/>
        <v>0.26804038281979459</v>
      </c>
      <c r="I71" s="8">
        <f t="shared" si="36"/>
        <v>0.26804038281979459</v>
      </c>
      <c r="J71" s="8">
        <f t="shared" si="36"/>
        <v>0.26804038281979459</v>
      </c>
      <c r="K71" s="8">
        <f t="shared" si="36"/>
        <v>0.26804038281979459</v>
      </c>
      <c r="L71" s="8">
        <f t="shared" si="36"/>
        <v>0.26804038281979459</v>
      </c>
      <c r="M71" s="8">
        <f t="shared" si="36"/>
        <v>0.26804038281979459</v>
      </c>
      <c r="N71" s="8">
        <f t="shared" si="36"/>
        <v>0.26804038281979459</v>
      </c>
      <c r="O71" s="8">
        <f t="shared" si="36"/>
        <v>0.26804038281979459</v>
      </c>
      <c r="P71" s="8">
        <f t="shared" si="36"/>
        <v>0.26804038281979464</v>
      </c>
      <c r="Q71" s="8">
        <f t="shared" si="36"/>
        <v>0.26804038281979464</v>
      </c>
    </row>
    <row r="72" spans="1:17" x14ac:dyDescent="0.15">
      <c r="G72" s="74"/>
    </row>
    <row r="73" spans="1:17" x14ac:dyDescent="0.15">
      <c r="B73" s="15" t="s">
        <v>23</v>
      </c>
      <c r="C73" s="6">
        <v>-6.2859999999999996</v>
      </c>
      <c r="D73" s="6">
        <v>-6.9349999999999996</v>
      </c>
      <c r="E73" s="6">
        <v>-7.5549999999999997</v>
      </c>
      <c r="F73" s="6">
        <v>-7.1909999999999998</v>
      </c>
      <c r="G73" s="74">
        <v>-7.5750000000000002</v>
      </c>
      <c r="H73" s="6">
        <f>-H64*H74</f>
        <v>-8.9805108705971897</v>
      </c>
      <c r="I73" s="6">
        <f t="shared" ref="I73:Q73" si="37">-I64*I74</f>
        <v>-9.6323269196231838</v>
      </c>
      <c r="J73" s="6">
        <f t="shared" si="37"/>
        <v>-10.549061418737761</v>
      </c>
      <c r="K73" s="6">
        <f t="shared" si="37"/>
        <v>-11.626105380212506</v>
      </c>
      <c r="L73" s="6">
        <f t="shared" si="37"/>
        <v>-12.939849892768914</v>
      </c>
      <c r="M73" s="6">
        <f t="shared" si="37"/>
        <v>-14.157268130686882</v>
      </c>
      <c r="N73" s="6">
        <f t="shared" si="37"/>
        <v>-15.197608639397263</v>
      </c>
      <c r="O73" s="6">
        <f t="shared" si="37"/>
        <v>-16.018438937381962</v>
      </c>
      <c r="P73" s="6">
        <f t="shared" si="37"/>
        <v>-16.632257847141226</v>
      </c>
      <c r="Q73" s="6">
        <f t="shared" si="37"/>
        <v>-16.966566229868764</v>
      </c>
    </row>
    <row r="74" spans="1:17" x14ac:dyDescent="0.15">
      <c r="B74" s="16" t="s">
        <v>22</v>
      </c>
      <c r="C74" s="8">
        <f>-C73/C64</f>
        <v>2.9860530516075092E-2</v>
      </c>
      <c r="D74" s="8">
        <f>-D73/D64</f>
        <v>2.6892665883347485E-2</v>
      </c>
      <c r="E74" s="8">
        <f>-E73/E64</f>
        <v>2.8043488751053256E-2</v>
      </c>
      <c r="F74" s="8">
        <f>-F73/F64</f>
        <v>2.643196094935988E-2</v>
      </c>
      <c r="G74" s="75">
        <f>-G73/G64</f>
        <v>2.6791019438078264E-2</v>
      </c>
      <c r="H74" s="27">
        <f>Assumptions!I53</f>
        <v>0.03</v>
      </c>
      <c r="I74" s="8">
        <f>Assumptions!J53</f>
        <v>0.03</v>
      </c>
      <c r="J74" s="8">
        <f>Assumptions!K53</f>
        <v>0.03</v>
      </c>
      <c r="K74" s="8">
        <f>Assumptions!L53</f>
        <v>0.03</v>
      </c>
      <c r="L74" s="8">
        <f>Assumptions!M53</f>
        <v>0.03</v>
      </c>
      <c r="M74" s="8">
        <f>Assumptions!N53</f>
        <v>0.03</v>
      </c>
      <c r="N74" s="8">
        <f>Assumptions!O53</f>
        <v>0.03</v>
      </c>
      <c r="O74" s="8">
        <f>Assumptions!P53</f>
        <v>0.03</v>
      </c>
      <c r="P74" s="8">
        <f>Assumptions!Q53</f>
        <v>0.03</v>
      </c>
      <c r="Q74" s="8">
        <f>Assumptions!R53</f>
        <v>0.03</v>
      </c>
    </row>
    <row r="75" spans="1:17" x14ac:dyDescent="0.15">
      <c r="B75" s="15"/>
      <c r="G75" s="74"/>
    </row>
    <row r="76" spans="1:17" x14ac:dyDescent="0.15">
      <c r="B76" s="15" t="s">
        <v>24</v>
      </c>
      <c r="C76" s="6">
        <v>-24.991</v>
      </c>
      <c r="D76" s="6">
        <v>-34.363999999999997</v>
      </c>
      <c r="E76" s="6">
        <v>-35.008000000000003</v>
      </c>
      <c r="F76" s="6">
        <v>-33.892000000000003</v>
      </c>
      <c r="G76" s="74">
        <v>-33.417999999999999</v>
      </c>
      <c r="H76" s="6">
        <f>-H77*H64</f>
        <v>-35.922043482388759</v>
      </c>
      <c r="I76" s="6">
        <f t="shared" ref="I76:Q76" si="38">-I77*I64</f>
        <v>-38.529307678492735</v>
      </c>
      <c r="J76" s="6">
        <f t="shared" si="38"/>
        <v>-42.196245674951044</v>
      </c>
      <c r="K76" s="6">
        <f t="shared" si="38"/>
        <v>-46.504421520850023</v>
      </c>
      <c r="L76" s="6">
        <f t="shared" si="38"/>
        <v>-51.759399571075654</v>
      </c>
      <c r="M76" s="6">
        <f t="shared" si="38"/>
        <v>-56.629072522747528</v>
      </c>
      <c r="N76" s="6">
        <f t="shared" si="38"/>
        <v>-60.790434557589052</v>
      </c>
      <c r="O76" s="6">
        <f t="shared" si="38"/>
        <v>-64.073755749527848</v>
      </c>
      <c r="P76" s="6">
        <f t="shared" si="38"/>
        <v>-66.529031388564903</v>
      </c>
      <c r="Q76" s="6">
        <f t="shared" si="38"/>
        <v>-67.866264919475057</v>
      </c>
    </row>
    <row r="77" spans="1:17" x14ac:dyDescent="0.15">
      <c r="B77" s="16" t="s">
        <v>22</v>
      </c>
      <c r="C77" s="8">
        <f>-C76/C64</f>
        <v>0.11871532264193965</v>
      </c>
      <c r="D77" s="8">
        <f>-D76/D64</f>
        <v>0.13325732810603502</v>
      </c>
      <c r="E77" s="8">
        <f>-E76/E64</f>
        <v>0.12994658559852715</v>
      </c>
      <c r="F77" s="8">
        <f>-F76/F64</f>
        <v>0.12457683500148869</v>
      </c>
      <c r="G77" s="75">
        <f>-G76/G64</f>
        <v>0.11819172113289761</v>
      </c>
      <c r="H77" s="27">
        <f>Assumptions!I62</f>
        <v>0.12</v>
      </c>
      <c r="I77" s="8">
        <f>Assumptions!J62</f>
        <v>0.12</v>
      </c>
      <c r="J77" s="8">
        <f>Assumptions!K62</f>
        <v>0.12</v>
      </c>
      <c r="K77" s="8">
        <f>Assumptions!L62</f>
        <v>0.12</v>
      </c>
      <c r="L77" s="8">
        <f>Assumptions!M62</f>
        <v>0.12</v>
      </c>
      <c r="M77" s="8">
        <f>Assumptions!N62</f>
        <v>0.12</v>
      </c>
      <c r="N77" s="8">
        <f>Assumptions!O62</f>
        <v>0.12</v>
      </c>
      <c r="O77" s="8">
        <f>Assumptions!P62</f>
        <v>0.12</v>
      </c>
      <c r="P77" s="8">
        <f>Assumptions!Q62</f>
        <v>0.12</v>
      </c>
      <c r="Q77" s="8">
        <f>Assumptions!R62</f>
        <v>0.12</v>
      </c>
    </row>
    <row r="78" spans="1:17" x14ac:dyDescent="0.15">
      <c r="G78" s="74"/>
    </row>
    <row r="79" spans="1:17" x14ac:dyDescent="0.15">
      <c r="B79" s="20" t="s">
        <v>26</v>
      </c>
      <c r="C79" s="33">
        <f>+C70+C73+C76</f>
        <v>30.387999999999991</v>
      </c>
      <c r="D79" s="33">
        <f>+D70+D73+D76</f>
        <v>39.450000000000024</v>
      </c>
      <c r="E79" s="33">
        <f>+E70+E73+E76</f>
        <v>21.709999999999965</v>
      </c>
      <c r="F79" s="33">
        <f>+F70+F73+F76</f>
        <v>29.707999999999963</v>
      </c>
      <c r="G79" s="104">
        <f>+G70+G73+G76</f>
        <v>37.708999999999968</v>
      </c>
      <c r="H79" s="33">
        <f t="shared" ref="H79:Q79" si="39">+H70+H73+H76</f>
        <v>35.335431369420647</v>
      </c>
      <c r="I79" s="33">
        <f t="shared" si="39"/>
        <v>37.900118567924459</v>
      </c>
      <c r="J79" s="33">
        <f t="shared" si="39"/>
        <v>41.507174941911018</v>
      </c>
      <c r="K79" s="33">
        <f t="shared" si="39"/>
        <v>45.744997659451933</v>
      </c>
      <c r="L79" s="33">
        <f t="shared" si="39"/>
        <v>50.914161165770686</v>
      </c>
      <c r="M79" s="33">
        <f t="shared" si="39"/>
        <v>55.704311660958588</v>
      </c>
      <c r="N79" s="33">
        <f t="shared" si="39"/>
        <v>59.797718057995681</v>
      </c>
      <c r="O79" s="33">
        <f t="shared" si="39"/>
        <v>63.027422144802358</v>
      </c>
      <c r="P79" s="33">
        <f t="shared" si="39"/>
        <v>65.442602781136145</v>
      </c>
      <c r="Q79" s="33">
        <f t="shared" si="39"/>
        <v>66.757999097036972</v>
      </c>
    </row>
    <row r="80" spans="1:17" s="7" customFormat="1" x14ac:dyDescent="0.15">
      <c r="A80" s="5"/>
      <c r="B80" s="5" t="s">
        <v>27</v>
      </c>
      <c r="C80" s="8">
        <f t="shared" ref="C80:Q80" si="40">+C79/C64</f>
        <v>0.14435281599148739</v>
      </c>
      <c r="D80" s="8">
        <f t="shared" si="40"/>
        <v>0.15297990902639638</v>
      </c>
      <c r="E80" s="8">
        <f t="shared" si="40"/>
        <v>8.0585591103291235E-2</v>
      </c>
      <c r="F80" s="8">
        <f t="shared" si="40"/>
        <v>0.10919770489272457</v>
      </c>
      <c r="G80" s="75">
        <f t="shared" si="40"/>
        <v>0.13336799366211122</v>
      </c>
      <c r="H80" s="8">
        <f t="shared" si="40"/>
        <v>0.11804038281979462</v>
      </c>
      <c r="I80" s="8">
        <f t="shared" si="40"/>
        <v>0.11804038281979462</v>
      </c>
      <c r="J80" s="8">
        <f t="shared" si="40"/>
        <v>0.11804038281979458</v>
      </c>
      <c r="K80" s="8">
        <f t="shared" si="40"/>
        <v>0.11804038281979461</v>
      </c>
      <c r="L80" s="8">
        <f t="shared" si="40"/>
        <v>0.11804038281979459</v>
      </c>
      <c r="M80" s="8">
        <f t="shared" si="40"/>
        <v>0.11804038281979461</v>
      </c>
      <c r="N80" s="8">
        <f t="shared" si="40"/>
        <v>0.11804038281979458</v>
      </c>
      <c r="O80" s="8">
        <f t="shared" si="40"/>
        <v>0.11804038281979459</v>
      </c>
      <c r="P80" s="8">
        <f t="shared" si="40"/>
        <v>0.11804038281979466</v>
      </c>
      <c r="Q80" s="8">
        <f t="shared" si="40"/>
        <v>0.11804038281979465</v>
      </c>
    </row>
    <row r="81" spans="1:17" x14ac:dyDescent="0.15">
      <c r="G81" s="74"/>
    </row>
    <row r="82" spans="1:17" x14ac:dyDescent="0.15">
      <c r="B82" s="15" t="s">
        <v>28</v>
      </c>
      <c r="C82" s="6">
        <f>'PPE Schedule'!C8</f>
        <v>-2.6050000000000004</v>
      </c>
      <c r="D82" s="6">
        <f>'PPE Schedule'!D8</f>
        <v>-2.6050000000000004</v>
      </c>
      <c r="E82" s="6">
        <f>'PPE Schedule'!E8</f>
        <v>-1.3669999999999991</v>
      </c>
      <c r="F82" s="6">
        <f>'PPE Schedule'!F8</f>
        <v>-1.3879999999999999</v>
      </c>
      <c r="G82" s="74">
        <f>'PPE Schedule'!G8</f>
        <v>-1.456999999999999</v>
      </c>
      <c r="H82" s="6">
        <f>H86*H84</f>
        <v>-4.288817787082154</v>
      </c>
      <c r="I82" s="6">
        <f t="shared" ref="I82:Q82" si="41">I86*I84</f>
        <v>-4.7877774823136034</v>
      </c>
      <c r="J82" s="6">
        <f t="shared" si="41"/>
        <v>-5.4489766880254766</v>
      </c>
      <c r="K82" s="6">
        <f t="shared" si="41"/>
        <v>-6.23182755444798</v>
      </c>
      <c r="L82" s="6">
        <f t="shared" si="41"/>
        <v>-7.1881358306211016</v>
      </c>
      <c r="M82" s="6">
        <f t="shared" si="41"/>
        <v>-4.0701253086853466</v>
      </c>
      <c r="N82" s="6">
        <f t="shared" si="41"/>
        <v>-4.5172685878953844</v>
      </c>
      <c r="O82" s="6">
        <f t="shared" si="41"/>
        <v>-4.9172967820043842</v>
      </c>
      <c r="P82" s="6">
        <f t="shared" si="41"/>
        <v>-5.267753237950008</v>
      </c>
      <c r="Q82" s="6">
        <f t="shared" si="41"/>
        <v>-5.5389198386636034</v>
      </c>
    </row>
    <row r="83" spans="1:17" x14ac:dyDescent="0.15">
      <c r="B83" s="16" t="s">
        <v>37</v>
      </c>
      <c r="C83" s="8">
        <f>-C82/C6</f>
        <v>1.2250867671817833E-2</v>
      </c>
      <c r="D83" s="8">
        <f>-D82/D6</f>
        <v>1.0000691026635238E-2</v>
      </c>
      <c r="E83" s="8">
        <f>-E82/E6</f>
        <v>4.998062199732361E-3</v>
      </c>
      <c r="F83" s="8">
        <f>-F82/F6</f>
        <v>4.9998379015089569E-3</v>
      </c>
      <c r="G83" s="75">
        <f>-G82/G6</f>
        <v>4.9984733557698544E-3</v>
      </c>
      <c r="H83" s="8">
        <f t="shared" ref="H83:Q83" si="42">-H82/H6</f>
        <v>1.3897255260750222E-2</v>
      </c>
      <c r="I83" s="8">
        <f t="shared" si="42"/>
        <v>1.4464226898444642E-2</v>
      </c>
      <c r="J83" s="8">
        <f t="shared" si="42"/>
        <v>1.5031198536139063E-2</v>
      </c>
      <c r="K83" s="8">
        <f t="shared" si="42"/>
        <v>1.559817017383348E-2</v>
      </c>
      <c r="L83" s="8">
        <f t="shared" si="42"/>
        <v>1.6165141811527901E-2</v>
      </c>
      <c r="M83" s="8">
        <f t="shared" si="42"/>
        <v>8.3660567246111612E-3</v>
      </c>
      <c r="N83" s="8">
        <f t="shared" si="42"/>
        <v>8.6495425434583717E-3</v>
      </c>
      <c r="O83" s="8">
        <f t="shared" si="42"/>
        <v>8.9330283623055805E-3</v>
      </c>
      <c r="P83" s="8">
        <f t="shared" si="42"/>
        <v>9.216514181152791E-3</v>
      </c>
      <c r="Q83" s="8">
        <f t="shared" si="42"/>
        <v>9.4999999999999998E-3</v>
      </c>
    </row>
    <row r="84" spans="1:17" s="7" customFormat="1" x14ac:dyDescent="0.15">
      <c r="A84" s="5"/>
      <c r="B84" s="16" t="s">
        <v>29</v>
      </c>
      <c r="C84" s="8">
        <f>+C82/C86</f>
        <v>0.81661442006269602</v>
      </c>
      <c r="D84" s="8">
        <f>+D82/D86</f>
        <v>0.66675198361914523</v>
      </c>
      <c r="E84" s="8">
        <f>+E82/E86</f>
        <v>0.49981718464350977</v>
      </c>
      <c r="F84" s="8">
        <f>+F82/F86</f>
        <v>0.5</v>
      </c>
      <c r="G84" s="75">
        <f>+G82/G86</f>
        <v>0.66651418115279004</v>
      </c>
      <c r="H84" s="10">
        <f>+G84+(($Q$84-$G$84)/10)</f>
        <v>0.69486276303751104</v>
      </c>
      <c r="I84" s="10">
        <f t="shared" ref="I84:P84" si="43">+H84+(($Q$84-$G$84)/10)</f>
        <v>0.72321134492223205</v>
      </c>
      <c r="J84" s="10">
        <f t="shared" si="43"/>
        <v>0.75155992680695305</v>
      </c>
      <c r="K84" s="10">
        <f t="shared" si="43"/>
        <v>0.77990850869167405</v>
      </c>
      <c r="L84" s="10">
        <f t="shared" si="43"/>
        <v>0.80825709057639505</v>
      </c>
      <c r="M84" s="10">
        <f t="shared" si="43"/>
        <v>0.83660567246111606</v>
      </c>
      <c r="N84" s="10">
        <f t="shared" si="43"/>
        <v>0.86495425434583706</v>
      </c>
      <c r="O84" s="10">
        <f t="shared" si="43"/>
        <v>0.89330283623055806</v>
      </c>
      <c r="P84" s="10">
        <f t="shared" si="43"/>
        <v>0.92165141811527906</v>
      </c>
      <c r="Q84" s="10">
        <v>0.95</v>
      </c>
    </row>
    <row r="85" spans="1:17" x14ac:dyDescent="0.15">
      <c r="B85" s="15"/>
      <c r="G85" s="74"/>
    </row>
    <row r="86" spans="1:17" x14ac:dyDescent="0.15">
      <c r="B86" s="15" t="s">
        <v>30</v>
      </c>
      <c r="C86" s="6">
        <v>-3.19</v>
      </c>
      <c r="D86" s="6">
        <v>-3.907</v>
      </c>
      <c r="E86" s="6">
        <v>-2.7349999999999999</v>
      </c>
      <c r="F86" s="6">
        <v>-2.7759999999999998</v>
      </c>
      <c r="G86" s="74">
        <v>-2.1859999999999999</v>
      </c>
      <c r="H86" s="6">
        <f>-H87*H6</f>
        <v>-6.1721796234037498</v>
      </c>
      <c r="I86" s="6">
        <f t="shared" ref="I86:Q86" si="44">-I87*I6</f>
        <v>-6.6201636851098344</v>
      </c>
      <c r="J86" s="6">
        <f t="shared" si="44"/>
        <v>-7.2502224954645698</v>
      </c>
      <c r="K86" s="6">
        <f t="shared" si="44"/>
        <v>-7.9904597590582851</v>
      </c>
      <c r="L86" s="6">
        <f t="shared" si="44"/>
        <v>-8.8933780036436207</v>
      </c>
      <c r="M86" s="6">
        <f t="shared" si="44"/>
        <v>-4.8650462728897148</v>
      </c>
      <c r="N86" s="6">
        <f t="shared" si="44"/>
        <v>-5.2225520195999087</v>
      </c>
      <c r="O86" s="6">
        <f t="shared" si="44"/>
        <v>-5.5046246161646</v>
      </c>
      <c r="P86" s="6">
        <f t="shared" si="44"/>
        <v>-5.7155591956037375</v>
      </c>
      <c r="Q86" s="6">
        <f t="shared" si="44"/>
        <v>-5.8304419354353723</v>
      </c>
    </row>
    <row r="87" spans="1:17" s="7" customFormat="1" x14ac:dyDescent="0.15">
      <c r="A87" s="5"/>
      <c r="B87" s="16" t="s">
        <v>8</v>
      </c>
      <c r="C87" s="8">
        <f>-C86/C6</f>
        <v>1.5002022216160798E-2</v>
      </c>
      <c r="D87" s="8">
        <f>-D86/D6</f>
        <v>1.499911702152164E-2</v>
      </c>
      <c r="E87" s="8">
        <f>-E86/E6</f>
        <v>9.9997806263847962E-3</v>
      </c>
      <c r="F87" s="8">
        <f>-F86/F6</f>
        <v>9.9996758030179139E-3</v>
      </c>
      <c r="G87" s="75">
        <f>-G86/G6</f>
        <v>7.4994253642504524E-3</v>
      </c>
      <c r="H87" s="27">
        <f>Assumptions!I70</f>
        <v>0.02</v>
      </c>
      <c r="I87" s="27">
        <f>Assumptions!J70</f>
        <v>0.02</v>
      </c>
      <c r="J87" s="27">
        <f>Assumptions!K70</f>
        <v>0.02</v>
      </c>
      <c r="K87" s="27">
        <f>Assumptions!L70</f>
        <v>0.02</v>
      </c>
      <c r="L87" s="27">
        <f>Assumptions!M70</f>
        <v>0.02</v>
      </c>
      <c r="M87" s="27">
        <f>Assumptions!N70</f>
        <v>0.01</v>
      </c>
      <c r="N87" s="8">
        <f>Assumptions!O70</f>
        <v>0.01</v>
      </c>
      <c r="O87" s="8">
        <f>Assumptions!P70</f>
        <v>0.01</v>
      </c>
      <c r="P87" s="8">
        <f>Assumptions!Q70</f>
        <v>0.01</v>
      </c>
      <c r="Q87" s="8">
        <f>Assumptions!R70</f>
        <v>0.01</v>
      </c>
    </row>
    <row r="88" spans="1:17" x14ac:dyDescent="0.15">
      <c r="B88" s="15"/>
      <c r="G88" s="74"/>
    </row>
    <row r="89" spans="1:17" x14ac:dyDescent="0.15">
      <c r="B89" s="52" t="s">
        <v>25</v>
      </c>
      <c r="C89" s="33">
        <f>+C79-C82</f>
        <v>32.992999999999995</v>
      </c>
      <c r="D89" s="33">
        <f>+D79-D82</f>
        <v>42.055000000000021</v>
      </c>
      <c r="E89" s="33">
        <f>+E79-E82</f>
        <v>23.076999999999963</v>
      </c>
      <c r="F89" s="33">
        <f>+F79-F82</f>
        <v>31.095999999999961</v>
      </c>
      <c r="G89" s="104">
        <f>+G79-G82</f>
        <v>39.165999999999968</v>
      </c>
      <c r="H89" s="33">
        <f t="shared" ref="H89:Q89" si="45">+H79-H82</f>
        <v>39.624249156502799</v>
      </c>
      <c r="I89" s="33">
        <f t="shared" si="45"/>
        <v>42.687896050238059</v>
      </c>
      <c r="J89" s="33">
        <f t="shared" si="45"/>
        <v>46.956151629936492</v>
      </c>
      <c r="K89" s="33">
        <f t="shared" si="45"/>
        <v>51.976825213899915</v>
      </c>
      <c r="L89" s="33">
        <f t="shared" si="45"/>
        <v>58.102296996391786</v>
      </c>
      <c r="M89" s="33">
        <f t="shared" si="45"/>
        <v>59.774436969643936</v>
      </c>
      <c r="N89" s="33">
        <f t="shared" si="45"/>
        <v>64.314986645891068</v>
      </c>
      <c r="O89" s="33">
        <f t="shared" si="45"/>
        <v>67.944718926806743</v>
      </c>
      <c r="P89" s="33">
        <f t="shared" si="45"/>
        <v>70.710356019086149</v>
      </c>
      <c r="Q89" s="33">
        <f t="shared" si="45"/>
        <v>72.296918935700575</v>
      </c>
    </row>
    <row r="90" spans="1:17" x14ac:dyDescent="0.15">
      <c r="B90" s="53" t="s">
        <v>27</v>
      </c>
      <c r="C90" s="8">
        <f t="shared" ref="C90:Q90" si="46">+C89/C64</f>
        <v>0.1567274074637075</v>
      </c>
      <c r="D90" s="8">
        <f t="shared" si="46"/>
        <v>0.16308162418517363</v>
      </c>
      <c r="E90" s="8">
        <f t="shared" si="46"/>
        <v>8.5659773647657839E-2</v>
      </c>
      <c r="F90" s="8">
        <f t="shared" si="46"/>
        <v>0.11429957692689387</v>
      </c>
      <c r="G90" s="75">
        <f t="shared" si="46"/>
        <v>0.13852106499165312</v>
      </c>
      <c r="H90" s="8">
        <f t="shared" si="46"/>
        <v>0.132367466820519</v>
      </c>
      <c r="I90" s="8">
        <f t="shared" si="46"/>
        <v>0.1329519743457005</v>
      </c>
      <c r="J90" s="8">
        <f t="shared" si="46"/>
        <v>0.13353648187088191</v>
      </c>
      <c r="K90" s="8">
        <f t="shared" si="46"/>
        <v>0.1341209893960634</v>
      </c>
      <c r="L90" s="8">
        <f t="shared" si="46"/>
        <v>0.13470549692124487</v>
      </c>
      <c r="M90" s="8">
        <f t="shared" si="46"/>
        <v>0.12666519363311049</v>
      </c>
      <c r="N90" s="8">
        <f t="shared" si="46"/>
        <v>0.1269574473957012</v>
      </c>
      <c r="O90" s="8">
        <f t="shared" si="46"/>
        <v>0.12724970115829193</v>
      </c>
      <c r="P90" s="8">
        <f t="shared" si="46"/>
        <v>0.12754195492088274</v>
      </c>
      <c r="Q90" s="8">
        <f t="shared" si="46"/>
        <v>0.12783420868347345</v>
      </c>
    </row>
    <row r="91" spans="1:17" x14ac:dyDescent="0.15">
      <c r="G91" s="74"/>
    </row>
    <row r="92" spans="1:17" x14ac:dyDescent="0.15">
      <c r="B92" s="20" t="s">
        <v>38</v>
      </c>
      <c r="C92" s="6">
        <f>-'Debt Schedule'!C12</f>
        <v>-3.3</v>
      </c>
      <c r="D92" s="6">
        <f>-'Debt Schedule'!D12</f>
        <v>-3</v>
      </c>
      <c r="E92" s="6">
        <f>-'Debt Schedule'!E12</f>
        <v>-2.6999999999999997</v>
      </c>
      <c r="F92" s="6">
        <f>-'Debt Schedule'!F12</f>
        <v>-2.4</v>
      </c>
      <c r="G92" s="74">
        <f>-'Debt Schedule'!G12</f>
        <v>-2.1</v>
      </c>
      <c r="H92" s="6">
        <f>'LBO Modelling'!C56</f>
        <v>-12.924779999999989</v>
      </c>
      <c r="I92" s="6">
        <f>'LBO Modelling'!D56</f>
        <v>-12.924779999999989</v>
      </c>
      <c r="J92" s="6">
        <f>'LBO Modelling'!E56</f>
        <v>-12.924779999999989</v>
      </c>
      <c r="K92" s="6">
        <f>'LBO Modelling'!F56</f>
        <v>-12.924779999999989</v>
      </c>
      <c r="L92" s="6">
        <f>'LBO Modelling'!G56</f>
        <v>-12.924779999999989</v>
      </c>
      <c r="M92" s="6">
        <f>'LBO Modelling'!H56</f>
        <v>-12.924779999999989</v>
      </c>
      <c r="N92" s="6">
        <f>'LBO Modelling'!I56</f>
        <v>-12.924779999999989</v>
      </c>
      <c r="O92" s="6">
        <f>'LBO Modelling'!J56</f>
        <v>0</v>
      </c>
      <c r="P92" s="6">
        <f>'LBO Modelling'!K56</f>
        <v>0</v>
      </c>
      <c r="Q92" s="6">
        <f>'LBO Modelling'!L56</f>
        <v>0</v>
      </c>
    </row>
    <row r="93" spans="1:17" x14ac:dyDescent="0.15">
      <c r="G93" s="74"/>
    </row>
    <row r="94" spans="1:17" x14ac:dyDescent="0.15">
      <c r="B94" s="20" t="s">
        <v>42</v>
      </c>
      <c r="C94" s="33">
        <f>+C79+C92</f>
        <v>27.08799999999999</v>
      </c>
      <c r="D94" s="33">
        <f>+D79+D92</f>
        <v>36.450000000000024</v>
      </c>
      <c r="E94" s="33">
        <f>+E79+E92</f>
        <v>19.009999999999966</v>
      </c>
      <c r="F94" s="33">
        <f>+F79+F92</f>
        <v>27.307999999999964</v>
      </c>
      <c r="G94" s="104">
        <f>+G79+G92</f>
        <v>35.608999999999966</v>
      </c>
      <c r="H94" s="33">
        <f t="shared" ref="H94:Q94" si="47">+H79+H92</f>
        <v>22.410651369420655</v>
      </c>
      <c r="I94" s="33">
        <f t="shared" si="47"/>
        <v>24.975338567924467</v>
      </c>
      <c r="J94" s="33">
        <f t="shared" si="47"/>
        <v>28.582394941911026</v>
      </c>
      <c r="K94" s="33">
        <f t="shared" si="47"/>
        <v>32.820217659451941</v>
      </c>
      <c r="L94" s="33">
        <f t="shared" si="47"/>
        <v>37.989381165770695</v>
      </c>
      <c r="M94" s="33">
        <f t="shared" si="47"/>
        <v>42.779531660958597</v>
      </c>
      <c r="N94" s="33">
        <f t="shared" si="47"/>
        <v>46.87293805799569</v>
      </c>
      <c r="O94" s="33">
        <f t="shared" si="47"/>
        <v>63.027422144802358</v>
      </c>
      <c r="P94" s="33">
        <f t="shared" si="47"/>
        <v>65.442602781136145</v>
      </c>
      <c r="Q94" s="33">
        <f t="shared" si="47"/>
        <v>66.757999097036972</v>
      </c>
    </row>
    <row r="95" spans="1:17" x14ac:dyDescent="0.15">
      <c r="B95" s="5" t="s">
        <v>27</v>
      </c>
      <c r="C95" s="8">
        <f t="shared" ref="C95:Q95" si="48">+C94/C64</f>
        <v>0.12867675001900125</v>
      </c>
      <c r="D95" s="8">
        <f t="shared" si="48"/>
        <v>0.14134645586849554</v>
      </c>
      <c r="E95" s="8">
        <f t="shared" si="48"/>
        <v>7.056343099371562E-2</v>
      </c>
      <c r="F95" s="8">
        <f t="shared" si="48"/>
        <v>0.10037602414199953</v>
      </c>
      <c r="G95" s="75">
        <f t="shared" si="48"/>
        <v>0.12594078035254494</v>
      </c>
      <c r="H95" s="8">
        <f t="shared" si="48"/>
        <v>7.4864286761662971E-2</v>
      </c>
      <c r="I95" s="8">
        <f t="shared" si="48"/>
        <v>7.7785997432388329E-2</v>
      </c>
      <c r="J95" s="8">
        <f t="shared" si="48"/>
        <v>8.1284183892819814E-2</v>
      </c>
      <c r="K95" s="8">
        <f t="shared" si="48"/>
        <v>8.4689283090393003E-2</v>
      </c>
      <c r="L95" s="8">
        <f t="shared" si="48"/>
        <v>8.8075321152682087E-2</v>
      </c>
      <c r="M95" s="8">
        <f t="shared" si="48"/>
        <v>9.0652090359645568E-2</v>
      </c>
      <c r="N95" s="8">
        <f t="shared" si="48"/>
        <v>9.2526934671456312E-2</v>
      </c>
      <c r="O95" s="8">
        <f t="shared" si="48"/>
        <v>0.11804038281979459</v>
      </c>
      <c r="P95" s="8">
        <f t="shared" si="48"/>
        <v>0.11804038281979466</v>
      </c>
      <c r="Q95" s="8">
        <f t="shared" si="48"/>
        <v>0.11804038281979465</v>
      </c>
    </row>
    <row r="96" spans="1:17" x14ac:dyDescent="0.15">
      <c r="B96" s="5"/>
      <c r="G96" s="74"/>
    </row>
    <row r="97" spans="2:17" x14ac:dyDescent="0.15">
      <c r="B97" s="15" t="s">
        <v>43</v>
      </c>
      <c r="C97" s="6">
        <v>0</v>
      </c>
      <c r="D97" s="6">
        <v>0</v>
      </c>
      <c r="E97" s="6">
        <v>0</v>
      </c>
      <c r="F97" s="6">
        <v>0</v>
      </c>
      <c r="G97" s="74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</row>
    <row r="98" spans="2:17" x14ac:dyDescent="0.15">
      <c r="G98" s="74"/>
    </row>
    <row r="99" spans="2:17" x14ac:dyDescent="0.15">
      <c r="B99" s="56" t="s">
        <v>44</v>
      </c>
      <c r="C99" s="102">
        <f>+C94+C97</f>
        <v>27.08799999999999</v>
      </c>
      <c r="D99" s="102">
        <f t="shared" ref="D99:Q99" si="49">+D94+D97</f>
        <v>36.450000000000024</v>
      </c>
      <c r="E99" s="102">
        <f t="shared" si="49"/>
        <v>19.009999999999966</v>
      </c>
      <c r="F99" s="102">
        <f t="shared" si="49"/>
        <v>27.307999999999964</v>
      </c>
      <c r="G99" s="103">
        <f t="shared" si="49"/>
        <v>35.608999999999966</v>
      </c>
      <c r="H99" s="102">
        <f t="shared" si="49"/>
        <v>22.410651369420655</v>
      </c>
      <c r="I99" s="102">
        <f t="shared" si="49"/>
        <v>24.975338567924467</v>
      </c>
      <c r="J99" s="102">
        <f t="shared" si="49"/>
        <v>28.582394941911026</v>
      </c>
      <c r="K99" s="102">
        <f t="shared" si="49"/>
        <v>32.820217659451941</v>
      </c>
      <c r="L99" s="102">
        <f t="shared" si="49"/>
        <v>37.989381165770695</v>
      </c>
      <c r="M99" s="102">
        <f t="shared" si="49"/>
        <v>42.779531660958597</v>
      </c>
      <c r="N99" s="102">
        <f t="shared" si="49"/>
        <v>46.87293805799569</v>
      </c>
      <c r="O99" s="102">
        <f t="shared" si="49"/>
        <v>63.027422144802358</v>
      </c>
      <c r="P99" s="102">
        <f t="shared" si="49"/>
        <v>65.442602781136145</v>
      </c>
      <c r="Q99" s="102">
        <f t="shared" si="49"/>
        <v>66.757999097036972</v>
      </c>
    </row>
    <row r="100" spans="2:17" x14ac:dyDescent="0.15">
      <c r="B100" s="5" t="s">
        <v>27</v>
      </c>
      <c r="C100" s="8">
        <f>+C99/C64</f>
        <v>0.12867675001900125</v>
      </c>
      <c r="D100" s="8">
        <f t="shared" ref="D100:Q100" si="50">+D99/D64</f>
        <v>0.14134645586849554</v>
      </c>
      <c r="E100" s="8">
        <f t="shared" si="50"/>
        <v>7.056343099371562E-2</v>
      </c>
      <c r="F100" s="8">
        <f t="shared" si="50"/>
        <v>0.10037602414199953</v>
      </c>
      <c r="G100" s="75">
        <f t="shared" si="50"/>
        <v>0.12594078035254494</v>
      </c>
      <c r="H100" s="8">
        <f t="shared" si="50"/>
        <v>7.4864286761662971E-2</v>
      </c>
      <c r="I100" s="8">
        <f t="shared" si="50"/>
        <v>7.7785997432388329E-2</v>
      </c>
      <c r="J100" s="8">
        <f t="shared" si="50"/>
        <v>8.1284183892819814E-2</v>
      </c>
      <c r="K100" s="8">
        <f t="shared" si="50"/>
        <v>8.4689283090393003E-2</v>
      </c>
      <c r="L100" s="8">
        <f t="shared" si="50"/>
        <v>8.8075321152682087E-2</v>
      </c>
      <c r="M100" s="8">
        <f t="shared" si="50"/>
        <v>9.0652090359645568E-2</v>
      </c>
      <c r="N100" s="8">
        <f t="shared" si="50"/>
        <v>9.2526934671456312E-2</v>
      </c>
      <c r="O100" s="8">
        <f t="shared" si="50"/>
        <v>0.11804038281979459</v>
      </c>
      <c r="P100" s="8">
        <f t="shared" si="50"/>
        <v>0.11804038281979466</v>
      </c>
      <c r="Q100" s="8">
        <f t="shared" si="50"/>
        <v>0.11804038281979465</v>
      </c>
    </row>
    <row r="103" spans="2:17" x14ac:dyDescent="0.15">
      <c r="B103" s="2" t="str">
        <f t="shared" ref="B103:G103" si="51">+B89</f>
        <v>EBITDA</v>
      </c>
      <c r="C103" s="6">
        <f t="shared" si="51"/>
        <v>32.992999999999995</v>
      </c>
      <c r="D103" s="6">
        <f t="shared" si="51"/>
        <v>42.055000000000021</v>
      </c>
      <c r="E103" s="6">
        <f t="shared" si="51"/>
        <v>23.076999999999963</v>
      </c>
      <c r="F103" s="6">
        <f t="shared" si="51"/>
        <v>31.095999999999961</v>
      </c>
      <c r="G103" s="6">
        <f t="shared" si="51"/>
        <v>39.165999999999968</v>
      </c>
    </row>
    <row r="104" spans="2:17" x14ac:dyDescent="0.15">
      <c r="B104" s="2" t="s">
        <v>99</v>
      </c>
      <c r="C104" s="6">
        <f>+'Cash Flow Statement'!C19</f>
        <v>0</v>
      </c>
      <c r="D104" s="6">
        <f>+'Cash Flow Statement'!D19</f>
        <v>-3.907</v>
      </c>
      <c r="E104" s="6">
        <f>+'Cash Flow Statement'!E19</f>
        <v>-2.7349999999999999</v>
      </c>
      <c r="F104" s="6">
        <f>+'Cash Flow Statement'!F19</f>
        <v>-2.7759999999999998</v>
      </c>
      <c r="G104" s="6">
        <f>+'Cash Flow Statement'!G19</f>
        <v>-2.1859999999999999</v>
      </c>
    </row>
    <row r="105" spans="2:17" x14ac:dyDescent="0.15">
      <c r="B105" s="2" t="s">
        <v>175</v>
      </c>
      <c r="C105" s="6">
        <f>SUM(C103:C104)</f>
        <v>32.992999999999995</v>
      </c>
      <c r="D105" s="6">
        <f>SUM(D103:D104)</f>
        <v>38.148000000000025</v>
      </c>
      <c r="E105" s="6">
        <f>SUM(E103:E104)</f>
        <v>20.341999999999963</v>
      </c>
      <c r="F105" s="6">
        <f>SUM(F103:F104)</f>
        <v>28.319999999999961</v>
      </c>
      <c r="G105" s="6">
        <f>SUM(G103:G104)</f>
        <v>36.979999999999968</v>
      </c>
    </row>
    <row r="106" spans="2:17" x14ac:dyDescent="0.15">
      <c r="B106" s="2" t="s">
        <v>176</v>
      </c>
      <c r="C106" s="223">
        <f>C105/C103</f>
        <v>1</v>
      </c>
      <c r="D106" s="223">
        <f>D105/D103</f>
        <v>0.90709784805611715</v>
      </c>
      <c r="E106" s="223">
        <f>E105/E103</f>
        <v>0.88148372838757183</v>
      </c>
      <c r="F106" s="223">
        <f>F105/F103</f>
        <v>0.91072806791870331</v>
      </c>
      <c r="G106" s="223">
        <f>G105/G103</f>
        <v>0.94418628402185567</v>
      </c>
    </row>
    <row r="107" spans="2:17" x14ac:dyDescent="0.15">
      <c r="B107" s="2" t="s">
        <v>177</v>
      </c>
      <c r="C107" s="224">
        <f>-C104/C64</f>
        <v>0</v>
      </c>
      <c r="D107" s="224">
        <f>-D104/D64</f>
        <v>1.5150633829306219E-2</v>
      </c>
      <c r="E107" s="224">
        <f>-E104/E64</f>
        <v>1.0152076999884931E-2</v>
      </c>
      <c r="F107" s="224">
        <f>-F104/F64</f>
        <v>1.020374406833862E-2</v>
      </c>
      <c r="G107" s="224">
        <f>-G104/G64</f>
        <v>7.7313753784342028E-3</v>
      </c>
    </row>
    <row r="109" spans="2:17" x14ac:dyDescent="0.15">
      <c r="B109" s="2" t="s">
        <v>196</v>
      </c>
      <c r="C109" s="128">
        <f>C99/'Balance Sheet'!C19</f>
        <v>0.65184329579362743</v>
      </c>
      <c r="D109" s="128">
        <f>D99/'Balance Sheet'!D19</f>
        <v>0.46727174832705193</v>
      </c>
      <c r="E109" s="128">
        <f>E99/'Balance Sheet'!E19</f>
        <v>0.19594706027871658</v>
      </c>
      <c r="F109" s="128">
        <f>F99/'Balance Sheet'!F19</f>
        <v>0.21965187735272332</v>
      </c>
      <c r="G109" s="128">
        <f>G99/'Balance Sheet'!G19</f>
        <v>0.22264948447162236</v>
      </c>
    </row>
    <row r="110" spans="2:17" x14ac:dyDescent="0.15">
      <c r="B110" s="2" t="s">
        <v>197</v>
      </c>
      <c r="C110" s="128">
        <f>C99/'Balance Sheet'!C15</f>
        <v>0.20202261269055211</v>
      </c>
      <c r="D110" s="128">
        <f>D99/'Balance Sheet'!D15</f>
        <v>0.20816438418750224</v>
      </c>
      <c r="E110" s="128">
        <f>E99/'Balance Sheet'!E15</f>
        <v>9.2554274001548101E-2</v>
      </c>
      <c r="F110" s="128">
        <f>F99/'Balance Sheet'!F15</f>
        <v>0.11939176132140626</v>
      </c>
      <c r="G110" s="128">
        <f>G99/'Balance Sheet'!G15</f>
        <v>0.13549590000190245</v>
      </c>
    </row>
  </sheetData>
  <phoneticPr fontId="8" type="noConversion"/>
  <pageMargins left="0.75" right="0.75" top="1" bottom="1" header="0.3" footer="0.3"/>
  <pageSetup paperSize="9" scale="47" orientation="portrait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51"/>
  <sheetViews>
    <sheetView showGridLines="0" zoomScaleSheetLayoutView="85" workbookViewId="0">
      <selection activeCell="C29" sqref="C29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5" width="9.5" style="6" bestFit="1" customWidth="1"/>
    <col min="6" max="7" width="9.33203125" style="6" bestFit="1" customWidth="1"/>
    <col min="8" max="8" width="10.33203125" style="6" bestFit="1" customWidth="1"/>
    <col min="9" max="18" width="9.33203125" style="6" bestFit="1" customWidth="1"/>
    <col min="19" max="16384" width="8.83203125" style="6"/>
  </cols>
  <sheetData>
    <row r="1" spans="1:18" s="2" customFormat="1" x14ac:dyDescent="0.15"/>
    <row r="2" spans="1:18" s="2" customFormat="1" x14ac:dyDescent="0.15">
      <c r="B2" s="89" t="s">
        <v>45</v>
      </c>
    </row>
    <row r="3" spans="1:18" s="2" customFormat="1" x14ac:dyDescent="0.15">
      <c r="B3" s="5"/>
    </row>
    <row r="4" spans="1:18" s="2" customFormat="1" x14ac:dyDescent="0.15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193">
        <f>'Income Statement'!G4</f>
        <v>2011</v>
      </c>
      <c r="H4" s="194" t="s">
        <v>118</v>
      </c>
      <c r="I4" s="87">
        <f>'Income Statement'!H4</f>
        <v>2012</v>
      </c>
      <c r="J4" s="88">
        <f>'Income Statement'!I4</f>
        <v>2013</v>
      </c>
      <c r="K4" s="88">
        <f>'Income Statement'!J4</f>
        <v>2014</v>
      </c>
      <c r="L4" s="88">
        <f>'Income Statement'!K4</f>
        <v>2015</v>
      </c>
      <c r="M4" s="88">
        <f>'Income Statement'!L4</f>
        <v>2016</v>
      </c>
      <c r="N4" s="88">
        <f>'Income Statement'!M4</f>
        <v>2017</v>
      </c>
      <c r="O4" s="88">
        <f>'Income Statement'!N4</f>
        <v>2018</v>
      </c>
      <c r="P4" s="88">
        <f>'Income Statement'!O4</f>
        <v>2019</v>
      </c>
      <c r="Q4" s="88">
        <f>'Income Statement'!P4</f>
        <v>2020</v>
      </c>
      <c r="R4" s="88">
        <f>'Income Statement'!Q4</f>
        <v>2021</v>
      </c>
    </row>
    <row r="5" spans="1:18" s="2" customFormat="1" x14ac:dyDescent="0.15">
      <c r="B5" s="5"/>
      <c r="C5" s="3"/>
      <c r="D5" s="3"/>
      <c r="E5" s="3"/>
      <c r="F5" s="3"/>
      <c r="G5" s="176"/>
      <c r="H5" s="195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s="12" customFormat="1" x14ac:dyDescent="0.15">
      <c r="A6" s="23"/>
      <c r="B6" s="56" t="s">
        <v>46</v>
      </c>
      <c r="G6" s="37"/>
      <c r="H6" s="196"/>
    </row>
    <row r="7" spans="1:18" s="26" customFormat="1" x14ac:dyDescent="0.15">
      <c r="A7" s="24"/>
      <c r="B7" s="24"/>
      <c r="D7" s="27"/>
      <c r="E7" s="27"/>
      <c r="F7" s="27"/>
      <c r="G7" s="40"/>
      <c r="H7" s="197"/>
    </row>
    <row r="8" spans="1:18" s="12" customFormat="1" x14ac:dyDescent="0.15">
      <c r="A8" s="23"/>
      <c r="B8" s="23" t="s">
        <v>48</v>
      </c>
      <c r="C8" s="12">
        <f>'PPE Schedule'!C9</f>
        <v>6.5</v>
      </c>
      <c r="D8" s="12">
        <f>'PPE Schedule'!D9</f>
        <v>7.8019999999999996</v>
      </c>
      <c r="E8" s="12">
        <f>'PPE Schedule'!E9</f>
        <v>9.17</v>
      </c>
      <c r="F8" s="12">
        <f>'PPE Schedule'!F9</f>
        <v>10.558</v>
      </c>
      <c r="G8" s="37">
        <f>'PPE Schedule'!G9</f>
        <v>11.287000000000001</v>
      </c>
      <c r="H8" s="196">
        <f>G8</f>
        <v>11.287000000000001</v>
      </c>
      <c r="I8" s="12">
        <f>'PPE Schedule'!H9</f>
        <v>13.170361836321595</v>
      </c>
      <c r="J8" s="12">
        <f>'PPE Schedule'!I9</f>
        <v>15.002748039117826</v>
      </c>
      <c r="K8" s="12">
        <f>'PPE Schedule'!J9</f>
        <v>16.803993846556921</v>
      </c>
      <c r="L8" s="12">
        <f>'PPE Schedule'!K9</f>
        <v>18.562626051167229</v>
      </c>
      <c r="M8" s="12">
        <f>'PPE Schedule'!L9</f>
        <v>20.267868224189748</v>
      </c>
      <c r="N8" s="12">
        <f>'PPE Schedule'!M9</f>
        <v>21.062789188394113</v>
      </c>
      <c r="O8" s="12">
        <f>'PPE Schedule'!N9</f>
        <v>21.768072620098639</v>
      </c>
      <c r="P8" s="12">
        <f>'PPE Schedule'!O9</f>
        <v>22.355400454258856</v>
      </c>
      <c r="Q8" s="12">
        <f>'PPE Schedule'!P9</f>
        <v>22.803206411912587</v>
      </c>
      <c r="R8" s="12">
        <f>'PPE Schedule'!Q9</f>
        <v>23.094728508684355</v>
      </c>
    </row>
    <row r="9" spans="1:18" s="12" customFormat="1" x14ac:dyDescent="0.15">
      <c r="A9" s="23"/>
      <c r="B9" s="178" t="s">
        <v>119</v>
      </c>
      <c r="G9" s="37"/>
      <c r="H9" s="198">
        <f>+H15-H11-H12-H8</f>
        <v>499.1829898780336</v>
      </c>
      <c r="I9" s="12">
        <f>+H9</f>
        <v>499.1829898780336</v>
      </c>
      <c r="J9" s="12">
        <f t="shared" ref="J9:R9" si="0">+I9</f>
        <v>499.1829898780336</v>
      </c>
      <c r="K9" s="12">
        <f t="shared" si="0"/>
        <v>499.1829898780336</v>
      </c>
      <c r="L9" s="12">
        <f t="shared" si="0"/>
        <v>499.1829898780336</v>
      </c>
      <c r="M9" s="12">
        <f t="shared" si="0"/>
        <v>499.1829898780336</v>
      </c>
      <c r="N9" s="12">
        <f t="shared" si="0"/>
        <v>499.1829898780336</v>
      </c>
      <c r="O9" s="12">
        <f t="shared" si="0"/>
        <v>499.1829898780336</v>
      </c>
      <c r="P9" s="12">
        <f t="shared" si="0"/>
        <v>499.1829898780336</v>
      </c>
      <c r="Q9" s="12">
        <f t="shared" si="0"/>
        <v>499.1829898780336</v>
      </c>
      <c r="R9" s="12">
        <f t="shared" si="0"/>
        <v>499.1829898780336</v>
      </c>
    </row>
    <row r="10" spans="1:18" s="26" customFormat="1" x14ac:dyDescent="0.15">
      <c r="A10" s="24"/>
      <c r="B10" s="34" t="s">
        <v>49</v>
      </c>
      <c r="C10" s="27"/>
      <c r="D10" s="27"/>
      <c r="E10" s="27"/>
      <c r="F10" s="27"/>
      <c r="G10" s="40"/>
      <c r="H10" s="197"/>
      <c r="I10" s="27"/>
      <c r="J10" s="27"/>
      <c r="K10" s="27"/>
      <c r="L10" s="27"/>
      <c r="M10" s="27"/>
      <c r="N10" s="27"/>
      <c r="O10" s="27"/>
      <c r="P10" s="27"/>
      <c r="Q10" s="27"/>
      <c r="R10" s="27"/>
    </row>
    <row r="11" spans="1:18" s="26" customFormat="1" x14ac:dyDescent="0.15">
      <c r="A11" s="24"/>
      <c r="B11" s="29" t="s">
        <v>50</v>
      </c>
      <c r="C11" s="12">
        <v>31.896000000000001</v>
      </c>
      <c r="D11" s="12">
        <v>26.047999999999998</v>
      </c>
      <c r="E11" s="12">
        <v>20.513000000000002</v>
      </c>
      <c r="F11" s="12">
        <v>13.88</v>
      </c>
      <c r="G11" s="37">
        <v>14.574</v>
      </c>
      <c r="H11" s="196">
        <f>G11</f>
        <v>14.574</v>
      </c>
      <c r="I11" s="12">
        <f>+I43/365*'Income Statement'!H64</f>
        <v>16.402759580999433</v>
      </c>
      <c r="J11" s="12">
        <f>+J43/365*'Income Statement'!I64</f>
        <v>17.593291177393944</v>
      </c>
      <c r="K11" s="12">
        <f>+K43/365*'Income Statement'!J64</f>
        <v>19.267692089018741</v>
      </c>
      <c r="L11" s="12">
        <f>+L43/365*'Income Statement'!K64</f>
        <v>21.234895671621015</v>
      </c>
      <c r="M11" s="12">
        <f>+M43/365*'Income Statement'!L64</f>
        <v>23.634429027888423</v>
      </c>
      <c r="N11" s="12">
        <f>+N43/365*'Income Statement'!M64</f>
        <v>25.858023982989739</v>
      </c>
      <c r="O11" s="12">
        <f>+O43/365*'Income Statement'!N64</f>
        <v>27.758189295702763</v>
      </c>
      <c r="P11" s="12">
        <f>+P43/365*'Income Statement'!O64</f>
        <v>29.257422716679383</v>
      </c>
      <c r="Q11" s="12">
        <f>+Q43/365*'Income Statement'!P64</f>
        <v>30.378553145463428</v>
      </c>
      <c r="R11" s="12">
        <f>+R43/365*'Income Statement'!Q64</f>
        <v>30.989162063687242</v>
      </c>
    </row>
    <row r="12" spans="1:18" s="12" customFormat="1" x14ac:dyDescent="0.15">
      <c r="A12" s="23"/>
      <c r="B12" s="29" t="s">
        <v>51</v>
      </c>
      <c r="C12" s="12">
        <v>27.643000000000001</v>
      </c>
      <c r="D12" s="12">
        <v>19.536000000000001</v>
      </c>
      <c r="E12" s="12">
        <v>16.41</v>
      </c>
      <c r="F12" s="12">
        <v>19.433</v>
      </c>
      <c r="G12" s="37">
        <v>23.318999999999999</v>
      </c>
      <c r="H12" s="196">
        <f>G12</f>
        <v>23.318999999999999</v>
      </c>
      <c r="I12" s="12">
        <f>+I45/365*-'Income Statement'!H67</f>
        <v>24.012315247214584</v>
      </c>
      <c r="J12" s="12">
        <f>+J45/365*-'Income Statement'!I67</f>
        <v>25.755157350290311</v>
      </c>
      <c r="K12" s="12">
        <f>+K45/365*-'Income Statement'!J67</f>
        <v>28.206345050848459</v>
      </c>
      <c r="L12" s="12">
        <f>+L45/365*-'Income Statement'!K67</f>
        <v>31.086172213322641</v>
      </c>
      <c r="M12" s="12">
        <f>+M45/365*-'Income Statement'!L67</f>
        <v>34.598895247051892</v>
      </c>
      <c r="N12" s="12">
        <f>+N45/365*-'Income Statement'!M67</f>
        <v>37.854058671251479</v>
      </c>
      <c r="O12" s="12">
        <f>+O45/365*-'Income Statement'!N67</f>
        <v>40.635747220996542</v>
      </c>
      <c r="P12" s="12">
        <f>+P45/365*-'Income Statement'!O67</f>
        <v>42.830503862760175</v>
      </c>
      <c r="Q12" s="12">
        <f>+Q45/365*-'Income Statement'!P67</f>
        <v>44.471748261683864</v>
      </c>
      <c r="R12" s="12">
        <f>+R45/365*-'Income Statement'!Q67</f>
        <v>45.365630401743708</v>
      </c>
    </row>
    <row r="13" spans="1:18" s="12" customFormat="1" x14ac:dyDescent="0.15">
      <c r="A13" s="23"/>
      <c r="B13" s="29" t="s">
        <v>59</v>
      </c>
      <c r="C13" s="12">
        <f>+C37</f>
        <v>68.045000000000002</v>
      </c>
      <c r="D13" s="12">
        <f>+'Cash Flow Statement'!D27</f>
        <v>121.71600000000002</v>
      </c>
      <c r="E13" s="12">
        <f>+'Cash Flow Statement'!E27</f>
        <v>159.29999999999998</v>
      </c>
      <c r="F13" s="12">
        <f>+'Cash Flow Statement'!F27</f>
        <v>184.85499999999996</v>
      </c>
      <c r="G13" s="37">
        <f>+'Cash Flow Statement'!G27</f>
        <v>213.62499999999994</v>
      </c>
      <c r="H13" s="196">
        <v>0</v>
      </c>
      <c r="I13" s="12">
        <f>+'Cash Flow Statement'!H27</f>
        <v>23.173239258332437</v>
      </c>
      <c r="J13" s="12">
        <f>+'Cash Flow Statement'!I27</f>
        <v>49.047054758986548</v>
      </c>
      <c r="K13" s="12">
        <f>+'Cash Flow Statement'!J27</f>
        <v>79.6689753080895</v>
      </c>
      <c r="L13" s="12">
        <f>+'Cash Flow Statement'!K27</f>
        <v>115.24296829589579</v>
      </c>
      <c r="M13" s="12">
        <f>+'Cash Flow Statement'!L27</f>
        <v>157.03120075826737</v>
      </c>
      <c r="N13" s="12">
        <f>+'Cash Flow Statement'!M27</f>
        <v>204.11633420436937</v>
      </c>
      <c r="O13" s="12">
        <f>+'Cash Flow Statement'!N27</f>
        <v>78.395622754874069</v>
      </c>
      <c r="P13" s="12">
        <f>+'Cash Flow Statement'!O27</f>
        <v>85.525686088507783</v>
      </c>
      <c r="Q13" s="12">
        <f>+'Cash Flow Statement'!P27</f>
        <v>153.09215238078448</v>
      </c>
      <c r="R13" s="12">
        <f>+'Cash Flow Statement'!Q27</f>
        <v>220.95925527796052</v>
      </c>
    </row>
    <row r="14" spans="1:18" s="26" customFormat="1" x14ac:dyDescent="0.15">
      <c r="A14" s="24"/>
      <c r="B14" s="31"/>
      <c r="C14" s="27"/>
      <c r="D14" s="27"/>
      <c r="E14" s="27"/>
      <c r="F14" s="27"/>
      <c r="G14" s="40"/>
      <c r="H14" s="197"/>
      <c r="I14" s="27"/>
      <c r="J14" s="27"/>
      <c r="K14" s="27"/>
      <c r="L14" s="27"/>
      <c r="M14" s="27"/>
      <c r="N14" s="27"/>
      <c r="O14" s="27"/>
      <c r="P14" s="27"/>
      <c r="Q14" s="27"/>
      <c r="R14" s="27"/>
    </row>
    <row r="15" spans="1:18" s="26" customFormat="1" ht="14" thickBot="1" x14ac:dyDescent="0.2">
      <c r="A15" s="24"/>
      <c r="B15" s="54" t="s">
        <v>60</v>
      </c>
      <c r="C15" s="55">
        <f>+C8+C11+C12+C13</f>
        <v>134.084</v>
      </c>
      <c r="D15" s="55">
        <f>+D8+D11+D12+D13</f>
        <v>175.10200000000003</v>
      </c>
      <c r="E15" s="55">
        <f>+E8+E11+E12+E13</f>
        <v>205.39299999999997</v>
      </c>
      <c r="F15" s="55">
        <f>+F8+F11+F12+F13</f>
        <v>228.72599999999997</v>
      </c>
      <c r="G15" s="55">
        <f>+G8+G11+G12+G13</f>
        <v>262.80499999999995</v>
      </c>
      <c r="H15" s="199">
        <f>+H28</f>
        <v>548.36298987803355</v>
      </c>
      <c r="I15" s="55">
        <f>+I8+I11+I12+I13+I9</f>
        <v>575.94166580090166</v>
      </c>
      <c r="J15" s="55">
        <f t="shared" ref="J15:R15" si="1">+J8+J11+J12+J13+J9</f>
        <v>606.58124120382217</v>
      </c>
      <c r="K15" s="55">
        <f t="shared" si="1"/>
        <v>643.12999617254718</v>
      </c>
      <c r="L15" s="55">
        <f t="shared" si="1"/>
        <v>685.30965211004025</v>
      </c>
      <c r="M15" s="55">
        <f t="shared" si="1"/>
        <v>734.71538313543101</v>
      </c>
      <c r="N15" s="55">
        <f t="shared" si="1"/>
        <v>788.07419592503834</v>
      </c>
      <c r="O15" s="55">
        <f t="shared" si="1"/>
        <v>667.74062176970563</v>
      </c>
      <c r="P15" s="55">
        <f t="shared" si="1"/>
        <v>679.1520030002398</v>
      </c>
      <c r="Q15" s="55">
        <f t="shared" si="1"/>
        <v>749.92865007787793</v>
      </c>
      <c r="R15" s="55">
        <f t="shared" si="1"/>
        <v>819.59176613010936</v>
      </c>
    </row>
    <row r="16" spans="1:18" s="12" customFormat="1" ht="14" thickTop="1" x14ac:dyDescent="0.15">
      <c r="A16" s="23"/>
      <c r="B16" s="30"/>
      <c r="G16" s="37"/>
      <c r="H16" s="196"/>
    </row>
    <row r="17" spans="1:18" s="12" customFormat="1" x14ac:dyDescent="0.15">
      <c r="A17" s="23"/>
      <c r="B17" s="56" t="s">
        <v>47</v>
      </c>
      <c r="G17" s="37"/>
      <c r="H17" s="196"/>
    </row>
    <row r="18" spans="1:18" s="12" customFormat="1" x14ac:dyDescent="0.15">
      <c r="A18" s="23"/>
      <c r="B18" s="30"/>
      <c r="G18" s="37"/>
      <c r="H18" s="196"/>
    </row>
    <row r="19" spans="1:18" s="26" customFormat="1" x14ac:dyDescent="0.15">
      <c r="A19" s="24"/>
      <c r="B19" s="34" t="s">
        <v>55</v>
      </c>
      <c r="C19" s="32">
        <f>+C20+C21</f>
        <v>41.556000000000012</v>
      </c>
      <c r="D19" s="32">
        <f>+D20+D21</f>
        <v>78.006000000000029</v>
      </c>
      <c r="E19" s="32">
        <f>+E20+E21</f>
        <v>97.015999999999991</v>
      </c>
      <c r="F19" s="32">
        <f>+F20+F21</f>
        <v>124.32399999999996</v>
      </c>
      <c r="G19" s="45">
        <f>+G20+G21</f>
        <v>159.93299999999994</v>
      </c>
      <c r="H19" s="200">
        <f>+'LBO Modelling'!D12</f>
        <v>240.49498987803378</v>
      </c>
      <c r="I19" s="32">
        <f>+H19+'Income Statement'!H99</f>
        <v>262.90564124745441</v>
      </c>
      <c r="J19" s="32">
        <f>+I19+'Income Statement'!I99</f>
        <v>287.88097981537885</v>
      </c>
      <c r="K19" s="32">
        <f>+J19+'Income Statement'!J99</f>
        <v>316.4633747572899</v>
      </c>
      <c r="L19" s="32">
        <f>+K19+'Income Statement'!K99</f>
        <v>349.28359241674184</v>
      </c>
      <c r="M19" s="32">
        <f>+L19+'Income Statement'!L99</f>
        <v>387.27297358251252</v>
      </c>
      <c r="N19" s="32">
        <f>+M19+'Income Statement'!M99</f>
        <v>430.0525052434711</v>
      </c>
      <c r="O19" s="32">
        <f>+N19+'Income Statement'!N99</f>
        <v>476.92544330146677</v>
      </c>
      <c r="P19" s="32">
        <f>+O19+'Income Statement'!O99</f>
        <v>539.95286544626913</v>
      </c>
      <c r="Q19" s="32">
        <f>+P19+'Income Statement'!P99</f>
        <v>605.39546822740522</v>
      </c>
      <c r="R19" s="32">
        <f>+Q19+'Income Statement'!Q99</f>
        <v>672.1534673244422</v>
      </c>
    </row>
    <row r="20" spans="1:18" s="12" customFormat="1" x14ac:dyDescent="0.15">
      <c r="A20" s="23"/>
      <c r="B20" s="30" t="s">
        <v>56</v>
      </c>
      <c r="C20" s="12">
        <f>+C15-C21-C23-C26</f>
        <v>13.045000000000009</v>
      </c>
      <c r="D20" s="12">
        <f>+C20</f>
        <v>13.045000000000009</v>
      </c>
      <c r="E20" s="12">
        <f>+D20</f>
        <v>13.045000000000009</v>
      </c>
      <c r="F20" s="12">
        <f>+E20</f>
        <v>13.045000000000009</v>
      </c>
      <c r="G20" s="37">
        <f>+F20</f>
        <v>13.045000000000009</v>
      </c>
      <c r="H20" s="196"/>
    </row>
    <row r="21" spans="1:18" s="12" customFormat="1" x14ac:dyDescent="0.15">
      <c r="A21" s="23"/>
      <c r="B21" s="30" t="s">
        <v>57</v>
      </c>
      <c r="C21" s="12">
        <v>28.510999999999999</v>
      </c>
      <c r="D21" s="12">
        <f>+C21+'Income Statement'!D99</f>
        <v>64.961000000000027</v>
      </c>
      <c r="E21" s="12">
        <f>+D21+'Income Statement'!E99</f>
        <v>83.970999999999989</v>
      </c>
      <c r="F21" s="12">
        <f>+E21+'Income Statement'!F99</f>
        <v>111.27899999999995</v>
      </c>
      <c r="G21" s="37">
        <f>+F21+'Income Statement'!G99</f>
        <v>146.88799999999992</v>
      </c>
      <c r="H21" s="196"/>
    </row>
    <row r="22" spans="1:18" s="12" customFormat="1" x14ac:dyDescent="0.15">
      <c r="A22" s="23"/>
      <c r="B22" s="30"/>
      <c r="G22" s="37"/>
      <c r="H22" s="196"/>
    </row>
    <row r="23" spans="1:18" s="12" customFormat="1" x14ac:dyDescent="0.15">
      <c r="A23" s="23"/>
      <c r="B23" s="34" t="s">
        <v>58</v>
      </c>
      <c r="C23" s="12">
        <f>'Debt Schedule'!C8</f>
        <v>50</v>
      </c>
      <c r="D23" s="12">
        <f>'Debt Schedule'!D8</f>
        <v>45</v>
      </c>
      <c r="E23" s="12">
        <f>'Debt Schedule'!E8</f>
        <v>40</v>
      </c>
      <c r="F23" s="12">
        <f>'Debt Schedule'!F8</f>
        <v>35</v>
      </c>
      <c r="G23" s="37">
        <f>'Debt Schedule'!G8</f>
        <v>30</v>
      </c>
      <c r="H23" s="200">
        <f>+'LBO Modelling'!D8</f>
        <v>234.99599999999981</v>
      </c>
      <c r="I23" s="12">
        <f>+'LBO Modelling'!C58</f>
        <v>234.99599999999981</v>
      </c>
      <c r="J23" s="12">
        <f>+'LBO Modelling'!D58</f>
        <v>234.99599999999981</v>
      </c>
      <c r="K23" s="12">
        <f>+'LBO Modelling'!E58</f>
        <v>234.99599999999981</v>
      </c>
      <c r="L23" s="12">
        <f>+'LBO Modelling'!F58</f>
        <v>234.99599999999981</v>
      </c>
      <c r="M23" s="12">
        <f>+'LBO Modelling'!G58</f>
        <v>234.99599999999981</v>
      </c>
      <c r="N23" s="12">
        <f>+'LBO Modelling'!H58</f>
        <v>234.99599999999981</v>
      </c>
      <c r="O23" s="12">
        <f>+'LBO Modelling'!I58</f>
        <v>58.748999999999953</v>
      </c>
      <c r="P23" s="12">
        <f>+'LBO Modelling'!J58</f>
        <v>0</v>
      </c>
      <c r="Q23" s="12">
        <f>+'LBO Modelling'!K58</f>
        <v>0</v>
      </c>
      <c r="R23" s="12">
        <f>+'LBO Modelling'!L58</f>
        <v>0</v>
      </c>
    </row>
    <row r="24" spans="1:18" s="12" customFormat="1" x14ac:dyDescent="0.15">
      <c r="A24" s="23"/>
      <c r="B24" s="30"/>
      <c r="G24" s="37"/>
      <c r="H24" s="196"/>
    </row>
    <row r="25" spans="1:18" s="26" customFormat="1" x14ac:dyDescent="0.15">
      <c r="A25" s="24"/>
      <c r="B25" s="34" t="s">
        <v>52</v>
      </c>
      <c r="C25" s="27"/>
      <c r="D25" s="27"/>
      <c r="E25" s="27"/>
      <c r="F25" s="27"/>
      <c r="G25" s="40"/>
      <c r="H25" s="197"/>
      <c r="I25" s="27"/>
      <c r="J25" s="27"/>
      <c r="K25" s="27"/>
      <c r="L25" s="27"/>
      <c r="M25" s="27"/>
      <c r="N25" s="27"/>
      <c r="O25" s="27"/>
      <c r="P25" s="27"/>
      <c r="Q25" s="27"/>
      <c r="R25" s="27"/>
    </row>
    <row r="26" spans="1:18" s="26" customFormat="1" x14ac:dyDescent="0.15">
      <c r="A26" s="24"/>
      <c r="B26" s="29" t="s">
        <v>53</v>
      </c>
      <c r="C26" s="12">
        <v>42.527999999999999</v>
      </c>
      <c r="D26" s="12">
        <v>52.095999999999997</v>
      </c>
      <c r="E26" s="12">
        <v>68.376999999999995</v>
      </c>
      <c r="F26" s="12">
        <v>69.402000000000001</v>
      </c>
      <c r="G26" s="37">
        <v>72.872</v>
      </c>
      <c r="H26" s="196">
        <f>G26</f>
        <v>72.872</v>
      </c>
      <c r="I26" s="12">
        <f>+I44/365*-'Income Statement'!H67</f>
        <v>78.040024553447395</v>
      </c>
      <c r="J26" s="12">
        <f>+J44/365*-'Income Statement'!I67</f>
        <v>83.704261388443513</v>
      </c>
      <c r="K26" s="12">
        <f>+K44/365*-'Income Statement'!J67</f>
        <v>91.670621415257486</v>
      </c>
      <c r="L26" s="12">
        <f>+L44/365*-'Income Statement'!K67</f>
        <v>101.03005969329858</v>
      </c>
      <c r="M26" s="12">
        <f>+M44/365*-'Income Statement'!L67</f>
        <v>112.44640955291864</v>
      </c>
      <c r="N26" s="12">
        <f>+N44/365*-'Income Statement'!M67</f>
        <v>123.02569068156731</v>
      </c>
      <c r="O26" s="12">
        <f>+O44/365*-'Income Statement'!N67</f>
        <v>132.06617846823877</v>
      </c>
      <c r="P26" s="12">
        <f>+P44/365*-'Income Statement'!O67</f>
        <v>139.19913755397056</v>
      </c>
      <c r="Q26" s="12">
        <f>+Q44/365*-'Income Statement'!P67</f>
        <v>144.53318185047257</v>
      </c>
      <c r="R26" s="12">
        <f>+R44/365*-'Income Statement'!Q67</f>
        <v>147.43829880566707</v>
      </c>
    </row>
    <row r="27" spans="1:18" s="12" customFormat="1" x14ac:dyDescent="0.15">
      <c r="A27" s="23"/>
      <c r="B27" s="30"/>
      <c r="G27" s="37"/>
      <c r="H27" s="196"/>
    </row>
    <row r="28" spans="1:18" s="12" customFormat="1" ht="14" thickBot="1" x14ac:dyDescent="0.2">
      <c r="A28" s="23"/>
      <c r="B28" s="57" t="s">
        <v>61</v>
      </c>
      <c r="C28" s="55">
        <f>+C19+C23+C26</f>
        <v>134.084</v>
      </c>
      <c r="D28" s="55">
        <f>+D20+D21+D23+D26</f>
        <v>175.10200000000003</v>
      </c>
      <c r="E28" s="55">
        <f>+E20+E21+E23+E26</f>
        <v>205.39299999999997</v>
      </c>
      <c r="F28" s="55">
        <f>+F20+F21+F23+F26</f>
        <v>228.72599999999994</v>
      </c>
      <c r="G28" s="55">
        <f>+G20+G21+G23+G26</f>
        <v>262.80499999999995</v>
      </c>
      <c r="H28" s="199">
        <f>+H19+H23+H26</f>
        <v>548.36298987803355</v>
      </c>
      <c r="I28" s="55">
        <f t="shared" ref="I28:R28" si="2">+I19+I23+I26</f>
        <v>575.94166580090166</v>
      </c>
      <c r="J28" s="55">
        <f t="shared" si="2"/>
        <v>606.58124120382217</v>
      </c>
      <c r="K28" s="55">
        <f t="shared" si="2"/>
        <v>643.12999617254718</v>
      </c>
      <c r="L28" s="55">
        <f t="shared" si="2"/>
        <v>685.30965211004025</v>
      </c>
      <c r="M28" s="55">
        <f t="shared" si="2"/>
        <v>734.71538313543101</v>
      </c>
      <c r="N28" s="55">
        <f t="shared" si="2"/>
        <v>788.07419592503823</v>
      </c>
      <c r="O28" s="55">
        <f t="shared" si="2"/>
        <v>667.74062176970551</v>
      </c>
      <c r="P28" s="55">
        <f t="shared" si="2"/>
        <v>679.15200300023969</v>
      </c>
      <c r="Q28" s="55">
        <f t="shared" si="2"/>
        <v>749.92865007787782</v>
      </c>
      <c r="R28" s="55">
        <f t="shared" si="2"/>
        <v>819.59176613010925</v>
      </c>
    </row>
    <row r="29" spans="1:18" s="70" customFormat="1" ht="14" thickTop="1" x14ac:dyDescent="0.15">
      <c r="A29" s="68"/>
      <c r="B29" s="69" t="s">
        <v>67</v>
      </c>
      <c r="C29" s="70">
        <f t="shared" ref="C29:R29" si="3">+C15-C28</f>
        <v>0</v>
      </c>
      <c r="D29" s="70">
        <f t="shared" si="3"/>
        <v>0</v>
      </c>
      <c r="E29" s="70">
        <f t="shared" si="3"/>
        <v>0</v>
      </c>
      <c r="F29" s="70">
        <f t="shared" si="3"/>
        <v>0</v>
      </c>
      <c r="G29" s="70">
        <f t="shared" si="3"/>
        <v>0</v>
      </c>
      <c r="H29" s="70">
        <f t="shared" si="3"/>
        <v>0</v>
      </c>
      <c r="I29" s="70">
        <f t="shared" si="3"/>
        <v>0</v>
      </c>
      <c r="J29" s="70">
        <f t="shared" si="3"/>
        <v>0</v>
      </c>
      <c r="K29" s="70">
        <f t="shared" si="3"/>
        <v>0</v>
      </c>
      <c r="L29" s="70">
        <f t="shared" si="3"/>
        <v>0</v>
      </c>
      <c r="M29" s="70">
        <f t="shared" si="3"/>
        <v>0</v>
      </c>
      <c r="N29" s="70">
        <f t="shared" si="3"/>
        <v>0</v>
      </c>
      <c r="O29" s="70">
        <f t="shared" si="3"/>
        <v>0</v>
      </c>
      <c r="P29" s="70">
        <f t="shared" si="3"/>
        <v>0</v>
      </c>
      <c r="Q29" s="70">
        <f t="shared" si="3"/>
        <v>0</v>
      </c>
      <c r="R29" s="70">
        <f t="shared" si="3"/>
        <v>0</v>
      </c>
    </row>
    <row r="30" spans="1:18" s="12" customFormat="1" x14ac:dyDescent="0.15">
      <c r="A30" s="23"/>
      <c r="B30" s="30"/>
    </row>
    <row r="31" spans="1:18" s="12" customFormat="1" x14ac:dyDescent="0.15">
      <c r="A31" s="23"/>
      <c r="B31" s="58" t="s">
        <v>62</v>
      </c>
      <c r="C31" s="59"/>
    </row>
    <row r="32" spans="1:18" s="12" customFormat="1" x14ac:dyDescent="0.15">
      <c r="A32" s="23"/>
      <c r="B32" s="60" t="s">
        <v>63</v>
      </c>
      <c r="C32" s="61">
        <v>3</v>
      </c>
      <c r="D32" s="27"/>
      <c r="E32" s="27"/>
      <c r="F32" s="27"/>
      <c r="G32" s="27"/>
      <c r="H32" s="27"/>
    </row>
    <row r="33" spans="1:18" s="12" customFormat="1" ht="5" customHeight="1" x14ac:dyDescent="0.15">
      <c r="A33" s="23"/>
      <c r="B33" s="62"/>
      <c r="C33" s="61"/>
    </row>
    <row r="34" spans="1:18" s="12" customFormat="1" x14ac:dyDescent="0.15">
      <c r="A34" s="23"/>
      <c r="B34" s="60" t="s">
        <v>66</v>
      </c>
      <c r="C34" s="61">
        <f>+C32</f>
        <v>3</v>
      </c>
    </row>
    <row r="35" spans="1:18" s="26" customFormat="1" x14ac:dyDescent="0.15">
      <c r="A35" s="24"/>
      <c r="B35" s="60" t="s">
        <v>64</v>
      </c>
      <c r="C35" s="61">
        <f>+C34*C26</f>
        <v>127.584</v>
      </c>
      <c r="D35" s="27"/>
      <c r="E35" s="27"/>
      <c r="F35" s="27"/>
      <c r="G35" s="27"/>
      <c r="H35" s="27"/>
    </row>
    <row r="36" spans="1:18" s="26" customFormat="1" ht="5" customHeight="1" x14ac:dyDescent="0.15">
      <c r="A36" s="24"/>
      <c r="B36" s="63"/>
      <c r="C36" s="64"/>
      <c r="D36" s="27"/>
      <c r="E36" s="27"/>
      <c r="F36" s="27"/>
      <c r="G36" s="27"/>
      <c r="H36" s="27"/>
    </row>
    <row r="37" spans="1:18" s="12" customFormat="1" x14ac:dyDescent="0.15">
      <c r="A37" s="23"/>
      <c r="B37" s="66" t="s">
        <v>65</v>
      </c>
      <c r="C37" s="67">
        <f>+C35-C11-C12</f>
        <v>68.045000000000002</v>
      </c>
    </row>
    <row r="38" spans="1:18" s="12" customFormat="1" x14ac:dyDescent="0.15">
      <c r="A38" s="23"/>
      <c r="B38" s="30"/>
    </row>
    <row r="39" spans="1:18" s="12" customFormat="1" x14ac:dyDescent="0.15">
      <c r="A39" s="23"/>
      <c r="B39" s="31"/>
      <c r="C39" s="27"/>
      <c r="D39" s="27"/>
      <c r="E39" s="27"/>
      <c r="F39" s="27"/>
      <c r="G39" s="27"/>
      <c r="H39" s="27"/>
    </row>
    <row r="40" spans="1:18" s="12" customFormat="1" x14ac:dyDescent="0.15">
      <c r="A40" s="23"/>
      <c r="B40" s="106" t="s">
        <v>87</v>
      </c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59"/>
    </row>
    <row r="41" spans="1:18" s="12" customFormat="1" x14ac:dyDescent="0.15">
      <c r="A41" s="23"/>
      <c r="B41" s="62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61"/>
    </row>
    <row r="42" spans="1:18" s="12" customFormat="1" x14ac:dyDescent="0.15">
      <c r="A42" s="23"/>
      <c r="B42" s="63"/>
      <c r="C42" s="85">
        <f>+C4</f>
        <v>2007</v>
      </c>
      <c r="D42" s="85">
        <f t="shared" ref="D42:R42" si="4">+D4</f>
        <v>2008</v>
      </c>
      <c r="E42" s="85">
        <f t="shared" si="4"/>
        <v>2009</v>
      </c>
      <c r="F42" s="85">
        <f t="shared" si="4"/>
        <v>2010</v>
      </c>
      <c r="G42" s="85">
        <f t="shared" si="4"/>
        <v>2011</v>
      </c>
      <c r="H42" s="177"/>
      <c r="I42" s="87">
        <f t="shared" si="4"/>
        <v>2012</v>
      </c>
      <c r="J42" s="88">
        <f t="shared" si="4"/>
        <v>2013</v>
      </c>
      <c r="K42" s="88">
        <f t="shared" si="4"/>
        <v>2014</v>
      </c>
      <c r="L42" s="88">
        <f t="shared" si="4"/>
        <v>2015</v>
      </c>
      <c r="M42" s="88">
        <f t="shared" si="4"/>
        <v>2016</v>
      </c>
      <c r="N42" s="88">
        <f t="shared" si="4"/>
        <v>2017</v>
      </c>
      <c r="O42" s="88">
        <f t="shared" si="4"/>
        <v>2018</v>
      </c>
      <c r="P42" s="88">
        <f t="shared" si="4"/>
        <v>2019</v>
      </c>
      <c r="Q42" s="88">
        <f t="shared" si="4"/>
        <v>2020</v>
      </c>
      <c r="R42" s="88">
        <f t="shared" si="4"/>
        <v>2021</v>
      </c>
    </row>
    <row r="43" spans="1:18" s="12" customFormat="1" x14ac:dyDescent="0.15">
      <c r="A43" s="23"/>
      <c r="B43" s="60" t="s">
        <v>88</v>
      </c>
      <c r="C43" s="107">
        <f>+C11/'Income Statement'!C64*365</f>
        <v>55.303450634643156</v>
      </c>
      <c r="D43" s="107">
        <f>+D11/'Income Statement'!D64*365</f>
        <v>36.868429522601858</v>
      </c>
      <c r="E43" s="107">
        <f>+E11/'Income Statement'!E64*365</f>
        <v>27.791988210970189</v>
      </c>
      <c r="F43" s="107">
        <f>+F11/'Income Statement'!F64*365</f>
        <v>18.621832924717985</v>
      </c>
      <c r="G43" s="105">
        <f>+G11/'Income Statement'!G64*365</f>
        <v>18.81387403446227</v>
      </c>
      <c r="H43" s="107"/>
      <c r="I43" s="108">
        <v>20</v>
      </c>
      <c r="J43" s="107">
        <f>+I43</f>
        <v>20</v>
      </c>
      <c r="K43" s="107">
        <f t="shared" ref="K43:R43" si="5">+J43</f>
        <v>20</v>
      </c>
      <c r="L43" s="107">
        <f t="shared" si="5"/>
        <v>20</v>
      </c>
      <c r="M43" s="107">
        <f t="shared" si="5"/>
        <v>20</v>
      </c>
      <c r="N43" s="107">
        <f t="shared" si="5"/>
        <v>20</v>
      </c>
      <c r="O43" s="107">
        <f t="shared" si="5"/>
        <v>20</v>
      </c>
      <c r="P43" s="107">
        <f t="shared" si="5"/>
        <v>20</v>
      </c>
      <c r="Q43" s="107">
        <f t="shared" si="5"/>
        <v>20</v>
      </c>
      <c r="R43" s="109">
        <f t="shared" si="5"/>
        <v>20</v>
      </c>
    </row>
    <row r="44" spans="1:18" s="12" customFormat="1" x14ac:dyDescent="0.15">
      <c r="A44" s="23"/>
      <c r="B44" s="60" t="s">
        <v>89</v>
      </c>
      <c r="C44" s="107">
        <f>+C26/-'Income Statement'!C67*365</f>
        <v>104.28641490926925</v>
      </c>
      <c r="D44" s="107">
        <f>+D26/-'Income Statement'!D67*365</f>
        <v>107.35197145567048</v>
      </c>
      <c r="E44" s="107">
        <f>+E26/-'Income Statement'!E67*365</f>
        <v>121.66725978647686</v>
      </c>
      <c r="F44" s="107">
        <f>+F26/-'Income Statement'!F67*365</f>
        <v>125.86194389514375</v>
      </c>
      <c r="G44" s="105">
        <f>+G26/-'Income Statement'!G67*365</f>
        <v>130.35688730751511</v>
      </c>
      <c r="H44" s="107"/>
      <c r="I44" s="108">
        <v>130</v>
      </c>
      <c r="J44" s="107">
        <f t="shared" ref="J44:R45" si="6">+I44</f>
        <v>130</v>
      </c>
      <c r="K44" s="107">
        <f t="shared" si="6"/>
        <v>130</v>
      </c>
      <c r="L44" s="107">
        <f t="shared" si="6"/>
        <v>130</v>
      </c>
      <c r="M44" s="107">
        <f t="shared" si="6"/>
        <v>130</v>
      </c>
      <c r="N44" s="107">
        <f t="shared" si="6"/>
        <v>130</v>
      </c>
      <c r="O44" s="107">
        <f t="shared" si="6"/>
        <v>130</v>
      </c>
      <c r="P44" s="107">
        <f t="shared" si="6"/>
        <v>130</v>
      </c>
      <c r="Q44" s="107">
        <f t="shared" si="6"/>
        <v>130</v>
      </c>
      <c r="R44" s="109">
        <f t="shared" si="6"/>
        <v>130</v>
      </c>
    </row>
    <row r="45" spans="1:18" s="12" customFormat="1" x14ac:dyDescent="0.15">
      <c r="A45" s="23"/>
      <c r="B45" s="65" t="s">
        <v>90</v>
      </c>
      <c r="C45" s="110">
        <f>+C12/-'Income Statement'!C67*365</f>
        <v>67.785679254536532</v>
      </c>
      <c r="D45" s="110">
        <f>+D12/-'Income Statement'!D67*365</f>
        <v>40.256989295876437</v>
      </c>
      <c r="E45" s="110">
        <f>+E12/-'Income Statement'!E67*365</f>
        <v>29.19928825622776</v>
      </c>
      <c r="F45" s="110">
        <f>+F12/-'Income Statement'!F67*365</f>
        <v>35.242142239623192</v>
      </c>
      <c r="G45" s="111">
        <f>+G12/-'Income Statement'!G67*365</f>
        <v>41.714132384509071</v>
      </c>
      <c r="H45" s="110"/>
      <c r="I45" s="112">
        <v>40</v>
      </c>
      <c r="J45" s="110">
        <f t="shared" si="6"/>
        <v>40</v>
      </c>
      <c r="K45" s="110">
        <f t="shared" si="6"/>
        <v>40</v>
      </c>
      <c r="L45" s="110">
        <f t="shared" si="6"/>
        <v>40</v>
      </c>
      <c r="M45" s="110">
        <f t="shared" si="6"/>
        <v>40</v>
      </c>
      <c r="N45" s="110">
        <f t="shared" si="6"/>
        <v>40</v>
      </c>
      <c r="O45" s="110">
        <f t="shared" si="6"/>
        <v>40</v>
      </c>
      <c r="P45" s="110">
        <f t="shared" si="6"/>
        <v>40</v>
      </c>
      <c r="Q45" s="110">
        <f t="shared" si="6"/>
        <v>40</v>
      </c>
      <c r="R45" s="113">
        <f t="shared" si="6"/>
        <v>40</v>
      </c>
    </row>
    <row r="46" spans="1:18" s="26" customFormat="1" x14ac:dyDescent="0.15">
      <c r="A46" s="24"/>
      <c r="B46" s="28"/>
      <c r="C46" s="27"/>
      <c r="D46" s="27"/>
      <c r="E46" s="27"/>
      <c r="F46" s="27"/>
      <c r="G46" s="27"/>
      <c r="H46" s="27"/>
    </row>
    <row r="47" spans="1:18" s="26" customFormat="1" x14ac:dyDescent="0.15">
      <c r="A47" s="24"/>
      <c r="B47" s="28"/>
      <c r="C47" s="27"/>
      <c r="D47" s="27"/>
      <c r="E47" s="27"/>
      <c r="F47" s="27"/>
      <c r="G47" s="27"/>
      <c r="H47" s="27"/>
    </row>
    <row r="49" spans="2:7" x14ac:dyDescent="0.15">
      <c r="B49" s="2" t="s">
        <v>178</v>
      </c>
      <c r="C49" s="6">
        <f>SUM(C11:C12)-C26</f>
        <v>17.011000000000003</v>
      </c>
      <c r="D49" s="6">
        <f>SUM(D11:D12)-D26</f>
        <v>-6.5119999999999933</v>
      </c>
      <c r="E49" s="6">
        <f>SUM(E11:E12)-E26</f>
        <v>-31.453999999999994</v>
      </c>
      <c r="F49" s="6">
        <f>SUM(F11:F12)-F26</f>
        <v>-36.088999999999999</v>
      </c>
      <c r="G49" s="6">
        <f>SUM(G11:G12)-G26</f>
        <v>-34.978999999999999</v>
      </c>
    </row>
    <row r="51" spans="2:7" x14ac:dyDescent="0.15">
      <c r="B51" s="2" t="s">
        <v>109</v>
      </c>
      <c r="C51" s="6">
        <f>-(C23-C13)</f>
        <v>18.045000000000002</v>
      </c>
      <c r="D51" s="6">
        <f>-(D23-D13)</f>
        <v>76.716000000000022</v>
      </c>
      <c r="E51" s="6">
        <f>-(E23-E13)</f>
        <v>119.29999999999998</v>
      </c>
      <c r="F51" s="6">
        <f>-(F23-F13)</f>
        <v>149.85499999999996</v>
      </c>
      <c r="G51" s="6">
        <f>-(G23-G13)</f>
        <v>183.62499999999994</v>
      </c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7"/>
  <sheetViews>
    <sheetView showGridLines="0" zoomScaleSheetLayoutView="100" workbookViewId="0">
      <selection activeCell="O27" sqref="O27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3" width="9.33203125" style="6" bestFit="1" customWidth="1"/>
    <col min="4" max="5" width="9.5" style="6" bestFit="1" customWidth="1"/>
    <col min="6" max="17" width="9.33203125" style="6" bestFit="1" customWidth="1"/>
    <col min="18" max="16384" width="8.83203125" style="6"/>
  </cols>
  <sheetData>
    <row r="1" spans="1:17" s="2" customFormat="1" x14ac:dyDescent="0.15"/>
    <row r="2" spans="1:17" s="2" customFormat="1" x14ac:dyDescent="0.15">
      <c r="B2" s="89" t="s">
        <v>68</v>
      </c>
    </row>
    <row r="3" spans="1:17" s="2" customFormat="1" x14ac:dyDescent="0.15">
      <c r="B3" s="5"/>
    </row>
    <row r="4" spans="1:17" s="2" customFormat="1" x14ac:dyDescent="0.15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6">
        <f>'Income Statement'!G4</f>
        <v>2011</v>
      </c>
      <c r="H4" s="87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37" customFormat="1" x14ac:dyDescent="0.15">
      <c r="A5" s="35"/>
      <c r="B5" s="36"/>
      <c r="G5" s="83"/>
    </row>
    <row r="6" spans="1:17" s="37" customFormat="1" x14ac:dyDescent="0.15">
      <c r="A6" s="38"/>
      <c r="B6" s="43" t="s">
        <v>70</v>
      </c>
      <c r="C6" s="37">
        <f>'Income Statement'!C99</f>
        <v>27.08799999999999</v>
      </c>
      <c r="D6" s="37">
        <f>'Income Statement'!D99</f>
        <v>36.450000000000024</v>
      </c>
      <c r="E6" s="37">
        <f>'Income Statement'!E99</f>
        <v>19.009999999999966</v>
      </c>
      <c r="F6" s="37">
        <f>'Income Statement'!F99</f>
        <v>27.307999999999964</v>
      </c>
      <c r="G6" s="83">
        <f>'Income Statement'!G99</f>
        <v>35.608999999999966</v>
      </c>
      <c r="H6" s="37">
        <f>'Income Statement'!H99</f>
        <v>22.410651369420655</v>
      </c>
      <c r="I6" s="37">
        <f>'Income Statement'!I99</f>
        <v>24.975338567924467</v>
      </c>
      <c r="J6" s="37">
        <f>'Income Statement'!J99</f>
        <v>28.582394941911026</v>
      </c>
      <c r="K6" s="37">
        <f>'Income Statement'!K99</f>
        <v>32.820217659451941</v>
      </c>
      <c r="L6" s="37">
        <f>'Income Statement'!L99</f>
        <v>37.989381165770695</v>
      </c>
      <c r="M6" s="37">
        <f>'Income Statement'!M99</f>
        <v>42.779531660958597</v>
      </c>
      <c r="N6" s="37">
        <f>'Income Statement'!N99</f>
        <v>46.87293805799569</v>
      </c>
      <c r="O6" s="37">
        <f>'Income Statement'!O99</f>
        <v>63.027422144802358</v>
      </c>
      <c r="P6" s="37">
        <f>'Income Statement'!P99</f>
        <v>65.442602781136145</v>
      </c>
      <c r="Q6" s="37">
        <f>'Income Statement'!Q99</f>
        <v>66.757999097036972</v>
      </c>
    </row>
    <row r="7" spans="1:17" s="37" customFormat="1" x14ac:dyDescent="0.15">
      <c r="A7" s="35"/>
      <c r="B7" s="43" t="s">
        <v>71</v>
      </c>
      <c r="C7" s="37">
        <f>-'Income Statement'!C92</f>
        <v>3.3</v>
      </c>
      <c r="D7" s="37">
        <f>-'Income Statement'!D92</f>
        <v>3</v>
      </c>
      <c r="E7" s="37">
        <f>-'Income Statement'!E92</f>
        <v>2.6999999999999997</v>
      </c>
      <c r="F7" s="37">
        <f>-'Income Statement'!F92</f>
        <v>2.4</v>
      </c>
      <c r="G7" s="83">
        <f>-'Income Statement'!G92</f>
        <v>2.1</v>
      </c>
      <c r="H7" s="37">
        <f>-'Income Statement'!H92</f>
        <v>12.924779999999989</v>
      </c>
      <c r="I7" s="37">
        <f>-'Income Statement'!I92</f>
        <v>12.924779999999989</v>
      </c>
      <c r="J7" s="37">
        <f>-'Income Statement'!J92</f>
        <v>12.924779999999989</v>
      </c>
      <c r="K7" s="37">
        <f>-'Income Statement'!K92</f>
        <v>12.924779999999989</v>
      </c>
      <c r="L7" s="37">
        <f>-'Income Statement'!L92</f>
        <v>12.924779999999989</v>
      </c>
      <c r="M7" s="37">
        <f>-'Income Statement'!M92</f>
        <v>12.924779999999989</v>
      </c>
      <c r="N7" s="37">
        <f>-'Income Statement'!N92</f>
        <v>12.924779999999989</v>
      </c>
      <c r="O7" s="37">
        <f>-'Income Statement'!O92</f>
        <v>0</v>
      </c>
      <c r="P7" s="37">
        <f>-'Income Statement'!P92</f>
        <v>0</v>
      </c>
      <c r="Q7" s="37">
        <f>-'Income Statement'!Q92</f>
        <v>0</v>
      </c>
    </row>
    <row r="8" spans="1:17" s="37" customFormat="1" x14ac:dyDescent="0.15">
      <c r="A8" s="35"/>
      <c r="B8" s="43" t="s">
        <v>72</v>
      </c>
      <c r="C8" s="37">
        <f>-'Income Statement'!C82</f>
        <v>2.6050000000000004</v>
      </c>
      <c r="D8" s="37">
        <f>-'Income Statement'!D82</f>
        <v>2.6050000000000004</v>
      </c>
      <c r="E8" s="37">
        <f>-'Income Statement'!E82</f>
        <v>1.3669999999999991</v>
      </c>
      <c r="F8" s="37">
        <f>-'Income Statement'!F82</f>
        <v>1.3879999999999999</v>
      </c>
      <c r="G8" s="83">
        <f>-'Income Statement'!G82</f>
        <v>1.456999999999999</v>
      </c>
      <c r="H8" s="37">
        <f>-'Income Statement'!H82</f>
        <v>4.288817787082154</v>
      </c>
      <c r="I8" s="37">
        <f>-'Income Statement'!I82</f>
        <v>4.7877774823136034</v>
      </c>
      <c r="J8" s="37">
        <f>-'Income Statement'!J82</f>
        <v>5.4489766880254766</v>
      </c>
      <c r="K8" s="37">
        <f>-'Income Statement'!K82</f>
        <v>6.23182755444798</v>
      </c>
      <c r="L8" s="37">
        <f>-'Income Statement'!L82</f>
        <v>7.1881358306211016</v>
      </c>
      <c r="M8" s="37">
        <f>-'Income Statement'!M82</f>
        <v>4.0701253086853466</v>
      </c>
      <c r="N8" s="37">
        <f>-'Income Statement'!N82</f>
        <v>4.5172685878953844</v>
      </c>
      <c r="O8" s="37">
        <f>-'Income Statement'!O82</f>
        <v>4.9172967820043842</v>
      </c>
      <c r="P8" s="37">
        <f>-'Income Statement'!P82</f>
        <v>5.267753237950008</v>
      </c>
      <c r="Q8" s="37">
        <f>-'Income Statement'!Q82</f>
        <v>5.5389198386636034</v>
      </c>
    </row>
    <row r="9" spans="1:17" s="39" customFormat="1" x14ac:dyDescent="0.15">
      <c r="A9" s="38"/>
      <c r="B9" s="43"/>
      <c r="C9" s="40"/>
      <c r="D9" s="40"/>
      <c r="E9" s="40"/>
      <c r="F9" s="40"/>
      <c r="G9" s="84"/>
      <c r="H9" s="40"/>
      <c r="I9" s="40"/>
      <c r="J9" s="40"/>
      <c r="K9" s="40"/>
      <c r="L9" s="40"/>
      <c r="M9" s="40"/>
      <c r="N9" s="40"/>
      <c r="O9" s="40"/>
      <c r="P9" s="40"/>
      <c r="Q9" s="40"/>
    </row>
    <row r="10" spans="1:17" s="39" customFormat="1" x14ac:dyDescent="0.15">
      <c r="A10" s="38"/>
      <c r="B10" s="43" t="s">
        <v>73</v>
      </c>
      <c r="C10" s="37"/>
      <c r="D10" s="37">
        <f t="shared" ref="D10:Q10" si="0">SUM(D11:D13)</f>
        <v>23.523</v>
      </c>
      <c r="E10" s="37">
        <f t="shared" si="0"/>
        <v>24.941999999999997</v>
      </c>
      <c r="F10" s="37">
        <f t="shared" si="0"/>
        <v>4.6350000000000069</v>
      </c>
      <c r="G10" s="83">
        <f t="shared" si="0"/>
        <v>-1.1099999999999994</v>
      </c>
      <c r="H10" s="37">
        <f t="shared" si="0"/>
        <v>2.6459497252333772</v>
      </c>
      <c r="I10" s="37">
        <f t="shared" si="0"/>
        <v>2.7308631355258797</v>
      </c>
      <c r="J10" s="37">
        <f t="shared" si="0"/>
        <v>3.8407714146310283</v>
      </c>
      <c r="K10" s="37">
        <f t="shared" si="0"/>
        <v>4.5124075329646409</v>
      </c>
      <c r="L10" s="37">
        <f t="shared" si="0"/>
        <v>5.5040934696233954</v>
      </c>
      <c r="M10" s="37">
        <f t="shared" si="0"/>
        <v>5.1005227493477712</v>
      </c>
      <c r="N10" s="37">
        <f t="shared" si="0"/>
        <v>4.3586339242133754</v>
      </c>
      <c r="O10" s="37">
        <f t="shared" si="0"/>
        <v>3.4389690229915324</v>
      </c>
      <c r="P10" s="37">
        <f t="shared" si="0"/>
        <v>2.5716694687942798</v>
      </c>
      <c r="Q10" s="37">
        <f t="shared" si="0"/>
        <v>1.4006258969108423</v>
      </c>
    </row>
    <row r="11" spans="1:17" s="39" customFormat="1" x14ac:dyDescent="0.15">
      <c r="A11" s="38"/>
      <c r="B11" s="44" t="s">
        <v>74</v>
      </c>
      <c r="D11" s="39">
        <f>-'Balance Sheet'!D11+'Balance Sheet'!C11</f>
        <v>5.8480000000000025</v>
      </c>
      <c r="E11" s="39">
        <f>-'Balance Sheet'!E11+'Balance Sheet'!D11</f>
        <v>5.5349999999999966</v>
      </c>
      <c r="F11" s="39">
        <f>-'Balance Sheet'!F11+'Balance Sheet'!E11</f>
        <v>6.6330000000000009</v>
      </c>
      <c r="G11" s="90">
        <f>-'Balance Sheet'!G11+'Balance Sheet'!F11</f>
        <v>-0.69399999999999906</v>
      </c>
      <c r="H11" s="39">
        <f>-'Balance Sheet'!I11+'Balance Sheet'!G11</f>
        <v>-1.8287595809994333</v>
      </c>
      <c r="I11" s="39">
        <f>-'Balance Sheet'!J11+'Balance Sheet'!I11</f>
        <v>-1.1905315963945107</v>
      </c>
      <c r="J11" s="39">
        <f>-'Balance Sheet'!K11+'Balance Sheet'!J11</f>
        <v>-1.6744009116247973</v>
      </c>
      <c r="K11" s="39">
        <f>-'Balance Sheet'!L11+'Balance Sheet'!K11</f>
        <v>-1.9672035826022736</v>
      </c>
      <c r="L11" s="39">
        <f>-'Balance Sheet'!M11+'Balance Sheet'!L11</f>
        <v>-2.3995333562674084</v>
      </c>
      <c r="M11" s="39">
        <f>-'Balance Sheet'!N11+'Balance Sheet'!M11</f>
        <v>-2.2235949551013157</v>
      </c>
      <c r="N11" s="39">
        <f>-'Balance Sheet'!O11+'Balance Sheet'!N11</f>
        <v>-1.9001653127130247</v>
      </c>
      <c r="O11" s="39">
        <f>-'Balance Sheet'!P11+'Balance Sheet'!O11</f>
        <v>-1.4992334209766192</v>
      </c>
      <c r="P11" s="39">
        <f>-'Balance Sheet'!Q11+'Balance Sheet'!P11</f>
        <v>-1.1211304287840456</v>
      </c>
      <c r="Q11" s="39">
        <f>-'Balance Sheet'!R11+'Balance Sheet'!Q11</f>
        <v>-0.61060891822381436</v>
      </c>
    </row>
    <row r="12" spans="1:17" s="39" customFormat="1" x14ac:dyDescent="0.15">
      <c r="A12" s="38"/>
      <c r="B12" s="44" t="s">
        <v>75</v>
      </c>
      <c r="D12" s="39">
        <f>+'Balance Sheet'!D26-'Balance Sheet'!C26</f>
        <v>9.5679999999999978</v>
      </c>
      <c r="E12" s="39">
        <f>+'Balance Sheet'!E26-'Balance Sheet'!D26</f>
        <v>16.280999999999999</v>
      </c>
      <c r="F12" s="39">
        <f>+'Balance Sheet'!F26-'Balance Sheet'!E26</f>
        <v>1.0250000000000057</v>
      </c>
      <c r="G12" s="90">
        <f>+'Balance Sheet'!G26-'Balance Sheet'!F26</f>
        <v>3.4699999999999989</v>
      </c>
      <c r="H12" s="39">
        <f>+'Balance Sheet'!I26-'Balance Sheet'!G26</f>
        <v>5.1680245534473954</v>
      </c>
      <c r="I12" s="39">
        <f>+'Balance Sheet'!J26-'Balance Sheet'!I26</f>
        <v>5.6642368349961174</v>
      </c>
      <c r="J12" s="39">
        <f>+'Balance Sheet'!K26-'Balance Sheet'!J26</f>
        <v>7.9663600268139731</v>
      </c>
      <c r="K12" s="39">
        <f>+'Balance Sheet'!L26-'Balance Sheet'!K26</f>
        <v>9.3594382780410967</v>
      </c>
      <c r="L12" s="39">
        <f>+'Balance Sheet'!M26-'Balance Sheet'!L26</f>
        <v>11.416349859620055</v>
      </c>
      <c r="M12" s="39">
        <f>+'Balance Sheet'!N26-'Balance Sheet'!M26</f>
        <v>10.579281128648674</v>
      </c>
      <c r="N12" s="39">
        <f>+'Balance Sheet'!O26-'Balance Sheet'!N26</f>
        <v>9.0404877866714628</v>
      </c>
      <c r="O12" s="39">
        <f>+'Balance Sheet'!P26-'Balance Sheet'!O26</f>
        <v>7.1329590857317839</v>
      </c>
      <c r="P12" s="39">
        <f>+'Balance Sheet'!Q26-'Balance Sheet'!P26</f>
        <v>5.3340442965020145</v>
      </c>
      <c r="Q12" s="39">
        <f>+'Balance Sheet'!R26-'Balance Sheet'!Q26</f>
        <v>2.9051169551945009</v>
      </c>
    </row>
    <row r="13" spans="1:17" s="39" customFormat="1" x14ac:dyDescent="0.15">
      <c r="A13" s="38"/>
      <c r="B13" s="44" t="s">
        <v>76</v>
      </c>
      <c r="C13" s="40"/>
      <c r="D13" s="39">
        <f>+'Balance Sheet'!C12-'Balance Sheet'!D12</f>
        <v>8.1069999999999993</v>
      </c>
      <c r="E13" s="39">
        <f>+'Balance Sheet'!D12-'Balance Sheet'!E12</f>
        <v>3.1260000000000012</v>
      </c>
      <c r="F13" s="39">
        <f>+'Balance Sheet'!E12-'Balance Sheet'!F12</f>
        <v>-3.0229999999999997</v>
      </c>
      <c r="G13" s="90">
        <f>+'Balance Sheet'!F12-'Balance Sheet'!G12</f>
        <v>-3.8859999999999992</v>
      </c>
      <c r="H13" s="39">
        <f>+'Balance Sheet'!G12-'Balance Sheet'!I12</f>
        <v>-0.69331524721458493</v>
      </c>
      <c r="I13" s="39">
        <f>+'Balance Sheet'!I12-'Balance Sheet'!J12</f>
        <v>-1.7428421030757271</v>
      </c>
      <c r="J13" s="39">
        <f>+'Balance Sheet'!J12-'Balance Sheet'!K12</f>
        <v>-2.4511877005581475</v>
      </c>
      <c r="K13" s="39">
        <f>+'Balance Sheet'!K12-'Balance Sheet'!L12</f>
        <v>-2.8798271624741822</v>
      </c>
      <c r="L13" s="39">
        <f>+'Balance Sheet'!L12-'Balance Sheet'!M12</f>
        <v>-3.5127230337292517</v>
      </c>
      <c r="M13" s="39">
        <f>+'Balance Sheet'!M12-'Balance Sheet'!N12</f>
        <v>-3.255163424199587</v>
      </c>
      <c r="N13" s="39">
        <f>+'Balance Sheet'!N12-'Balance Sheet'!O12</f>
        <v>-2.7816885497450627</v>
      </c>
      <c r="O13" s="39">
        <f>+'Balance Sheet'!O12-'Balance Sheet'!P12</f>
        <v>-2.1947566417636324</v>
      </c>
      <c r="P13" s="39">
        <f>+'Balance Sheet'!P12-'Balance Sheet'!Q12</f>
        <v>-1.6412443989236891</v>
      </c>
      <c r="Q13" s="39">
        <f>+'Balance Sheet'!Q12-'Balance Sheet'!R12</f>
        <v>-0.89388214005984423</v>
      </c>
    </row>
    <row r="14" spans="1:17" s="39" customFormat="1" x14ac:dyDescent="0.15">
      <c r="A14" s="38"/>
      <c r="B14" s="43"/>
      <c r="C14" s="45"/>
      <c r="D14" s="45"/>
      <c r="E14" s="45"/>
      <c r="F14" s="45"/>
      <c r="G14" s="91"/>
      <c r="H14" s="45"/>
      <c r="I14" s="45"/>
      <c r="J14" s="45"/>
      <c r="K14" s="45"/>
      <c r="L14" s="45"/>
      <c r="M14" s="45"/>
      <c r="N14" s="45"/>
      <c r="O14" s="45"/>
      <c r="P14" s="45"/>
      <c r="Q14" s="45"/>
    </row>
    <row r="15" spans="1:17" s="37" customFormat="1" x14ac:dyDescent="0.15">
      <c r="A15" s="35"/>
      <c r="B15" s="43" t="s">
        <v>77</v>
      </c>
      <c r="D15" s="37">
        <f>-D7</f>
        <v>-3</v>
      </c>
      <c r="E15" s="37">
        <f>-E7</f>
        <v>-2.6999999999999997</v>
      </c>
      <c r="F15" s="37">
        <f>-F7</f>
        <v>-2.4</v>
      </c>
      <c r="G15" s="83">
        <f>-G7</f>
        <v>-2.1</v>
      </c>
      <c r="H15" s="37">
        <f t="shared" ref="H15:Q15" si="1">-H7</f>
        <v>-12.924779999999989</v>
      </c>
      <c r="I15" s="37">
        <f t="shared" si="1"/>
        <v>-12.924779999999989</v>
      </c>
      <c r="J15" s="37">
        <f t="shared" si="1"/>
        <v>-12.924779999999989</v>
      </c>
      <c r="K15" s="37">
        <f t="shared" si="1"/>
        <v>-12.924779999999989</v>
      </c>
      <c r="L15" s="37">
        <f t="shared" si="1"/>
        <v>-12.924779999999989</v>
      </c>
      <c r="M15" s="37">
        <f t="shared" si="1"/>
        <v>-12.924779999999989</v>
      </c>
      <c r="N15" s="37">
        <f t="shared" si="1"/>
        <v>-12.924779999999989</v>
      </c>
      <c r="O15" s="37">
        <f t="shared" si="1"/>
        <v>0</v>
      </c>
      <c r="P15" s="37">
        <f t="shared" si="1"/>
        <v>0</v>
      </c>
      <c r="Q15" s="37">
        <f t="shared" si="1"/>
        <v>0</v>
      </c>
    </row>
    <row r="16" spans="1:17" s="37" customFormat="1" x14ac:dyDescent="0.15">
      <c r="A16" s="35"/>
      <c r="B16" s="43" t="s">
        <v>78</v>
      </c>
      <c r="D16" s="37">
        <f>+'Income Statement'!D97</f>
        <v>0</v>
      </c>
      <c r="E16" s="37">
        <f>+'Income Statement'!E97</f>
        <v>0</v>
      </c>
      <c r="F16" s="37">
        <f>+'Income Statement'!F97</f>
        <v>0</v>
      </c>
      <c r="G16" s="83">
        <f>+'Income Statement'!G97</f>
        <v>0</v>
      </c>
      <c r="H16" s="37">
        <f>+'Income Statement'!H97</f>
        <v>0</v>
      </c>
      <c r="I16" s="37">
        <f>+'Income Statement'!I97</f>
        <v>0</v>
      </c>
      <c r="J16" s="37">
        <f>+'Income Statement'!J97</f>
        <v>0</v>
      </c>
      <c r="K16" s="37">
        <f>+'Income Statement'!K97</f>
        <v>0</v>
      </c>
      <c r="L16" s="37">
        <f>+'Income Statement'!L97</f>
        <v>0</v>
      </c>
      <c r="M16" s="37">
        <f>+'Income Statement'!M97</f>
        <v>0</v>
      </c>
      <c r="N16" s="37">
        <f>+'Income Statement'!N97</f>
        <v>0</v>
      </c>
      <c r="O16" s="37">
        <f>+'Income Statement'!O97</f>
        <v>0</v>
      </c>
      <c r="P16" s="37">
        <f>+'Income Statement'!P97</f>
        <v>0</v>
      </c>
      <c r="Q16" s="37">
        <f>+'Income Statement'!Q97</f>
        <v>0</v>
      </c>
    </row>
    <row r="17" spans="1:17" s="39" customFormat="1" x14ac:dyDescent="0.15">
      <c r="A17" s="38"/>
      <c r="B17" s="119" t="s">
        <v>69</v>
      </c>
      <c r="C17" s="120"/>
      <c r="D17" s="121">
        <f>+D6+D7+D8+D10+D15+D16</f>
        <v>62.578000000000017</v>
      </c>
      <c r="E17" s="121">
        <f>+E6+E7+E8+E10+E15+E16</f>
        <v>45.31899999999996</v>
      </c>
      <c r="F17" s="121">
        <f>+F6+F7+F8+F10+F15+F16</f>
        <v>33.330999999999968</v>
      </c>
      <c r="G17" s="122">
        <f>+G6+G7+G8+G10+G15+G16</f>
        <v>35.955999999999968</v>
      </c>
      <c r="H17" s="121">
        <f t="shared" ref="H17:Q17" si="2">+H6+H7+H8+H10+H15+H16</f>
        <v>29.345418881736187</v>
      </c>
      <c r="I17" s="121">
        <f t="shared" si="2"/>
        <v>32.493979185763948</v>
      </c>
      <c r="J17" s="121">
        <f t="shared" si="2"/>
        <v>37.87214304456753</v>
      </c>
      <c r="K17" s="121">
        <f t="shared" si="2"/>
        <v>43.564452746864568</v>
      </c>
      <c r="L17" s="121">
        <f t="shared" si="2"/>
        <v>50.681610466015194</v>
      </c>
      <c r="M17" s="121">
        <f t="shared" si="2"/>
        <v>51.950179718991713</v>
      </c>
      <c r="N17" s="121">
        <f t="shared" si="2"/>
        <v>55.748840570104456</v>
      </c>
      <c r="O17" s="121">
        <f t="shared" si="2"/>
        <v>71.383687949798272</v>
      </c>
      <c r="P17" s="121">
        <f t="shared" si="2"/>
        <v>73.282025487880432</v>
      </c>
      <c r="Q17" s="121">
        <f t="shared" si="2"/>
        <v>73.697544832611413</v>
      </c>
    </row>
    <row r="18" spans="1:17" s="39" customFormat="1" x14ac:dyDescent="0.15">
      <c r="A18" s="38"/>
      <c r="B18" s="44"/>
      <c r="C18" s="40"/>
      <c r="D18" s="37"/>
      <c r="E18" s="37"/>
      <c r="F18" s="37"/>
      <c r="G18" s="83"/>
      <c r="H18" s="37"/>
      <c r="I18" s="37"/>
      <c r="J18" s="37"/>
      <c r="K18" s="37"/>
      <c r="L18" s="37"/>
      <c r="M18" s="37"/>
      <c r="N18" s="37"/>
      <c r="O18" s="37"/>
      <c r="P18" s="37"/>
      <c r="Q18" s="37"/>
    </row>
    <row r="19" spans="1:17" s="39" customFormat="1" x14ac:dyDescent="0.15">
      <c r="A19" s="38"/>
      <c r="B19" s="43" t="s">
        <v>30</v>
      </c>
      <c r="C19" s="40"/>
      <c r="D19" s="37">
        <f>-'PPE Schedule'!D6</f>
        <v>-3.907</v>
      </c>
      <c r="E19" s="37">
        <f>-'PPE Schedule'!E6</f>
        <v>-2.7349999999999999</v>
      </c>
      <c r="F19" s="37">
        <f>-'PPE Schedule'!F6</f>
        <v>-2.7759999999999998</v>
      </c>
      <c r="G19" s="83">
        <f>-'PPE Schedule'!G6</f>
        <v>-2.1859999999999999</v>
      </c>
      <c r="H19" s="37">
        <f>-'PPE Schedule'!H6</f>
        <v>-6.1721796234037498</v>
      </c>
      <c r="I19" s="37">
        <f>-'PPE Schedule'!I6</f>
        <v>-6.6201636851098344</v>
      </c>
      <c r="J19" s="37">
        <f>-'PPE Schedule'!J6</f>
        <v>-7.2502224954645698</v>
      </c>
      <c r="K19" s="37">
        <f>-'PPE Schedule'!K6</f>
        <v>-7.9904597590582851</v>
      </c>
      <c r="L19" s="37">
        <f>-'PPE Schedule'!L6</f>
        <v>-8.8933780036436207</v>
      </c>
      <c r="M19" s="37">
        <f>-'PPE Schedule'!M6</f>
        <v>-4.8650462728897148</v>
      </c>
      <c r="N19" s="37">
        <f>-'PPE Schedule'!N6</f>
        <v>-5.2225520195999087</v>
      </c>
      <c r="O19" s="37">
        <f>-'PPE Schedule'!O6</f>
        <v>-5.5046246161646</v>
      </c>
      <c r="P19" s="37">
        <f>-'PPE Schedule'!P6</f>
        <v>-5.7155591956037375</v>
      </c>
      <c r="Q19" s="37">
        <f>-'PPE Schedule'!Q6</f>
        <v>-5.8304419354353723</v>
      </c>
    </row>
    <row r="20" spans="1:17" s="37" customFormat="1" x14ac:dyDescent="0.15">
      <c r="A20" s="35"/>
      <c r="B20" s="119" t="s">
        <v>79</v>
      </c>
      <c r="C20" s="123"/>
      <c r="D20" s="121">
        <f>+D19</f>
        <v>-3.907</v>
      </c>
      <c r="E20" s="121">
        <f>+E19</f>
        <v>-2.7349999999999999</v>
      </c>
      <c r="F20" s="121">
        <f>+F19</f>
        <v>-2.7759999999999998</v>
      </c>
      <c r="G20" s="122">
        <f>+G19</f>
        <v>-2.1859999999999999</v>
      </c>
      <c r="H20" s="121">
        <f t="shared" ref="H20:Q20" si="3">+H19</f>
        <v>-6.1721796234037498</v>
      </c>
      <c r="I20" s="121">
        <f t="shared" si="3"/>
        <v>-6.6201636851098344</v>
      </c>
      <c r="J20" s="121">
        <f t="shared" si="3"/>
        <v>-7.2502224954645698</v>
      </c>
      <c r="K20" s="121">
        <f t="shared" si="3"/>
        <v>-7.9904597590582851</v>
      </c>
      <c r="L20" s="121">
        <f t="shared" si="3"/>
        <v>-8.8933780036436207</v>
      </c>
      <c r="M20" s="121">
        <f t="shared" si="3"/>
        <v>-4.8650462728897148</v>
      </c>
      <c r="N20" s="121">
        <f t="shared" si="3"/>
        <v>-5.2225520195999087</v>
      </c>
      <c r="O20" s="121">
        <f t="shared" si="3"/>
        <v>-5.5046246161646</v>
      </c>
      <c r="P20" s="121">
        <f t="shared" si="3"/>
        <v>-5.7155591956037375</v>
      </c>
      <c r="Q20" s="121">
        <f t="shared" si="3"/>
        <v>-5.8304419354353723</v>
      </c>
    </row>
    <row r="21" spans="1:17" s="39" customFormat="1" x14ac:dyDescent="0.15">
      <c r="A21" s="38"/>
      <c r="B21" s="42"/>
      <c r="C21" s="40"/>
      <c r="D21" s="40"/>
      <c r="E21" s="40"/>
      <c r="F21" s="40"/>
      <c r="G21" s="84"/>
      <c r="H21" s="40"/>
      <c r="I21" s="40"/>
      <c r="J21" s="40"/>
      <c r="K21" s="40"/>
      <c r="L21" s="40"/>
      <c r="M21" s="40"/>
      <c r="N21" s="40"/>
      <c r="O21" s="40"/>
      <c r="P21" s="40"/>
      <c r="Q21" s="40"/>
    </row>
    <row r="22" spans="1:17" s="37" customFormat="1" x14ac:dyDescent="0.15">
      <c r="A22" s="35"/>
      <c r="B22" s="43" t="s">
        <v>81</v>
      </c>
      <c r="D22" s="37">
        <f>'Debt Schedule'!D7</f>
        <v>-5</v>
      </c>
      <c r="E22" s="37">
        <f>'Debt Schedule'!E7</f>
        <v>-5</v>
      </c>
      <c r="F22" s="37">
        <f>'Debt Schedule'!F7</f>
        <v>-5</v>
      </c>
      <c r="G22" s="83">
        <f>'Debt Schedule'!G7</f>
        <v>-5</v>
      </c>
      <c r="H22" s="37">
        <f>'LBO Modelling'!C57</f>
        <v>0</v>
      </c>
      <c r="I22" s="37">
        <f>'LBO Modelling'!D57</f>
        <v>0</v>
      </c>
      <c r="J22" s="37">
        <f>'LBO Modelling'!E57</f>
        <v>0</v>
      </c>
      <c r="K22" s="37">
        <f>'LBO Modelling'!F57</f>
        <v>0</v>
      </c>
      <c r="L22" s="37">
        <f>'LBO Modelling'!G57</f>
        <v>0</v>
      </c>
      <c r="M22" s="37">
        <f>'LBO Modelling'!H57</f>
        <v>0</v>
      </c>
      <c r="N22" s="37">
        <f>'LBO Modelling'!I57</f>
        <v>-176.24699999999984</v>
      </c>
      <c r="O22" s="37">
        <f>'LBO Modelling'!J57</f>
        <v>-58.748999999999953</v>
      </c>
      <c r="P22" s="37">
        <f>'LBO Modelling'!K57</f>
        <v>0</v>
      </c>
      <c r="Q22" s="37">
        <f>'LBO Modelling'!L57</f>
        <v>0</v>
      </c>
    </row>
    <row r="23" spans="1:17" s="37" customFormat="1" x14ac:dyDescent="0.15">
      <c r="A23" s="35"/>
      <c r="B23" s="119" t="s">
        <v>80</v>
      </c>
      <c r="C23" s="123"/>
      <c r="D23" s="121">
        <f>+D22</f>
        <v>-5</v>
      </c>
      <c r="E23" s="121">
        <f>+E22</f>
        <v>-5</v>
      </c>
      <c r="F23" s="121">
        <f>+F22</f>
        <v>-5</v>
      </c>
      <c r="G23" s="122">
        <f>+G22</f>
        <v>-5</v>
      </c>
      <c r="H23" s="121">
        <f t="shared" ref="H23:Q23" si="4">+H22</f>
        <v>0</v>
      </c>
      <c r="I23" s="121">
        <f t="shared" si="4"/>
        <v>0</v>
      </c>
      <c r="J23" s="121">
        <f t="shared" si="4"/>
        <v>0</v>
      </c>
      <c r="K23" s="121">
        <f t="shared" si="4"/>
        <v>0</v>
      </c>
      <c r="L23" s="121">
        <f t="shared" si="4"/>
        <v>0</v>
      </c>
      <c r="M23" s="121">
        <f t="shared" si="4"/>
        <v>0</v>
      </c>
      <c r="N23" s="121">
        <f t="shared" si="4"/>
        <v>-176.24699999999984</v>
      </c>
      <c r="O23" s="121">
        <f t="shared" si="4"/>
        <v>-58.748999999999953</v>
      </c>
      <c r="P23" s="121">
        <f t="shared" si="4"/>
        <v>0</v>
      </c>
      <c r="Q23" s="121">
        <f t="shared" si="4"/>
        <v>0</v>
      </c>
    </row>
    <row r="24" spans="1:17" s="37" customFormat="1" x14ac:dyDescent="0.15">
      <c r="A24" s="35"/>
      <c r="B24" s="46"/>
      <c r="G24" s="83"/>
    </row>
    <row r="25" spans="1:17" s="37" customFormat="1" x14ac:dyDescent="0.15">
      <c r="A25" s="35"/>
      <c r="B25" s="92" t="s">
        <v>82</v>
      </c>
      <c r="C25" s="93"/>
      <c r="D25" s="94">
        <f t="shared" ref="D25:Q25" si="5">+D17+D20+D23</f>
        <v>53.671000000000021</v>
      </c>
      <c r="E25" s="94">
        <f t="shared" si="5"/>
        <v>37.583999999999961</v>
      </c>
      <c r="F25" s="94">
        <f t="shared" si="5"/>
        <v>25.554999999999968</v>
      </c>
      <c r="G25" s="95">
        <f t="shared" si="5"/>
        <v>28.769999999999968</v>
      </c>
      <c r="H25" s="94">
        <f t="shared" si="5"/>
        <v>23.173239258332437</v>
      </c>
      <c r="I25" s="94">
        <f t="shared" si="5"/>
        <v>25.873815500654114</v>
      </c>
      <c r="J25" s="94">
        <f t="shared" si="5"/>
        <v>30.62192054910296</v>
      </c>
      <c r="K25" s="94">
        <f t="shared" si="5"/>
        <v>35.573992987806285</v>
      </c>
      <c r="L25" s="94">
        <f t="shared" si="5"/>
        <v>41.788232462371575</v>
      </c>
      <c r="M25" s="94">
        <f t="shared" si="5"/>
        <v>47.085133446101999</v>
      </c>
      <c r="N25" s="94">
        <f t="shared" si="5"/>
        <v>-125.7207114494953</v>
      </c>
      <c r="O25" s="94">
        <f t="shared" si="5"/>
        <v>7.1300633336337143</v>
      </c>
      <c r="P25" s="94">
        <f t="shared" si="5"/>
        <v>67.566466292276701</v>
      </c>
      <c r="Q25" s="94">
        <f t="shared" si="5"/>
        <v>67.867102897176039</v>
      </c>
    </row>
    <row r="26" spans="1:17" s="39" customFormat="1" x14ac:dyDescent="0.15">
      <c r="A26" s="38"/>
      <c r="B26" s="42" t="s">
        <v>83</v>
      </c>
      <c r="C26" s="40"/>
      <c r="D26" s="37">
        <f>+'Balance Sheet'!C13</f>
        <v>68.045000000000002</v>
      </c>
      <c r="E26" s="37">
        <f>+D27</f>
        <v>121.71600000000002</v>
      </c>
      <c r="F26" s="37">
        <f t="shared" ref="F26:Q26" si="6">+E27</f>
        <v>159.29999999999998</v>
      </c>
      <c r="G26" s="83">
        <f t="shared" si="6"/>
        <v>184.85499999999996</v>
      </c>
      <c r="H26" s="37">
        <f>+'Balance Sheet'!H13</f>
        <v>0</v>
      </c>
      <c r="I26" s="37">
        <f t="shared" si="6"/>
        <v>23.173239258332437</v>
      </c>
      <c r="J26" s="37">
        <f t="shared" si="6"/>
        <v>49.047054758986548</v>
      </c>
      <c r="K26" s="37">
        <f t="shared" si="6"/>
        <v>79.6689753080895</v>
      </c>
      <c r="L26" s="37">
        <f t="shared" si="6"/>
        <v>115.24296829589579</v>
      </c>
      <c r="M26" s="37">
        <f t="shared" si="6"/>
        <v>157.03120075826737</v>
      </c>
      <c r="N26" s="37">
        <f t="shared" si="6"/>
        <v>204.11633420436937</v>
      </c>
      <c r="O26" s="37">
        <f t="shared" si="6"/>
        <v>78.395622754874069</v>
      </c>
      <c r="P26" s="37">
        <f t="shared" si="6"/>
        <v>85.525686088507783</v>
      </c>
      <c r="Q26" s="37">
        <f t="shared" si="6"/>
        <v>153.09215238078448</v>
      </c>
    </row>
    <row r="27" spans="1:17" s="39" customFormat="1" ht="14" thickBot="1" x14ac:dyDescent="0.2">
      <c r="A27" s="38"/>
      <c r="B27" s="115" t="s">
        <v>84</v>
      </c>
      <c r="C27" s="116"/>
      <c r="D27" s="117">
        <f t="shared" ref="D27:Q27" si="7">D25+D26</f>
        <v>121.71600000000002</v>
      </c>
      <c r="E27" s="117">
        <f t="shared" si="7"/>
        <v>159.29999999999998</v>
      </c>
      <c r="F27" s="117">
        <f t="shared" si="7"/>
        <v>184.85499999999996</v>
      </c>
      <c r="G27" s="118">
        <f t="shared" si="7"/>
        <v>213.62499999999994</v>
      </c>
      <c r="H27" s="117">
        <f t="shared" si="7"/>
        <v>23.173239258332437</v>
      </c>
      <c r="I27" s="117">
        <f t="shared" si="7"/>
        <v>49.047054758986548</v>
      </c>
      <c r="J27" s="117">
        <f t="shared" si="7"/>
        <v>79.6689753080895</v>
      </c>
      <c r="K27" s="117">
        <f t="shared" si="7"/>
        <v>115.24296829589579</v>
      </c>
      <c r="L27" s="117">
        <f t="shared" si="7"/>
        <v>157.03120075826737</v>
      </c>
      <c r="M27" s="117">
        <f t="shared" si="7"/>
        <v>204.11633420436937</v>
      </c>
      <c r="N27" s="117">
        <f t="shared" si="7"/>
        <v>78.395622754874069</v>
      </c>
      <c r="O27" s="117">
        <f t="shared" si="7"/>
        <v>85.525686088507783</v>
      </c>
      <c r="P27" s="117">
        <f t="shared" si="7"/>
        <v>153.09215238078448</v>
      </c>
      <c r="Q27" s="117">
        <f t="shared" si="7"/>
        <v>220.95925527796052</v>
      </c>
    </row>
    <row r="28" spans="1:17" s="37" customFormat="1" ht="14" thickTop="1" x14ac:dyDescent="0.15">
      <c r="A28" s="35"/>
      <c r="B28" s="46"/>
    </row>
    <row r="29" spans="1:17" s="37" customFormat="1" x14ac:dyDescent="0.15">
      <c r="A29" s="35"/>
      <c r="B29" s="42"/>
      <c r="C29" s="45"/>
      <c r="D29" s="45"/>
      <c r="E29" s="45"/>
      <c r="F29" s="45"/>
      <c r="G29" s="45"/>
    </row>
    <row r="30" spans="1:17" s="39" customFormat="1" x14ac:dyDescent="0.15">
      <c r="A30" s="38"/>
      <c r="B30" s="44"/>
      <c r="D30" s="40"/>
      <c r="E30" s="40"/>
      <c r="F30" s="40"/>
      <c r="G30" s="40"/>
    </row>
    <row r="31" spans="1:17" s="37" customFormat="1" x14ac:dyDescent="0.15">
      <c r="A31" s="35"/>
      <c r="B31" s="46"/>
    </row>
    <row r="32" spans="1:17" s="37" customFormat="1" x14ac:dyDescent="0.15">
      <c r="A32" s="35"/>
      <c r="B32" s="47"/>
    </row>
    <row r="33" spans="1:7" s="37" customFormat="1" x14ac:dyDescent="0.15">
      <c r="A33" s="35"/>
      <c r="B33" s="42"/>
      <c r="D33" s="40"/>
      <c r="E33" s="40"/>
      <c r="F33" s="40"/>
      <c r="G33" s="40"/>
    </row>
    <row r="34" spans="1:7" s="37" customFormat="1" x14ac:dyDescent="0.15">
      <c r="A34" s="35"/>
      <c r="B34" s="46"/>
    </row>
    <row r="35" spans="1:7" s="37" customFormat="1" x14ac:dyDescent="0.15">
      <c r="A35" s="35"/>
      <c r="B35" s="42"/>
    </row>
    <row r="36" spans="1:7" s="39" customFormat="1" x14ac:dyDescent="0.15">
      <c r="A36" s="38"/>
      <c r="B36" s="42"/>
      <c r="C36" s="37"/>
      <c r="D36" s="40"/>
      <c r="E36" s="40"/>
      <c r="F36" s="40"/>
      <c r="G36" s="40"/>
    </row>
    <row r="37" spans="1:7" s="39" customFormat="1" x14ac:dyDescent="0.15">
      <c r="A37" s="38"/>
      <c r="B37" s="44"/>
      <c r="C37" s="40"/>
      <c r="D37" s="40"/>
      <c r="E37" s="40"/>
      <c r="F37" s="40"/>
      <c r="G37" s="40"/>
    </row>
    <row r="38" spans="1:7" s="37" customFormat="1" x14ac:dyDescent="0.15">
      <c r="A38" s="35"/>
      <c r="B38" s="42"/>
    </row>
    <row r="39" spans="1:7" s="37" customFormat="1" x14ac:dyDescent="0.15">
      <c r="A39" s="35"/>
      <c r="B39" s="46"/>
    </row>
    <row r="40" spans="1:7" s="37" customFormat="1" x14ac:dyDescent="0.15">
      <c r="A40" s="35"/>
      <c r="B40" s="44"/>
      <c r="C40" s="40"/>
      <c r="D40" s="40"/>
      <c r="E40" s="40"/>
      <c r="F40" s="40"/>
      <c r="G40" s="40"/>
    </row>
    <row r="41" spans="1:7" s="37" customFormat="1" x14ac:dyDescent="0.15">
      <c r="A41" s="35"/>
      <c r="B41" s="46"/>
    </row>
    <row r="42" spans="1:7" s="37" customFormat="1" x14ac:dyDescent="0.15">
      <c r="A42" s="35"/>
      <c r="B42" s="46"/>
    </row>
    <row r="43" spans="1:7" s="37" customFormat="1" x14ac:dyDescent="0.15">
      <c r="A43" s="35"/>
      <c r="B43" s="44"/>
      <c r="C43" s="40"/>
      <c r="D43" s="40"/>
      <c r="E43" s="40"/>
      <c r="F43" s="40"/>
      <c r="G43" s="40"/>
    </row>
    <row r="44" spans="1:7" s="37" customFormat="1" x14ac:dyDescent="0.15">
      <c r="A44" s="35"/>
      <c r="B44" s="43"/>
    </row>
    <row r="45" spans="1:7" s="37" customFormat="1" x14ac:dyDescent="0.15">
      <c r="A45" s="35"/>
      <c r="B45" s="43"/>
    </row>
    <row r="46" spans="1:7" s="37" customFormat="1" x14ac:dyDescent="0.15">
      <c r="A46" s="35"/>
      <c r="B46" s="41"/>
    </row>
    <row r="47" spans="1:7" s="39" customFormat="1" x14ac:dyDescent="0.15">
      <c r="A47" s="38"/>
      <c r="B47" s="48"/>
      <c r="C47" s="40"/>
      <c r="D47" s="40"/>
      <c r="E47" s="40"/>
      <c r="F47" s="40"/>
      <c r="G47" s="40"/>
    </row>
    <row r="48" spans="1:7" s="39" customFormat="1" x14ac:dyDescent="0.15">
      <c r="A48" s="38"/>
      <c r="B48" s="48"/>
      <c r="C48" s="40"/>
      <c r="D48" s="40"/>
      <c r="E48" s="40"/>
      <c r="F48" s="40"/>
      <c r="G48" s="40"/>
    </row>
    <row r="49" spans="1:7" s="39" customFormat="1" x14ac:dyDescent="0.15">
      <c r="A49" s="38"/>
      <c r="B49" s="48"/>
      <c r="D49" s="40"/>
      <c r="E49" s="40"/>
    </row>
    <row r="50" spans="1:7" s="37" customFormat="1" x14ac:dyDescent="0.15">
      <c r="A50" s="35"/>
      <c r="B50" s="46"/>
    </row>
    <row r="51" spans="1:7" s="37" customFormat="1" x14ac:dyDescent="0.15">
      <c r="A51" s="35"/>
      <c r="B51" s="44"/>
      <c r="C51" s="40"/>
      <c r="D51" s="40"/>
      <c r="E51" s="40"/>
      <c r="F51" s="40"/>
      <c r="G51" s="40"/>
    </row>
    <row r="52" spans="1:7" s="37" customFormat="1" x14ac:dyDescent="0.15">
      <c r="A52" s="35"/>
      <c r="B52" s="46"/>
    </row>
    <row r="53" spans="1:7" s="37" customFormat="1" x14ac:dyDescent="0.15">
      <c r="A53" s="35"/>
      <c r="B53" s="46"/>
    </row>
    <row r="54" spans="1:7" s="37" customFormat="1" x14ac:dyDescent="0.15">
      <c r="A54" s="35"/>
      <c r="B54" s="44"/>
      <c r="C54" s="40"/>
      <c r="D54" s="40"/>
      <c r="E54" s="40"/>
      <c r="F54" s="40"/>
      <c r="G54" s="40"/>
    </row>
    <row r="55" spans="1:7" s="37" customFormat="1" x14ac:dyDescent="0.15">
      <c r="A55" s="35"/>
      <c r="B55" s="46"/>
    </row>
    <row r="56" spans="1:7" s="37" customFormat="1" x14ac:dyDescent="0.15">
      <c r="A56" s="35"/>
      <c r="B56" s="46"/>
    </row>
    <row r="57" spans="1:7" s="37" customFormat="1" x14ac:dyDescent="0.15">
      <c r="A57" s="35"/>
      <c r="B57" s="44"/>
      <c r="D57" s="40"/>
      <c r="E57" s="40"/>
      <c r="F57" s="49"/>
      <c r="G57" s="49"/>
    </row>
    <row r="58" spans="1:7" s="37" customFormat="1" x14ac:dyDescent="0.15">
      <c r="A58" s="35"/>
      <c r="B58" s="46"/>
      <c r="E58" s="40"/>
    </row>
    <row r="59" spans="1:7" s="39" customFormat="1" x14ac:dyDescent="0.15">
      <c r="A59" s="38"/>
      <c r="B59" s="44"/>
      <c r="C59" s="40"/>
      <c r="D59" s="40"/>
      <c r="E59" s="40"/>
      <c r="F59" s="40"/>
      <c r="G59" s="40"/>
    </row>
    <row r="60" spans="1:7" s="37" customFormat="1" x14ac:dyDescent="0.15">
      <c r="A60" s="35"/>
      <c r="B60" s="35"/>
    </row>
    <row r="61" spans="1:7" s="37" customFormat="1" x14ac:dyDescent="0.15">
      <c r="A61" s="35"/>
      <c r="B61" s="35"/>
    </row>
    <row r="62" spans="1:7" s="37" customFormat="1" x14ac:dyDescent="0.15">
      <c r="A62" s="35"/>
      <c r="B62" s="35"/>
    </row>
    <row r="63" spans="1:7" s="39" customFormat="1" x14ac:dyDescent="0.15">
      <c r="A63" s="38"/>
      <c r="B63" s="38"/>
      <c r="C63" s="40"/>
      <c r="D63" s="40"/>
      <c r="E63" s="40"/>
      <c r="F63" s="40"/>
      <c r="G63" s="40"/>
    </row>
    <row r="64" spans="1:7" s="12" customFormat="1" x14ac:dyDescent="0.15">
      <c r="A64" s="23"/>
      <c r="B64" s="23"/>
    </row>
    <row r="65" spans="1:7" s="12" customFormat="1" x14ac:dyDescent="0.15">
      <c r="A65" s="23"/>
      <c r="B65" s="23"/>
    </row>
    <row r="66" spans="1:7" s="12" customFormat="1" x14ac:dyDescent="0.15">
      <c r="A66" s="23"/>
      <c r="B66" s="24"/>
      <c r="D66" s="27"/>
      <c r="E66" s="27"/>
      <c r="F66" s="27"/>
      <c r="G66" s="27"/>
    </row>
    <row r="67" spans="1:7" s="12" customFormat="1" x14ac:dyDescent="0.15">
      <c r="A67" s="23"/>
      <c r="B67" s="23"/>
    </row>
    <row r="68" spans="1:7" s="12" customFormat="1" x14ac:dyDescent="0.15">
      <c r="A68" s="23"/>
      <c r="B68" s="23"/>
    </row>
    <row r="69" spans="1:7" s="26" customFormat="1" x14ac:dyDescent="0.15">
      <c r="A69" s="24"/>
      <c r="B69" s="24"/>
      <c r="C69" s="27"/>
      <c r="D69" s="27"/>
      <c r="E69" s="27"/>
      <c r="F69" s="27"/>
      <c r="G69" s="27"/>
    </row>
    <row r="70" spans="1:7" s="12" customFormat="1" x14ac:dyDescent="0.15">
      <c r="A70" s="23"/>
      <c r="B70" s="23"/>
    </row>
    <row r="71" spans="1:7" s="12" customFormat="1" x14ac:dyDescent="0.15">
      <c r="A71" s="23"/>
      <c r="B71" s="25"/>
    </row>
    <row r="72" spans="1:7" s="12" customFormat="1" x14ac:dyDescent="0.15">
      <c r="A72" s="23"/>
      <c r="B72" s="24"/>
      <c r="C72" s="27"/>
      <c r="D72" s="27"/>
      <c r="E72" s="27"/>
      <c r="F72" s="27"/>
      <c r="G72" s="27"/>
    </row>
    <row r="73" spans="1:7" s="12" customFormat="1" x14ac:dyDescent="0.15">
      <c r="A73" s="23"/>
      <c r="B73" s="23"/>
    </row>
    <row r="74" spans="1:7" s="12" customFormat="1" x14ac:dyDescent="0.15">
      <c r="A74" s="23"/>
      <c r="B74" s="23"/>
    </row>
    <row r="75" spans="1:7" s="12" customFormat="1" x14ac:dyDescent="0.15">
      <c r="A75" s="23"/>
      <c r="B75" s="24"/>
      <c r="C75" s="27"/>
      <c r="D75" s="27"/>
      <c r="E75" s="27"/>
      <c r="F75" s="27"/>
      <c r="G75" s="27"/>
    </row>
    <row r="76" spans="1:7" s="12" customFormat="1" x14ac:dyDescent="0.15">
      <c r="A76" s="23"/>
      <c r="B76" s="23"/>
    </row>
    <row r="77" spans="1:7" s="12" customFormat="1" x14ac:dyDescent="0.15">
      <c r="A77" s="23"/>
      <c r="B77" s="23"/>
    </row>
    <row r="78" spans="1:7" s="12" customFormat="1" x14ac:dyDescent="0.15">
      <c r="A78" s="23"/>
      <c r="B78" s="24"/>
      <c r="C78" s="27"/>
      <c r="D78" s="27"/>
      <c r="E78" s="27"/>
      <c r="F78" s="27"/>
      <c r="G78" s="27"/>
    </row>
    <row r="79" spans="1:7" s="12" customFormat="1" x14ac:dyDescent="0.15">
      <c r="A79" s="23"/>
      <c r="B79" s="23"/>
    </row>
    <row r="80" spans="1:7" s="12" customFormat="1" x14ac:dyDescent="0.15">
      <c r="A80" s="23"/>
      <c r="B80" s="25"/>
    </row>
    <row r="81" spans="1:7" s="26" customFormat="1" x14ac:dyDescent="0.15">
      <c r="A81" s="24"/>
      <c r="B81" s="24"/>
      <c r="C81" s="27"/>
      <c r="D81" s="27"/>
      <c r="E81" s="27"/>
      <c r="F81" s="27"/>
      <c r="G81" s="27"/>
    </row>
    <row r="82" spans="1:7" s="12" customFormat="1" x14ac:dyDescent="0.15">
      <c r="A82" s="23"/>
      <c r="B82" s="23"/>
    </row>
    <row r="83" spans="1:7" s="12" customFormat="1" x14ac:dyDescent="0.15">
      <c r="A83" s="23"/>
      <c r="B83" s="23"/>
    </row>
    <row r="84" spans="1:7" s="12" customFormat="1" x14ac:dyDescent="0.15">
      <c r="A84" s="23"/>
      <c r="B84" s="24"/>
      <c r="C84" s="27"/>
      <c r="D84" s="27"/>
      <c r="E84" s="27"/>
      <c r="F84" s="27"/>
      <c r="G84" s="27"/>
    </row>
    <row r="85" spans="1:7" s="26" customFormat="1" x14ac:dyDescent="0.15">
      <c r="A85" s="24"/>
      <c r="B85" s="24"/>
      <c r="C85" s="27"/>
      <c r="D85" s="27"/>
      <c r="E85" s="27"/>
      <c r="F85" s="27"/>
      <c r="G85" s="27"/>
    </row>
    <row r="86" spans="1:7" s="12" customFormat="1" x14ac:dyDescent="0.15">
      <c r="A86" s="23"/>
      <c r="B86" s="23"/>
    </row>
    <row r="87" spans="1:7" s="12" customFormat="1" x14ac:dyDescent="0.15">
      <c r="A87" s="23"/>
      <c r="B87" s="23"/>
    </row>
    <row r="88" spans="1:7" s="26" customFormat="1" x14ac:dyDescent="0.15">
      <c r="A88" s="24"/>
      <c r="B88" s="24"/>
      <c r="C88" s="27"/>
      <c r="D88" s="27"/>
      <c r="E88" s="27"/>
      <c r="F88" s="27"/>
      <c r="G88" s="27"/>
    </row>
    <row r="89" spans="1:7" s="12" customFormat="1" x14ac:dyDescent="0.15">
      <c r="A89" s="23"/>
      <c r="B89" s="23"/>
    </row>
    <row r="90" spans="1:7" s="12" customFormat="1" x14ac:dyDescent="0.15">
      <c r="A90" s="23"/>
      <c r="B90" s="25"/>
    </row>
    <row r="91" spans="1:7" s="12" customFormat="1" x14ac:dyDescent="0.15">
      <c r="A91" s="23"/>
      <c r="B91" s="24"/>
      <c r="C91" s="27"/>
      <c r="D91" s="27"/>
      <c r="E91" s="27"/>
      <c r="F91" s="27"/>
      <c r="G91" s="27"/>
    </row>
    <row r="92" spans="1:7" s="12" customFormat="1" x14ac:dyDescent="0.15">
      <c r="A92" s="23"/>
      <c r="B92" s="23"/>
    </row>
    <row r="93" spans="1:7" s="12" customFormat="1" x14ac:dyDescent="0.15">
      <c r="A93" s="23"/>
      <c r="B93" s="25"/>
    </row>
    <row r="94" spans="1:7" s="12" customFormat="1" x14ac:dyDescent="0.15">
      <c r="A94" s="23"/>
      <c r="B94" s="23"/>
    </row>
    <row r="95" spans="1:7" s="12" customFormat="1" x14ac:dyDescent="0.15">
      <c r="A95" s="23"/>
      <c r="B95" s="25"/>
    </row>
    <row r="96" spans="1:7" s="12" customFormat="1" x14ac:dyDescent="0.15">
      <c r="A96" s="23"/>
      <c r="B96" s="24"/>
      <c r="C96" s="27"/>
      <c r="D96" s="27"/>
      <c r="E96" s="27"/>
      <c r="F96" s="27"/>
      <c r="G96" s="27"/>
    </row>
    <row r="97" spans="1:2" s="12" customFormat="1" x14ac:dyDescent="0.15">
      <c r="A97" s="23"/>
      <c r="B97" s="24"/>
    </row>
    <row r="98" spans="1:2" s="12" customFormat="1" x14ac:dyDescent="0.15">
      <c r="A98" s="23"/>
      <c r="B98" s="23"/>
    </row>
    <row r="99" spans="1:2" s="12" customFormat="1" x14ac:dyDescent="0.15">
      <c r="A99" s="23"/>
      <c r="B99" s="23"/>
    </row>
    <row r="100" spans="1:2" s="12" customFormat="1" x14ac:dyDescent="0.15">
      <c r="A100" s="23"/>
      <c r="B100" s="25"/>
    </row>
    <row r="101" spans="1:2" s="12" customFormat="1" x14ac:dyDescent="0.15">
      <c r="A101" s="23"/>
      <c r="B101" s="23"/>
    </row>
    <row r="102" spans="1:2" s="12" customFormat="1" x14ac:dyDescent="0.15">
      <c r="A102" s="23"/>
      <c r="B102" s="23"/>
    </row>
    <row r="103" spans="1:2" s="12" customFormat="1" x14ac:dyDescent="0.15">
      <c r="A103" s="23"/>
      <c r="B103" s="23"/>
    </row>
    <row r="104" spans="1:2" s="12" customFormat="1" x14ac:dyDescent="0.15">
      <c r="A104" s="23"/>
      <c r="B104" s="23"/>
    </row>
    <row r="105" spans="1:2" s="12" customFormat="1" x14ac:dyDescent="0.15">
      <c r="A105" s="23"/>
      <c r="B105" s="23"/>
    </row>
    <row r="106" spans="1:2" s="12" customFormat="1" x14ac:dyDescent="0.15">
      <c r="A106" s="23"/>
      <c r="B106" s="23"/>
    </row>
    <row r="107" spans="1:2" s="12" customFormat="1" x14ac:dyDescent="0.15">
      <c r="A107" s="23"/>
      <c r="B107" s="23"/>
    </row>
    <row r="108" spans="1:2" s="12" customFormat="1" x14ac:dyDescent="0.15">
      <c r="A108" s="23"/>
      <c r="B108" s="23"/>
    </row>
    <row r="109" spans="1:2" s="12" customFormat="1" x14ac:dyDescent="0.15">
      <c r="A109" s="23"/>
      <c r="B109" s="23"/>
    </row>
    <row r="110" spans="1:2" s="12" customFormat="1" x14ac:dyDescent="0.15">
      <c r="A110" s="23"/>
      <c r="B110" s="23"/>
    </row>
    <row r="111" spans="1:2" s="12" customFormat="1" x14ac:dyDescent="0.15">
      <c r="A111" s="23"/>
      <c r="B111" s="23"/>
    </row>
    <row r="112" spans="1:2" s="12" customFormat="1" x14ac:dyDescent="0.15">
      <c r="A112" s="23"/>
      <c r="B112" s="23"/>
    </row>
    <row r="113" spans="1:2" s="12" customFormat="1" x14ac:dyDescent="0.15">
      <c r="A113" s="23"/>
      <c r="B113" s="23"/>
    </row>
    <row r="114" spans="1:2" s="12" customFormat="1" x14ac:dyDescent="0.15">
      <c r="A114" s="23"/>
      <c r="B114" s="23"/>
    </row>
    <row r="115" spans="1:2" s="12" customFormat="1" x14ac:dyDescent="0.15">
      <c r="A115" s="23"/>
      <c r="B115" s="23"/>
    </row>
    <row r="116" spans="1:2" s="12" customFormat="1" x14ac:dyDescent="0.15">
      <c r="A116" s="23"/>
      <c r="B116" s="23"/>
    </row>
    <row r="117" spans="1:2" s="12" customFormat="1" x14ac:dyDescent="0.15">
      <c r="A117" s="23"/>
      <c r="B117" s="23"/>
    </row>
    <row r="118" spans="1:2" s="12" customFormat="1" x14ac:dyDescent="0.15">
      <c r="A118" s="23"/>
      <c r="B118" s="23"/>
    </row>
    <row r="119" spans="1:2" s="12" customFormat="1" x14ac:dyDescent="0.15">
      <c r="A119" s="23"/>
      <c r="B119" s="23"/>
    </row>
    <row r="120" spans="1:2" s="12" customFormat="1" x14ac:dyDescent="0.15">
      <c r="A120" s="23"/>
      <c r="B120" s="23"/>
    </row>
    <row r="121" spans="1:2" s="12" customFormat="1" x14ac:dyDescent="0.15">
      <c r="A121" s="23"/>
      <c r="B121" s="23"/>
    </row>
    <row r="122" spans="1:2" s="12" customFormat="1" x14ac:dyDescent="0.15">
      <c r="A122" s="23"/>
      <c r="B122" s="23"/>
    </row>
    <row r="123" spans="1:2" s="12" customFormat="1" x14ac:dyDescent="0.15">
      <c r="A123" s="23"/>
      <c r="B123" s="23"/>
    </row>
    <row r="124" spans="1:2" s="12" customFormat="1" x14ac:dyDescent="0.15">
      <c r="A124" s="23"/>
      <c r="B124" s="23"/>
    </row>
    <row r="125" spans="1:2" s="12" customFormat="1" x14ac:dyDescent="0.15">
      <c r="A125" s="23"/>
      <c r="B125" s="23"/>
    </row>
    <row r="126" spans="1:2" s="12" customFormat="1" x14ac:dyDescent="0.15">
      <c r="A126" s="23"/>
      <c r="B126" s="23"/>
    </row>
    <row r="127" spans="1:2" s="12" customFormat="1" x14ac:dyDescent="0.15">
      <c r="A127" s="23"/>
      <c r="B127" s="23"/>
    </row>
  </sheetData>
  <phoneticPr fontId="8" type="noConversion"/>
  <pageMargins left="0.75" right="0.75" top="1" bottom="1" header="0.3" footer="0.3"/>
  <pageSetup paperSize="9" scale="45" orientation="portrait"/>
  <headerFooter alignWithMargins="0"/>
  <ignoredErrors>
    <ignoredError sqref="H26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1"/>
  <sheetViews>
    <sheetView showGridLines="0" zoomScaleSheetLayoutView="100" workbookViewId="0">
      <selection activeCell="B2" sqref="B2"/>
    </sheetView>
  </sheetViews>
  <sheetFormatPr baseColWidth="10" defaultColWidth="8.83203125" defaultRowHeight="13" x14ac:dyDescent="0.15"/>
  <cols>
    <col min="1" max="1" width="2.6640625" style="23" customWidth="1"/>
    <col min="2" max="2" width="41.1640625" style="23" customWidth="1"/>
    <col min="3" max="3" width="9.33203125" style="12" bestFit="1" customWidth="1"/>
    <col min="4" max="5" width="9.5" style="12" bestFit="1" customWidth="1"/>
    <col min="6" max="17" width="9.33203125" style="12" bestFit="1" customWidth="1"/>
    <col min="18" max="16384" width="8.83203125" style="12"/>
  </cols>
  <sheetData>
    <row r="1" spans="1:17" s="23" customFormat="1" x14ac:dyDescent="0.15"/>
    <row r="2" spans="1:17" s="23" customFormat="1" x14ac:dyDescent="0.15">
      <c r="B2" s="96" t="s">
        <v>31</v>
      </c>
    </row>
    <row r="3" spans="1:17" s="23" customFormat="1" x14ac:dyDescent="0.15"/>
    <row r="4" spans="1:17" s="23" customFormat="1" x14ac:dyDescent="0.15">
      <c r="B4" s="97" t="str">
        <f>'Income Statement'!B4</f>
        <v>(YE 31-Dec, USDm)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5">
        <f>'Income Statement'!G4</f>
        <v>2011</v>
      </c>
      <c r="H4" s="88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23" customFormat="1" x14ac:dyDescent="0.15">
      <c r="B5" s="23" t="s">
        <v>32</v>
      </c>
      <c r="C5" s="12">
        <f>+C9-C8-C6</f>
        <v>5.9150000000000009</v>
      </c>
      <c r="D5" s="12">
        <f>+C9</f>
        <v>6.5</v>
      </c>
      <c r="E5" s="12">
        <f t="shared" ref="E5:Q5" si="0">+D9</f>
        <v>7.8019999999999996</v>
      </c>
      <c r="F5" s="12">
        <f t="shared" si="0"/>
        <v>9.17</v>
      </c>
      <c r="G5" s="12">
        <f t="shared" si="0"/>
        <v>10.558</v>
      </c>
      <c r="H5" s="12">
        <f t="shared" si="0"/>
        <v>11.287000000000001</v>
      </c>
      <c r="I5" s="12">
        <f t="shared" si="0"/>
        <v>13.170361836321595</v>
      </c>
      <c r="J5" s="12">
        <f t="shared" si="0"/>
        <v>15.002748039117826</v>
      </c>
      <c r="K5" s="12">
        <f t="shared" si="0"/>
        <v>16.803993846556921</v>
      </c>
      <c r="L5" s="12">
        <f t="shared" si="0"/>
        <v>18.562626051167229</v>
      </c>
      <c r="M5" s="12">
        <f t="shared" si="0"/>
        <v>20.267868224189748</v>
      </c>
      <c r="N5" s="12">
        <f t="shared" si="0"/>
        <v>21.062789188394113</v>
      </c>
      <c r="O5" s="12">
        <f t="shared" si="0"/>
        <v>21.768072620098639</v>
      </c>
      <c r="P5" s="12">
        <f t="shared" si="0"/>
        <v>22.355400454258856</v>
      </c>
      <c r="Q5" s="12">
        <f t="shared" si="0"/>
        <v>22.803206411912587</v>
      </c>
    </row>
    <row r="6" spans="1:17" x14ac:dyDescent="0.15">
      <c r="B6" s="29" t="s">
        <v>33</v>
      </c>
      <c r="C6" s="12">
        <f>-'Income Statement'!C86</f>
        <v>3.19</v>
      </c>
      <c r="D6" s="12">
        <f>-'Income Statement'!D86</f>
        <v>3.907</v>
      </c>
      <c r="E6" s="12">
        <f>-'Income Statement'!E86</f>
        <v>2.7349999999999999</v>
      </c>
      <c r="F6" s="12">
        <f>-'Income Statement'!F86</f>
        <v>2.7759999999999998</v>
      </c>
      <c r="G6" s="12">
        <f>-'Income Statement'!G86</f>
        <v>2.1859999999999999</v>
      </c>
      <c r="H6" s="12">
        <f>-'Income Statement'!H86</f>
        <v>6.1721796234037498</v>
      </c>
      <c r="I6" s="12">
        <f>-'Income Statement'!I86</f>
        <v>6.6201636851098344</v>
      </c>
      <c r="J6" s="12">
        <f>-'Income Statement'!J86</f>
        <v>7.2502224954645698</v>
      </c>
      <c r="K6" s="12">
        <f>-'Income Statement'!K86</f>
        <v>7.9904597590582851</v>
      </c>
      <c r="L6" s="12">
        <f>-'Income Statement'!L86</f>
        <v>8.8933780036436207</v>
      </c>
      <c r="M6" s="12">
        <f>-'Income Statement'!M86</f>
        <v>4.8650462728897148</v>
      </c>
      <c r="N6" s="12">
        <f>-'Income Statement'!N86</f>
        <v>5.2225520195999087</v>
      </c>
      <c r="O6" s="12">
        <f>-'Income Statement'!O86</f>
        <v>5.5046246161646</v>
      </c>
      <c r="P6" s="12">
        <f>-'Income Statement'!P86</f>
        <v>5.7155591956037375</v>
      </c>
      <c r="Q6" s="12">
        <f>-'Income Statement'!Q86</f>
        <v>5.8304419354353723</v>
      </c>
    </row>
    <row r="7" spans="1:17" s="26" customFormat="1" x14ac:dyDescent="0.15">
      <c r="A7" s="24"/>
      <c r="B7" s="29" t="s">
        <v>34</v>
      </c>
      <c r="C7" s="26">
        <v>0</v>
      </c>
      <c r="D7" s="26">
        <v>0</v>
      </c>
      <c r="E7" s="26">
        <v>0</v>
      </c>
      <c r="F7" s="26">
        <v>0</v>
      </c>
      <c r="G7" s="26">
        <v>0</v>
      </c>
      <c r="H7" s="26">
        <v>0</v>
      </c>
      <c r="I7" s="26">
        <v>0</v>
      </c>
      <c r="J7" s="26">
        <v>0</v>
      </c>
      <c r="K7" s="26">
        <v>0</v>
      </c>
      <c r="L7" s="26">
        <v>0</v>
      </c>
      <c r="M7" s="26">
        <v>0</v>
      </c>
      <c r="N7" s="26">
        <v>0</v>
      </c>
      <c r="O7" s="26">
        <v>0</v>
      </c>
      <c r="P7" s="26">
        <v>0</v>
      </c>
      <c r="Q7" s="26">
        <v>0</v>
      </c>
    </row>
    <row r="8" spans="1:17" x14ac:dyDescent="0.15">
      <c r="B8" s="29" t="s">
        <v>35</v>
      </c>
      <c r="C8" s="12">
        <v>-2.6050000000000004</v>
      </c>
      <c r="D8" s="12">
        <f>+(-D5-D6)+D9</f>
        <v>-2.6050000000000004</v>
      </c>
      <c r="E8" s="12">
        <f>+(-E5-E6)+E9</f>
        <v>-1.3669999999999991</v>
      </c>
      <c r="F8" s="12">
        <f>+(-F5-F6)+F9</f>
        <v>-1.3879999999999999</v>
      </c>
      <c r="G8" s="12">
        <f>+(-G5-G6)+G9</f>
        <v>-1.456999999999999</v>
      </c>
      <c r="H8" s="12">
        <f>+'Income Statement'!H82</f>
        <v>-4.288817787082154</v>
      </c>
      <c r="I8" s="12">
        <f>+'Income Statement'!I82</f>
        <v>-4.7877774823136034</v>
      </c>
      <c r="J8" s="12">
        <f>+'Income Statement'!J82</f>
        <v>-5.4489766880254766</v>
      </c>
      <c r="K8" s="12">
        <f>+'Income Statement'!K82</f>
        <v>-6.23182755444798</v>
      </c>
      <c r="L8" s="12">
        <f>+'Income Statement'!L82</f>
        <v>-7.1881358306211016</v>
      </c>
      <c r="M8" s="12">
        <f>+'Income Statement'!M82</f>
        <v>-4.0701253086853466</v>
      </c>
      <c r="N8" s="12">
        <f>+'Income Statement'!N82</f>
        <v>-4.5172685878953844</v>
      </c>
      <c r="O8" s="12">
        <f>+'Income Statement'!O82</f>
        <v>-4.9172967820043842</v>
      </c>
      <c r="P8" s="12">
        <f>+'Income Statement'!P82</f>
        <v>-5.267753237950008</v>
      </c>
      <c r="Q8" s="12">
        <f>+'Income Statement'!Q82</f>
        <v>-5.5389198386636034</v>
      </c>
    </row>
    <row r="9" spans="1:17" ht="14" thickBot="1" x14ac:dyDescent="0.2">
      <c r="B9" s="115" t="s">
        <v>36</v>
      </c>
      <c r="C9" s="117">
        <v>6.5</v>
      </c>
      <c r="D9" s="117">
        <v>7.8019999999999996</v>
      </c>
      <c r="E9" s="117">
        <v>9.17</v>
      </c>
      <c r="F9" s="117">
        <v>10.558</v>
      </c>
      <c r="G9" s="117">
        <v>11.287000000000001</v>
      </c>
      <c r="H9" s="117">
        <f>+H5+H6+H7+H8</f>
        <v>13.170361836321595</v>
      </c>
      <c r="I9" s="117">
        <f t="shared" ref="I9:Q9" si="1">+I5+I6+I7+I8</f>
        <v>15.002748039117826</v>
      </c>
      <c r="J9" s="117">
        <f t="shared" si="1"/>
        <v>16.803993846556921</v>
      </c>
      <c r="K9" s="117">
        <f t="shared" si="1"/>
        <v>18.562626051167229</v>
      </c>
      <c r="L9" s="117">
        <f t="shared" si="1"/>
        <v>20.267868224189748</v>
      </c>
      <c r="M9" s="117">
        <f t="shared" si="1"/>
        <v>21.062789188394113</v>
      </c>
      <c r="N9" s="117">
        <f t="shared" si="1"/>
        <v>21.768072620098639</v>
      </c>
      <c r="O9" s="117">
        <f t="shared" si="1"/>
        <v>22.355400454258856</v>
      </c>
      <c r="P9" s="117">
        <f t="shared" si="1"/>
        <v>22.803206411912587</v>
      </c>
      <c r="Q9" s="117">
        <f t="shared" si="1"/>
        <v>23.094728508684355</v>
      </c>
    </row>
    <row r="10" spans="1:17" s="26" customFormat="1" ht="14" thickTop="1" x14ac:dyDescent="0.15">
      <c r="A10" s="24"/>
      <c r="B10" s="28"/>
      <c r="C10" s="27"/>
      <c r="D10" s="27"/>
      <c r="E10" s="27"/>
      <c r="F10" s="27"/>
      <c r="G10" s="27"/>
    </row>
    <row r="11" spans="1:17" s="26" customFormat="1" x14ac:dyDescent="0.15">
      <c r="A11" s="24"/>
      <c r="B11" s="28"/>
      <c r="C11" s="27"/>
      <c r="D11" s="27"/>
      <c r="E11" s="27"/>
      <c r="F11" s="27"/>
      <c r="G11" s="27"/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4"/>
  <sheetViews>
    <sheetView showGridLines="0" zoomScaleSheetLayoutView="100" workbookViewId="0">
      <selection activeCell="C10" sqref="C10"/>
    </sheetView>
  </sheetViews>
  <sheetFormatPr baseColWidth="10" defaultColWidth="8.83203125" defaultRowHeight="13" x14ac:dyDescent="0.15"/>
  <cols>
    <col min="1" max="1" width="2.6640625" style="23" customWidth="1"/>
    <col min="2" max="2" width="41.1640625" style="23" customWidth="1"/>
    <col min="3" max="16384" width="8.83203125" style="12"/>
  </cols>
  <sheetData>
    <row r="1" spans="1:17" s="23" customFormat="1" x14ac:dyDescent="0.15"/>
    <row r="2" spans="1:17" s="23" customFormat="1" x14ac:dyDescent="0.15">
      <c r="B2" s="96" t="s">
        <v>39</v>
      </c>
    </row>
    <row r="3" spans="1:17" s="23" customFormat="1" x14ac:dyDescent="0.15"/>
    <row r="4" spans="1:17" s="23" customFormat="1" x14ac:dyDescent="0.15">
      <c r="B4" s="97" t="str">
        <f>'Income Statement'!B4</f>
        <v>(YE 31-Dec, USDm)</v>
      </c>
      <c r="C4" s="71">
        <f>'Income Statement'!C4</f>
        <v>2007</v>
      </c>
      <c r="D4" s="71">
        <f>'Income Statement'!D4</f>
        <v>2008</v>
      </c>
      <c r="E4" s="71">
        <f>'Income Statement'!E4</f>
        <v>2009</v>
      </c>
      <c r="F4" s="71">
        <f>'Income Statement'!F4</f>
        <v>2010</v>
      </c>
      <c r="G4" s="71">
        <f>'Income Statement'!G4</f>
        <v>2011</v>
      </c>
      <c r="H4" s="72">
        <f>'Income Statement'!H4</f>
        <v>2012</v>
      </c>
      <c r="I4" s="72">
        <f>'Income Statement'!I4</f>
        <v>2013</v>
      </c>
      <c r="J4" s="72">
        <f>'Income Statement'!J4</f>
        <v>2014</v>
      </c>
      <c r="K4" s="72">
        <f>'Income Statement'!K4</f>
        <v>2015</v>
      </c>
      <c r="L4" s="72">
        <f>'Income Statement'!L4</f>
        <v>2016</v>
      </c>
      <c r="M4" s="72">
        <f>'Income Statement'!M4</f>
        <v>2017</v>
      </c>
      <c r="N4" s="72">
        <f>'Income Statement'!N4</f>
        <v>2018</v>
      </c>
      <c r="O4" s="72">
        <f>'Income Statement'!O4</f>
        <v>2019</v>
      </c>
      <c r="P4" s="72">
        <f>'Income Statement'!P4</f>
        <v>2020</v>
      </c>
      <c r="Q4" s="72">
        <f>'Income Statement'!Q4</f>
        <v>2021</v>
      </c>
    </row>
    <row r="5" spans="1:17" s="23" customFormat="1" x14ac:dyDescent="0.15">
      <c r="B5" s="23" t="s">
        <v>32</v>
      </c>
      <c r="C5" s="12">
        <f>+C8-C7</f>
        <v>55</v>
      </c>
      <c r="D5" s="12">
        <f>+C8</f>
        <v>50</v>
      </c>
      <c r="E5" s="12">
        <f>+D8</f>
        <v>45</v>
      </c>
      <c r="F5" s="12">
        <f>+E8</f>
        <v>40</v>
      </c>
      <c r="G5" s="12">
        <f>+F8</f>
        <v>35</v>
      </c>
      <c r="H5" s="12"/>
      <c r="I5" s="12"/>
      <c r="J5" s="12"/>
      <c r="K5" s="12"/>
      <c r="L5" s="12"/>
      <c r="M5" s="12"/>
      <c r="N5" s="12"/>
      <c r="O5" s="12"/>
      <c r="P5" s="12"/>
      <c r="Q5" s="12"/>
    </row>
    <row r="6" spans="1:17" x14ac:dyDescent="0.15">
      <c r="B6" s="29" t="s">
        <v>33</v>
      </c>
      <c r="C6" s="12">
        <v>0</v>
      </c>
      <c r="D6" s="12">
        <v>0</v>
      </c>
      <c r="E6" s="12">
        <v>0</v>
      </c>
      <c r="F6" s="12">
        <v>0</v>
      </c>
      <c r="G6" s="12">
        <v>0</v>
      </c>
    </row>
    <row r="7" spans="1:17" s="26" customFormat="1" ht="15" x14ac:dyDescent="0.2">
      <c r="A7" s="24"/>
      <c r="B7" s="29" t="s">
        <v>40</v>
      </c>
      <c r="C7" s="26">
        <f>+D7</f>
        <v>-5</v>
      </c>
      <c r="D7" s="26">
        <f>-D5+D8</f>
        <v>-5</v>
      </c>
      <c r="E7" s="26">
        <f>-E5+E8</f>
        <v>-5</v>
      </c>
      <c r="F7" s="26">
        <f>-F5+F8</f>
        <v>-5</v>
      </c>
      <c r="G7" s="26">
        <f>-G5+G8</f>
        <v>-5</v>
      </c>
      <c r="H7"/>
    </row>
    <row r="8" spans="1:17" ht="14" thickBot="1" x14ac:dyDescent="0.2">
      <c r="B8" s="54" t="s">
        <v>36</v>
      </c>
      <c r="C8" s="55">
        <v>50</v>
      </c>
      <c r="D8" s="55">
        <v>45</v>
      </c>
      <c r="E8" s="55">
        <v>40</v>
      </c>
      <c r="F8" s="55">
        <v>35</v>
      </c>
      <c r="G8" s="55">
        <v>30</v>
      </c>
      <c r="H8" s="55"/>
      <c r="I8" s="55"/>
      <c r="J8" s="55"/>
      <c r="K8" s="55"/>
      <c r="L8" s="55"/>
      <c r="M8" s="55"/>
      <c r="N8" s="55"/>
      <c r="O8" s="55"/>
      <c r="P8" s="55"/>
      <c r="Q8" s="55"/>
    </row>
    <row r="9" spans="1:17" s="26" customFormat="1" ht="14" thickTop="1" x14ac:dyDescent="0.15">
      <c r="A9" s="24"/>
      <c r="B9" s="28"/>
      <c r="C9" s="27"/>
      <c r="D9" s="27"/>
      <c r="E9" s="27"/>
      <c r="F9" s="27"/>
      <c r="G9" s="27"/>
    </row>
    <row r="10" spans="1:17" s="26" customFormat="1" x14ac:dyDescent="0.15">
      <c r="A10" s="24"/>
      <c r="B10" s="98" t="s">
        <v>41</v>
      </c>
      <c r="C10" s="99">
        <v>0.06</v>
      </c>
      <c r="D10" s="27"/>
      <c r="E10" s="27"/>
      <c r="F10" s="27"/>
      <c r="G10" s="27"/>
    </row>
    <row r="11" spans="1:17" x14ac:dyDescent="0.15">
      <c r="B11" s="34"/>
    </row>
    <row r="12" spans="1:17" x14ac:dyDescent="0.15">
      <c r="B12" s="98" t="s">
        <v>38</v>
      </c>
      <c r="C12" s="100">
        <f>+C5*$C$10</f>
        <v>3.3</v>
      </c>
      <c r="D12" s="100">
        <f>+D5*$C$10</f>
        <v>3</v>
      </c>
      <c r="E12" s="100">
        <f>+E5*$C$10</f>
        <v>2.6999999999999997</v>
      </c>
      <c r="F12" s="100">
        <f>+F5*$C$10</f>
        <v>2.4</v>
      </c>
      <c r="G12" s="100">
        <f>+G5*$C$10</f>
        <v>2.1</v>
      </c>
      <c r="H12" s="100"/>
      <c r="I12" s="100"/>
      <c r="J12" s="100"/>
      <c r="K12" s="100"/>
      <c r="L12" s="100"/>
      <c r="M12" s="100"/>
      <c r="N12" s="100"/>
      <c r="O12" s="100"/>
      <c r="P12" s="100"/>
      <c r="Q12" s="101"/>
    </row>
    <row r="13" spans="1:17" s="26" customFormat="1" x14ac:dyDescent="0.15">
      <c r="A13" s="24"/>
      <c r="B13" s="31"/>
      <c r="C13" s="27"/>
      <c r="D13" s="27"/>
      <c r="E13" s="27"/>
      <c r="F13" s="27"/>
      <c r="G13" s="27"/>
    </row>
    <row r="14" spans="1:17" x14ac:dyDescent="0.15">
      <c r="H14" s="191" t="s">
        <v>139</v>
      </c>
      <c r="I14" s="192"/>
      <c r="J14" s="192"/>
    </row>
  </sheetData>
  <phoneticPr fontId="8" type="noConversion"/>
  <pageMargins left="0.75" right="0.75" top="1" bottom="1" header="0.3" footer="0.3"/>
  <pageSetup paperSize="9" scale="46" orientation="portrait"/>
  <headerFooter alignWithMargins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0"/>
  <sheetViews>
    <sheetView showGridLines="0" zoomScaleSheetLayoutView="100" workbookViewId="0">
      <selection activeCell="A2" sqref="A2"/>
    </sheetView>
  </sheetViews>
  <sheetFormatPr baseColWidth="10" defaultColWidth="8.83203125" defaultRowHeight="13" x14ac:dyDescent="0.15"/>
  <cols>
    <col min="1" max="1" width="8.83203125" style="132"/>
    <col min="2" max="2" width="13" style="132" customWidth="1"/>
    <col min="3" max="3" width="15.5" style="132" bestFit="1" customWidth="1"/>
    <col min="4" max="14" width="8.83203125" style="132"/>
    <col min="15" max="15" width="3.6640625" style="132" customWidth="1"/>
    <col min="16" max="16" width="6" style="132" customWidth="1"/>
    <col min="17" max="16384" width="8.83203125" style="132"/>
  </cols>
  <sheetData>
    <row r="1" spans="1:13" customFormat="1" ht="15" x14ac:dyDescent="0.2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customFormat="1" ht="15" x14ac:dyDescent="0.2">
      <c r="A2" s="125" t="s">
        <v>97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4" spans="1:13" customFormat="1" ht="15" x14ac:dyDescent="0.2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13" customFormat="1" ht="15" x14ac:dyDescent="0.2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13" x14ac:dyDescent="0.15"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</row>
    <row r="8" spans="1:13" x14ac:dyDescent="0.15">
      <c r="A8" s="132" t="s">
        <v>25</v>
      </c>
      <c r="C8" s="6">
        <f>'Income Statement'!G89</f>
        <v>39.165999999999968</v>
      </c>
      <c r="D8" s="6">
        <f>'Income Statement'!H89</f>
        <v>39.624249156502799</v>
      </c>
      <c r="E8" s="6">
        <f>'Income Statement'!I89</f>
        <v>42.687896050238059</v>
      </c>
      <c r="F8" s="6">
        <f>'Income Statement'!J89</f>
        <v>46.956151629936492</v>
      </c>
      <c r="G8" s="6">
        <f>'Income Statement'!K89</f>
        <v>51.976825213899915</v>
      </c>
      <c r="H8" s="6">
        <f>'Income Statement'!L89</f>
        <v>58.102296996391786</v>
      </c>
      <c r="I8" s="6">
        <f>'Income Statement'!M89</f>
        <v>59.774436969643936</v>
      </c>
      <c r="J8" s="6">
        <f>'Income Statement'!N89</f>
        <v>64.314986645891068</v>
      </c>
      <c r="K8" s="6">
        <f>'Income Statement'!O89</f>
        <v>67.944718926806743</v>
      </c>
      <c r="L8" s="6">
        <f>'Income Statement'!P89</f>
        <v>70.710356019086149</v>
      </c>
      <c r="M8" s="6">
        <f>'Income Statement'!Q89</f>
        <v>72.296918935700575</v>
      </c>
    </row>
    <row r="9" spans="1:13" x14ac:dyDescent="0.15">
      <c r="C9" s="133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3" x14ac:dyDescent="0.15">
      <c r="A10" s="132" t="s">
        <v>98</v>
      </c>
      <c r="C10" s="133"/>
      <c r="D10" s="6">
        <f>-'Income Statement'!H82</f>
        <v>4.288817787082154</v>
      </c>
      <c r="E10" s="6">
        <f>-'Income Statement'!I82</f>
        <v>4.7877774823136034</v>
      </c>
      <c r="F10" s="6">
        <f>-'Income Statement'!J82</f>
        <v>5.4489766880254766</v>
      </c>
      <c r="G10" s="6">
        <f>-'Income Statement'!K82</f>
        <v>6.23182755444798</v>
      </c>
      <c r="H10" s="6">
        <f>-'Income Statement'!L82</f>
        <v>7.1881358306211016</v>
      </c>
      <c r="I10" s="6">
        <f>-'Income Statement'!M82</f>
        <v>4.0701253086853466</v>
      </c>
      <c r="J10" s="6">
        <f>-'Income Statement'!N82</f>
        <v>4.5172685878953844</v>
      </c>
      <c r="K10" s="6">
        <f>-'Income Statement'!O82</f>
        <v>4.9172967820043842</v>
      </c>
      <c r="L10" s="6">
        <f>-'Income Statement'!P82</f>
        <v>5.267753237950008</v>
      </c>
      <c r="M10" s="6">
        <f>-'Income Statement'!Q82</f>
        <v>5.5389198386636034</v>
      </c>
    </row>
    <row r="11" spans="1:13" x14ac:dyDescent="0.15">
      <c r="C11" s="133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spans="1:13" x14ac:dyDescent="0.15">
      <c r="A12" s="132" t="s">
        <v>26</v>
      </c>
      <c r="C12" s="133"/>
      <c r="D12" s="6">
        <f t="shared" ref="D12:M12" si="1">+D8-D10</f>
        <v>35.335431369420647</v>
      </c>
      <c r="E12" s="6">
        <f t="shared" si="1"/>
        <v>37.900118567924459</v>
      </c>
      <c r="F12" s="6">
        <f t="shared" si="1"/>
        <v>41.507174941911018</v>
      </c>
      <c r="G12" s="6">
        <f t="shared" si="1"/>
        <v>45.744997659451933</v>
      </c>
      <c r="H12" s="6">
        <f t="shared" si="1"/>
        <v>50.914161165770686</v>
      </c>
      <c r="I12" s="6">
        <f t="shared" si="1"/>
        <v>55.704311660958588</v>
      </c>
      <c r="J12" s="6">
        <f t="shared" si="1"/>
        <v>59.797718057995681</v>
      </c>
      <c r="K12" s="6">
        <f t="shared" si="1"/>
        <v>63.027422144802358</v>
      </c>
      <c r="L12" s="6">
        <f t="shared" si="1"/>
        <v>65.442602781136145</v>
      </c>
      <c r="M12" s="6">
        <f t="shared" si="1"/>
        <v>66.757999097036972</v>
      </c>
    </row>
    <row r="13" spans="1:13" x14ac:dyDescent="0.15">
      <c r="C13" s="133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3" x14ac:dyDescent="0.15">
      <c r="A14" s="132" t="s">
        <v>43</v>
      </c>
      <c r="C14" s="133"/>
      <c r="D14" s="6">
        <f>+'Income Statement'!H97</f>
        <v>0</v>
      </c>
      <c r="E14" s="6">
        <f>+'Income Statement'!I97</f>
        <v>0</v>
      </c>
      <c r="F14" s="6">
        <f>+'Income Statement'!J97</f>
        <v>0</v>
      </c>
      <c r="G14" s="6">
        <f>+'Income Statement'!K97</f>
        <v>0</v>
      </c>
      <c r="H14" s="6">
        <f>+'Income Statement'!L97</f>
        <v>0</v>
      </c>
      <c r="I14" s="6">
        <f>+'Income Statement'!M97</f>
        <v>0</v>
      </c>
      <c r="J14" s="6">
        <f>+'Income Statement'!N97</f>
        <v>0</v>
      </c>
      <c r="K14" s="6">
        <f>+'Income Statement'!O97</f>
        <v>0</v>
      </c>
      <c r="L14" s="6">
        <f>+'Income Statement'!P97</f>
        <v>0</v>
      </c>
      <c r="M14" s="6">
        <f>+'Income Statement'!Q97</f>
        <v>0</v>
      </c>
    </row>
    <row r="15" spans="1:13" s="144" customFormat="1" x14ac:dyDescent="0.15">
      <c r="C15" s="145"/>
      <c r="D15" s="145"/>
      <c r="E15" s="145"/>
      <c r="F15" s="145"/>
      <c r="G15" s="145"/>
      <c r="H15" s="145"/>
      <c r="I15" s="145"/>
      <c r="J15" s="145"/>
      <c r="K15" s="145"/>
      <c r="L15" s="145"/>
      <c r="M15" s="145"/>
    </row>
    <row r="16" spans="1:13" x14ac:dyDescent="0.15">
      <c r="A16" s="132" t="s">
        <v>99</v>
      </c>
      <c r="C16" s="133"/>
      <c r="D16" s="6">
        <f>+'Cash Flow Statement'!H19</f>
        <v>-6.1721796234037498</v>
      </c>
      <c r="E16" s="6">
        <f>+'Cash Flow Statement'!I19</f>
        <v>-6.6201636851098344</v>
      </c>
      <c r="F16" s="6">
        <f>+'Cash Flow Statement'!J19</f>
        <v>-7.2502224954645698</v>
      </c>
      <c r="G16" s="6">
        <f>+'Cash Flow Statement'!K19</f>
        <v>-7.9904597590582851</v>
      </c>
      <c r="H16" s="6">
        <f>+'Cash Flow Statement'!L19</f>
        <v>-8.8933780036436207</v>
      </c>
      <c r="I16" s="6">
        <f>+'Cash Flow Statement'!M19</f>
        <v>-4.8650462728897148</v>
      </c>
      <c r="J16" s="6">
        <f>+'Cash Flow Statement'!N19</f>
        <v>-5.2225520195999087</v>
      </c>
      <c r="K16" s="6">
        <f>+'Cash Flow Statement'!O19</f>
        <v>-5.5046246161646</v>
      </c>
      <c r="L16" s="6">
        <f>+'Cash Flow Statement'!P19</f>
        <v>-5.7155591956037375</v>
      </c>
      <c r="M16" s="6">
        <f>+'Cash Flow Statement'!Q19</f>
        <v>-5.8304419354353723</v>
      </c>
    </row>
    <row r="17" spans="1:13" x14ac:dyDescent="0.15"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1:13" x14ac:dyDescent="0.15">
      <c r="A18" s="132" t="s">
        <v>100</v>
      </c>
      <c r="C18" s="134"/>
      <c r="D18" s="6">
        <f>+'Cash Flow Statement'!H10</f>
        <v>2.6459497252333772</v>
      </c>
      <c r="E18" s="6">
        <f>+'Cash Flow Statement'!I10</f>
        <v>2.7308631355258797</v>
      </c>
      <c r="F18" s="6">
        <f>+'Cash Flow Statement'!J10</f>
        <v>3.8407714146310283</v>
      </c>
      <c r="G18" s="6">
        <f>+'Cash Flow Statement'!K10</f>
        <v>4.5124075329646409</v>
      </c>
      <c r="H18" s="6">
        <f>+'Cash Flow Statement'!L10</f>
        <v>5.5040934696233954</v>
      </c>
      <c r="I18" s="6">
        <f>+'Cash Flow Statement'!M10</f>
        <v>5.1005227493477712</v>
      </c>
      <c r="J18" s="6">
        <f>+'Cash Flow Statement'!N10</f>
        <v>4.3586339242133754</v>
      </c>
      <c r="K18" s="6">
        <f>+'Cash Flow Statement'!O10</f>
        <v>3.4389690229915324</v>
      </c>
      <c r="L18" s="6">
        <f>+'Cash Flow Statement'!P10</f>
        <v>2.5716694687942798</v>
      </c>
      <c r="M18" s="6">
        <f>+'Cash Flow Statement'!Q10</f>
        <v>1.4006258969108423</v>
      </c>
    </row>
    <row r="20" spans="1:13" x14ac:dyDescent="0.15">
      <c r="A20" s="146" t="s">
        <v>101</v>
      </c>
      <c r="B20" s="146"/>
      <c r="C20" s="147"/>
      <c r="D20" s="148">
        <f t="shared" ref="D20:M20" si="2">+D12+D14+D16+D18+D10</f>
        <v>36.098019258332428</v>
      </c>
      <c r="E20" s="148">
        <f t="shared" si="2"/>
        <v>38.798595500654102</v>
      </c>
      <c r="F20" s="148">
        <f t="shared" si="2"/>
        <v>43.546700549102951</v>
      </c>
      <c r="G20" s="148">
        <f t="shared" si="2"/>
        <v>48.498772987806269</v>
      </c>
      <c r="H20" s="148">
        <f t="shared" si="2"/>
        <v>54.713012462371559</v>
      </c>
      <c r="I20" s="148">
        <f t="shared" si="2"/>
        <v>60.00991344610199</v>
      </c>
      <c r="J20" s="148">
        <f t="shared" si="2"/>
        <v>63.45106855050453</v>
      </c>
      <c r="K20" s="148">
        <f t="shared" si="2"/>
        <v>65.879063333633681</v>
      </c>
      <c r="L20" s="148">
        <f t="shared" si="2"/>
        <v>67.566466292276687</v>
      </c>
      <c r="M20" s="148">
        <f t="shared" si="2"/>
        <v>67.867102897176039</v>
      </c>
    </row>
    <row r="21" spans="1:13" ht="5" customHeight="1" x14ac:dyDescent="0.15">
      <c r="A21" s="151"/>
      <c r="B21" s="151"/>
      <c r="C21" s="170"/>
      <c r="D21" s="114"/>
      <c r="E21" s="114"/>
      <c r="F21" s="114"/>
      <c r="G21" s="114"/>
      <c r="H21" s="114"/>
      <c r="I21" s="114"/>
      <c r="J21" s="114"/>
      <c r="K21" s="114"/>
      <c r="L21" s="114"/>
      <c r="M21" s="114"/>
    </row>
    <row r="22" spans="1:13" x14ac:dyDescent="0.15">
      <c r="A22" s="169" t="s">
        <v>102</v>
      </c>
      <c r="B22" s="169"/>
      <c r="C22" s="169"/>
      <c r="D22" s="7">
        <f>1/((1+$C$26)^D5)</f>
        <v>0.89766606822262107</v>
      </c>
      <c r="E22" s="7">
        <f t="shared" ref="E22:M22" si="3">1/((1+$C$26)^E5)</f>
        <v>0.80580437003825944</v>
      </c>
      <c r="F22" s="7">
        <f t="shared" si="3"/>
        <v>0.72334324060885047</v>
      </c>
      <c r="G22" s="7">
        <f t="shared" si="3"/>
        <v>0.64932068277275623</v>
      </c>
      <c r="H22" s="7">
        <f t="shared" si="3"/>
        <v>0.58287314432024795</v>
      </c>
      <c r="I22" s="7">
        <f t="shared" si="3"/>
        <v>0.5232254437345133</v>
      </c>
      <c r="J22" s="7">
        <f t="shared" si="3"/>
        <v>0.4696817268711968</v>
      </c>
      <c r="K22" s="7">
        <f t="shared" si="3"/>
        <v>0.42161734907647824</v>
      </c>
      <c r="L22" s="7">
        <f t="shared" si="3"/>
        <v>0.37847158803992659</v>
      </c>
      <c r="M22" s="7">
        <f t="shared" si="3"/>
        <v>0.33974110236977251</v>
      </c>
    </row>
    <row r="23" spans="1:13" ht="5" customHeight="1" x14ac:dyDescent="0.15"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15">
      <c r="A24" s="132" t="s">
        <v>103</v>
      </c>
      <c r="D24" s="6">
        <f t="shared" ref="D24:M24" si="4">+D20*D22</f>
        <v>32.403967018251727</v>
      </c>
      <c r="E24" s="6">
        <f t="shared" si="4"/>
        <v>31.264077805773827</v>
      </c>
      <c r="F24" s="6">
        <f t="shared" si="4"/>
        <v>31.499211493011337</v>
      </c>
      <c r="G24" s="6">
        <f t="shared" si="4"/>
        <v>31.491256390083272</v>
      </c>
      <c r="H24" s="6">
        <f t="shared" si="4"/>
        <v>31.890745609175422</v>
      </c>
      <c r="I24" s="6">
        <f t="shared" si="4"/>
        <v>31.39871359130645</v>
      </c>
      <c r="J24" s="6">
        <f t="shared" si="4"/>
        <v>29.801807448623656</v>
      </c>
      <c r="K24" s="6">
        <f t="shared" si="4"/>
        <v>27.775756042368052</v>
      </c>
      <c r="L24" s="6">
        <f t="shared" si="4"/>
        <v>25.571987795884127</v>
      </c>
      <c r="M24" s="6">
        <f t="shared" si="4"/>
        <v>23.05724435292937</v>
      </c>
    </row>
    <row r="26" spans="1:13" x14ac:dyDescent="0.15">
      <c r="A26" s="137" t="s">
        <v>96</v>
      </c>
      <c r="B26" s="138"/>
      <c r="C26" s="149">
        <f>+'WACC Calculation'!C11</f>
        <v>0.114</v>
      </c>
    </row>
    <row r="27" spans="1:13" x14ac:dyDescent="0.15">
      <c r="A27" s="150" t="s">
        <v>104</v>
      </c>
      <c r="B27" s="151"/>
      <c r="C27" s="152">
        <v>0.02</v>
      </c>
    </row>
    <row r="28" spans="1:13" x14ac:dyDescent="0.15">
      <c r="A28" s="153"/>
      <c r="B28" s="154"/>
      <c r="C28" s="143"/>
    </row>
    <row r="29" spans="1:13" x14ac:dyDescent="0.15">
      <c r="A29" s="153"/>
      <c r="B29" s="154"/>
      <c r="C29" s="155"/>
    </row>
    <row r="30" spans="1:13" x14ac:dyDescent="0.15">
      <c r="A30" s="150" t="s">
        <v>105</v>
      </c>
      <c r="B30" s="151"/>
      <c r="C30" s="156">
        <f>(M20*(1+C26))/(C26-C27)</f>
        <v>804.29736837717144</v>
      </c>
    </row>
    <row r="31" spans="1:13" x14ac:dyDescent="0.15">
      <c r="A31" s="153" t="s">
        <v>106</v>
      </c>
      <c r="B31" s="154"/>
      <c r="C31" s="156">
        <f>C30*M22</f>
        <v>273.25287456556725</v>
      </c>
      <c r="F31" s="175"/>
      <c r="G31" s="175"/>
      <c r="H31" s="175"/>
      <c r="I31" s="175"/>
      <c r="J31" s="175"/>
    </row>
    <row r="32" spans="1:13" x14ac:dyDescent="0.15">
      <c r="A32" s="153"/>
      <c r="B32" s="154"/>
      <c r="C32" s="156"/>
      <c r="F32" s="175"/>
      <c r="G32" s="175"/>
      <c r="H32" s="175"/>
      <c r="I32" s="175"/>
      <c r="J32" s="175"/>
    </row>
    <row r="33" spans="1:21" x14ac:dyDescent="0.15">
      <c r="A33" s="153" t="s">
        <v>107</v>
      </c>
      <c r="B33" s="154"/>
      <c r="C33" s="156">
        <f>SUM(D24:M24)</f>
        <v>296.15476754740723</v>
      </c>
      <c r="F33" s="175"/>
      <c r="G33" s="175"/>
      <c r="H33" s="175"/>
      <c r="I33" s="175"/>
      <c r="J33" s="175"/>
    </row>
    <row r="34" spans="1:21" x14ac:dyDescent="0.15">
      <c r="A34" s="153"/>
      <c r="B34" s="154"/>
      <c r="C34" s="156"/>
      <c r="F34" s="175"/>
      <c r="G34" s="175"/>
      <c r="H34" s="175"/>
      <c r="I34" s="175"/>
      <c r="J34" s="175"/>
    </row>
    <row r="35" spans="1:21" x14ac:dyDescent="0.15">
      <c r="A35" s="150" t="s">
        <v>108</v>
      </c>
      <c r="B35" s="151"/>
      <c r="C35" s="158">
        <f>+C31+C33</f>
        <v>569.40764211297449</v>
      </c>
      <c r="D35" s="201"/>
    </row>
    <row r="36" spans="1:21" x14ac:dyDescent="0.15">
      <c r="A36" s="153" t="s">
        <v>109</v>
      </c>
      <c r="B36" s="154"/>
      <c r="C36" s="156">
        <f>+'Balance Sheet'!H23</f>
        <v>234.99599999999981</v>
      </c>
    </row>
    <row r="37" spans="1:21" x14ac:dyDescent="0.15">
      <c r="A37" s="153" t="s">
        <v>110</v>
      </c>
      <c r="B37" s="154"/>
      <c r="C37" s="156">
        <v>0</v>
      </c>
    </row>
    <row r="38" spans="1:21" x14ac:dyDescent="0.15">
      <c r="A38" s="140" t="s">
        <v>111</v>
      </c>
      <c r="B38" s="141"/>
      <c r="C38" s="159">
        <f>+C35-C36</f>
        <v>334.41164211297468</v>
      </c>
    </row>
    <row r="39" spans="1:21" x14ac:dyDescent="0.15">
      <c r="A39" s="144"/>
      <c r="B39" s="144"/>
      <c r="C39" s="12"/>
    </row>
    <row r="40" spans="1:21" x14ac:dyDescent="0.15">
      <c r="A40" s="137" t="s">
        <v>113</v>
      </c>
      <c r="B40" s="138"/>
      <c r="C40" s="139">
        <f>+C35/D8</f>
        <v>14.370181245933543</v>
      </c>
    </row>
    <row r="41" spans="1:21" x14ac:dyDescent="0.15">
      <c r="A41" s="140" t="s">
        <v>114</v>
      </c>
      <c r="B41" s="141"/>
      <c r="C41" s="142">
        <f>+C35/D12</f>
        <v>16.114353781619347</v>
      </c>
    </row>
    <row r="42" spans="1:21" x14ac:dyDescent="0.15">
      <c r="P42" s="243"/>
      <c r="Q42" s="243"/>
      <c r="R42" s="243"/>
      <c r="S42" s="243"/>
      <c r="T42" s="243"/>
      <c r="U42" s="243"/>
    </row>
    <row r="43" spans="1:21" ht="15" customHeight="1" x14ac:dyDescent="0.2">
      <c r="P43"/>
      <c r="Q43" s="242" t="s">
        <v>112</v>
      </c>
      <c r="R43" s="242"/>
      <c r="S43" s="242"/>
      <c r="T43" s="242"/>
      <c r="U43" s="242"/>
    </row>
    <row r="44" spans="1:21" x14ac:dyDescent="0.15">
      <c r="Q44" s="244" t="s">
        <v>96</v>
      </c>
      <c r="R44" s="244"/>
      <c r="S44" s="244"/>
      <c r="T44" s="244"/>
      <c r="U44" s="244"/>
    </row>
    <row r="45" spans="1:21" x14ac:dyDescent="0.15">
      <c r="P45" s="160">
        <f>C35</f>
        <v>569.40764211297449</v>
      </c>
      <c r="Q45" s="173">
        <f>+R45-0.01</f>
        <v>8.5000000000000006E-2</v>
      </c>
      <c r="R45" s="173">
        <f>+S45-0.01</f>
        <v>9.5000000000000001E-2</v>
      </c>
      <c r="S45" s="173">
        <v>0.105</v>
      </c>
      <c r="T45" s="173">
        <f>+S45+0.01</f>
        <v>0.11499999999999999</v>
      </c>
      <c r="U45" s="173">
        <f>+T45+0.01</f>
        <v>0.12499999999999999</v>
      </c>
    </row>
    <row r="46" spans="1:21" x14ac:dyDescent="0.15">
      <c r="O46" s="241" t="s">
        <v>104</v>
      </c>
      <c r="P46" s="237">
        <f>+P47-0.005</f>
        <v>9.9999999999999985E-3</v>
      </c>
      <c r="Q46" s="161">
        <f t="dataTable" ref="Q46:U50" dt2D="1" dtr="0" r1="C26" r2="C27"/>
        <v>775.31306537435921</v>
      </c>
      <c r="R46" s="162">
        <v>677.31109513522733</v>
      </c>
      <c r="S46" s="162">
        <v>599.97323514256709</v>
      </c>
      <c r="T46" s="162">
        <v>537.42282154134773</v>
      </c>
      <c r="U46" s="163">
        <v>485.82230694715412</v>
      </c>
    </row>
    <row r="47" spans="1:21" x14ac:dyDescent="0.15">
      <c r="O47" s="241"/>
      <c r="P47" s="237">
        <f>+P48-0.005</f>
        <v>1.4999999999999999E-2</v>
      </c>
      <c r="Q47" s="164">
        <v>806.33024947232934</v>
      </c>
      <c r="R47" s="167">
        <v>699.36032015063051</v>
      </c>
      <c r="S47" s="167">
        <v>616.13179673082368</v>
      </c>
      <c r="T47" s="167">
        <v>549.55576599341896</v>
      </c>
      <c r="U47" s="156">
        <v>495.11552414126021</v>
      </c>
    </row>
    <row r="48" spans="1:21" x14ac:dyDescent="0.15">
      <c r="O48" s="241"/>
      <c r="P48" s="237">
        <v>0.02</v>
      </c>
      <c r="Q48" s="164">
        <v>842.11930804691042</v>
      </c>
      <c r="R48" s="167">
        <v>724.34944183475409</v>
      </c>
      <c r="S48" s="168">
        <v>634.19136556475746</v>
      </c>
      <c r="T48" s="167">
        <v>562.96586249307666</v>
      </c>
      <c r="U48" s="156">
        <v>505.29380963956692</v>
      </c>
    </row>
    <row r="49" spans="15:21" x14ac:dyDescent="0.15">
      <c r="O49" s="241"/>
      <c r="P49" s="237">
        <f>+P48+0.005</f>
        <v>2.5000000000000001E-2</v>
      </c>
      <c r="Q49" s="164">
        <v>883.87320971725467</v>
      </c>
      <c r="R49" s="167">
        <v>752.9084380451809</v>
      </c>
      <c r="S49" s="167">
        <v>654.50838050293305</v>
      </c>
      <c r="T49" s="167">
        <v>577.86596971491849</v>
      </c>
      <c r="U49" s="156">
        <v>516.48992368770428</v>
      </c>
    </row>
    <row r="50" spans="15:21" x14ac:dyDescent="0.15">
      <c r="O50" s="241"/>
      <c r="P50" s="237">
        <f>+P49+0.005</f>
        <v>3.0000000000000002E-2</v>
      </c>
      <c r="Q50" s="165">
        <v>933.21872987311622</v>
      </c>
      <c r="R50" s="166">
        <v>785.86112598028876</v>
      </c>
      <c r="S50" s="166">
        <v>677.53433076619876</v>
      </c>
      <c r="T50" s="166">
        <v>594.51903072756522</v>
      </c>
      <c r="U50" s="157">
        <v>528.86457605669807</v>
      </c>
    </row>
  </sheetData>
  <mergeCells count="4">
    <mergeCell ref="O46:O50"/>
    <mergeCell ref="Q43:U43"/>
    <mergeCell ref="P42:U42"/>
    <mergeCell ref="Q44:U44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67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23"/>
  <sheetViews>
    <sheetView showGridLines="0" zoomScaleSheetLayoutView="100" workbookViewId="0">
      <selection activeCell="H20" sqref="H20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12" width="9.5" style="6" bestFit="1" customWidth="1"/>
    <col min="13" max="16384" width="8.83203125" style="6"/>
  </cols>
  <sheetData>
    <row r="1" spans="1:12" s="2" customFormat="1" x14ac:dyDescent="0.15"/>
    <row r="2" spans="1:12" s="2" customFormat="1" x14ac:dyDescent="0.15">
      <c r="B2" s="89" t="s">
        <v>116</v>
      </c>
      <c r="C2" s="89"/>
      <c r="D2" s="89"/>
    </row>
    <row r="3" spans="1:12" s="2" customFormat="1" x14ac:dyDescent="0.15">
      <c r="B3" s="5"/>
      <c r="D3" s="181" t="s">
        <v>127</v>
      </c>
    </row>
    <row r="4" spans="1:12" s="2" customFormat="1" x14ac:dyDescent="0.15">
      <c r="B4" s="2" t="s">
        <v>120</v>
      </c>
      <c r="D4" s="2">
        <f>'Income Statement'!G89</f>
        <v>39.165999999999968</v>
      </c>
    </row>
    <row r="5" spans="1:12" s="2" customFormat="1" x14ac:dyDescent="0.15">
      <c r="B5" s="2" t="s">
        <v>121</v>
      </c>
      <c r="D5" s="2">
        <f>+'Income Statement'!H89</f>
        <v>39.624249156502799</v>
      </c>
    </row>
    <row r="6" spans="1:12" s="2" customFormat="1" x14ac:dyDescent="0.15">
      <c r="B6" s="2" t="s">
        <v>122</v>
      </c>
      <c r="C6" s="179">
        <v>12</v>
      </c>
    </row>
    <row r="7" spans="1:12" s="2" customFormat="1" x14ac:dyDescent="0.15">
      <c r="B7" s="2" t="s">
        <v>123</v>
      </c>
      <c r="C7" s="179">
        <v>6</v>
      </c>
      <c r="I7" s="2">
        <f>475+213</f>
        <v>688</v>
      </c>
    </row>
    <row r="8" spans="1:12" s="2" customFormat="1" x14ac:dyDescent="0.15">
      <c r="B8" s="2" t="s">
        <v>128</v>
      </c>
      <c r="D8" s="20">
        <f>+D4*C7</f>
        <v>234.99599999999981</v>
      </c>
    </row>
    <row r="9" spans="1:12" s="2" customFormat="1" x14ac:dyDescent="0.15">
      <c r="B9" s="16" t="s">
        <v>124</v>
      </c>
      <c r="C9" s="180">
        <v>4.5</v>
      </c>
      <c r="D9" s="5">
        <f>+C9*D4</f>
        <v>176.24699999999984</v>
      </c>
      <c r="E9" s="190">
        <v>5.5E-2</v>
      </c>
      <c r="F9" s="188" t="s">
        <v>130</v>
      </c>
      <c r="G9" s="5">
        <f>+D9*E9</f>
        <v>9.6935849999999917</v>
      </c>
    </row>
    <row r="10" spans="1:12" s="2" customFormat="1" x14ac:dyDescent="0.15">
      <c r="B10" s="16" t="s">
        <v>125</v>
      </c>
      <c r="C10" s="180">
        <v>1.5</v>
      </c>
      <c r="D10" s="5">
        <f>+C10*D4</f>
        <v>58.748999999999953</v>
      </c>
      <c r="E10" s="190">
        <v>7.4999999999999997E-2</v>
      </c>
      <c r="F10" s="188" t="s">
        <v>131</v>
      </c>
      <c r="G10" s="5">
        <f>+D10*E10</f>
        <v>4.4061749999999966</v>
      </c>
    </row>
    <row r="11" spans="1:12" s="2" customFormat="1" x14ac:dyDescent="0.15">
      <c r="B11" s="182" t="s">
        <v>126</v>
      </c>
      <c r="C11" s="183"/>
      <c r="D11" s="184">
        <f>+C6*D5</f>
        <v>475.49098987803359</v>
      </c>
      <c r="G11" s="128">
        <f>+(G9+G10)/D8</f>
        <v>6.0000000000000005E-2</v>
      </c>
      <c r="H11" s="2" t="s">
        <v>136</v>
      </c>
    </row>
    <row r="12" spans="1:12" s="2" customFormat="1" x14ac:dyDescent="0.15">
      <c r="B12" s="185" t="s">
        <v>129</v>
      </c>
      <c r="C12" s="186"/>
      <c r="D12" s="187">
        <f>+D11-D8</f>
        <v>240.49498987803378</v>
      </c>
    </row>
    <row r="13" spans="1:12" s="2" customFormat="1" x14ac:dyDescent="0.15">
      <c r="B13" s="5"/>
      <c r="D13" s="14">
        <f>D12/D11</f>
        <v>0.50578243331113859</v>
      </c>
    </row>
    <row r="14" spans="1:12" s="2" customFormat="1" x14ac:dyDescent="0.15">
      <c r="B14" s="82" t="s">
        <v>0</v>
      </c>
      <c r="C14" s="87">
        <f>'Income Statement'!H4</f>
        <v>2012</v>
      </c>
      <c r="D14" s="88">
        <f>'Income Statement'!I4</f>
        <v>2013</v>
      </c>
      <c r="E14" s="88">
        <f>'Income Statement'!J4</f>
        <v>2014</v>
      </c>
      <c r="F14" s="88">
        <f>'Income Statement'!K4</f>
        <v>2015</v>
      </c>
      <c r="G14" s="88">
        <f>'Income Statement'!L4</f>
        <v>2016</v>
      </c>
      <c r="H14" s="88">
        <f>'Income Statement'!M4</f>
        <v>2017</v>
      </c>
      <c r="I14" s="88">
        <f>'Income Statement'!N4</f>
        <v>2018</v>
      </c>
      <c r="J14" s="88">
        <f>'Income Statement'!O4</f>
        <v>2019</v>
      </c>
      <c r="K14" s="88">
        <f>'Income Statement'!P4</f>
        <v>2020</v>
      </c>
      <c r="L14" s="88">
        <f>'Income Statement'!Q4</f>
        <v>2021</v>
      </c>
    </row>
    <row r="15" spans="1:12" s="37" customFormat="1" x14ac:dyDescent="0.15">
      <c r="A15" s="35"/>
      <c r="B15" s="36"/>
    </row>
    <row r="16" spans="1:12" s="37" customFormat="1" x14ac:dyDescent="0.15">
      <c r="A16" s="38"/>
      <c r="B16" s="42" t="s">
        <v>117</v>
      </c>
      <c r="C16" s="37">
        <f>DCF!D20</f>
        <v>36.098019258332428</v>
      </c>
      <c r="D16" s="37">
        <f>DCF!E20</f>
        <v>38.798595500654102</v>
      </c>
      <c r="E16" s="37">
        <f>DCF!F20</f>
        <v>43.546700549102951</v>
      </c>
      <c r="F16" s="37">
        <f>DCF!G20</f>
        <v>48.498772987806269</v>
      </c>
      <c r="G16" s="37">
        <f>DCF!H20</f>
        <v>54.713012462371559</v>
      </c>
      <c r="H16" s="37">
        <f>DCF!I20</f>
        <v>60.00991344610199</v>
      </c>
      <c r="I16" s="37">
        <f>DCF!J20</f>
        <v>63.45106855050453</v>
      </c>
      <c r="J16" s="37">
        <f>DCF!K20</f>
        <v>65.879063333633681</v>
      </c>
      <c r="K16" s="37">
        <f>DCF!L20</f>
        <v>67.566466292276687</v>
      </c>
      <c r="L16" s="37">
        <f>DCF!M20</f>
        <v>67.867102897176039</v>
      </c>
    </row>
    <row r="17" spans="1:12" s="37" customFormat="1" x14ac:dyDescent="0.15">
      <c r="A17" s="35"/>
      <c r="B17" s="42"/>
    </row>
    <row r="18" spans="1:12" s="37" customFormat="1" x14ac:dyDescent="0.15">
      <c r="A18" s="35"/>
      <c r="B18" s="42" t="s">
        <v>132</v>
      </c>
    </row>
    <row r="19" spans="1:12" s="39" customFormat="1" x14ac:dyDescent="0.15">
      <c r="A19" s="38"/>
      <c r="B19" s="43" t="s">
        <v>133</v>
      </c>
      <c r="C19" s="37">
        <f>+C56</f>
        <v>-12.924779999999989</v>
      </c>
      <c r="D19" s="37">
        <f t="shared" ref="D19:L19" si="0">+D56</f>
        <v>-12.924779999999989</v>
      </c>
      <c r="E19" s="37">
        <f t="shared" si="0"/>
        <v>-12.924779999999989</v>
      </c>
      <c r="F19" s="37">
        <f t="shared" si="0"/>
        <v>-12.924779999999989</v>
      </c>
      <c r="G19" s="37">
        <f t="shared" si="0"/>
        <v>-12.924779999999989</v>
      </c>
      <c r="H19" s="37">
        <f t="shared" si="0"/>
        <v>-12.924779999999989</v>
      </c>
      <c r="I19" s="37">
        <f t="shared" si="0"/>
        <v>-12.924779999999989</v>
      </c>
      <c r="J19" s="37">
        <f t="shared" si="0"/>
        <v>0</v>
      </c>
      <c r="K19" s="37">
        <f t="shared" si="0"/>
        <v>0</v>
      </c>
      <c r="L19" s="37">
        <f t="shared" si="0"/>
        <v>0</v>
      </c>
    </row>
    <row r="20" spans="1:12" s="39" customFormat="1" x14ac:dyDescent="0.15">
      <c r="A20" s="38"/>
      <c r="B20" s="43" t="s">
        <v>134</v>
      </c>
      <c r="C20" s="37">
        <f>+C57</f>
        <v>0</v>
      </c>
      <c r="D20" s="37">
        <f t="shared" ref="D20:L20" si="1">+D57</f>
        <v>0</v>
      </c>
      <c r="E20" s="37">
        <f t="shared" si="1"/>
        <v>0</v>
      </c>
      <c r="F20" s="37">
        <f t="shared" si="1"/>
        <v>0</v>
      </c>
      <c r="G20" s="37">
        <f t="shared" si="1"/>
        <v>0</v>
      </c>
      <c r="H20" s="37">
        <f t="shared" si="1"/>
        <v>0</v>
      </c>
      <c r="I20" s="37">
        <f t="shared" si="1"/>
        <v>-176.24699999999984</v>
      </c>
      <c r="J20" s="37">
        <f t="shared" si="1"/>
        <v>-58.748999999999953</v>
      </c>
      <c r="K20" s="37">
        <f t="shared" si="1"/>
        <v>0</v>
      </c>
      <c r="L20" s="37">
        <f t="shared" si="1"/>
        <v>0</v>
      </c>
    </row>
    <row r="21" spans="1:12" s="39" customFormat="1" x14ac:dyDescent="0.15">
      <c r="A21" s="38"/>
      <c r="B21" s="43" t="s">
        <v>143</v>
      </c>
      <c r="C21" s="37"/>
      <c r="D21" s="37"/>
      <c r="E21" s="37"/>
      <c r="F21" s="37"/>
      <c r="G21" s="37"/>
      <c r="H21" s="37"/>
      <c r="I21" s="238">
        <v>-125.7207114494953</v>
      </c>
      <c r="J21" s="37"/>
      <c r="K21" s="37"/>
      <c r="L21" s="37"/>
    </row>
    <row r="22" spans="1:12" s="39" customFormat="1" x14ac:dyDescent="0.15">
      <c r="A22" s="38"/>
      <c r="B22" s="44"/>
    </row>
    <row r="23" spans="1:12" s="39" customFormat="1" ht="14" thickBot="1" x14ac:dyDescent="0.2">
      <c r="A23" s="38"/>
      <c r="B23" s="115" t="s">
        <v>142</v>
      </c>
      <c r="C23" s="117">
        <f>+C16+C19+C20</f>
        <v>23.173239258332437</v>
      </c>
      <c r="D23" s="117">
        <f t="shared" ref="D23:L23" si="2">+D16+D19+D20</f>
        <v>25.873815500654111</v>
      </c>
      <c r="E23" s="117">
        <f t="shared" si="2"/>
        <v>30.62192054910296</v>
      </c>
      <c r="F23" s="117">
        <f t="shared" si="2"/>
        <v>35.573992987806278</v>
      </c>
      <c r="G23" s="117">
        <f t="shared" si="2"/>
        <v>41.788232462371568</v>
      </c>
      <c r="H23" s="117">
        <f t="shared" si="2"/>
        <v>47.085133446101999</v>
      </c>
      <c r="I23" s="117">
        <f>+I16+I19+I20-I21</f>
        <v>0</v>
      </c>
      <c r="J23" s="117">
        <f t="shared" si="2"/>
        <v>7.1300633336337285</v>
      </c>
      <c r="K23" s="117">
        <f t="shared" si="2"/>
        <v>67.566466292276687</v>
      </c>
      <c r="L23" s="117">
        <f t="shared" si="2"/>
        <v>67.867102897176039</v>
      </c>
    </row>
    <row r="24" spans="1:12" s="37" customFormat="1" ht="14" thickTop="1" x14ac:dyDescent="0.15">
      <c r="A24" s="35"/>
      <c r="B24" s="46"/>
    </row>
    <row r="25" spans="1:12" s="37" customFormat="1" x14ac:dyDescent="0.15">
      <c r="A25" s="35"/>
      <c r="B25" s="42"/>
    </row>
    <row r="26" spans="1:12" s="39" customFormat="1" x14ac:dyDescent="0.15">
      <c r="A26" s="38"/>
      <c r="B26" s="189" t="s">
        <v>124</v>
      </c>
    </row>
    <row r="27" spans="1:12" s="37" customFormat="1" x14ac:dyDescent="0.15">
      <c r="A27" s="35"/>
      <c r="B27" s="46"/>
      <c r="C27" s="37">
        <v>1</v>
      </c>
      <c r="D27" s="37">
        <f>+C27+1</f>
        <v>2</v>
      </c>
      <c r="E27" s="37">
        <f t="shared" ref="E27:L27" si="3">+D27+1</f>
        <v>3</v>
      </c>
      <c r="F27" s="37">
        <f t="shared" si="3"/>
        <v>4</v>
      </c>
      <c r="G27" s="37">
        <f t="shared" si="3"/>
        <v>5</v>
      </c>
      <c r="H27" s="37">
        <f t="shared" si="3"/>
        <v>6</v>
      </c>
      <c r="I27" s="37">
        <f t="shared" si="3"/>
        <v>7</v>
      </c>
      <c r="J27" s="37">
        <f t="shared" si="3"/>
        <v>8</v>
      </c>
      <c r="K27" s="37">
        <f t="shared" si="3"/>
        <v>9</v>
      </c>
      <c r="L27" s="37">
        <f t="shared" si="3"/>
        <v>10</v>
      </c>
    </row>
    <row r="28" spans="1:12" s="37" customFormat="1" x14ac:dyDescent="0.15">
      <c r="A28" s="35"/>
      <c r="B28" s="97" t="str">
        <f>'Income Statement'!B4</f>
        <v>(YE 31-Dec, USDm)</v>
      </c>
      <c r="C28" s="72">
        <f>'Income Statement'!H4</f>
        <v>2012</v>
      </c>
      <c r="D28" s="72">
        <f>'Income Statement'!I4</f>
        <v>2013</v>
      </c>
      <c r="E28" s="72">
        <f>'Income Statement'!J4</f>
        <v>2014</v>
      </c>
      <c r="F28" s="72">
        <f>'Income Statement'!K4</f>
        <v>2015</v>
      </c>
      <c r="G28" s="72">
        <f>'Income Statement'!L4</f>
        <v>2016</v>
      </c>
      <c r="H28" s="72">
        <f>'Income Statement'!M4</f>
        <v>2017</v>
      </c>
      <c r="I28" s="72">
        <f>'Income Statement'!N4</f>
        <v>2018</v>
      </c>
      <c r="J28" s="72">
        <f>'Income Statement'!O4</f>
        <v>2019</v>
      </c>
      <c r="K28" s="72">
        <f>'Income Statement'!P4</f>
        <v>2020</v>
      </c>
      <c r="L28" s="72">
        <f>'Income Statement'!Q4</f>
        <v>2021</v>
      </c>
    </row>
    <row r="29" spans="1:12" s="37" customFormat="1" x14ac:dyDescent="0.15">
      <c r="A29" s="35"/>
      <c r="B29" s="23" t="s">
        <v>32</v>
      </c>
      <c r="C29" s="12">
        <f>+D9</f>
        <v>176.24699999999984</v>
      </c>
      <c r="D29" s="12">
        <f t="shared" ref="D29:L29" si="4">+C32</f>
        <v>176.24699999999984</v>
      </c>
      <c r="E29" s="12">
        <f t="shared" si="4"/>
        <v>176.24699999999984</v>
      </c>
      <c r="F29" s="12">
        <f t="shared" si="4"/>
        <v>176.24699999999984</v>
      </c>
      <c r="G29" s="12">
        <f t="shared" si="4"/>
        <v>176.24699999999984</v>
      </c>
      <c r="H29" s="12">
        <f t="shared" si="4"/>
        <v>176.24699999999984</v>
      </c>
      <c r="I29" s="12">
        <f t="shared" si="4"/>
        <v>176.24699999999984</v>
      </c>
      <c r="J29" s="12">
        <f t="shared" si="4"/>
        <v>0</v>
      </c>
      <c r="K29" s="12">
        <f t="shared" si="4"/>
        <v>0</v>
      </c>
      <c r="L29" s="12">
        <f t="shared" si="4"/>
        <v>0</v>
      </c>
    </row>
    <row r="30" spans="1:12" s="37" customFormat="1" x14ac:dyDescent="0.15">
      <c r="A30" s="35"/>
      <c r="B30" s="29" t="s">
        <v>33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</row>
    <row r="31" spans="1:12" s="37" customFormat="1" x14ac:dyDescent="0.15">
      <c r="A31" s="35"/>
      <c r="B31" s="29" t="s">
        <v>40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26">
        <f>-I29</f>
        <v>-176.24699999999984</v>
      </c>
      <c r="J31" s="26"/>
      <c r="K31" s="26"/>
      <c r="L31" s="26"/>
    </row>
    <row r="32" spans="1:12" s="39" customFormat="1" ht="14" thickBot="1" x14ac:dyDescent="0.2">
      <c r="A32" s="38"/>
      <c r="B32" s="54" t="s">
        <v>36</v>
      </c>
      <c r="C32" s="55">
        <f>+C29+C30+C31</f>
        <v>176.24699999999984</v>
      </c>
      <c r="D32" s="55">
        <f t="shared" ref="D32:L32" si="5">+D29+D30+D31</f>
        <v>176.24699999999984</v>
      </c>
      <c r="E32" s="55">
        <f t="shared" si="5"/>
        <v>176.24699999999984</v>
      </c>
      <c r="F32" s="55">
        <f t="shared" si="5"/>
        <v>176.24699999999984</v>
      </c>
      <c r="G32" s="55">
        <f t="shared" si="5"/>
        <v>176.24699999999984</v>
      </c>
      <c r="H32" s="55">
        <f t="shared" si="5"/>
        <v>176.24699999999984</v>
      </c>
      <c r="I32" s="55">
        <f t="shared" si="5"/>
        <v>0</v>
      </c>
      <c r="J32" s="55">
        <f t="shared" si="5"/>
        <v>0</v>
      </c>
      <c r="K32" s="55">
        <f t="shared" si="5"/>
        <v>0</v>
      </c>
      <c r="L32" s="55">
        <f t="shared" si="5"/>
        <v>0</v>
      </c>
    </row>
    <row r="33" spans="1:17" s="39" customFormat="1" ht="14" thickTop="1" x14ac:dyDescent="0.15">
      <c r="A33" s="38"/>
      <c r="B33" s="28"/>
      <c r="C33" s="27"/>
      <c r="D33" s="27"/>
      <c r="E33" s="27"/>
      <c r="F33" s="27"/>
      <c r="G33" s="27"/>
      <c r="H33" s="26"/>
      <c r="I33" s="26"/>
      <c r="J33" s="26"/>
      <c r="K33" s="26"/>
      <c r="L33" s="26"/>
      <c r="M33" s="26"/>
      <c r="N33" s="26"/>
      <c r="O33" s="26"/>
      <c r="P33" s="26"/>
      <c r="Q33" s="26"/>
    </row>
    <row r="34" spans="1:17" s="37" customFormat="1" x14ac:dyDescent="0.15">
      <c r="A34" s="35"/>
      <c r="B34" s="98" t="s">
        <v>41</v>
      </c>
      <c r="C34" s="99">
        <f>+E9</f>
        <v>5.5E-2</v>
      </c>
      <c r="D34" s="27"/>
      <c r="E34" s="27"/>
      <c r="F34" s="27"/>
      <c r="G34" s="27"/>
      <c r="H34" s="26"/>
      <c r="I34" s="26"/>
      <c r="J34" s="26"/>
      <c r="K34" s="26"/>
      <c r="L34" s="26"/>
      <c r="M34" s="26"/>
      <c r="N34" s="26"/>
      <c r="O34" s="26"/>
      <c r="P34" s="26"/>
      <c r="Q34" s="26"/>
    </row>
    <row r="35" spans="1:17" s="37" customFormat="1" x14ac:dyDescent="0.15">
      <c r="A35" s="35"/>
      <c r="B35" s="34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</row>
    <row r="36" spans="1:17" s="37" customFormat="1" x14ac:dyDescent="0.15">
      <c r="A36" s="35"/>
      <c r="B36" s="98" t="s">
        <v>38</v>
      </c>
      <c r="C36" s="100">
        <f>+C29*$C$34</f>
        <v>9.6935849999999917</v>
      </c>
      <c r="D36" s="100">
        <f t="shared" ref="D36:I36" si="6">+D29*$C$34</f>
        <v>9.6935849999999917</v>
      </c>
      <c r="E36" s="100">
        <f t="shared" si="6"/>
        <v>9.6935849999999917</v>
      </c>
      <c r="F36" s="100">
        <f t="shared" si="6"/>
        <v>9.6935849999999917</v>
      </c>
      <c r="G36" s="100">
        <f t="shared" si="6"/>
        <v>9.6935849999999917</v>
      </c>
      <c r="H36" s="100">
        <f t="shared" si="6"/>
        <v>9.6935849999999917</v>
      </c>
      <c r="I36" s="100">
        <f t="shared" si="6"/>
        <v>9.6935849999999917</v>
      </c>
      <c r="J36" s="100"/>
      <c r="K36" s="100"/>
      <c r="L36" s="101"/>
    </row>
    <row r="37" spans="1:17" s="37" customFormat="1" x14ac:dyDescent="0.15">
      <c r="A37" s="35"/>
      <c r="B37" s="46"/>
    </row>
    <row r="38" spans="1:17" s="37" customFormat="1" x14ac:dyDescent="0.15">
      <c r="A38" s="35"/>
      <c r="B38" s="46"/>
    </row>
    <row r="39" spans="1:17" s="37" customFormat="1" x14ac:dyDescent="0.15">
      <c r="A39" s="35"/>
      <c r="B39" s="44"/>
    </row>
    <row r="40" spans="1:17" s="37" customFormat="1" x14ac:dyDescent="0.15">
      <c r="A40" s="35"/>
      <c r="B40" s="189" t="s">
        <v>135</v>
      </c>
      <c r="C40" s="39"/>
      <c r="D40" s="39"/>
      <c r="E40" s="39"/>
      <c r="F40" s="39"/>
      <c r="G40" s="39"/>
      <c r="H40" s="39"/>
      <c r="I40" s="39"/>
      <c r="J40" s="39"/>
      <c r="K40" s="39"/>
      <c r="L40" s="39"/>
    </row>
    <row r="41" spans="1:17" s="37" customFormat="1" x14ac:dyDescent="0.15">
      <c r="A41" s="35"/>
      <c r="B41" s="46"/>
      <c r="C41" s="37">
        <v>1</v>
      </c>
      <c r="D41" s="37">
        <f>+C41+1</f>
        <v>2</v>
      </c>
      <c r="E41" s="37">
        <f t="shared" ref="E41:L41" si="7">+D41+1</f>
        <v>3</v>
      </c>
      <c r="F41" s="37">
        <f t="shared" si="7"/>
        <v>4</v>
      </c>
      <c r="G41" s="37">
        <f t="shared" si="7"/>
        <v>5</v>
      </c>
      <c r="H41" s="37">
        <f t="shared" si="7"/>
        <v>6</v>
      </c>
      <c r="I41" s="37">
        <f t="shared" si="7"/>
        <v>7</v>
      </c>
      <c r="J41" s="37">
        <f t="shared" si="7"/>
        <v>8</v>
      </c>
      <c r="K41" s="37">
        <f t="shared" si="7"/>
        <v>9</v>
      </c>
      <c r="L41" s="37">
        <f t="shared" si="7"/>
        <v>10</v>
      </c>
    </row>
    <row r="42" spans="1:17" s="37" customFormat="1" x14ac:dyDescent="0.15">
      <c r="A42" s="35"/>
      <c r="B42" s="97" t="str">
        <f>+B28</f>
        <v>(YE 31-Dec, USDm)</v>
      </c>
      <c r="C42" s="72">
        <f>+C28</f>
        <v>2012</v>
      </c>
      <c r="D42" s="72">
        <f t="shared" ref="D42:L42" si="8">+D28</f>
        <v>2013</v>
      </c>
      <c r="E42" s="72">
        <f t="shared" si="8"/>
        <v>2014</v>
      </c>
      <c r="F42" s="72">
        <f t="shared" si="8"/>
        <v>2015</v>
      </c>
      <c r="G42" s="72">
        <f t="shared" si="8"/>
        <v>2016</v>
      </c>
      <c r="H42" s="72">
        <f t="shared" si="8"/>
        <v>2017</v>
      </c>
      <c r="I42" s="72">
        <f t="shared" si="8"/>
        <v>2018</v>
      </c>
      <c r="J42" s="72">
        <f t="shared" si="8"/>
        <v>2019</v>
      </c>
      <c r="K42" s="72">
        <f t="shared" si="8"/>
        <v>2020</v>
      </c>
      <c r="L42" s="72">
        <f t="shared" si="8"/>
        <v>2021</v>
      </c>
    </row>
    <row r="43" spans="1:17" s="39" customFormat="1" x14ac:dyDescent="0.15">
      <c r="A43" s="38"/>
      <c r="B43" s="23" t="s">
        <v>32</v>
      </c>
      <c r="C43" s="12">
        <f>+D10</f>
        <v>58.748999999999953</v>
      </c>
      <c r="D43" s="12">
        <f t="shared" ref="D43:L43" si="9">+C46</f>
        <v>58.748999999999953</v>
      </c>
      <c r="E43" s="12">
        <f t="shared" si="9"/>
        <v>58.748999999999953</v>
      </c>
      <c r="F43" s="12">
        <f t="shared" si="9"/>
        <v>58.748999999999953</v>
      </c>
      <c r="G43" s="12">
        <f t="shared" si="9"/>
        <v>58.748999999999953</v>
      </c>
      <c r="H43" s="12">
        <f t="shared" si="9"/>
        <v>58.748999999999953</v>
      </c>
      <c r="I43" s="12">
        <f t="shared" si="9"/>
        <v>58.748999999999953</v>
      </c>
      <c r="J43" s="12">
        <f t="shared" si="9"/>
        <v>58.748999999999953</v>
      </c>
      <c r="K43" s="12">
        <f t="shared" si="9"/>
        <v>0</v>
      </c>
      <c r="L43" s="12">
        <f t="shared" si="9"/>
        <v>0</v>
      </c>
    </row>
    <row r="44" spans="1:17" s="39" customFormat="1" x14ac:dyDescent="0.15">
      <c r="A44" s="38"/>
      <c r="B44" s="29" t="s">
        <v>33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</row>
    <row r="45" spans="1:17" s="39" customFormat="1" x14ac:dyDescent="0.15">
      <c r="A45" s="38"/>
      <c r="B45" s="29" t="s">
        <v>40</v>
      </c>
      <c r="C45" s="12">
        <v>0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26">
        <f>-J43</f>
        <v>-58.748999999999953</v>
      </c>
      <c r="K45" s="26"/>
      <c r="L45" s="26"/>
    </row>
    <row r="46" spans="1:17" s="37" customFormat="1" ht="14" thickBot="1" x14ac:dyDescent="0.2">
      <c r="A46" s="35"/>
      <c r="B46" s="54" t="s">
        <v>36</v>
      </c>
      <c r="C46" s="55">
        <f t="shared" ref="C46:L46" si="10">+C43+C44+C45</f>
        <v>58.748999999999953</v>
      </c>
      <c r="D46" s="55">
        <f t="shared" si="10"/>
        <v>58.748999999999953</v>
      </c>
      <c r="E46" s="55">
        <f t="shared" si="10"/>
        <v>58.748999999999953</v>
      </c>
      <c r="F46" s="55">
        <f t="shared" si="10"/>
        <v>58.748999999999953</v>
      </c>
      <c r="G46" s="55">
        <f t="shared" si="10"/>
        <v>58.748999999999953</v>
      </c>
      <c r="H46" s="55">
        <f t="shared" si="10"/>
        <v>58.748999999999953</v>
      </c>
      <c r="I46" s="55">
        <f t="shared" si="10"/>
        <v>58.748999999999953</v>
      </c>
      <c r="J46" s="55">
        <f t="shared" si="10"/>
        <v>0</v>
      </c>
      <c r="K46" s="55">
        <f t="shared" si="10"/>
        <v>0</v>
      </c>
      <c r="L46" s="55">
        <f t="shared" si="10"/>
        <v>0</v>
      </c>
    </row>
    <row r="47" spans="1:17" s="37" customFormat="1" ht="14" thickTop="1" x14ac:dyDescent="0.15">
      <c r="A47" s="35"/>
      <c r="B47" s="28"/>
      <c r="C47" s="27"/>
      <c r="D47" s="27"/>
      <c r="E47" s="27"/>
      <c r="F47" s="27"/>
      <c r="G47" s="27"/>
      <c r="H47" s="26"/>
      <c r="I47" s="26"/>
      <c r="J47" s="26"/>
      <c r="K47" s="26"/>
      <c r="L47" s="26"/>
    </row>
    <row r="48" spans="1:17" s="37" customFormat="1" x14ac:dyDescent="0.15">
      <c r="A48" s="35"/>
      <c r="B48" s="98" t="s">
        <v>41</v>
      </c>
      <c r="C48" s="99">
        <f>+E10</f>
        <v>7.4999999999999997E-2</v>
      </c>
      <c r="D48" s="27"/>
      <c r="E48" s="27"/>
      <c r="F48" s="27"/>
      <c r="G48" s="27"/>
      <c r="H48" s="26"/>
      <c r="I48" s="26"/>
      <c r="J48" s="26"/>
      <c r="K48" s="26"/>
      <c r="L48" s="26"/>
    </row>
    <row r="49" spans="1:12" s="37" customFormat="1" x14ac:dyDescent="0.15">
      <c r="A49" s="35"/>
      <c r="B49" s="34"/>
      <c r="C49" s="12"/>
      <c r="D49" s="12"/>
      <c r="E49" s="12"/>
      <c r="F49" s="12"/>
      <c r="G49" s="12"/>
      <c r="H49" s="12"/>
      <c r="I49" s="12"/>
      <c r="J49" s="12"/>
      <c r="K49" s="12"/>
      <c r="L49" s="12"/>
    </row>
    <row r="50" spans="1:12" s="37" customFormat="1" x14ac:dyDescent="0.15">
      <c r="A50" s="35"/>
      <c r="B50" s="98" t="s">
        <v>38</v>
      </c>
      <c r="C50" s="100">
        <f>+C43*$C$34</f>
        <v>3.2311949999999974</v>
      </c>
      <c r="D50" s="100">
        <f t="shared" ref="D50:I50" si="11">+D43*$C$34</f>
        <v>3.2311949999999974</v>
      </c>
      <c r="E50" s="100">
        <f t="shared" si="11"/>
        <v>3.2311949999999974</v>
      </c>
      <c r="F50" s="100">
        <f t="shared" si="11"/>
        <v>3.2311949999999974</v>
      </c>
      <c r="G50" s="100">
        <f t="shared" si="11"/>
        <v>3.2311949999999974</v>
      </c>
      <c r="H50" s="100">
        <f t="shared" si="11"/>
        <v>3.2311949999999974</v>
      </c>
      <c r="I50" s="100">
        <f t="shared" si="11"/>
        <v>3.2311949999999974</v>
      </c>
      <c r="J50" s="100"/>
      <c r="K50" s="100"/>
      <c r="L50" s="101"/>
    </row>
    <row r="51" spans="1:12" s="37" customFormat="1" x14ac:dyDescent="0.15">
      <c r="A51" s="35"/>
      <c r="B51" s="46"/>
    </row>
    <row r="52" spans="1:12" s="37" customFormat="1" x14ac:dyDescent="0.15">
      <c r="A52" s="35"/>
      <c r="B52" s="189" t="s">
        <v>140</v>
      </c>
    </row>
    <row r="53" spans="1:12" s="37" customFormat="1" x14ac:dyDescent="0.15">
      <c r="A53" s="35"/>
      <c r="B53" s="44"/>
    </row>
    <row r="54" spans="1:12" s="37" customFormat="1" x14ac:dyDescent="0.15">
      <c r="A54" s="35"/>
      <c r="B54" s="97" t="str">
        <f>+B42</f>
        <v>(YE 31-Dec, USDm)</v>
      </c>
      <c r="C54" s="72">
        <f>+C42</f>
        <v>2012</v>
      </c>
      <c r="D54" s="72">
        <f t="shared" ref="D54:L54" si="12">+D42</f>
        <v>2013</v>
      </c>
      <c r="E54" s="72">
        <f t="shared" si="12"/>
        <v>2014</v>
      </c>
      <c r="F54" s="72">
        <f t="shared" si="12"/>
        <v>2015</v>
      </c>
      <c r="G54" s="72">
        <f t="shared" si="12"/>
        <v>2016</v>
      </c>
      <c r="H54" s="72">
        <f t="shared" si="12"/>
        <v>2017</v>
      </c>
      <c r="I54" s="72">
        <f t="shared" si="12"/>
        <v>2018</v>
      </c>
      <c r="J54" s="72">
        <f t="shared" si="12"/>
        <v>2019</v>
      </c>
      <c r="K54" s="72">
        <f t="shared" si="12"/>
        <v>2020</v>
      </c>
      <c r="L54" s="72">
        <f t="shared" si="12"/>
        <v>2021</v>
      </c>
    </row>
    <row r="55" spans="1:12" s="39" customFormat="1" x14ac:dyDescent="0.15">
      <c r="A55" s="38"/>
      <c r="B55" s="44"/>
    </row>
    <row r="56" spans="1:12" s="37" customFormat="1" x14ac:dyDescent="0.15">
      <c r="A56" s="35"/>
      <c r="B56" s="35" t="s">
        <v>137</v>
      </c>
      <c r="C56" s="37">
        <f>-(+C36+C50)</f>
        <v>-12.924779999999989</v>
      </c>
      <c r="D56" s="37">
        <f t="shared" ref="D56:L56" si="13">-(+D36+D50)</f>
        <v>-12.924779999999989</v>
      </c>
      <c r="E56" s="37">
        <f t="shared" si="13"/>
        <v>-12.924779999999989</v>
      </c>
      <c r="F56" s="37">
        <f t="shared" si="13"/>
        <v>-12.924779999999989</v>
      </c>
      <c r="G56" s="37">
        <f t="shared" si="13"/>
        <v>-12.924779999999989</v>
      </c>
      <c r="H56" s="37">
        <f t="shared" si="13"/>
        <v>-12.924779999999989</v>
      </c>
      <c r="I56" s="37">
        <f t="shared" si="13"/>
        <v>-12.924779999999989</v>
      </c>
      <c r="J56" s="37">
        <f t="shared" si="13"/>
        <v>0</v>
      </c>
      <c r="K56" s="37">
        <f t="shared" si="13"/>
        <v>0</v>
      </c>
      <c r="L56" s="37">
        <f t="shared" si="13"/>
        <v>0</v>
      </c>
    </row>
    <row r="57" spans="1:12" s="37" customFormat="1" x14ac:dyDescent="0.15">
      <c r="A57" s="35"/>
      <c r="B57" s="35" t="s">
        <v>138</v>
      </c>
      <c r="C57" s="37">
        <f>+C31+C45</f>
        <v>0</v>
      </c>
      <c r="D57" s="37">
        <f t="shared" ref="D57:L57" si="14">+D31+D45</f>
        <v>0</v>
      </c>
      <c r="E57" s="37">
        <f t="shared" si="14"/>
        <v>0</v>
      </c>
      <c r="F57" s="37">
        <f t="shared" si="14"/>
        <v>0</v>
      </c>
      <c r="G57" s="37">
        <f t="shared" si="14"/>
        <v>0</v>
      </c>
      <c r="H57" s="37">
        <f t="shared" si="14"/>
        <v>0</v>
      </c>
      <c r="I57" s="37">
        <f t="shared" si="14"/>
        <v>-176.24699999999984</v>
      </c>
      <c r="J57" s="37">
        <f t="shared" si="14"/>
        <v>-58.748999999999953</v>
      </c>
      <c r="K57" s="37">
        <f t="shared" si="14"/>
        <v>0</v>
      </c>
      <c r="L57" s="37">
        <f t="shared" si="14"/>
        <v>0</v>
      </c>
    </row>
    <row r="58" spans="1:12" s="37" customFormat="1" x14ac:dyDescent="0.15">
      <c r="A58" s="35"/>
      <c r="B58" s="35" t="s">
        <v>141</v>
      </c>
      <c r="C58" s="37">
        <f>+C32+C46</f>
        <v>234.99599999999981</v>
      </c>
      <c r="D58" s="37">
        <f t="shared" ref="D58:L58" si="15">+D32+D46</f>
        <v>234.99599999999981</v>
      </c>
      <c r="E58" s="37">
        <f t="shared" si="15"/>
        <v>234.99599999999981</v>
      </c>
      <c r="F58" s="37">
        <f t="shared" si="15"/>
        <v>234.99599999999981</v>
      </c>
      <c r="G58" s="37">
        <f t="shared" si="15"/>
        <v>234.99599999999981</v>
      </c>
      <c r="H58" s="37">
        <f t="shared" si="15"/>
        <v>234.99599999999981</v>
      </c>
      <c r="I58" s="37">
        <f t="shared" si="15"/>
        <v>58.748999999999953</v>
      </c>
      <c r="J58" s="37">
        <f t="shared" si="15"/>
        <v>0</v>
      </c>
      <c r="K58" s="37">
        <f t="shared" si="15"/>
        <v>0</v>
      </c>
      <c r="L58" s="37">
        <f t="shared" si="15"/>
        <v>0</v>
      </c>
    </row>
    <row r="59" spans="1:12" s="39" customFormat="1" x14ac:dyDescent="0.15">
      <c r="A59" s="38"/>
      <c r="B59" s="38"/>
    </row>
    <row r="60" spans="1:12" s="12" customFormat="1" x14ac:dyDescent="0.15">
      <c r="A60" s="23"/>
      <c r="B60" s="23"/>
    </row>
    <row r="61" spans="1:12" s="12" customFormat="1" x14ac:dyDescent="0.15">
      <c r="A61" s="23"/>
      <c r="B61" s="23"/>
    </row>
    <row r="62" spans="1:12" s="12" customFormat="1" x14ac:dyDescent="0.15">
      <c r="A62" s="23"/>
      <c r="B62" s="24"/>
    </row>
    <row r="63" spans="1:12" s="12" customFormat="1" x14ac:dyDescent="0.15">
      <c r="A63" s="23"/>
      <c r="B63" s="23"/>
    </row>
    <row r="64" spans="1:12" s="12" customFormat="1" x14ac:dyDescent="0.15">
      <c r="A64" s="23"/>
      <c r="B64" s="23"/>
    </row>
    <row r="65" spans="1:2" s="26" customFormat="1" x14ac:dyDescent="0.15">
      <c r="A65" s="24"/>
      <c r="B65" s="24"/>
    </row>
    <row r="66" spans="1:2" s="12" customFormat="1" x14ac:dyDescent="0.15">
      <c r="A66" s="23"/>
      <c r="B66" s="23"/>
    </row>
    <row r="67" spans="1:2" s="12" customFormat="1" x14ac:dyDescent="0.15">
      <c r="A67" s="23"/>
      <c r="B67" s="25"/>
    </row>
    <row r="68" spans="1:2" s="12" customFormat="1" x14ac:dyDescent="0.15">
      <c r="A68" s="23"/>
      <c r="B68" s="24"/>
    </row>
    <row r="69" spans="1:2" s="12" customFormat="1" x14ac:dyDescent="0.15">
      <c r="A69" s="23"/>
      <c r="B69" s="23"/>
    </row>
    <row r="70" spans="1:2" s="12" customFormat="1" x14ac:dyDescent="0.15">
      <c r="A70" s="23"/>
      <c r="B70" s="23"/>
    </row>
    <row r="71" spans="1:2" s="12" customFormat="1" x14ac:dyDescent="0.15">
      <c r="A71" s="23"/>
      <c r="B71" s="24"/>
    </row>
    <row r="72" spans="1:2" s="12" customFormat="1" x14ac:dyDescent="0.15">
      <c r="A72" s="23"/>
      <c r="B72" s="23"/>
    </row>
    <row r="73" spans="1:2" s="12" customFormat="1" x14ac:dyDescent="0.15">
      <c r="A73" s="23"/>
      <c r="B73" s="23"/>
    </row>
    <row r="74" spans="1:2" s="12" customFormat="1" x14ac:dyDescent="0.15">
      <c r="A74" s="23"/>
      <c r="B74" s="24"/>
    </row>
    <row r="75" spans="1:2" s="12" customFormat="1" x14ac:dyDescent="0.15">
      <c r="A75" s="23"/>
      <c r="B75" s="23"/>
    </row>
    <row r="76" spans="1:2" s="12" customFormat="1" x14ac:dyDescent="0.15">
      <c r="A76" s="23"/>
      <c r="B76" s="25"/>
    </row>
    <row r="77" spans="1:2" s="26" customFormat="1" x14ac:dyDescent="0.15">
      <c r="A77" s="24"/>
      <c r="B77" s="24"/>
    </row>
    <row r="78" spans="1:2" s="12" customFormat="1" x14ac:dyDescent="0.15">
      <c r="A78" s="23"/>
      <c r="B78" s="23"/>
    </row>
    <row r="79" spans="1:2" s="12" customFormat="1" x14ac:dyDescent="0.15">
      <c r="A79" s="23"/>
      <c r="B79" s="23"/>
    </row>
    <row r="80" spans="1:2" s="12" customFormat="1" x14ac:dyDescent="0.15">
      <c r="A80" s="23"/>
      <c r="B80" s="24"/>
    </row>
    <row r="81" spans="1:2" s="26" customFormat="1" x14ac:dyDescent="0.15">
      <c r="A81" s="24"/>
      <c r="B81" s="24"/>
    </row>
    <row r="82" spans="1:2" s="12" customFormat="1" x14ac:dyDescent="0.15">
      <c r="A82" s="23"/>
      <c r="B82" s="23"/>
    </row>
    <row r="83" spans="1:2" s="12" customFormat="1" x14ac:dyDescent="0.15">
      <c r="A83" s="23"/>
      <c r="B83" s="23"/>
    </row>
    <row r="84" spans="1:2" s="26" customFormat="1" x14ac:dyDescent="0.15">
      <c r="A84" s="24"/>
      <c r="B84" s="24"/>
    </row>
    <row r="85" spans="1:2" s="12" customFormat="1" x14ac:dyDescent="0.15">
      <c r="A85" s="23"/>
      <c r="B85" s="23"/>
    </row>
    <row r="86" spans="1:2" s="12" customFormat="1" x14ac:dyDescent="0.15">
      <c r="A86" s="23"/>
      <c r="B86" s="25"/>
    </row>
    <row r="87" spans="1:2" s="12" customFormat="1" x14ac:dyDescent="0.15">
      <c r="A87" s="23"/>
      <c r="B87" s="24"/>
    </row>
    <row r="88" spans="1:2" s="12" customFormat="1" x14ac:dyDescent="0.15">
      <c r="A88" s="23"/>
      <c r="B88" s="23"/>
    </row>
    <row r="89" spans="1:2" s="12" customFormat="1" x14ac:dyDescent="0.15">
      <c r="A89" s="23"/>
      <c r="B89" s="25"/>
    </row>
    <row r="90" spans="1:2" s="12" customFormat="1" x14ac:dyDescent="0.15">
      <c r="A90" s="23"/>
      <c r="B90" s="23"/>
    </row>
    <row r="91" spans="1:2" s="12" customFormat="1" x14ac:dyDescent="0.15">
      <c r="A91" s="23"/>
      <c r="B91" s="25"/>
    </row>
    <row r="92" spans="1:2" s="12" customFormat="1" x14ac:dyDescent="0.15">
      <c r="A92" s="23"/>
      <c r="B92" s="24"/>
    </row>
    <row r="93" spans="1:2" s="12" customFormat="1" x14ac:dyDescent="0.15">
      <c r="A93" s="23"/>
      <c r="B93" s="24"/>
    </row>
    <row r="94" spans="1:2" s="12" customFormat="1" x14ac:dyDescent="0.15">
      <c r="A94" s="23"/>
      <c r="B94" s="23"/>
    </row>
    <row r="95" spans="1:2" s="12" customFormat="1" x14ac:dyDescent="0.15">
      <c r="A95" s="23"/>
      <c r="B95" s="23"/>
    </row>
    <row r="96" spans="1:2" s="12" customFormat="1" x14ac:dyDescent="0.15">
      <c r="A96" s="23"/>
      <c r="B96" s="25"/>
    </row>
    <row r="97" spans="1:2" s="12" customFormat="1" x14ac:dyDescent="0.15">
      <c r="A97" s="23"/>
      <c r="B97" s="23"/>
    </row>
    <row r="98" spans="1:2" s="12" customFormat="1" x14ac:dyDescent="0.15">
      <c r="A98" s="23"/>
      <c r="B98" s="23"/>
    </row>
    <row r="99" spans="1:2" s="12" customFormat="1" x14ac:dyDescent="0.15">
      <c r="A99" s="23"/>
      <c r="B99" s="23"/>
    </row>
    <row r="100" spans="1:2" s="12" customFormat="1" x14ac:dyDescent="0.15">
      <c r="A100" s="23"/>
      <c r="B100" s="23"/>
    </row>
    <row r="101" spans="1:2" s="12" customFormat="1" x14ac:dyDescent="0.15">
      <c r="A101" s="23"/>
      <c r="B101" s="23"/>
    </row>
    <row r="102" spans="1:2" s="12" customFormat="1" x14ac:dyDescent="0.15">
      <c r="A102" s="23"/>
      <c r="B102" s="23"/>
    </row>
    <row r="103" spans="1:2" s="12" customFormat="1" x14ac:dyDescent="0.15">
      <c r="A103" s="23"/>
      <c r="B103" s="23"/>
    </row>
    <row r="104" spans="1:2" s="12" customFormat="1" x14ac:dyDescent="0.15">
      <c r="A104" s="23"/>
      <c r="B104" s="23"/>
    </row>
    <row r="105" spans="1:2" s="12" customFormat="1" x14ac:dyDescent="0.15">
      <c r="A105" s="23"/>
      <c r="B105" s="23"/>
    </row>
    <row r="106" spans="1:2" s="12" customFormat="1" x14ac:dyDescent="0.15">
      <c r="A106" s="23"/>
      <c r="B106" s="23"/>
    </row>
    <row r="107" spans="1:2" s="12" customFormat="1" x14ac:dyDescent="0.15">
      <c r="A107" s="23"/>
      <c r="B107" s="23"/>
    </row>
    <row r="108" spans="1:2" s="12" customFormat="1" x14ac:dyDescent="0.15">
      <c r="A108" s="23"/>
      <c r="B108" s="23"/>
    </row>
    <row r="109" spans="1:2" s="12" customFormat="1" x14ac:dyDescent="0.15">
      <c r="A109" s="23"/>
      <c r="B109" s="23"/>
    </row>
    <row r="110" spans="1:2" s="12" customFormat="1" x14ac:dyDescent="0.15">
      <c r="A110" s="23"/>
      <c r="B110" s="23"/>
    </row>
    <row r="111" spans="1:2" s="12" customFormat="1" x14ac:dyDescent="0.15">
      <c r="A111" s="23"/>
      <c r="B111" s="23"/>
    </row>
    <row r="112" spans="1:2" s="12" customFormat="1" x14ac:dyDescent="0.15">
      <c r="A112" s="23"/>
      <c r="B112" s="23"/>
    </row>
    <row r="113" spans="1:2" s="12" customFormat="1" x14ac:dyDescent="0.15">
      <c r="A113" s="23"/>
      <c r="B113" s="23"/>
    </row>
    <row r="114" spans="1:2" s="12" customFormat="1" x14ac:dyDescent="0.15">
      <c r="A114" s="23"/>
      <c r="B114" s="23"/>
    </row>
    <row r="115" spans="1:2" s="12" customFormat="1" x14ac:dyDescent="0.15">
      <c r="A115" s="23"/>
      <c r="B115" s="23"/>
    </row>
    <row r="116" spans="1:2" s="12" customFormat="1" x14ac:dyDescent="0.15">
      <c r="A116" s="23"/>
      <c r="B116" s="23"/>
    </row>
    <row r="117" spans="1:2" s="12" customFormat="1" x14ac:dyDescent="0.15">
      <c r="A117" s="23"/>
      <c r="B117" s="23"/>
    </row>
    <row r="118" spans="1:2" s="12" customFormat="1" x14ac:dyDescent="0.15">
      <c r="A118" s="23"/>
      <c r="B118" s="23"/>
    </row>
    <row r="119" spans="1:2" s="12" customFormat="1" x14ac:dyDescent="0.15">
      <c r="A119" s="23"/>
      <c r="B119" s="23"/>
    </row>
    <row r="120" spans="1:2" s="12" customFormat="1" x14ac:dyDescent="0.15">
      <c r="A120" s="23"/>
      <c r="B120" s="23"/>
    </row>
    <row r="121" spans="1:2" s="12" customFormat="1" x14ac:dyDescent="0.15">
      <c r="A121" s="23"/>
      <c r="B121" s="23"/>
    </row>
    <row r="122" spans="1:2" s="12" customFormat="1" x14ac:dyDescent="0.15">
      <c r="A122" s="23"/>
      <c r="B122" s="23"/>
    </row>
    <row r="123" spans="1:2" s="12" customFormat="1" x14ac:dyDescent="0.15">
      <c r="A123" s="23"/>
      <c r="B123" s="23"/>
    </row>
  </sheetData>
  <phoneticPr fontId="8" type="noConversion"/>
  <pageMargins left="0.75" right="0.75" top="1" bottom="1" header="0.3" footer="0.3"/>
  <pageSetup paperSize="9" scale="63" orientation="portrait"/>
  <headerFooter alignWithMargins="0"/>
  <ignoredErrors>
    <ignoredError sqref="I23" formula="1"/>
  </ignoredErrors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8"/>
  <sheetViews>
    <sheetView showGridLines="0" zoomScale="70" zoomScaleNormal="70" zoomScaleSheetLayoutView="85" workbookViewId="0">
      <selection activeCell="D8" sqref="D8"/>
    </sheetView>
  </sheetViews>
  <sheetFormatPr baseColWidth="10" defaultColWidth="8.83203125" defaultRowHeight="15" x14ac:dyDescent="0.2"/>
  <cols>
    <col min="1" max="1" width="24" bestFit="1" customWidth="1"/>
  </cols>
  <sheetData>
    <row r="1" spans="1:21" x14ac:dyDescent="0.2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21" x14ac:dyDescent="0.2">
      <c r="A2" s="125" t="s">
        <v>144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21" x14ac:dyDescent="0.2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</row>
    <row r="4" spans="1:21" x14ac:dyDescent="0.2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21" x14ac:dyDescent="0.2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21" x14ac:dyDescent="0.2">
      <c r="A6" s="132"/>
      <c r="B6" s="132"/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  <c r="N6" s="132"/>
      <c r="O6" s="132"/>
      <c r="P6" s="132"/>
      <c r="Q6" s="132"/>
      <c r="R6" s="132"/>
      <c r="S6" s="132"/>
      <c r="T6" s="132"/>
      <c r="U6" s="132"/>
    </row>
    <row r="7" spans="1:21" x14ac:dyDescent="0.2">
      <c r="A7" s="132"/>
      <c r="B7" s="132"/>
      <c r="C7" s="132"/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</row>
    <row r="8" spans="1:21" x14ac:dyDescent="0.2">
      <c r="A8" s="146" t="s">
        <v>147</v>
      </c>
      <c r="B8" s="146"/>
      <c r="C8" s="147"/>
      <c r="D8" s="148">
        <f>+'LBO Modelling'!C23</f>
        <v>23.173239258332437</v>
      </c>
      <c r="E8" s="148">
        <f>+'LBO Modelling'!D23</f>
        <v>25.873815500654111</v>
      </c>
      <c r="F8" s="148">
        <f>+'LBO Modelling'!E23</f>
        <v>30.62192054910296</v>
      </c>
      <c r="G8" s="148">
        <f>+'LBO Modelling'!F23</f>
        <v>35.573992987806278</v>
      </c>
      <c r="H8" s="148">
        <f>+'LBO Modelling'!G23</f>
        <v>41.788232462371568</v>
      </c>
      <c r="I8" s="148">
        <f>+'LBO Modelling'!H23</f>
        <v>47.085133446101999</v>
      </c>
      <c r="J8" s="148">
        <f>+'LBO Modelling'!I23</f>
        <v>0</v>
      </c>
      <c r="K8" s="148">
        <f>+'LBO Modelling'!J23</f>
        <v>7.1300633336337285</v>
      </c>
      <c r="L8" s="148">
        <f>+'LBO Modelling'!K23</f>
        <v>67.566466292276687</v>
      </c>
      <c r="M8" s="148">
        <f>+'LBO Modelling'!L23</f>
        <v>67.867102897176039</v>
      </c>
      <c r="N8" s="132"/>
      <c r="O8" s="132"/>
      <c r="P8" s="132"/>
      <c r="Q8" s="132"/>
      <c r="R8" s="132"/>
      <c r="S8" s="132"/>
      <c r="T8" s="132"/>
      <c r="U8" s="132"/>
    </row>
    <row r="9" spans="1:21" x14ac:dyDescent="0.2">
      <c r="A9" s="151"/>
      <c r="B9" s="151"/>
      <c r="C9" s="170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32"/>
      <c r="O9" s="132"/>
      <c r="P9" s="132"/>
      <c r="Q9" s="132"/>
      <c r="R9" s="132"/>
      <c r="S9" s="132"/>
      <c r="T9" s="132"/>
      <c r="U9" s="132"/>
    </row>
    <row r="10" spans="1:21" x14ac:dyDescent="0.2">
      <c r="A10" s="169" t="s">
        <v>102</v>
      </c>
      <c r="B10" s="169"/>
      <c r="C10" s="169"/>
      <c r="D10" s="7">
        <f>1/((1+$C$14)^D5)</f>
        <v>0.86956521739130443</v>
      </c>
      <c r="E10" s="7">
        <f t="shared" ref="E10:M10" si="1">1/((1+$C$14)^E5)</f>
        <v>0.7561436672967865</v>
      </c>
      <c r="F10" s="7">
        <f t="shared" si="1"/>
        <v>0.65751623243198831</v>
      </c>
      <c r="G10" s="7">
        <f t="shared" si="1"/>
        <v>0.57175324559303342</v>
      </c>
      <c r="H10" s="7">
        <f t="shared" si="1"/>
        <v>0.49717673529828987</v>
      </c>
      <c r="I10" s="7">
        <f t="shared" si="1"/>
        <v>0.43232759591155645</v>
      </c>
      <c r="J10" s="7">
        <f t="shared" si="1"/>
        <v>0.37593703992309269</v>
      </c>
      <c r="K10" s="7">
        <f t="shared" si="1"/>
        <v>0.32690177384616753</v>
      </c>
      <c r="L10" s="7">
        <f t="shared" si="1"/>
        <v>0.28426241204014574</v>
      </c>
      <c r="M10" s="7">
        <f t="shared" si="1"/>
        <v>0.24718470612186585</v>
      </c>
      <c r="N10" s="132"/>
      <c r="O10" s="132"/>
      <c r="P10" s="132"/>
      <c r="Q10" s="132"/>
      <c r="R10" s="132"/>
      <c r="S10" s="132"/>
      <c r="T10" s="132"/>
      <c r="U10" s="132"/>
    </row>
    <row r="11" spans="1:21" x14ac:dyDescent="0.2">
      <c r="A11" s="132"/>
      <c r="B11" s="132"/>
      <c r="C11" s="132"/>
      <c r="D11" s="6"/>
      <c r="E11" s="6"/>
      <c r="F11" s="6"/>
      <c r="G11" s="6"/>
      <c r="H11" s="6"/>
      <c r="I11" s="6"/>
      <c r="J11" s="6"/>
      <c r="K11" s="6"/>
      <c r="L11" s="6"/>
      <c r="M11" s="6"/>
      <c r="N11" s="132"/>
      <c r="O11" s="132"/>
      <c r="P11" s="132"/>
      <c r="Q11" s="132"/>
      <c r="R11" s="132"/>
      <c r="S11" s="132"/>
      <c r="T11" s="132"/>
      <c r="U11" s="132"/>
    </row>
    <row r="12" spans="1:21" x14ac:dyDescent="0.2">
      <c r="A12" s="132" t="s">
        <v>103</v>
      </c>
      <c r="B12" s="132"/>
      <c r="C12" s="132"/>
      <c r="D12" s="6">
        <f t="shared" ref="D12:M12" si="2">+D8*D10</f>
        <v>20.150642833332554</v>
      </c>
      <c r="E12" s="6">
        <f t="shared" si="2"/>
        <v>19.56432173962504</v>
      </c>
      <c r="F12" s="6">
        <f t="shared" si="2"/>
        <v>20.13440982927786</v>
      </c>
      <c r="G12" s="6">
        <f t="shared" si="2"/>
        <v>20.339545949482051</v>
      </c>
      <c r="H12" s="6">
        <f t="shared" si="2"/>
        <v>20.776136989527913</v>
      </c>
      <c r="I12" s="6">
        <f t="shared" si="2"/>
        <v>20.356202545928095</v>
      </c>
      <c r="J12" s="6">
        <f t="shared" si="2"/>
        <v>0</v>
      </c>
      <c r="K12" s="6">
        <f t="shared" si="2"/>
        <v>2.3308303514003845</v>
      </c>
      <c r="L12" s="6">
        <f t="shared" si="2"/>
        <v>19.206606681271772</v>
      </c>
      <c r="M12" s="6">
        <f t="shared" si="2"/>
        <v>16.775709884980891</v>
      </c>
      <c r="N12" s="132"/>
      <c r="O12" s="132"/>
      <c r="P12" s="132"/>
      <c r="Q12" s="132"/>
      <c r="R12" s="132"/>
      <c r="S12" s="132"/>
      <c r="T12" s="132"/>
      <c r="U12" s="132"/>
    </row>
    <row r="13" spans="1:21" x14ac:dyDescent="0.2">
      <c r="A13" s="132"/>
      <c r="B13" s="132"/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</row>
    <row r="14" spans="1:21" x14ac:dyDescent="0.2">
      <c r="A14" s="137" t="s">
        <v>146</v>
      </c>
      <c r="B14" s="138"/>
      <c r="C14" s="149">
        <f>+'WACC Calculation'!C7</f>
        <v>0.15</v>
      </c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</row>
    <row r="15" spans="1:21" x14ac:dyDescent="0.2">
      <c r="A15" s="150" t="s">
        <v>104</v>
      </c>
      <c r="B15" s="151"/>
      <c r="C15" s="152">
        <f>+DCF!C27</f>
        <v>0.02</v>
      </c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</row>
    <row r="16" spans="1:21" x14ac:dyDescent="0.2">
      <c r="A16" s="153"/>
      <c r="B16" s="154"/>
      <c r="C16" s="143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</row>
    <row r="17" spans="1:21" x14ac:dyDescent="0.2">
      <c r="A17" s="153"/>
      <c r="B17" s="154"/>
      <c r="C17" s="155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</row>
    <row r="18" spans="1:21" x14ac:dyDescent="0.2">
      <c r="A18" s="150" t="s">
        <v>105</v>
      </c>
      <c r="B18" s="151"/>
      <c r="C18" s="156">
        <f>(M8*(1+C14))/(C14-C15)</f>
        <v>600.36283332117262</v>
      </c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</row>
    <row r="19" spans="1:21" x14ac:dyDescent="0.2">
      <c r="A19" s="153" t="s">
        <v>106</v>
      </c>
      <c r="B19" s="154"/>
      <c r="C19" s="156">
        <f>C18*M10</f>
        <v>148.4005105209848</v>
      </c>
      <c r="D19" s="132"/>
      <c r="E19" s="132"/>
      <c r="F19" s="175"/>
      <c r="G19" s="175"/>
      <c r="H19" s="175"/>
      <c r="I19" s="175"/>
      <c r="J19" s="175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</row>
    <row r="20" spans="1:21" x14ac:dyDescent="0.2">
      <c r="A20" s="153"/>
      <c r="B20" s="154"/>
      <c r="C20" s="156"/>
      <c r="D20" s="132"/>
      <c r="E20" s="132"/>
      <c r="F20" s="175"/>
      <c r="G20" s="175"/>
      <c r="H20" s="175"/>
      <c r="I20" s="175"/>
      <c r="J20" s="175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</row>
    <row r="21" spans="1:21" x14ac:dyDescent="0.2">
      <c r="A21" s="153" t="s">
        <v>107</v>
      </c>
      <c r="B21" s="154"/>
      <c r="C21" s="156">
        <f>SUM(D12:M12)</f>
        <v>159.63440680482657</v>
      </c>
      <c r="D21" s="132"/>
      <c r="E21" s="132"/>
      <c r="F21" s="175"/>
      <c r="G21" s="175"/>
      <c r="H21" s="175"/>
      <c r="I21" s="175"/>
      <c r="J21" s="175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</row>
    <row r="22" spans="1:21" x14ac:dyDescent="0.2">
      <c r="A22" s="153"/>
      <c r="B22" s="154"/>
      <c r="C22" s="156"/>
      <c r="D22" s="132"/>
      <c r="E22" s="132"/>
      <c r="F22" s="175"/>
      <c r="G22" s="175"/>
      <c r="H22" s="175"/>
      <c r="I22" s="175"/>
      <c r="J22" s="175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</row>
    <row r="23" spans="1:21" x14ac:dyDescent="0.2">
      <c r="A23" s="150" t="s">
        <v>111</v>
      </c>
      <c r="B23" s="151"/>
      <c r="C23" s="158">
        <f>+C19+C21</f>
        <v>308.03491732581136</v>
      </c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</row>
    <row r="24" spans="1:21" x14ac:dyDescent="0.2">
      <c r="A24" s="153" t="s">
        <v>109</v>
      </c>
      <c r="B24" s="154"/>
      <c r="C24" s="156">
        <f>+'Balance Sheet'!H23</f>
        <v>234.99599999999981</v>
      </c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</row>
    <row r="25" spans="1:21" x14ac:dyDescent="0.2">
      <c r="A25" s="153" t="s">
        <v>110</v>
      </c>
      <c r="B25" s="154"/>
      <c r="C25" s="156">
        <v>0</v>
      </c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</row>
    <row r="26" spans="1:21" x14ac:dyDescent="0.2">
      <c r="A26" s="140" t="s">
        <v>126</v>
      </c>
      <c r="B26" s="141"/>
      <c r="C26" s="159">
        <f>+C23+C24</f>
        <v>543.03091732581117</v>
      </c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</row>
    <row r="27" spans="1:21" x14ac:dyDescent="0.2">
      <c r="A27" s="144"/>
      <c r="B27" s="144"/>
      <c r="C27" s="1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</row>
    <row r="28" spans="1:21" x14ac:dyDescent="0.2">
      <c r="A28" s="137" t="s">
        <v>113</v>
      </c>
      <c r="B28" s="138"/>
      <c r="C28" s="139">
        <f>+C26/DCF!D8</f>
        <v>13.704509962599342</v>
      </c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</row>
    <row r="29" spans="1:21" x14ac:dyDescent="0.2">
      <c r="A29" s="140" t="s">
        <v>114</v>
      </c>
      <c r="B29" s="141"/>
      <c r="C29" s="142">
        <f>+C26/DCF!D12</f>
        <v>15.367887026723869</v>
      </c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</row>
    <row r="30" spans="1:21" x14ac:dyDescent="0.2">
      <c r="A30" s="132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243"/>
      <c r="Q30" s="243"/>
      <c r="R30" s="243"/>
      <c r="S30" s="243"/>
      <c r="T30" s="243"/>
      <c r="U30" s="243"/>
    </row>
    <row r="31" spans="1:21" x14ac:dyDescent="0.2">
      <c r="A31" s="132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Q31" s="242" t="s">
        <v>112</v>
      </c>
      <c r="R31" s="242"/>
      <c r="S31" s="242"/>
      <c r="T31" s="242"/>
      <c r="U31" s="242"/>
    </row>
    <row r="32" spans="1:21" x14ac:dyDescent="0.2">
      <c r="A32" s="132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244" t="s">
        <v>96</v>
      </c>
      <c r="R32" s="244"/>
      <c r="S32" s="244"/>
      <c r="T32" s="244"/>
      <c r="U32" s="244"/>
    </row>
    <row r="33" spans="1:21" x14ac:dyDescent="0.2">
      <c r="A33" s="132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60">
        <f>C26</f>
        <v>543.03091732581117</v>
      </c>
      <c r="Q33" s="173">
        <f>+R33-0.01</f>
        <v>0.12999999999999998</v>
      </c>
      <c r="R33" s="173">
        <f>+S33-0.01</f>
        <v>0.13999999999999999</v>
      </c>
      <c r="S33" s="173">
        <v>0.15</v>
      </c>
      <c r="T33" s="173">
        <f>+S33+0.01</f>
        <v>0.16</v>
      </c>
      <c r="U33" s="173">
        <f>+T33+0.01</f>
        <v>0.17</v>
      </c>
    </row>
    <row r="34" spans="1:21" x14ac:dyDescent="0.2">
      <c r="A34" s="132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241" t="s">
        <v>104</v>
      </c>
      <c r="P34" s="237">
        <f>+P35-0.005</f>
        <v>9.9999999999999985E-3</v>
      </c>
      <c r="Q34" s="161">
        <f t="dataTable" ref="Q34:U38" dt2D="1" dtr="0" r1="C14" r2="C15"/>
        <v>597.53667788267626</v>
      </c>
      <c r="R34" s="162">
        <v>562.23831125613037</v>
      </c>
      <c r="S34" s="162">
        <v>532.43088086002649</v>
      </c>
      <c r="T34" s="162">
        <v>506.9868015076591</v>
      </c>
      <c r="U34" s="163">
        <v>485.06228722877199</v>
      </c>
    </row>
    <row r="35" spans="1:21" x14ac:dyDescent="0.2">
      <c r="A35" s="132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241"/>
      <c r="P35" s="237">
        <f>+P36-0.005</f>
        <v>1.4999999999999999E-2</v>
      </c>
      <c r="Q35" s="164">
        <v>605.72215949140127</v>
      </c>
      <c r="R35" s="167">
        <v>568.659749163578</v>
      </c>
      <c r="S35" s="167">
        <v>537.53460212133018</v>
      </c>
      <c r="T35" s="167">
        <v>511.0892973583862</v>
      </c>
      <c r="U35" s="156">
        <v>488.3927522615387</v>
      </c>
    </row>
    <row r="36" spans="1:21" x14ac:dyDescent="0.2">
      <c r="A36" s="132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241"/>
      <c r="P36" s="237">
        <v>0.02</v>
      </c>
      <c r="Q36" s="164">
        <v>614.65177579182841</v>
      </c>
      <c r="R36" s="167">
        <v>575.61630689664617</v>
      </c>
      <c r="S36" s="168">
        <v>543.03091732581117</v>
      </c>
      <c r="T36" s="167">
        <v>515.48482862702258</v>
      </c>
      <c r="U36" s="156">
        <v>491.94524829648992</v>
      </c>
    </row>
    <row r="37" spans="1:21" x14ac:dyDescent="0.2">
      <c r="A37" s="132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241"/>
      <c r="P37" s="237">
        <f>+P36+0.005</f>
        <v>2.5000000000000001E-2</v>
      </c>
      <c r="Q37" s="164">
        <v>624.43183173991542</v>
      </c>
      <c r="R37" s="167">
        <v>583.17778269345945</v>
      </c>
      <c r="S37" s="167">
        <v>548.9669377466505</v>
      </c>
      <c r="T37" s="167">
        <v>520.20595480444661</v>
      </c>
      <c r="U37" s="156">
        <v>495.74274405798951</v>
      </c>
    </row>
    <row r="38" spans="1:21" x14ac:dyDescent="0.2">
      <c r="A38" s="132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241"/>
      <c r="P38" s="237">
        <f>+P37+0.005</f>
        <v>3.0000000000000002E-2</v>
      </c>
      <c r="Q38" s="165">
        <v>635.18989328281123</v>
      </c>
      <c r="R38" s="166">
        <v>591.42666538089225</v>
      </c>
      <c r="S38" s="166">
        <v>555.39762653589332</v>
      </c>
      <c r="T38" s="166">
        <v>525.29024453398029</v>
      </c>
      <c r="U38" s="157">
        <v>499.81148951673907</v>
      </c>
    </row>
  </sheetData>
  <mergeCells count="4">
    <mergeCell ref="P30:U30"/>
    <mergeCell ref="Q31:U31"/>
    <mergeCell ref="Q32:U32"/>
    <mergeCell ref="O34:O38"/>
  </mergeCells>
  <phoneticPr fontId="8" type="noConversion"/>
  <pageMargins left="0.75" right="0.75" top="1" bottom="1" header="0.3" footer="0.3"/>
  <pageSetup paperSize="9" scale="42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Assumptions</vt:lpstr>
      <vt:lpstr>Income Statement</vt:lpstr>
      <vt:lpstr>Balance Sheet</vt:lpstr>
      <vt:lpstr>Cash Flow Statement</vt:lpstr>
      <vt:lpstr>PPE Schedule</vt:lpstr>
      <vt:lpstr>Debt Schedule</vt:lpstr>
      <vt:lpstr>DCF</vt:lpstr>
      <vt:lpstr>LBO Modelling</vt:lpstr>
      <vt:lpstr>FCFE Valuation</vt:lpstr>
      <vt:lpstr>WSO Cover Page</vt:lpstr>
      <vt:lpstr>PE Returns analysis</vt:lpstr>
      <vt:lpstr>WACC Calculation</vt:lpstr>
      <vt:lpstr>Football Field</vt:lpstr>
      <vt:lpstr>Charts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Microsoft Office User</cp:lastModifiedBy>
  <cp:lastPrinted>2016-03-20T15:32:52Z</cp:lastPrinted>
  <dcterms:created xsi:type="dcterms:W3CDTF">2016-03-20T09:22:44Z</dcterms:created>
  <dcterms:modified xsi:type="dcterms:W3CDTF">2018-10-22T05:58:01Z</dcterms:modified>
</cp:coreProperties>
</file>