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64011"/>
  <mc:AlternateContent xmlns:mc="http://schemas.openxmlformats.org/markup-compatibility/2006">
    <mc:Choice Requires="x15">
      <x15ac:absPath xmlns:x15ac="http://schemas.microsoft.com/office/spreadsheetml/2010/11/ac" url="C:\Users\Tuan\Desktop\Finance\Case study\Case study\"/>
    </mc:Choice>
  </mc:AlternateContent>
  <bookViews>
    <workbookView xWindow="0" yWindow="0" windowWidth="12730" windowHeight="3390" activeTab="1"/>
  </bookViews>
  <sheets>
    <sheet name="Sheet2" sheetId="2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3" l="1"/>
  <c r="F96" i="3"/>
  <c r="D96" i="3"/>
  <c r="E83" i="3"/>
  <c r="F83" i="3"/>
  <c r="D83" i="3"/>
  <c r="F48" i="3"/>
  <c r="F49" i="3"/>
  <c r="F51" i="3"/>
  <c r="E51" i="3"/>
  <c r="E49" i="3"/>
  <c r="E48" i="3"/>
  <c r="E47" i="3"/>
  <c r="F47" i="3" s="1"/>
  <c r="D43" i="3"/>
  <c r="E41" i="3" s="1"/>
  <c r="E42" i="3"/>
  <c r="F42" i="3"/>
  <c r="D42" i="3"/>
  <c r="E40" i="3"/>
  <c r="F40" i="3" s="1"/>
  <c r="E26" i="3"/>
  <c r="D68" i="3"/>
  <c r="D67" i="3"/>
  <c r="D64" i="3"/>
  <c r="D57" i="3"/>
  <c r="D58" i="3"/>
  <c r="D56" i="3"/>
  <c r="D72" i="3"/>
  <c r="D71" i="3"/>
  <c r="D45" i="3" l="1"/>
  <c r="D75" i="3" s="1"/>
  <c r="E43" i="3"/>
  <c r="F41" i="3" s="1"/>
  <c r="E72" i="3"/>
  <c r="F72" i="3" s="1"/>
  <c r="E12" i="3"/>
  <c r="H19" i="3"/>
  <c r="I19" i="3" s="1"/>
  <c r="H18" i="3"/>
  <c r="I18" i="3" s="1"/>
  <c r="E97" i="3"/>
  <c r="F97" i="3"/>
  <c r="D97" i="3"/>
  <c r="E84" i="3"/>
  <c r="F84" i="3"/>
  <c r="D84" i="3"/>
  <c r="E81" i="3"/>
  <c r="F81" i="3" s="1"/>
  <c r="E32" i="3"/>
  <c r="F32" i="3" s="1"/>
  <c r="E31" i="3"/>
  <c r="F31" i="3" s="1"/>
  <c r="E30" i="3"/>
  <c r="F30" i="3" s="1"/>
  <c r="E29" i="3"/>
  <c r="F29" i="3" s="1"/>
  <c r="F26" i="3"/>
  <c r="E27" i="3"/>
  <c r="E25" i="3"/>
  <c r="E24" i="3"/>
  <c r="F24" i="3" s="1"/>
  <c r="E23" i="3"/>
  <c r="F23" i="3" s="1"/>
  <c r="H27" i="3"/>
  <c r="I27" i="3" s="1"/>
  <c r="H26" i="3"/>
  <c r="H25" i="3"/>
  <c r="I25" i="3" s="1"/>
  <c r="H24" i="3"/>
  <c r="H23" i="3"/>
  <c r="I23" i="3" s="1"/>
  <c r="H20" i="3"/>
  <c r="I20" i="3" s="1"/>
  <c r="J19" i="3"/>
  <c r="K19" i="3" s="1"/>
  <c r="L19" i="3" s="1"/>
  <c r="J20" i="3"/>
  <c r="K20" i="3" s="1"/>
  <c r="L20" i="3" s="1"/>
  <c r="J18" i="3"/>
  <c r="K18" i="3" s="1"/>
  <c r="L18" i="3" s="1"/>
  <c r="E20" i="3"/>
  <c r="F20" i="3" s="1"/>
  <c r="E19" i="3"/>
  <c r="F19" i="3" s="1"/>
  <c r="E18" i="3"/>
  <c r="F18" i="3" s="1"/>
  <c r="D63" i="3"/>
  <c r="D92" i="3" s="1"/>
  <c r="E54" i="3"/>
  <c r="F54" i="3" s="1"/>
  <c r="K17" i="3"/>
  <c r="L17" i="3" s="1"/>
  <c r="H17" i="3"/>
  <c r="I17" i="3" s="1"/>
  <c r="E17" i="3"/>
  <c r="F17" i="3" s="1"/>
  <c r="D31" i="2"/>
  <c r="D30" i="2"/>
  <c r="E13" i="2"/>
  <c r="F13" i="2" s="1"/>
  <c r="D12" i="2"/>
  <c r="E12" i="2" s="1"/>
  <c r="F12" i="2" s="1"/>
  <c r="D13" i="2"/>
  <c r="D11" i="2"/>
  <c r="E11" i="2" s="1"/>
  <c r="F11" i="2" s="1"/>
  <c r="E8" i="2"/>
  <c r="F8" i="2" s="1"/>
  <c r="E7" i="2"/>
  <c r="F7" i="2" s="1"/>
  <c r="E6" i="2"/>
  <c r="F6" i="2" s="1"/>
  <c r="H5" i="2"/>
  <c r="I5" i="2" s="1"/>
  <c r="E5" i="2"/>
  <c r="F5" i="2" s="1"/>
  <c r="D24" i="2"/>
  <c r="D26" i="2" s="1"/>
  <c r="D25" i="2"/>
  <c r="D23" i="2"/>
  <c r="E21" i="2"/>
  <c r="F21" i="2" s="1"/>
  <c r="E45" i="3" l="1"/>
  <c r="E75" i="3" s="1"/>
  <c r="D87" i="3"/>
  <c r="F43" i="3"/>
  <c r="F45" i="3" s="1"/>
  <c r="F75" i="3" s="1"/>
  <c r="E68" i="3"/>
  <c r="I26" i="3"/>
  <c r="F67" i="3" s="1"/>
  <c r="E67" i="3"/>
  <c r="E64" i="3"/>
  <c r="F62" i="3"/>
  <c r="E61" i="3"/>
  <c r="E71" i="3"/>
  <c r="E58" i="3"/>
  <c r="F56" i="3"/>
  <c r="E57" i="3"/>
  <c r="F58" i="3"/>
  <c r="E56" i="3"/>
  <c r="E60" i="3"/>
  <c r="F57" i="3"/>
  <c r="E62" i="3"/>
  <c r="I24" i="3"/>
  <c r="F64" i="3" s="1"/>
  <c r="F27" i="3"/>
  <c r="F68" i="3" s="1"/>
  <c r="F25" i="3"/>
  <c r="D59" i="3"/>
  <c r="D66" i="3" s="1"/>
  <c r="F60" i="3"/>
  <c r="F61" i="3"/>
  <c r="F71" i="3" l="1"/>
  <c r="D69" i="3"/>
  <c r="D70" i="3"/>
  <c r="D73" i="3" s="1"/>
  <c r="D86" i="3"/>
  <c r="D89" i="3" s="1"/>
  <c r="D90" i="3" s="1"/>
  <c r="D65" i="3"/>
  <c r="E63" i="3"/>
  <c r="E59" i="3"/>
  <c r="E66" i="3" s="1"/>
  <c r="F59" i="3"/>
  <c r="F66" i="3" s="1"/>
  <c r="F63" i="3"/>
  <c r="F70" i="3" l="1"/>
  <c r="F73" i="3" s="1"/>
  <c r="F69" i="3"/>
  <c r="E69" i="3"/>
  <c r="E70" i="3"/>
  <c r="F86" i="3"/>
  <c r="D74" i="3"/>
  <c r="E73" i="3"/>
  <c r="E86" i="3"/>
  <c r="E92" i="3"/>
  <c r="E87" i="3"/>
  <c r="F92" i="3"/>
  <c r="F87" i="3"/>
  <c r="F65" i="3"/>
  <c r="E65" i="3"/>
  <c r="D77" i="3" l="1"/>
  <c r="D93" i="3" s="1"/>
  <c r="D94" i="3" s="1"/>
  <c r="D76" i="3"/>
  <c r="D78" i="3" s="1"/>
  <c r="F89" i="3"/>
  <c r="F90" i="3" s="1"/>
  <c r="E89" i="3"/>
  <c r="E90" i="3" s="1"/>
  <c r="E74" i="3"/>
  <c r="F74" i="3"/>
  <c r="F77" i="3" l="1"/>
  <c r="F93" i="3" s="1"/>
  <c r="F94" i="3" s="1"/>
  <c r="F76" i="3"/>
  <c r="F78" i="3" s="1"/>
  <c r="E77" i="3"/>
  <c r="E93" i="3" s="1"/>
  <c r="E94" i="3" s="1"/>
  <c r="E76" i="3"/>
  <c r="E78" i="3" l="1"/>
</calcChain>
</file>

<file path=xl/sharedStrings.xml><?xml version="1.0" encoding="utf-8"?>
<sst xmlns="http://schemas.openxmlformats.org/spreadsheetml/2006/main" count="127" uniqueCount="85">
  <si>
    <t>P&amp;L</t>
  </si>
  <si>
    <t>Actual</t>
  </si>
  <si>
    <t>Forecast</t>
  </si>
  <si>
    <t>Croissants</t>
  </si>
  <si>
    <t>Meringues</t>
  </si>
  <si>
    <t>Cake</t>
  </si>
  <si>
    <t>Prices</t>
  </si>
  <si>
    <t>Products</t>
  </si>
  <si>
    <t>Sales Vol (in k)</t>
  </si>
  <si>
    <t>in k€</t>
  </si>
  <si>
    <t>Inflation</t>
  </si>
  <si>
    <t>Total Revenue</t>
  </si>
  <si>
    <t>Comments</t>
  </si>
  <si>
    <t>Prices increase by inflation rate</t>
  </si>
  <si>
    <t>Main driver is the sales volume: 5% annually</t>
  </si>
  <si>
    <t>Direct production costs</t>
  </si>
  <si>
    <t>Cost per product</t>
  </si>
  <si>
    <t>Gross Profit</t>
  </si>
  <si>
    <t>Payroll</t>
  </si>
  <si>
    <t>Product</t>
  </si>
  <si>
    <t>Cost per unit</t>
  </si>
  <si>
    <t>in €k</t>
  </si>
  <si>
    <t xml:space="preserve">Inflation </t>
  </si>
  <si>
    <t>Historical Data &amp; Assumptions</t>
  </si>
  <si>
    <t>FTE</t>
  </si>
  <si>
    <t>Production</t>
  </si>
  <si>
    <t>Commercials</t>
  </si>
  <si>
    <t>Admins</t>
  </si>
  <si>
    <t>Mgt</t>
  </si>
  <si>
    <t>Total Foods &amp; Packaging Costs</t>
  </si>
  <si>
    <t>Production Payroll - CTC</t>
  </si>
  <si>
    <t>Sales made</t>
  </si>
  <si>
    <t>Total Payroll - CTC</t>
  </si>
  <si>
    <t>Overheads - Variables</t>
  </si>
  <si>
    <t>Overheads - Semi Var</t>
  </si>
  <si>
    <t>Overheads - Fixed</t>
  </si>
  <si>
    <t>Total Overheads</t>
  </si>
  <si>
    <t>Overheads - Variables (% of Rev)</t>
  </si>
  <si>
    <t>Overheads - Semi Var (per FTE)</t>
  </si>
  <si>
    <t xml:space="preserve">Income Tax </t>
  </si>
  <si>
    <t>Income Tax</t>
  </si>
  <si>
    <t>Net Profit</t>
  </si>
  <si>
    <t>Balance Sheet</t>
  </si>
  <si>
    <t>PPE</t>
  </si>
  <si>
    <t>DSO</t>
  </si>
  <si>
    <t>DPO</t>
  </si>
  <si>
    <t>DIO</t>
  </si>
  <si>
    <t>Days</t>
  </si>
  <si>
    <t>Cash</t>
  </si>
  <si>
    <t>Account Receivables</t>
  </si>
  <si>
    <t>Inventory</t>
  </si>
  <si>
    <t>Operating Income (EBIT)</t>
  </si>
  <si>
    <t>Interest Expenses</t>
  </si>
  <si>
    <t>EBT</t>
  </si>
  <si>
    <t>Total Fixed Assets</t>
  </si>
  <si>
    <t>Total Current Assets</t>
  </si>
  <si>
    <t>Total Assets</t>
  </si>
  <si>
    <t xml:space="preserve">VAT </t>
  </si>
  <si>
    <t>Account Payables</t>
  </si>
  <si>
    <t>Social and Tax Payables</t>
  </si>
  <si>
    <t>Total Current Liabilites</t>
  </si>
  <si>
    <t>Debt</t>
  </si>
  <si>
    <t>Interest Expense</t>
  </si>
  <si>
    <t>Total Non-Current Liabilities</t>
  </si>
  <si>
    <t>Equity</t>
  </si>
  <si>
    <t>My assumptions</t>
  </si>
  <si>
    <t>Costs increase</t>
  </si>
  <si>
    <t>Fixed overheads</t>
  </si>
  <si>
    <t>Price incl. VAT (in €)</t>
  </si>
  <si>
    <t>Sales Gr</t>
  </si>
  <si>
    <t>Comp</t>
  </si>
  <si>
    <t>Payback</t>
  </si>
  <si>
    <t>Debt BOP</t>
  </si>
  <si>
    <t>Debt EOP</t>
  </si>
  <si>
    <t>Interest</t>
  </si>
  <si>
    <t>Debt Schedule (in €k)</t>
  </si>
  <si>
    <t>Assuming straight line debt payback</t>
  </si>
  <si>
    <t>PPE BOP</t>
  </si>
  <si>
    <t>D&amp;A</t>
  </si>
  <si>
    <t>Debt tenor FY20</t>
  </si>
  <si>
    <t>years to go</t>
  </si>
  <si>
    <t>Capex</t>
  </si>
  <si>
    <t>PPE EOP</t>
  </si>
  <si>
    <t>PPE residual life FY20</t>
  </si>
  <si>
    <t xml:space="preserve">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</si>
</sst>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FY&quot;0"/>
    <numFmt numFmtId="165" formatCode="0.0"/>
    <numFmt numFmtId="166" formatCode="#,##0.0;\(#,##0.0\);\-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/>
    <xf numFmtId="9" fontId="0" fillId="0" borderId="0" xfId="0" applyNumberFormat="1"/>
    <xf numFmtId="165" fontId="0" fillId="0" borderId="0" xfId="0" applyNumberFormat="1"/>
    <xf numFmtId="1" fontId="0" fillId="0" borderId="0" xfId="0" applyNumberFormat="1"/>
    <xf numFmtId="0" fontId="3" fillId="0" borderId="0" xfId="0" applyFont="1"/>
    <xf numFmtId="0" fontId="0" fillId="0" borderId="0" xfId="0" applyAlignment="1">
      <alignment horizontal="left" indent="1"/>
    </xf>
    <xf numFmtId="0" fontId="3" fillId="2" borderId="0" xfId="0" applyFont="1" applyFill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0" fillId="6" borderId="0" xfId="0" applyFill="1"/>
    <xf numFmtId="0" fontId="0" fillId="7" borderId="0" xfId="0" applyFill="1"/>
    <xf numFmtId="0" fontId="2" fillId="7" borderId="0" xfId="0" applyFont="1" applyFill="1"/>
    <xf numFmtId="0" fontId="3" fillId="5" borderId="0" xfId="0" applyFont="1" applyFill="1"/>
    <xf numFmtId="166" fontId="0" fillId="0" borderId="0" xfId="0" applyNumberFormat="1"/>
    <xf numFmtId="166" fontId="3" fillId="0" borderId="0" xfId="0" applyNumberFormat="1" applyFont="1"/>
    <xf numFmtId="166" fontId="3" fillId="0" borderId="1" xfId="0" applyNumberFormat="1" applyFont="1" applyBorder="1"/>
    <xf numFmtId="0" fontId="0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66" fontId="3" fillId="0" borderId="0" xfId="0" applyNumberFormat="1" applyFont="1" applyBorder="1"/>
    <xf numFmtId="0" fontId="0" fillId="0" borderId="0" xfId="0" applyFont="1" applyBorder="1" applyAlignment="1">
      <alignment horizontal="left"/>
    </xf>
    <xf numFmtId="166" fontId="0" fillId="0" borderId="0" xfId="0" applyNumberFormat="1" applyFont="1" applyBorder="1"/>
    <xf numFmtId="9" fontId="4" fillId="0" borderId="0" xfId="0" applyNumberFormat="1" applyFont="1"/>
    <xf numFmtId="166" fontId="0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165" fontId="6" fillId="0" borderId="0" xfId="0" applyNumberFormat="1" applyFont="1"/>
    <xf numFmtId="164" fontId="0" fillId="0" borderId="2" xfId="0" applyNumberFormat="1" applyBorder="1"/>
    <xf numFmtId="9" fontId="5" fillId="0" borderId="0" xfId="0" applyNumberFormat="1" applyFont="1"/>
    <xf numFmtId="1" fontId="6" fillId="0" borderId="0" xfId="0" applyNumberFormat="1" applyFont="1"/>
    <xf numFmtId="166" fontId="5" fillId="0" borderId="0" xfId="0" applyNumberFormat="1" applyFont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9" fontId="5" fillId="0" borderId="0" xfId="1" applyFont="1"/>
    <xf numFmtId="0" fontId="5" fillId="0" borderId="0" xfId="0" applyFont="1"/>
    <xf numFmtId="167" fontId="5" fillId="0" borderId="0" xfId="1" applyNumberFormat="1" applyFont="1"/>
    <xf numFmtId="165" fontId="5" fillId="8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showGridLines="0" topLeftCell="A23" workbookViewId="0">
      <selection activeCell="C38" sqref="C38"/>
    </sheetView>
  </sheetViews>
  <sheetFormatPr defaultRowHeight="14.5" x14ac:dyDescent="0.35"/>
  <cols>
    <col min="2" max="2" width="12.54296875" bestFit="1" customWidth="1"/>
    <col min="3" max="3" width="21.6328125" bestFit="1" customWidth="1"/>
  </cols>
  <sheetData>
    <row r="2" spans="3:15" x14ac:dyDescent="0.35">
      <c r="C2" t="s">
        <v>10</v>
      </c>
      <c r="D2" s="5">
        <v>0.02</v>
      </c>
    </row>
    <row r="4" spans="3:15" x14ac:dyDescent="0.35">
      <c r="C4" t="s">
        <v>7</v>
      </c>
      <c r="E4" s="4" t="s">
        <v>6</v>
      </c>
      <c r="F4" s="4"/>
      <c r="H4" t="s">
        <v>8</v>
      </c>
      <c r="L4" s="10" t="s">
        <v>12</v>
      </c>
      <c r="M4" s="1"/>
      <c r="N4" s="1"/>
      <c r="O4" s="1"/>
    </row>
    <row r="5" spans="3:15" x14ac:dyDescent="0.35">
      <c r="D5">
        <v>20</v>
      </c>
      <c r="E5">
        <f>D5+1</f>
        <v>21</v>
      </c>
      <c r="F5">
        <f>E5+1</f>
        <v>22</v>
      </c>
      <c r="G5">
        <v>20</v>
      </c>
      <c r="H5">
        <f>G5+1</f>
        <v>21</v>
      </c>
      <c r="I5">
        <f>H5+1</f>
        <v>22</v>
      </c>
      <c r="L5" t="s">
        <v>13</v>
      </c>
    </row>
    <row r="6" spans="3:15" x14ac:dyDescent="0.35">
      <c r="C6" t="s">
        <v>3</v>
      </c>
      <c r="D6">
        <v>3</v>
      </c>
      <c r="E6" s="6">
        <f t="shared" ref="E6:F8" si="0">ROUNDUP(D6*(1+$D$2),2)</f>
        <v>3.06</v>
      </c>
      <c r="F6" s="6">
        <f t="shared" si="0"/>
        <v>3.13</v>
      </c>
      <c r="G6">
        <v>1000</v>
      </c>
      <c r="L6" t="s">
        <v>14</v>
      </c>
    </row>
    <row r="7" spans="3:15" x14ac:dyDescent="0.35">
      <c r="C7" t="s">
        <v>4</v>
      </c>
      <c r="D7">
        <v>4</v>
      </c>
      <c r="E7" s="6">
        <f t="shared" si="0"/>
        <v>4.08</v>
      </c>
      <c r="F7" s="6">
        <f t="shared" si="0"/>
        <v>4.17</v>
      </c>
      <c r="G7">
        <v>500</v>
      </c>
    </row>
    <row r="8" spans="3:15" x14ac:dyDescent="0.35">
      <c r="C8" t="s">
        <v>5</v>
      </c>
      <c r="D8">
        <v>7</v>
      </c>
      <c r="E8" s="6">
        <f t="shared" si="0"/>
        <v>7.14</v>
      </c>
      <c r="F8" s="6">
        <f t="shared" si="0"/>
        <v>7.29</v>
      </c>
      <c r="G8">
        <v>600</v>
      </c>
    </row>
    <row r="9" spans="3:15" x14ac:dyDescent="0.35">
      <c r="E9" s="6"/>
      <c r="F9" s="6"/>
    </row>
    <row r="10" spans="3:15" x14ac:dyDescent="0.35">
      <c r="C10" t="s">
        <v>16</v>
      </c>
      <c r="E10" s="6"/>
      <c r="F10" s="6"/>
    </row>
    <row r="11" spans="3:15" x14ac:dyDescent="0.35">
      <c r="C11" t="s">
        <v>3</v>
      </c>
      <c r="D11">
        <f>D27/G6</f>
        <v>-1.8</v>
      </c>
      <c r="E11" s="6">
        <f t="shared" ref="E11:F13" si="1">ROUNDUP(D11*(1+$D$2),2)</f>
        <v>-1.84</v>
      </c>
      <c r="F11" s="6">
        <f t="shared" si="1"/>
        <v>-1.8800000000000001</v>
      </c>
    </row>
    <row r="12" spans="3:15" x14ac:dyDescent="0.35">
      <c r="C12" t="s">
        <v>4</v>
      </c>
      <c r="D12">
        <f>D28/G7</f>
        <v>-2.4</v>
      </c>
      <c r="E12" s="6">
        <f t="shared" si="1"/>
        <v>-2.4499999999999997</v>
      </c>
      <c r="F12" s="6">
        <f t="shared" si="1"/>
        <v>-2.5</v>
      </c>
    </row>
    <row r="13" spans="3:15" x14ac:dyDescent="0.35">
      <c r="C13" t="s">
        <v>5</v>
      </c>
      <c r="D13" s="6">
        <f>D29/G8</f>
        <v>-4.833333333333333</v>
      </c>
      <c r="E13" s="6">
        <f t="shared" si="1"/>
        <v>-4.93</v>
      </c>
      <c r="F13" s="6">
        <f t="shared" si="1"/>
        <v>-5.0299999999999994</v>
      </c>
    </row>
    <row r="14" spans="3:15" x14ac:dyDescent="0.35">
      <c r="D14" s="6"/>
      <c r="E14" s="6"/>
      <c r="F14" s="6"/>
    </row>
    <row r="15" spans="3:15" x14ac:dyDescent="0.35">
      <c r="C15" t="s">
        <v>18</v>
      </c>
      <c r="D15" s="6"/>
      <c r="E15" s="6"/>
      <c r="F15" s="6"/>
    </row>
    <row r="16" spans="3:15" x14ac:dyDescent="0.35">
      <c r="D16" s="6"/>
      <c r="E16" s="6"/>
      <c r="F16" s="6"/>
    </row>
    <row r="17" spans="2:6" x14ac:dyDescent="0.35">
      <c r="D17" s="6"/>
      <c r="E17" s="6"/>
      <c r="F17" s="6"/>
    </row>
    <row r="18" spans="2:6" x14ac:dyDescent="0.35">
      <c r="D18" s="6"/>
      <c r="E18" s="6"/>
      <c r="F18" s="6"/>
    </row>
    <row r="20" spans="2:6" x14ac:dyDescent="0.35">
      <c r="B20" s="3">
        <v>1</v>
      </c>
      <c r="C20" s="3" t="s">
        <v>0</v>
      </c>
      <c r="D20" s="3"/>
      <c r="E20" s="3"/>
      <c r="F20" s="3"/>
    </row>
    <row r="21" spans="2:6" x14ac:dyDescent="0.35">
      <c r="D21">
        <v>20</v>
      </c>
      <c r="E21">
        <f>D21+1</f>
        <v>21</v>
      </c>
      <c r="F21">
        <f>E21+1</f>
        <v>22</v>
      </c>
    </row>
    <row r="22" spans="2:6" x14ac:dyDescent="0.35">
      <c r="C22" t="s">
        <v>9</v>
      </c>
      <c r="D22" t="s">
        <v>1</v>
      </c>
      <c r="E22" t="s">
        <v>2</v>
      </c>
      <c r="F22" t="s">
        <v>2</v>
      </c>
    </row>
    <row r="23" spans="2:6" x14ac:dyDescent="0.35">
      <c r="C23" s="9" t="s">
        <v>3</v>
      </c>
      <c r="D23">
        <f>G6*D6</f>
        <v>3000</v>
      </c>
    </row>
    <row r="24" spans="2:6" x14ac:dyDescent="0.35">
      <c r="C24" s="9" t="s">
        <v>4</v>
      </c>
      <c r="D24">
        <f>G7*D7</f>
        <v>2000</v>
      </c>
    </row>
    <row r="25" spans="2:6" x14ac:dyDescent="0.35">
      <c r="C25" s="9" t="s">
        <v>5</v>
      </c>
      <c r="D25">
        <f>G8*D8</f>
        <v>4200</v>
      </c>
    </row>
    <row r="26" spans="2:6" x14ac:dyDescent="0.35">
      <c r="C26" s="8" t="s">
        <v>11</v>
      </c>
      <c r="D26" s="8">
        <f>SUM(D23:D25)</f>
        <v>9200</v>
      </c>
      <c r="E26" s="8"/>
      <c r="F26" s="8"/>
    </row>
    <row r="27" spans="2:6" x14ac:dyDescent="0.35">
      <c r="B27">
        <v>-1</v>
      </c>
      <c r="C27" s="9" t="s">
        <v>3</v>
      </c>
      <c r="D27">
        <v>-1800</v>
      </c>
    </row>
    <row r="28" spans="2:6" x14ac:dyDescent="0.35">
      <c r="C28" s="9" t="s">
        <v>4</v>
      </c>
      <c r="D28">
        <v>-1200</v>
      </c>
    </row>
    <row r="29" spans="2:6" x14ac:dyDescent="0.35">
      <c r="C29" s="9" t="s">
        <v>5</v>
      </c>
      <c r="D29">
        <v>-2900</v>
      </c>
    </row>
    <row r="30" spans="2:6" x14ac:dyDescent="0.35">
      <c r="C30" s="12" t="s">
        <v>15</v>
      </c>
      <c r="D30" s="8">
        <f>SUM(D27:D29)</f>
        <v>-5900</v>
      </c>
    </row>
    <row r="31" spans="2:6" x14ac:dyDescent="0.35">
      <c r="C31" s="13" t="s">
        <v>17</v>
      </c>
      <c r="D31" s="14">
        <f>SUM(D30,D26)</f>
        <v>3300</v>
      </c>
      <c r="E31" s="15"/>
      <c r="F3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100"/>
  <sheetViews>
    <sheetView showGridLines="0" tabSelected="1" topLeftCell="A36" workbookViewId="0">
      <selection activeCell="N4" sqref="N4"/>
    </sheetView>
  </sheetViews>
  <sheetFormatPr defaultRowHeight="14.5" x14ac:dyDescent="0.35"/>
  <cols>
    <col min="3" max="3" width="29.6328125" bestFit="1" customWidth="1"/>
    <col min="4" max="4" width="9.26953125" style="20" customWidth="1"/>
    <col min="5" max="6" width="8.7265625" style="20"/>
  </cols>
  <sheetData>
    <row r="1" spans="3:18" x14ac:dyDescent="0.35">
      <c r="D1"/>
      <c r="E1"/>
      <c r="F1"/>
    </row>
    <row r="2" spans="3:18" x14ac:dyDescent="0.35">
      <c r="D2"/>
      <c r="E2"/>
      <c r="F2"/>
    </row>
    <row r="3" spans="3:18" x14ac:dyDescent="0.35">
      <c r="C3" s="18" t="s">
        <v>23</v>
      </c>
      <c r="D3" s="17"/>
      <c r="E3" s="17"/>
      <c r="F3" s="17"/>
      <c r="G3" s="17"/>
      <c r="H3" s="17"/>
      <c r="I3" s="17"/>
      <c r="J3" s="17"/>
      <c r="K3" s="17"/>
      <c r="L3" s="17"/>
      <c r="N3" s="18" t="s">
        <v>12</v>
      </c>
      <c r="O3" s="17"/>
      <c r="P3" s="17"/>
      <c r="Q3" s="17"/>
      <c r="R3" s="17"/>
    </row>
    <row r="4" spans="3:18" x14ac:dyDescent="0.35">
      <c r="D4"/>
      <c r="E4"/>
      <c r="F4"/>
    </row>
    <row r="5" spans="3:18" x14ac:dyDescent="0.35">
      <c r="C5" t="s">
        <v>22</v>
      </c>
      <c r="D5" s="38">
        <v>0.02</v>
      </c>
      <c r="E5"/>
      <c r="F5"/>
    </row>
    <row r="6" spans="3:18" x14ac:dyDescent="0.35">
      <c r="C6" t="s">
        <v>40</v>
      </c>
      <c r="D6" s="38">
        <v>0.25</v>
      </c>
      <c r="E6"/>
      <c r="F6"/>
    </row>
    <row r="7" spans="3:18" x14ac:dyDescent="0.35">
      <c r="C7" t="s">
        <v>57</v>
      </c>
      <c r="D7" s="38">
        <v>0.21</v>
      </c>
      <c r="E7"/>
      <c r="F7"/>
    </row>
    <row r="8" spans="3:18" x14ac:dyDescent="0.35">
      <c r="C8" t="s">
        <v>62</v>
      </c>
      <c r="D8" s="38">
        <v>7.0000000000000007E-2</v>
      </c>
      <c r="E8"/>
      <c r="F8"/>
    </row>
    <row r="9" spans="3:18" x14ac:dyDescent="0.35">
      <c r="D9" s="5"/>
      <c r="E9"/>
      <c r="F9"/>
    </row>
    <row r="10" spans="3:18" x14ac:dyDescent="0.35">
      <c r="D10" s="5" t="s">
        <v>69</v>
      </c>
      <c r="E10" t="s">
        <v>66</v>
      </c>
      <c r="F10"/>
    </row>
    <row r="11" spans="3:18" x14ac:dyDescent="0.35">
      <c r="C11" t="s">
        <v>3</v>
      </c>
      <c r="D11" s="32">
        <v>0.05</v>
      </c>
      <c r="E11" s="32">
        <v>0.03</v>
      </c>
      <c r="F11"/>
      <c r="N11" t="s">
        <v>65</v>
      </c>
    </row>
    <row r="12" spans="3:18" x14ac:dyDescent="0.35">
      <c r="C12" t="s">
        <v>4</v>
      </c>
      <c r="D12" s="32">
        <v>0.05</v>
      </c>
      <c r="E12" s="32">
        <f>D5</f>
        <v>0.02</v>
      </c>
      <c r="F12"/>
      <c r="N12" t="s">
        <v>65</v>
      </c>
    </row>
    <row r="13" spans="3:18" x14ac:dyDescent="0.35">
      <c r="C13" t="s">
        <v>5</v>
      </c>
      <c r="D13" s="32">
        <v>7.0000000000000007E-2</v>
      </c>
      <c r="E13" s="32">
        <v>0.03</v>
      </c>
      <c r="F13"/>
      <c r="N13" t="s">
        <v>65</v>
      </c>
    </row>
    <row r="14" spans="3:18" x14ac:dyDescent="0.35">
      <c r="C14" t="s">
        <v>67</v>
      </c>
      <c r="D14" s="32">
        <v>0.01</v>
      </c>
      <c r="E14"/>
      <c r="F14"/>
      <c r="N14" t="s">
        <v>65</v>
      </c>
    </row>
    <row r="15" spans="3:18" x14ac:dyDescent="0.35">
      <c r="D15"/>
      <c r="E15"/>
      <c r="F15"/>
    </row>
    <row r="16" spans="3:18" x14ac:dyDescent="0.35">
      <c r="C16" t="s">
        <v>19</v>
      </c>
      <c r="D16" s="2"/>
      <c r="E16" s="42" t="s">
        <v>68</v>
      </c>
      <c r="F16" s="2"/>
      <c r="G16" s="3"/>
      <c r="H16" s="3" t="s">
        <v>8</v>
      </c>
      <c r="I16" s="3"/>
      <c r="J16" s="16"/>
      <c r="K16" s="16" t="s">
        <v>20</v>
      </c>
      <c r="L16" s="16"/>
    </row>
    <row r="17" spans="3:14" x14ac:dyDescent="0.35">
      <c r="D17" s="37">
        <v>20</v>
      </c>
      <c r="E17" s="37">
        <f>D17+1</f>
        <v>21</v>
      </c>
      <c r="F17" s="37">
        <f>E17+1</f>
        <v>22</v>
      </c>
      <c r="G17" s="37">
        <v>20</v>
      </c>
      <c r="H17" s="37">
        <f>G17+1</f>
        <v>21</v>
      </c>
      <c r="I17" s="37">
        <f>H17+1</f>
        <v>22</v>
      </c>
      <c r="J17" s="37">
        <v>20</v>
      </c>
      <c r="K17" s="37">
        <f>J17+1</f>
        <v>21</v>
      </c>
      <c r="L17" s="37">
        <f>K17+1</f>
        <v>22</v>
      </c>
    </row>
    <row r="18" spans="3:14" x14ac:dyDescent="0.35">
      <c r="C18" t="s">
        <v>3</v>
      </c>
      <c r="D18" s="34">
        <v>3</v>
      </c>
      <c r="E18" s="36">
        <f>D18*(1+$D$5)</f>
        <v>3.06</v>
      </c>
      <c r="F18" s="36">
        <f t="shared" ref="F18:F20" si="0">E18*(1+$D$5)</f>
        <v>3.1212</v>
      </c>
      <c r="G18" s="35">
        <v>1000</v>
      </c>
      <c r="H18" s="39">
        <f>G18*(1+$D$11)</f>
        <v>1050</v>
      </c>
      <c r="I18" s="39">
        <f>H18*(1+$D$11)</f>
        <v>1102.5</v>
      </c>
      <c r="J18" s="36">
        <f>D60/G18</f>
        <v>-1.8</v>
      </c>
      <c r="K18" s="36">
        <f>J18*(1+$E$11)</f>
        <v>-1.8540000000000001</v>
      </c>
      <c r="L18" s="36">
        <f>K18*(1+$E$11)</f>
        <v>-1.9096200000000001</v>
      </c>
    </row>
    <row r="19" spans="3:14" x14ac:dyDescent="0.35">
      <c r="C19" t="s">
        <v>4</v>
      </c>
      <c r="D19" s="34">
        <v>4</v>
      </c>
      <c r="E19" s="36">
        <f t="shared" ref="E19" si="1">D19*(1+$D$5)</f>
        <v>4.08</v>
      </c>
      <c r="F19" s="36">
        <f t="shared" si="0"/>
        <v>4.1616</v>
      </c>
      <c r="G19" s="35">
        <v>500</v>
      </c>
      <c r="H19" s="39">
        <f>G19*(1+$D$12)</f>
        <v>525</v>
      </c>
      <c r="I19" s="39">
        <f>H19*(1+$D$12)</f>
        <v>551.25</v>
      </c>
      <c r="J19" s="36">
        <f>D61/G19</f>
        <v>-2.4</v>
      </c>
      <c r="K19" s="36">
        <f>J19*(1+$E$12)</f>
        <v>-2.448</v>
      </c>
      <c r="L19" s="36">
        <f>K19*(1+$E$12)</f>
        <v>-2.4969600000000001</v>
      </c>
    </row>
    <row r="20" spans="3:14" x14ac:dyDescent="0.35">
      <c r="C20" t="s">
        <v>5</v>
      </c>
      <c r="D20" s="34">
        <v>7</v>
      </c>
      <c r="E20" s="36">
        <f t="shared" ref="E20" si="2">D20*(1+$D$5)</f>
        <v>7.1400000000000006</v>
      </c>
      <c r="F20" s="36">
        <f t="shared" si="0"/>
        <v>7.2828000000000008</v>
      </c>
      <c r="G20" s="35">
        <v>600</v>
      </c>
      <c r="H20" s="39">
        <f>G20*(1+$D$13)</f>
        <v>642</v>
      </c>
      <c r="I20" s="39">
        <f>H20*(1+$D$13)</f>
        <v>686.94</v>
      </c>
      <c r="J20" s="36">
        <f>D62/G20</f>
        <v>-4.833333333333333</v>
      </c>
      <c r="K20" s="36">
        <f>J20*(1+$E$13)</f>
        <v>-4.9783333333333335</v>
      </c>
      <c r="L20" s="36">
        <f>K20*(1+$E$13)</f>
        <v>-5.1276833333333336</v>
      </c>
    </row>
    <row r="21" spans="3:14" x14ac:dyDescent="0.35">
      <c r="D21" s="6"/>
      <c r="E21" s="6"/>
      <c r="F21" s="6"/>
      <c r="G21" s="7"/>
      <c r="H21" s="7"/>
      <c r="I21" s="7"/>
      <c r="J21" s="6"/>
      <c r="K21" s="6"/>
      <c r="L21" s="6"/>
    </row>
    <row r="22" spans="3:14" x14ac:dyDescent="0.35">
      <c r="D22" s="2"/>
      <c r="E22" s="41" t="s">
        <v>24</v>
      </c>
      <c r="F22" s="2"/>
      <c r="G22" s="3"/>
      <c r="H22" s="3" t="s">
        <v>70</v>
      </c>
      <c r="I22" s="3"/>
      <c r="J22" s="7"/>
      <c r="K22" s="7"/>
      <c r="L22" s="6"/>
      <c r="M22" s="6"/>
      <c r="N22" s="6"/>
    </row>
    <row r="23" spans="3:14" x14ac:dyDescent="0.35">
      <c r="D23" s="37">
        <v>20</v>
      </c>
      <c r="E23" s="37">
        <f>D23+1</f>
        <v>21</v>
      </c>
      <c r="F23" s="37">
        <f>E23+1</f>
        <v>22</v>
      </c>
      <c r="G23" s="37">
        <v>20</v>
      </c>
      <c r="H23" s="37">
        <f>G23+1</f>
        <v>21</v>
      </c>
      <c r="I23" s="37">
        <f>H23+1</f>
        <v>22</v>
      </c>
      <c r="J23" s="7"/>
      <c r="K23" s="7"/>
      <c r="L23" s="6"/>
      <c r="M23" s="6"/>
      <c r="N23" s="6"/>
    </row>
    <row r="24" spans="3:14" x14ac:dyDescent="0.35">
      <c r="C24" t="s">
        <v>25</v>
      </c>
      <c r="D24" s="34">
        <v>15</v>
      </c>
      <c r="E24" s="6">
        <f>D24</f>
        <v>15</v>
      </c>
      <c r="F24" s="6">
        <f>E24+1</f>
        <v>16</v>
      </c>
      <c r="G24" s="34">
        <v>40</v>
      </c>
      <c r="H24" s="6">
        <f>(G24*(1+$D$5))</f>
        <v>40.799999999999997</v>
      </c>
      <c r="I24" s="6">
        <f>(H24*(1+$D$5))</f>
        <v>41.616</v>
      </c>
      <c r="J24" s="7"/>
      <c r="K24" s="7"/>
      <c r="L24" s="6"/>
      <c r="M24" s="6"/>
      <c r="N24" s="6"/>
    </row>
    <row r="25" spans="3:14" x14ac:dyDescent="0.35">
      <c r="C25" t="s">
        <v>26</v>
      </c>
      <c r="D25" s="34">
        <v>5</v>
      </c>
      <c r="E25" s="6">
        <f t="shared" ref="E25:F27" si="3">D25</f>
        <v>5</v>
      </c>
      <c r="F25" s="6">
        <f t="shared" si="3"/>
        <v>5</v>
      </c>
      <c r="G25" s="34">
        <v>42</v>
      </c>
      <c r="H25" s="6">
        <f t="shared" ref="H25:I27" si="4">((G25*(1+$D$5))*-1)*-1</f>
        <v>42.84</v>
      </c>
      <c r="I25" s="6">
        <f t="shared" si="4"/>
        <v>43.696800000000003</v>
      </c>
      <c r="J25" s="25">
        <v>0.01</v>
      </c>
      <c r="K25" s="7" t="s">
        <v>31</v>
      </c>
      <c r="L25" s="6"/>
      <c r="M25" s="6"/>
      <c r="N25" s="6"/>
    </row>
    <row r="26" spans="3:14" x14ac:dyDescent="0.35">
      <c r="C26" t="s">
        <v>27</v>
      </c>
      <c r="D26" s="34">
        <v>7</v>
      </c>
      <c r="E26" s="6">
        <f>D26</f>
        <v>7</v>
      </c>
      <c r="F26" s="6">
        <f t="shared" si="3"/>
        <v>7</v>
      </c>
      <c r="G26" s="34">
        <v>50</v>
      </c>
      <c r="H26" s="6">
        <f t="shared" si="4"/>
        <v>51</v>
      </c>
      <c r="I26" s="6">
        <f t="shared" si="4"/>
        <v>52.02</v>
      </c>
      <c r="J26" s="7"/>
      <c r="K26" s="7"/>
      <c r="L26" s="6"/>
      <c r="M26" s="6"/>
      <c r="N26" s="6"/>
    </row>
    <row r="27" spans="3:14" x14ac:dyDescent="0.35">
      <c r="C27" t="s">
        <v>28</v>
      </c>
      <c r="D27" s="34">
        <v>3</v>
      </c>
      <c r="E27" s="6">
        <f t="shared" si="3"/>
        <v>3</v>
      </c>
      <c r="F27" s="6">
        <f t="shared" si="3"/>
        <v>3</v>
      </c>
      <c r="G27" s="34">
        <v>120</v>
      </c>
      <c r="H27" s="6">
        <f t="shared" si="4"/>
        <v>122.4</v>
      </c>
      <c r="I27" s="6">
        <f t="shared" si="4"/>
        <v>124.84800000000001</v>
      </c>
      <c r="J27" s="7"/>
      <c r="K27" s="7"/>
      <c r="L27" s="6"/>
      <c r="M27" s="6"/>
      <c r="N27" s="6"/>
    </row>
    <row r="28" spans="3:14" x14ac:dyDescent="0.35">
      <c r="D28" s="6"/>
      <c r="E28" s="6"/>
      <c r="F28" s="6"/>
      <c r="G28" s="6"/>
      <c r="H28" s="6"/>
      <c r="I28" s="6"/>
      <c r="J28" s="7"/>
      <c r="K28" s="7"/>
      <c r="L28" s="6"/>
      <c r="M28" s="6"/>
      <c r="N28" s="6"/>
    </row>
    <row r="29" spans="3:14" x14ac:dyDescent="0.35">
      <c r="D29">
        <v>20</v>
      </c>
      <c r="E29">
        <f>D29+1</f>
        <v>21</v>
      </c>
      <c r="F29">
        <f>E29+1</f>
        <v>22</v>
      </c>
      <c r="G29" s="6"/>
      <c r="H29" s="6"/>
      <c r="I29" s="6"/>
      <c r="J29" s="7"/>
      <c r="K29" s="7"/>
      <c r="L29" s="6"/>
      <c r="M29" s="6"/>
      <c r="N29" s="6"/>
    </row>
    <row r="30" spans="3:14" x14ac:dyDescent="0.35">
      <c r="C30" s="11" t="s">
        <v>37</v>
      </c>
      <c r="D30" s="43">
        <v>0.1</v>
      </c>
      <c r="E30" s="25">
        <f>D30</f>
        <v>0.1</v>
      </c>
      <c r="F30" s="25">
        <f t="shared" ref="F30:F32" si="5">E30</f>
        <v>0.1</v>
      </c>
      <c r="G30" s="6"/>
      <c r="H30" s="6"/>
      <c r="I30" s="6"/>
      <c r="J30" s="7"/>
      <c r="K30" s="7"/>
      <c r="L30" s="6"/>
      <c r="M30" s="6"/>
      <c r="N30" s="6"/>
    </row>
    <row r="31" spans="3:14" x14ac:dyDescent="0.35">
      <c r="C31" s="11" t="s">
        <v>38</v>
      </c>
      <c r="D31" s="34">
        <v>5</v>
      </c>
      <c r="E31" s="6">
        <f t="shared" ref="E31" si="6">D31</f>
        <v>5</v>
      </c>
      <c r="F31" s="6">
        <f t="shared" si="5"/>
        <v>5</v>
      </c>
      <c r="G31" s="6"/>
      <c r="H31" s="6"/>
      <c r="I31" s="6"/>
      <c r="J31" s="7"/>
      <c r="K31" s="7"/>
      <c r="L31" s="6"/>
      <c r="M31" s="6"/>
      <c r="N31" s="6"/>
    </row>
    <row r="32" spans="3:14" x14ac:dyDescent="0.35">
      <c r="C32" s="11" t="s">
        <v>35</v>
      </c>
      <c r="D32" s="34">
        <v>250</v>
      </c>
      <c r="E32" s="6">
        <f t="shared" ref="E32" si="7">D32</f>
        <v>250</v>
      </c>
      <c r="F32" s="6">
        <f t="shared" si="5"/>
        <v>250</v>
      </c>
      <c r="G32" s="6"/>
      <c r="H32" s="6"/>
      <c r="I32" s="6"/>
      <c r="J32" s="7"/>
      <c r="K32" s="7"/>
      <c r="L32" s="6"/>
      <c r="M32" s="6"/>
      <c r="N32" s="6"/>
    </row>
    <row r="33" spans="3:14" x14ac:dyDescent="0.35">
      <c r="C33" s="11"/>
      <c r="D33" s="34"/>
      <c r="E33" s="6"/>
      <c r="F33" s="6"/>
      <c r="G33" s="6"/>
      <c r="H33" s="6"/>
      <c r="I33" s="6"/>
      <c r="J33" s="7"/>
      <c r="K33" s="7"/>
      <c r="L33" s="6"/>
      <c r="M33" s="6"/>
      <c r="N33" s="6"/>
    </row>
    <row r="34" spans="3:14" x14ac:dyDescent="0.35">
      <c r="D34" s="24" t="s">
        <v>47</v>
      </c>
      <c r="E34" s="6"/>
      <c r="F34" s="6"/>
      <c r="G34" s="6"/>
      <c r="H34" s="6"/>
      <c r="I34" s="6"/>
      <c r="J34" s="7"/>
      <c r="K34" s="7"/>
      <c r="L34" s="6"/>
      <c r="M34" s="6"/>
      <c r="N34" s="6"/>
    </row>
    <row r="35" spans="3:14" x14ac:dyDescent="0.35">
      <c r="C35" t="s">
        <v>44</v>
      </c>
      <c r="D35" s="44">
        <v>45</v>
      </c>
      <c r="E35" s="6"/>
      <c r="F35" s="6"/>
      <c r="G35" s="6"/>
      <c r="H35" s="6"/>
      <c r="I35" s="6"/>
      <c r="J35" s="7"/>
      <c r="K35" s="7"/>
      <c r="L35" s="6"/>
      <c r="M35" s="6"/>
      <c r="N35" s="6"/>
    </row>
    <row r="36" spans="3:14" x14ac:dyDescent="0.35">
      <c r="C36" t="s">
        <v>45</v>
      </c>
      <c r="D36" s="44">
        <v>30</v>
      </c>
      <c r="E36" s="6"/>
      <c r="F36" s="6"/>
      <c r="G36" s="6"/>
      <c r="H36" s="6"/>
      <c r="I36" s="6"/>
      <c r="J36" s="7"/>
      <c r="K36" s="7"/>
      <c r="L36" s="6"/>
      <c r="M36" s="6"/>
      <c r="N36" s="6"/>
    </row>
    <row r="37" spans="3:14" x14ac:dyDescent="0.35">
      <c r="C37" t="s">
        <v>46</v>
      </c>
      <c r="D37" s="44">
        <v>10</v>
      </c>
      <c r="E37" s="6"/>
      <c r="F37" s="6"/>
      <c r="G37" s="6"/>
      <c r="H37" s="6"/>
      <c r="I37" s="6"/>
      <c r="J37" s="7"/>
      <c r="K37" s="7"/>
      <c r="L37" s="6"/>
      <c r="M37" s="6"/>
      <c r="N37" s="6"/>
    </row>
    <row r="38" spans="3:14" x14ac:dyDescent="0.35">
      <c r="C38" s="11"/>
      <c r="D38" s="34"/>
      <c r="E38" s="6"/>
      <c r="F38" s="6"/>
      <c r="G38" s="6"/>
      <c r="H38" s="6"/>
      <c r="I38" s="6"/>
      <c r="J38" s="7"/>
      <c r="K38" s="7"/>
      <c r="L38" s="6"/>
      <c r="M38" s="6"/>
      <c r="N38" s="6"/>
    </row>
    <row r="39" spans="3:14" x14ac:dyDescent="0.35">
      <c r="D39" s="34"/>
      <c r="E39" s="6"/>
      <c r="F39" s="6"/>
      <c r="G39" s="6"/>
      <c r="H39" s="6"/>
      <c r="I39" s="6"/>
      <c r="J39" s="7"/>
      <c r="K39" s="7"/>
      <c r="L39" s="6"/>
      <c r="M39" s="6"/>
      <c r="N39" s="6"/>
    </row>
    <row r="40" spans="3:14" x14ac:dyDescent="0.35">
      <c r="C40" s="12" t="s">
        <v>75</v>
      </c>
      <c r="D40" s="26">
        <v>20</v>
      </c>
      <c r="E40" s="26">
        <f>D40+1</f>
        <v>21</v>
      </c>
      <c r="F40" s="26">
        <f>E40+1</f>
        <v>22</v>
      </c>
      <c r="G40" s="6"/>
      <c r="H40" s="6" t="s">
        <v>79</v>
      </c>
      <c r="I40" s="6"/>
      <c r="J40" s="7">
        <v>10</v>
      </c>
      <c r="K40" s="7" t="s">
        <v>80</v>
      </c>
      <c r="L40" s="6"/>
      <c r="M40" s="6"/>
      <c r="N40" s="6"/>
    </row>
    <row r="41" spans="3:14" x14ac:dyDescent="0.35">
      <c r="C41" s="11" t="s">
        <v>72</v>
      </c>
      <c r="D41" s="40">
        <v>4000</v>
      </c>
      <c r="E41" s="6">
        <f>D43</f>
        <v>3600</v>
      </c>
      <c r="F41" s="6">
        <f>E43</f>
        <v>3200</v>
      </c>
      <c r="G41" s="6"/>
      <c r="H41" s="6"/>
      <c r="I41" s="6"/>
      <c r="J41" s="7"/>
      <c r="K41" s="7"/>
      <c r="L41" s="6"/>
      <c r="M41" s="6"/>
    </row>
    <row r="42" spans="3:14" x14ac:dyDescent="0.35">
      <c r="C42" s="11" t="s">
        <v>71</v>
      </c>
      <c r="D42" s="6">
        <f>-$D$41/$J$40</f>
        <v>-400</v>
      </c>
      <c r="E42" s="6">
        <f t="shared" ref="E42:F42" si="8">-$D$41/$J$40</f>
        <v>-400</v>
      </c>
      <c r="F42" s="6">
        <f t="shared" si="8"/>
        <v>-400</v>
      </c>
      <c r="G42" s="6"/>
      <c r="H42" s="6"/>
      <c r="I42" s="6"/>
      <c r="J42" s="7"/>
      <c r="K42" s="7"/>
      <c r="L42" s="6"/>
      <c r="M42" s="6"/>
      <c r="N42" s="6" t="s">
        <v>76</v>
      </c>
    </row>
    <row r="43" spans="3:14" x14ac:dyDescent="0.35">
      <c r="C43" s="11" t="s">
        <v>73</v>
      </c>
      <c r="D43" s="6">
        <f>SUM(D41:D42)</f>
        <v>3600</v>
      </c>
      <c r="E43" s="6">
        <f>SUM(E41:E42)</f>
        <v>3200</v>
      </c>
      <c r="F43" s="6">
        <f>SUM(F41:F42)</f>
        <v>2800</v>
      </c>
      <c r="G43" s="6"/>
      <c r="H43" s="6"/>
      <c r="I43" s="6"/>
      <c r="J43" s="7"/>
      <c r="K43" s="7"/>
      <c r="L43" s="6"/>
      <c r="M43" s="6"/>
      <c r="N43" s="6"/>
    </row>
    <row r="44" spans="3:14" x14ac:dyDescent="0.35">
      <c r="C44" s="11" t="s">
        <v>74</v>
      </c>
      <c r="D44" s="45">
        <v>7.0000000000000007E-2</v>
      </c>
      <c r="E44" s="45">
        <v>7.0000000000000007E-2</v>
      </c>
      <c r="F44" s="45">
        <v>7.0000000000000007E-2</v>
      </c>
      <c r="G44" s="6"/>
      <c r="H44" s="6"/>
      <c r="I44" s="6"/>
      <c r="J44" s="7"/>
      <c r="K44" s="7"/>
      <c r="L44" s="6"/>
      <c r="M44" s="6"/>
      <c r="N44" s="6"/>
    </row>
    <row r="45" spans="3:14" x14ac:dyDescent="0.35">
      <c r="C45" s="11" t="s">
        <v>62</v>
      </c>
      <c r="D45" s="36">
        <f>D44*D43</f>
        <v>252.00000000000003</v>
      </c>
      <c r="E45" s="6">
        <f>E43*E44</f>
        <v>224.00000000000003</v>
      </c>
      <c r="F45" s="6">
        <f>F43*F44</f>
        <v>196.00000000000003</v>
      </c>
      <c r="G45" s="6"/>
      <c r="H45" s="6"/>
      <c r="I45" s="6"/>
      <c r="J45" s="7"/>
      <c r="K45" s="7"/>
      <c r="L45" s="6"/>
      <c r="M45" s="6"/>
      <c r="N45" s="6"/>
    </row>
    <row r="46" spans="3:14" x14ac:dyDescent="0.35">
      <c r="C46" s="11"/>
      <c r="D46" s="34"/>
      <c r="E46" s="6"/>
      <c r="F46" s="6"/>
      <c r="G46" s="6"/>
      <c r="H46" s="6"/>
      <c r="I46" s="6"/>
      <c r="J46" s="7"/>
      <c r="K46" s="7"/>
      <c r="L46" s="6"/>
      <c r="M46" s="6"/>
      <c r="N46" s="6"/>
    </row>
    <row r="47" spans="3:14" x14ac:dyDescent="0.35">
      <c r="C47" s="11"/>
      <c r="D47" s="26">
        <v>20</v>
      </c>
      <c r="E47" s="26">
        <f>D47+1</f>
        <v>21</v>
      </c>
      <c r="F47" s="26">
        <f>E47+1</f>
        <v>22</v>
      </c>
      <c r="G47" s="6"/>
      <c r="H47" s="6" t="s">
        <v>83</v>
      </c>
      <c r="I47" s="6"/>
      <c r="J47" s="7">
        <v>10</v>
      </c>
      <c r="K47" s="7" t="s">
        <v>84</v>
      </c>
      <c r="L47" s="6"/>
      <c r="M47" s="6"/>
      <c r="N47" s="6"/>
    </row>
    <row r="48" spans="3:14" x14ac:dyDescent="0.35">
      <c r="C48" s="11" t="s">
        <v>77</v>
      </c>
      <c r="D48" s="46"/>
      <c r="E48" s="6">
        <f>D51</f>
        <v>6000</v>
      </c>
      <c r="F48" s="6">
        <f>E51</f>
        <v>5650</v>
      </c>
      <c r="G48" s="6"/>
      <c r="H48" s="6"/>
      <c r="I48" s="6"/>
      <c r="J48" s="7"/>
      <c r="K48" s="7"/>
      <c r="L48" s="6"/>
      <c r="M48" s="6"/>
      <c r="N48" s="6"/>
    </row>
    <row r="49" spans="3:14" x14ac:dyDescent="0.35">
      <c r="C49" s="11" t="s">
        <v>78</v>
      </c>
      <c r="D49" s="46"/>
      <c r="E49" s="6">
        <f>-$D$51/$J$47</f>
        <v>-600</v>
      </c>
      <c r="F49" s="6">
        <f>-$D$51/$J$47</f>
        <v>-600</v>
      </c>
      <c r="G49" s="6"/>
      <c r="H49" s="6"/>
      <c r="I49" s="6"/>
      <c r="J49" s="7"/>
      <c r="K49" s="7"/>
      <c r="L49" s="6"/>
      <c r="M49" s="6"/>
      <c r="N49" s="6"/>
    </row>
    <row r="50" spans="3:14" x14ac:dyDescent="0.35">
      <c r="C50" s="11" t="s">
        <v>81</v>
      </c>
      <c r="D50" s="46"/>
      <c r="E50" s="40">
        <v>250</v>
      </c>
      <c r="F50" s="40">
        <v>250</v>
      </c>
      <c r="G50" s="6"/>
      <c r="H50" s="6"/>
      <c r="I50" s="6"/>
      <c r="J50" s="7"/>
      <c r="K50" s="7"/>
      <c r="L50" s="6"/>
      <c r="M50" s="6"/>
      <c r="N50" s="6"/>
    </row>
    <row r="51" spans="3:14" x14ac:dyDescent="0.35">
      <c r="C51" s="11" t="s">
        <v>82</v>
      </c>
      <c r="D51" s="40">
        <v>6000</v>
      </c>
      <c r="E51" s="6">
        <f>SUM(E48:E50)</f>
        <v>5650</v>
      </c>
      <c r="F51" s="6">
        <f>SUM(F48:F50)</f>
        <v>5300</v>
      </c>
      <c r="G51" s="6"/>
      <c r="H51" s="6"/>
      <c r="I51" s="6"/>
      <c r="J51" s="7"/>
      <c r="K51" s="7"/>
      <c r="L51" s="6"/>
      <c r="M51" s="6"/>
      <c r="N51" s="6"/>
    </row>
    <row r="52" spans="3:14" x14ac:dyDescent="0.35">
      <c r="D52"/>
      <c r="E52"/>
      <c r="F52"/>
    </row>
    <row r="53" spans="3:14" x14ac:dyDescent="0.35">
      <c r="C53" s="19" t="s">
        <v>0</v>
      </c>
      <c r="D53" s="19"/>
      <c r="E53" s="19"/>
      <c r="F53" s="19"/>
    </row>
    <row r="54" spans="3:14" x14ac:dyDescent="0.35">
      <c r="C54" s="8"/>
      <c r="D54" s="26">
        <v>20</v>
      </c>
      <c r="E54" s="26">
        <f>D54+1</f>
        <v>21</v>
      </c>
      <c r="F54" s="26">
        <f>E54+1</f>
        <v>22</v>
      </c>
    </row>
    <row r="55" spans="3:14" x14ac:dyDescent="0.35">
      <c r="C55" s="8" t="s">
        <v>21</v>
      </c>
      <c r="D55" s="27" t="s">
        <v>1</v>
      </c>
      <c r="E55" s="27" t="s">
        <v>2</v>
      </c>
      <c r="F55" s="27" t="s">
        <v>2</v>
      </c>
    </row>
    <row r="56" spans="3:14" x14ac:dyDescent="0.35">
      <c r="C56" s="9" t="s">
        <v>3</v>
      </c>
      <c r="D56" s="20">
        <f>D18*G18*(1-$D$7)</f>
        <v>2370</v>
      </c>
      <c r="E56" s="20">
        <f>E18*H18</f>
        <v>3213</v>
      </c>
      <c r="F56" s="20">
        <f>F18*I18</f>
        <v>3441.123</v>
      </c>
    </row>
    <row r="57" spans="3:14" x14ac:dyDescent="0.35">
      <c r="C57" s="9" t="s">
        <v>4</v>
      </c>
      <c r="D57" s="20">
        <f>D19*G19*(1-$D$7)</f>
        <v>1580</v>
      </c>
      <c r="E57" s="20">
        <f>E19*H19</f>
        <v>2142</v>
      </c>
      <c r="F57" s="20">
        <f>F19*I19</f>
        <v>2294.0819999999999</v>
      </c>
    </row>
    <row r="58" spans="3:14" x14ac:dyDescent="0.35">
      <c r="C58" s="9" t="s">
        <v>5</v>
      </c>
      <c r="D58" s="20">
        <f>D20*G20*(1-$D$7)</f>
        <v>3318</v>
      </c>
      <c r="E58" s="20">
        <f>E20*H20</f>
        <v>4583.88</v>
      </c>
      <c r="F58" s="20">
        <f>F20*I20</f>
        <v>5002.8466320000007</v>
      </c>
    </row>
    <row r="59" spans="3:14" x14ac:dyDescent="0.35">
      <c r="C59" s="8" t="s">
        <v>11</v>
      </c>
      <c r="D59" s="21">
        <f>SUM(D56:D58)</f>
        <v>7268</v>
      </c>
      <c r="E59" s="21">
        <f t="shared" ref="E59:F59" si="9">SUM(E56:E58)</f>
        <v>9938.880000000001</v>
      </c>
      <c r="F59" s="21">
        <f t="shared" si="9"/>
        <v>10738.051632000001</v>
      </c>
    </row>
    <row r="60" spans="3:14" x14ac:dyDescent="0.35">
      <c r="C60" s="9" t="s">
        <v>3</v>
      </c>
      <c r="D60" s="40">
        <v>-1800</v>
      </c>
      <c r="E60" s="20">
        <f>K18*H18</f>
        <v>-1946.7</v>
      </c>
      <c r="F60" s="20">
        <f>L18*I18</f>
        <v>-2105.3560500000003</v>
      </c>
    </row>
    <row r="61" spans="3:14" x14ac:dyDescent="0.35">
      <c r="C61" s="9" t="s">
        <v>4</v>
      </c>
      <c r="D61" s="40">
        <v>-1200</v>
      </c>
      <c r="E61" s="20">
        <f>K19*H19</f>
        <v>-1285.2</v>
      </c>
      <c r="F61" s="20">
        <f>L19*I19</f>
        <v>-1376.4492</v>
      </c>
    </row>
    <row r="62" spans="3:14" x14ac:dyDescent="0.35">
      <c r="C62" s="9" t="s">
        <v>5</v>
      </c>
      <c r="D62" s="40">
        <v>-2900</v>
      </c>
      <c r="E62" s="20">
        <f>K20*H20</f>
        <v>-3196.09</v>
      </c>
      <c r="F62" s="20">
        <f>L20*I20</f>
        <v>-3522.4107890000005</v>
      </c>
    </row>
    <row r="63" spans="3:14" x14ac:dyDescent="0.35">
      <c r="C63" s="23" t="s">
        <v>29</v>
      </c>
      <c r="D63" s="20">
        <f>SUM(D60:D62)</f>
        <v>-5900</v>
      </c>
      <c r="E63" s="20">
        <f t="shared" ref="E63:F63" si="10">SUM(E60:E62)</f>
        <v>-6427.99</v>
      </c>
      <c r="F63" s="20">
        <f t="shared" si="10"/>
        <v>-7004.2160390000008</v>
      </c>
    </row>
    <row r="64" spans="3:14" x14ac:dyDescent="0.35">
      <c r="C64" s="23" t="s">
        <v>30</v>
      </c>
      <c r="D64" s="20">
        <f>-D24*G24</f>
        <v>-600</v>
      </c>
      <c r="E64" s="20">
        <f>E24*H24</f>
        <v>612</v>
      </c>
      <c r="F64" s="20">
        <f>F24*I24</f>
        <v>665.85599999999999</v>
      </c>
    </row>
    <row r="65" spans="3:6" x14ac:dyDescent="0.35">
      <c r="C65" s="13" t="s">
        <v>17</v>
      </c>
      <c r="D65" s="22">
        <f>SUM(D64,D63,D59)</f>
        <v>768</v>
      </c>
      <c r="E65" s="22">
        <f t="shared" ref="E65:F65" si="11">SUM(E64,E63,E59)</f>
        <v>4122.8900000000012</v>
      </c>
      <c r="F65" s="22">
        <f t="shared" si="11"/>
        <v>4399.6915929999996</v>
      </c>
    </row>
    <row r="66" spans="3:6" x14ac:dyDescent="0.35">
      <c r="C66" s="9" t="s">
        <v>26</v>
      </c>
      <c r="D66" s="20">
        <f>(D25*G25+(D59*$J$25))*(-1)</f>
        <v>-282.68</v>
      </c>
      <c r="E66" s="20">
        <f>(E25*H25+(E59*$J$25))*(-1)</f>
        <v>-313.58880000000005</v>
      </c>
      <c r="F66" s="20">
        <f>(F25*I25+(F59*$J$25))*(-1)</f>
        <v>-325.86451632000001</v>
      </c>
    </row>
    <row r="67" spans="3:6" x14ac:dyDescent="0.35">
      <c r="C67" s="9" t="s">
        <v>27</v>
      </c>
      <c r="D67" s="20">
        <f>-D26*G26</f>
        <v>-350</v>
      </c>
      <c r="E67" s="20">
        <f>-E26*H26</f>
        <v>-357</v>
      </c>
      <c r="F67" s="20">
        <f>-F26*I26</f>
        <v>-364.14000000000004</v>
      </c>
    </row>
    <row r="68" spans="3:6" x14ac:dyDescent="0.35">
      <c r="C68" s="9" t="s">
        <v>28</v>
      </c>
      <c r="D68" s="20">
        <f>-D27*G27</f>
        <v>-360</v>
      </c>
      <c r="E68" s="20">
        <f>-E27*H27</f>
        <v>-367.20000000000005</v>
      </c>
      <c r="F68" s="20">
        <f>-F27*I27</f>
        <v>-374.54400000000004</v>
      </c>
    </row>
    <row r="69" spans="3:6" x14ac:dyDescent="0.35">
      <c r="C69" t="s">
        <v>32</v>
      </c>
      <c r="D69" s="20">
        <f>SUM(D66:D68)</f>
        <v>-992.68000000000006</v>
      </c>
      <c r="E69" s="20">
        <f t="shared" ref="E69:F69" si="12">SUM(E66:E68)</f>
        <v>-1037.7888</v>
      </c>
      <c r="F69" s="20">
        <f t="shared" si="12"/>
        <v>-1064.5485163200001</v>
      </c>
    </row>
    <row r="70" spans="3:6" x14ac:dyDescent="0.35">
      <c r="C70" s="9" t="s">
        <v>33</v>
      </c>
      <c r="D70" s="20">
        <f>D30*D59*(-1)</f>
        <v>-726.80000000000007</v>
      </c>
      <c r="E70" s="20">
        <f>E30*E59*(-1)</f>
        <v>-993.88800000000015</v>
      </c>
      <c r="F70" s="20">
        <f>F30*F59*(-1)</f>
        <v>-1073.8051632000002</v>
      </c>
    </row>
    <row r="71" spans="3:6" x14ac:dyDescent="0.35">
      <c r="C71" s="9" t="s">
        <v>34</v>
      </c>
      <c r="D71" s="20">
        <f>-D31*SUM(D24:D27)</f>
        <v>-150</v>
      </c>
      <c r="E71" s="20">
        <f>E31*SUM(E24:E27)</f>
        <v>150</v>
      </c>
      <c r="F71" s="20">
        <f>F31*SUM(F24:F27)</f>
        <v>155</v>
      </c>
    </row>
    <row r="72" spans="3:6" x14ac:dyDescent="0.35">
      <c r="C72" s="9" t="s">
        <v>35</v>
      </c>
      <c r="D72" s="20">
        <f>-D32</f>
        <v>-250</v>
      </c>
      <c r="E72" s="20">
        <f>D72*(1+$D$14)</f>
        <v>-252.5</v>
      </c>
      <c r="F72" s="20">
        <f>E72*(1+$D$14)</f>
        <v>-255.02500000000001</v>
      </c>
    </row>
    <row r="73" spans="3:6" x14ac:dyDescent="0.35">
      <c r="C73" t="s">
        <v>36</v>
      </c>
      <c r="D73" s="20">
        <f>SUM(D70:D72)</f>
        <v>-1126.8000000000002</v>
      </c>
      <c r="E73" s="20">
        <f t="shared" ref="E73:F73" si="13">SUM(E70:E72)</f>
        <v>-1096.3880000000001</v>
      </c>
      <c r="F73" s="20">
        <f t="shared" si="13"/>
        <v>-1173.8301632000002</v>
      </c>
    </row>
    <row r="74" spans="3:6" x14ac:dyDescent="0.35">
      <c r="C74" s="13" t="s">
        <v>51</v>
      </c>
      <c r="D74" s="22">
        <f>SUM(D73,D69,D65)</f>
        <v>-1351.4800000000005</v>
      </c>
      <c r="E74" s="22">
        <f>SUM(E73,E69,E65)</f>
        <v>1988.7132000000011</v>
      </c>
      <c r="F74" s="22">
        <f>SUM(F73,F69,F65)</f>
        <v>2161.3129134799992</v>
      </c>
    </row>
    <row r="75" spans="3:6" x14ac:dyDescent="0.35">
      <c r="C75" s="30" t="s">
        <v>52</v>
      </c>
      <c r="D75" s="31">
        <f>-D45</f>
        <v>-252.00000000000003</v>
      </c>
      <c r="E75" s="31">
        <f t="shared" ref="E75:F75" si="14">-E45</f>
        <v>-224.00000000000003</v>
      </c>
      <c r="F75" s="31">
        <f t="shared" si="14"/>
        <v>-196.00000000000003</v>
      </c>
    </row>
    <row r="76" spans="3:6" x14ac:dyDescent="0.35">
      <c r="C76" s="28" t="s">
        <v>53</v>
      </c>
      <c r="D76" s="29">
        <f>SUM(D74:D75)</f>
        <v>-1603.4800000000005</v>
      </c>
      <c r="E76" s="29">
        <f t="shared" ref="E76:F76" si="15">SUM(E74:E75)</f>
        <v>1764.7132000000011</v>
      </c>
      <c r="F76" s="29">
        <f t="shared" si="15"/>
        <v>1965.3129134799992</v>
      </c>
    </row>
    <row r="77" spans="3:6" x14ac:dyDescent="0.35">
      <c r="C77" t="s">
        <v>39</v>
      </c>
      <c r="D77" s="20">
        <f>D74*$D$6*(-1)</f>
        <v>337.87000000000012</v>
      </c>
      <c r="E77" s="20">
        <f>E74*$D$6*(-1)</f>
        <v>-497.17830000000026</v>
      </c>
      <c r="F77" s="20">
        <f>F74*$D$6*(-1)</f>
        <v>-540.32822836999981</v>
      </c>
    </row>
    <row r="78" spans="3:6" x14ac:dyDescent="0.35">
      <c r="C78" s="13" t="s">
        <v>41</v>
      </c>
      <c r="D78" s="22">
        <f>SUM(D74:D77)</f>
        <v>-2869.0900000000011</v>
      </c>
      <c r="E78" s="22">
        <f>SUM(E74:E77)</f>
        <v>3032.2481000000016</v>
      </c>
      <c r="F78" s="22">
        <f>SUM(F74:F77)</f>
        <v>3390.2975985899984</v>
      </c>
    </row>
    <row r="80" spans="3:6" x14ac:dyDescent="0.35">
      <c r="C80" s="19" t="s">
        <v>42</v>
      </c>
      <c r="D80" s="19"/>
      <c r="E80" s="19"/>
      <c r="F80" s="19"/>
    </row>
    <row r="81" spans="3:6" x14ac:dyDescent="0.35">
      <c r="C81" s="8"/>
      <c r="D81" s="26">
        <v>20</v>
      </c>
      <c r="E81" s="26">
        <f>D81+1</f>
        <v>21</v>
      </c>
      <c r="F81" s="26">
        <f>E81+1</f>
        <v>22</v>
      </c>
    </row>
    <row r="82" spans="3:6" x14ac:dyDescent="0.35">
      <c r="C82" s="8" t="s">
        <v>21</v>
      </c>
      <c r="D82" s="27" t="s">
        <v>1</v>
      </c>
      <c r="E82" s="27" t="s">
        <v>2</v>
      </c>
      <c r="F82" s="27" t="s">
        <v>2</v>
      </c>
    </row>
    <row r="83" spans="3:6" x14ac:dyDescent="0.35">
      <c r="C83" t="s">
        <v>43</v>
      </c>
      <c r="D83" s="20">
        <f>D51</f>
        <v>6000</v>
      </c>
      <c r="E83" s="20">
        <f t="shared" ref="E83:F83" si="16">E51</f>
        <v>5650</v>
      </c>
      <c r="F83" s="20">
        <f t="shared" si="16"/>
        <v>5300</v>
      </c>
    </row>
    <row r="84" spans="3:6" x14ac:dyDescent="0.35">
      <c r="C84" s="8" t="s">
        <v>54</v>
      </c>
      <c r="D84" s="21">
        <f>SUM(D83)</f>
        <v>6000</v>
      </c>
      <c r="E84" s="21">
        <f t="shared" ref="E84:F84" si="17">SUM(E83)</f>
        <v>5650</v>
      </c>
      <c r="F84" s="21">
        <f t="shared" si="17"/>
        <v>5300</v>
      </c>
    </row>
    <row r="85" spans="3:6" ht="5" customHeight="1" x14ac:dyDescent="0.35"/>
    <row r="86" spans="3:6" x14ac:dyDescent="0.35">
      <c r="C86" t="s">
        <v>49</v>
      </c>
      <c r="D86" s="20">
        <f>D59*$D$35/365</f>
        <v>896.05479452054794</v>
      </c>
      <c r="E86" s="20">
        <f>E59*$D$35/365</f>
        <v>1225.3413698630138</v>
      </c>
      <c r="F86" s="20">
        <f>F59*$D$35/365</f>
        <v>1323.8693792876713</v>
      </c>
    </row>
    <row r="87" spans="3:6" x14ac:dyDescent="0.35">
      <c r="C87" t="s">
        <v>50</v>
      </c>
      <c r="D87" s="20">
        <f>$D$37*D63/365*(-1)</f>
        <v>161.64383561643837</v>
      </c>
      <c r="E87" s="20">
        <f>$D$37*E63/365*(-1)</f>
        <v>176.10931506849315</v>
      </c>
      <c r="F87" s="20">
        <f>$D$37*F63/365*(-1)</f>
        <v>191.89632983561646</v>
      </c>
    </row>
    <row r="88" spans="3:6" x14ac:dyDescent="0.35">
      <c r="C88" t="s">
        <v>48</v>
      </c>
    </row>
    <row r="89" spans="3:6" x14ac:dyDescent="0.35">
      <c r="C89" s="8" t="s">
        <v>55</v>
      </c>
      <c r="D89" s="21">
        <f>SUM(D86:D88)</f>
        <v>1057.6986301369864</v>
      </c>
      <c r="E89" s="21">
        <f t="shared" ref="E89:F89" si="18">SUM(E86:E88)</f>
        <v>1401.4506849315069</v>
      </c>
      <c r="F89" s="21">
        <f t="shared" si="18"/>
        <v>1515.7657091232877</v>
      </c>
    </row>
    <row r="90" spans="3:6" x14ac:dyDescent="0.35">
      <c r="C90" s="14" t="s">
        <v>56</v>
      </c>
      <c r="D90" s="22">
        <f>SUM(D89,D84)</f>
        <v>7057.6986301369861</v>
      </c>
      <c r="E90" s="22">
        <f t="shared" ref="E90:F90" si="19">SUM(E89,E84)</f>
        <v>7051.4506849315067</v>
      </c>
      <c r="F90" s="22">
        <f t="shared" si="19"/>
        <v>6815.7657091232877</v>
      </c>
    </row>
    <row r="92" spans="3:6" x14ac:dyDescent="0.35">
      <c r="C92" t="s">
        <v>58</v>
      </c>
      <c r="D92" s="20">
        <f>$D$36/365*D63*(-1)</f>
        <v>484.93150684931504</v>
      </c>
      <c r="E92" s="20">
        <f>$D$36/365*E63*(-1)</f>
        <v>528.32794520547941</v>
      </c>
      <c r="F92" s="20">
        <f>$D$36/365*F63*(-1)</f>
        <v>575.68898950684934</v>
      </c>
    </row>
    <row r="93" spans="3:6" x14ac:dyDescent="0.35">
      <c r="C93" t="s">
        <v>59</v>
      </c>
      <c r="D93" s="20">
        <f>SUM(G24:G27)*2/12+D77*(-1)</f>
        <v>-295.87000000000012</v>
      </c>
      <c r="E93" s="20">
        <f>SUM(H24:H27)*2/12+E77*(-1)</f>
        <v>540.01830000000029</v>
      </c>
      <c r="F93" s="20">
        <f>SUM(I24:I27)*2/12+F77*(-1)</f>
        <v>584.02502836999986</v>
      </c>
    </row>
    <row r="94" spans="3:6" x14ac:dyDescent="0.35">
      <c r="C94" s="8" t="s">
        <v>60</v>
      </c>
      <c r="D94" s="21">
        <f>SUM(D92:D93)</f>
        <v>189.06150684931492</v>
      </c>
      <c r="E94" s="21">
        <f t="shared" ref="E94:F94" si="20">SUM(E92:E93)</f>
        <v>1068.3462452054796</v>
      </c>
      <c r="F94" s="21">
        <f t="shared" si="20"/>
        <v>1159.7140178768491</v>
      </c>
    </row>
    <row r="95" spans="3:6" ht="5" customHeight="1" x14ac:dyDescent="0.35">
      <c r="C95" s="8"/>
      <c r="D95" s="21"/>
      <c r="E95" s="21"/>
      <c r="F95" s="21"/>
    </row>
    <row r="96" spans="3:6" x14ac:dyDescent="0.35">
      <c r="C96" t="s">
        <v>61</v>
      </c>
      <c r="D96" s="20">
        <f>D43</f>
        <v>3600</v>
      </c>
      <c r="E96" s="20">
        <f t="shared" ref="E96:F96" si="21">E43</f>
        <v>3200</v>
      </c>
      <c r="F96" s="20">
        <f t="shared" si="21"/>
        <v>2800</v>
      </c>
    </row>
    <row r="97" spans="3:6" x14ac:dyDescent="0.35">
      <c r="C97" s="8" t="s">
        <v>63</v>
      </c>
      <c r="D97" s="21">
        <f>SUM(D96)</f>
        <v>3600</v>
      </c>
      <c r="E97" s="21">
        <f t="shared" ref="E97:F97" si="22">SUM(E96)</f>
        <v>3200</v>
      </c>
      <c r="F97" s="21">
        <f t="shared" si="22"/>
        <v>2800</v>
      </c>
    </row>
    <row r="98" spans="3:6" ht="5" customHeight="1" x14ac:dyDescent="0.35">
      <c r="C98" s="8"/>
      <c r="D98" s="21"/>
      <c r="E98" s="21"/>
      <c r="F98" s="21"/>
    </row>
    <row r="99" spans="3:6" x14ac:dyDescent="0.35">
      <c r="C99" s="23" t="s">
        <v>64</v>
      </c>
      <c r="D99" s="33"/>
      <c r="E99" s="33"/>
      <c r="F99" s="33"/>
    </row>
    <row r="100" spans="3:6" x14ac:dyDescent="0.35">
      <c r="C100" s="23"/>
      <c r="D100" s="33"/>
      <c r="E100" s="33"/>
      <c r="F100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</dc:creator>
  <cp:lastModifiedBy>Tuan</cp:lastModifiedBy>
  <dcterms:created xsi:type="dcterms:W3CDTF">2021-10-10T18:03:27Z</dcterms:created>
  <dcterms:modified xsi:type="dcterms:W3CDTF">2021-10-19T11:49:17Z</dcterms:modified>
</cp:coreProperties>
</file>