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35" windowWidth="16335" windowHeight="9780" activeTab="0"/>
  </bookViews>
  <sheets>
    <sheet name="Sheet1" sheetId="1" r:id="rId1"/>
  </sheets>
  <definedNames/>
  <calcPr calcId="125725" iterate="1" iterateCount="1000" iterateDelta="0.001"/>
</workbook>
</file>

<file path=xl/sharedStrings.xml><?xml version="1.0" encoding="utf-8"?>
<sst xmlns="http://schemas.openxmlformats.org/spreadsheetml/2006/main" count="201" uniqueCount="153">
  <si>
    <t>Income statement</t>
  </si>
  <si>
    <t>Plus: Change in inventory</t>
  </si>
  <si>
    <t>2011-2013</t>
  </si>
  <si>
    <t>EBITDA</t>
  </si>
  <si>
    <t>EBIT</t>
  </si>
  <si>
    <t>Plus: Income from investments</t>
  </si>
  <si>
    <t>Plus: Interest and other financial income</t>
  </si>
  <si>
    <t>EBT</t>
  </si>
  <si>
    <t>Less: Income taxes</t>
  </si>
  <si>
    <t>Less: Change in reserves</t>
  </si>
  <si>
    <t>Net income</t>
  </si>
  <si>
    <t>2013-2016</t>
  </si>
  <si>
    <t>Valuation</t>
  </si>
  <si>
    <t>EBITDA 2011</t>
  </si>
  <si>
    <t>Plus: Cash</t>
  </si>
  <si>
    <t>Offer value</t>
  </si>
  <si>
    <t>Intangible assets</t>
  </si>
  <si>
    <t>PPE</t>
  </si>
  <si>
    <t>Financial assets</t>
  </si>
  <si>
    <t>Inventory</t>
  </si>
  <si>
    <t>AR</t>
  </si>
  <si>
    <t>Other receivables</t>
  </si>
  <si>
    <t>Cash and equivalents</t>
  </si>
  <si>
    <t>Accruals</t>
  </si>
  <si>
    <t>Total assets</t>
  </si>
  <si>
    <t>Other financial liabilities</t>
  </si>
  <si>
    <t>AP</t>
  </si>
  <si>
    <t>Advance payments</t>
  </si>
  <si>
    <t>Other liabilities</t>
  </si>
  <si>
    <t>2011PF</t>
  </si>
  <si>
    <t>Reserves</t>
  </si>
  <si>
    <t>Provisions</t>
  </si>
  <si>
    <t>Total equity &amp; liabilities</t>
  </si>
  <si>
    <t>Debt / EBITDA</t>
  </si>
  <si>
    <t>in €k</t>
  </si>
  <si>
    <t>€k</t>
  </si>
  <si>
    <t>Sources</t>
  </si>
  <si>
    <t>Shareholder loan</t>
  </si>
  <si>
    <t>Uses</t>
  </si>
  <si>
    <t>x</t>
  </si>
  <si>
    <t>Capital structure</t>
  </si>
  <si>
    <t>Total debt</t>
  </si>
  <si>
    <t>Total equity</t>
  </si>
  <si>
    <t>Check</t>
  </si>
  <si>
    <t>Purchase price</t>
  </si>
  <si>
    <t>New goodwill</t>
  </si>
  <si>
    <t>Sales</t>
  </si>
  <si>
    <t>% growth</t>
  </si>
  <si>
    <t>Less: COGS</t>
  </si>
  <si>
    <t>Gross Profit</t>
  </si>
  <si>
    <t>% sales</t>
  </si>
  <si>
    <t>Plus: Other operating income</t>
  </si>
  <si>
    <t>Net Sales</t>
  </si>
  <si>
    <t>Less: Personnel expenses</t>
  </si>
  <si>
    <t>Less: Other operating costs</t>
  </si>
  <si>
    <t>Less: D&amp;A</t>
  </si>
  <si>
    <t>Less: Cash Interest</t>
  </si>
  <si>
    <t>Less: Non-cash interest</t>
  </si>
  <si>
    <t>% EBT</t>
  </si>
  <si>
    <t>Valuation and Sources and Uses</t>
  </si>
  <si>
    <t>Entry Multiple</t>
  </si>
  <si>
    <t>EV</t>
  </si>
  <si>
    <t>Less: Net Debt</t>
  </si>
  <si>
    <t>Assumptions</t>
  </si>
  <si>
    <t>Mgmt roll-over</t>
  </si>
  <si>
    <t>Pre-LBO ownership</t>
  </si>
  <si>
    <t>M&amp;A fees (in % of offer value)</t>
  </si>
  <si>
    <t>Minimum Cash</t>
  </si>
  <si>
    <t>Shareholder loan (in % of equity)</t>
  </si>
  <si>
    <t>Sources and Uses</t>
  </si>
  <si>
    <t>TLA</t>
  </si>
  <si>
    <t>TLB</t>
  </si>
  <si>
    <t>Term</t>
  </si>
  <si>
    <t>Fees %</t>
  </si>
  <si>
    <t>Fees €m</t>
  </si>
  <si>
    <t>Mgmt. roll-over</t>
  </si>
  <si>
    <t>Cash equity</t>
  </si>
  <si>
    <t>Total</t>
  </si>
  <si>
    <t>M&amp;A fees</t>
  </si>
  <si>
    <t>Def. financing fees</t>
  </si>
  <si>
    <t>Minimum cash</t>
  </si>
  <si>
    <t>Goodwill</t>
  </si>
  <si>
    <t>Less: Firm's book value</t>
  </si>
  <si>
    <t>Ratios</t>
  </si>
  <si>
    <t>Cash conversion rate</t>
  </si>
  <si>
    <t>Balance sheet</t>
  </si>
  <si>
    <t>Shareholder Equity</t>
  </si>
  <si>
    <t>Shareholder Loan</t>
  </si>
  <si>
    <t>Old debt</t>
  </si>
  <si>
    <t>COGS</t>
  </si>
  <si>
    <t>DSO</t>
  </si>
  <si>
    <t>DPO</t>
  </si>
  <si>
    <t>DIH</t>
  </si>
  <si>
    <t>Accruals (in % of sales)</t>
  </si>
  <si>
    <t>Other liabilities (in % of sales)</t>
  </si>
  <si>
    <t>Cash Flow Statement</t>
  </si>
  <si>
    <t>Plus: D&amp;A</t>
  </si>
  <si>
    <t>Plus: Non-cash interest</t>
  </si>
  <si>
    <t>Plus: Def. financing fees</t>
  </si>
  <si>
    <t>Less: Capex</t>
  </si>
  <si>
    <t>Less: Change in operating working capital</t>
  </si>
  <si>
    <t>Operating Working Capital</t>
  </si>
  <si>
    <t>Change in Operating Working Capital</t>
  </si>
  <si>
    <t>FCF</t>
  </si>
  <si>
    <t>Begin Cash Balance</t>
  </si>
  <si>
    <t>Minus: Minimum Cash</t>
  </si>
  <si>
    <t>Plus: FCF</t>
  </si>
  <si>
    <t>FCF before mandatory paydown</t>
  </si>
  <si>
    <t>Less: mandatory paydown</t>
  </si>
  <si>
    <t>FCF before discretionary paydown</t>
  </si>
  <si>
    <t>Less: discretionary paydown</t>
  </si>
  <si>
    <t>Change in balance</t>
  </si>
  <si>
    <t>End Cash Balance</t>
  </si>
  <si>
    <t>Cash for sweep</t>
  </si>
  <si>
    <t>D&amp;A schedule and Capex</t>
  </si>
  <si>
    <t>Existing D&amp;A in % of sales</t>
  </si>
  <si>
    <t>Existing D&amp;A in €k</t>
  </si>
  <si>
    <t>Capex in % of sales</t>
  </si>
  <si>
    <t>Capex in €k</t>
  </si>
  <si>
    <t>Existing depreciation</t>
  </si>
  <si>
    <t>New depreciation</t>
  </si>
  <si>
    <t>Total D&amp;A</t>
  </si>
  <si>
    <t>Debt schedule</t>
  </si>
  <si>
    <t>Beginning balance</t>
  </si>
  <si>
    <t>End balance</t>
  </si>
  <si>
    <t>Plus: PIK interest</t>
  </si>
  <si>
    <t>Interest schedule</t>
  </si>
  <si>
    <t>Type</t>
  </si>
  <si>
    <t>Rate</t>
  </si>
  <si>
    <t>Fixed</t>
  </si>
  <si>
    <t>Total Cash Interest</t>
  </si>
  <si>
    <t>PIK</t>
  </si>
  <si>
    <t>Total Non-Cash Interest</t>
  </si>
  <si>
    <t>Interest income</t>
  </si>
  <si>
    <t>Discretionary Paydown Potential</t>
  </si>
  <si>
    <t>Exit and return analysis</t>
  </si>
  <si>
    <t>Exit Multiple</t>
  </si>
  <si>
    <t>Less: TLA</t>
  </si>
  <si>
    <t>Less: TLB</t>
  </si>
  <si>
    <t>Net equity value</t>
  </si>
  <si>
    <t>Less: Shareholder Loan</t>
  </si>
  <si>
    <t>Equity proceeds</t>
  </si>
  <si>
    <t>Investor</t>
  </si>
  <si>
    <t>Shareholder proceeds</t>
  </si>
  <si>
    <t>Total proceeds</t>
  </si>
  <si>
    <t>Management</t>
  </si>
  <si>
    <t>Return analysis</t>
  </si>
  <si>
    <t>Exit in</t>
  </si>
  <si>
    <t>Exit year</t>
  </si>
  <si>
    <t>Exit multiple</t>
  </si>
  <si>
    <t>IRR</t>
  </si>
  <si>
    <t>MoM</t>
  </si>
  <si>
    <t>Refinanced debt</t>
  </si>
</sst>
</file>

<file path=xl/styles.xml><?xml version="1.0" encoding="utf-8"?>
<styleSheet xmlns="http://schemas.openxmlformats.org/spreadsheetml/2006/main">
  <numFmts count="4">
    <numFmt numFmtId="164" formatCode="#,##0;\(#,##0\);0"/>
    <numFmt numFmtId="165" formatCode="#,##0.0;\(#,##0.0\);0.0"/>
    <numFmt numFmtId="166" formatCode="0.0%"/>
    <numFmt numFmtId="167" formatCode="#,##0;\(#,##0\);\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 indent="2"/>
    </xf>
    <xf numFmtId="0" fontId="2" fillId="0" borderId="0" xfId="0" applyFont="1"/>
    <xf numFmtId="164" fontId="2" fillId="0" borderId="0" xfId="0" applyNumberFormat="1" applyFont="1"/>
    <xf numFmtId="9" fontId="0" fillId="0" borderId="0" xfId="15" applyFont="1"/>
    <xf numFmtId="164" fontId="0" fillId="0" borderId="0" xfId="0" applyNumberFormat="1" applyFont="1"/>
    <xf numFmtId="9" fontId="2" fillId="0" borderId="0" xfId="15" applyFont="1"/>
    <xf numFmtId="0" fontId="0" fillId="0" borderId="0" xfId="0" applyFont="1"/>
    <xf numFmtId="165" fontId="0" fillId="0" borderId="0" xfId="0" applyNumberFormat="1" applyFont="1"/>
    <xf numFmtId="0" fontId="2" fillId="2" borderId="0" xfId="0" applyFont="1" applyFill="1"/>
    <xf numFmtId="0" fontId="0" fillId="0" borderId="1" xfId="0" applyBorder="1"/>
    <xf numFmtId="0" fontId="2" fillId="0" borderId="1" xfId="0" applyFont="1" applyBorder="1"/>
    <xf numFmtId="0" fontId="0" fillId="2" borderId="0" xfId="0" applyFill="1"/>
    <xf numFmtId="164" fontId="0" fillId="2" borderId="0" xfId="0" applyNumberFormat="1" applyFont="1" applyFill="1"/>
    <xf numFmtId="166" fontId="0" fillId="0" borderId="0" xfId="15" applyNumberFormat="1" applyFont="1"/>
    <xf numFmtId="0" fontId="2" fillId="3" borderId="0" xfId="0" applyFont="1" applyFill="1"/>
    <xf numFmtId="0" fontId="0" fillId="3" borderId="0" xfId="0" applyFill="1"/>
    <xf numFmtId="164" fontId="0" fillId="0" borderId="0" xfId="0" applyNumberFormat="1"/>
    <xf numFmtId="164" fontId="0" fillId="0" borderId="1" xfId="0" applyNumberFormat="1" applyFont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1" xfId="0" applyFill="1" applyBorder="1"/>
    <xf numFmtId="164" fontId="0" fillId="3" borderId="0" xfId="0" applyNumberFormat="1" applyFont="1" applyFill="1"/>
    <xf numFmtId="164" fontId="3" fillId="0" borderId="0" xfId="0" applyNumberFormat="1" applyFont="1"/>
    <xf numFmtId="164" fontId="0" fillId="0" borderId="1" xfId="0" applyNumberFormat="1" applyBorder="1"/>
    <xf numFmtId="164" fontId="2" fillId="3" borderId="0" xfId="0" applyNumberFormat="1" applyFont="1" applyFill="1"/>
    <xf numFmtId="9" fontId="0" fillId="0" borderId="1" xfId="15" applyFont="1" applyBorder="1"/>
    <xf numFmtId="167" fontId="0" fillId="0" borderId="0" xfId="0" applyNumberFormat="1" applyFont="1"/>
    <xf numFmtId="167" fontId="0" fillId="0" borderId="1" xfId="0" applyNumberFormat="1" applyFont="1" applyBorder="1"/>
    <xf numFmtId="167" fontId="2" fillId="0" borderId="0" xfId="0" applyNumberFormat="1" applyFont="1"/>
    <xf numFmtId="167" fontId="0" fillId="0" borderId="0" xfId="0" applyNumberFormat="1"/>
    <xf numFmtId="0" fontId="0" fillId="0" borderId="2" xfId="0" applyBorder="1"/>
    <xf numFmtId="0" fontId="0" fillId="0" borderId="3" xfId="0" applyBorder="1"/>
    <xf numFmtId="164" fontId="0" fillId="0" borderId="3" xfId="0" applyNumberFormat="1" applyFont="1" applyBorder="1"/>
    <xf numFmtId="167" fontId="0" fillId="0" borderId="3" xfId="0" applyNumberFormat="1" applyFont="1" applyBorder="1"/>
    <xf numFmtId="167" fontId="0" fillId="0" borderId="4" xfId="0" applyNumberFormat="1" applyFont="1" applyBorder="1"/>
    <xf numFmtId="0" fontId="0" fillId="0" borderId="5" xfId="0" applyBorder="1"/>
    <xf numFmtId="0" fontId="0" fillId="0" borderId="0" xfId="0" applyBorder="1"/>
    <xf numFmtId="164" fontId="0" fillId="0" borderId="0" xfId="0" applyNumberFormat="1" applyFont="1" applyBorder="1"/>
    <xf numFmtId="167" fontId="0" fillId="0" borderId="0" xfId="0" applyNumberFormat="1" applyFont="1" applyBorder="1"/>
    <xf numFmtId="167" fontId="0" fillId="0" borderId="6" xfId="0" applyNumberFormat="1" applyFont="1" applyBorder="1"/>
    <xf numFmtId="166" fontId="0" fillId="0" borderId="0" xfId="15" applyNumberFormat="1" applyFont="1" applyBorder="1"/>
    <xf numFmtId="166" fontId="0" fillId="0" borderId="6" xfId="15" applyNumberFormat="1" applyFont="1" applyBorder="1"/>
    <xf numFmtId="0" fontId="0" fillId="0" borderId="7" xfId="0" applyBorder="1"/>
    <xf numFmtId="166" fontId="0" fillId="0" borderId="1" xfId="15" applyNumberFormat="1" applyFont="1" applyBorder="1"/>
    <xf numFmtId="166" fontId="0" fillId="0" borderId="8" xfId="15" applyNumberFormat="1" applyFont="1" applyBorder="1"/>
    <xf numFmtId="167" fontId="0" fillId="2" borderId="0" xfId="0" applyNumberFormat="1" applyFont="1" applyFill="1"/>
    <xf numFmtId="0" fontId="0" fillId="0" borderId="1" xfId="0" applyBorder="1" applyAlignment="1">
      <alignment horizontal="left" indent="2"/>
    </xf>
    <xf numFmtId="0" fontId="2" fillId="0" borderId="0" xfId="0" applyFont="1" applyFill="1" applyBorder="1" applyAlignment="1">
      <alignment horizontal="left"/>
    </xf>
    <xf numFmtId="0" fontId="3" fillId="0" borderId="0" xfId="0" applyFont="1"/>
    <xf numFmtId="10" fontId="0" fillId="0" borderId="0" xfId="15" applyNumberFormat="1" applyFont="1"/>
    <xf numFmtId="10" fontId="0" fillId="0" borderId="1" xfId="15" applyNumberFormat="1" applyFont="1" applyBorder="1"/>
    <xf numFmtId="14" fontId="2" fillId="0" borderId="1" xfId="0" applyNumberFormat="1" applyFont="1" applyBorder="1"/>
    <xf numFmtId="164" fontId="0" fillId="0" borderId="4" xfId="0" applyNumberFormat="1" applyFont="1" applyBorder="1"/>
    <xf numFmtId="164" fontId="0" fillId="0" borderId="6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5" fontId="0" fillId="0" borderId="6" xfId="0" applyNumberFormat="1" applyFont="1" applyBorder="1"/>
    <xf numFmtId="0" fontId="0" fillId="0" borderId="7" xfId="0" applyFont="1" applyBorder="1"/>
    <xf numFmtId="165" fontId="0" fillId="0" borderId="8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1"/>
  <sheetViews>
    <sheetView showGridLines="0" tabSelected="1" workbookViewId="0" topLeftCell="A1">
      <pane xSplit="6" ySplit="1" topLeftCell="G223" activePane="bottomRight" state="frozen"/>
      <selection pane="topRight" activeCell="G1" sqref="G1"/>
      <selection pane="bottomLeft" activeCell="A2" sqref="A2"/>
      <selection pane="bottomRight" activeCell="I241" sqref="I241"/>
    </sheetView>
  </sheetViews>
  <sheetFormatPr defaultColWidth="9.140625" defaultRowHeight="15"/>
  <cols>
    <col min="1" max="1" width="9.140625" style="2" customWidth="1"/>
    <col min="7" max="8" width="9.57421875" style="30" bestFit="1" customWidth="1"/>
    <col min="9" max="9" width="12.8515625" style="30" customWidth="1"/>
    <col min="10" max="10" width="10.140625" style="30" bestFit="1" customWidth="1"/>
    <col min="11" max="15" width="10.421875" style="30" customWidth="1"/>
  </cols>
  <sheetData>
    <row r="1" spans="1:18" s="2" customFormat="1" ht="15">
      <c r="A1" s="2" t="s">
        <v>34</v>
      </c>
      <c r="G1" s="2">
        <v>2010</v>
      </c>
      <c r="H1" s="2">
        <v>2011</v>
      </c>
      <c r="J1" s="2" t="s">
        <v>29</v>
      </c>
      <c r="K1" s="2">
        <v>2012</v>
      </c>
      <c r="L1" s="2">
        <v>2013</v>
      </c>
      <c r="M1" s="2">
        <v>2014</v>
      </c>
      <c r="N1" s="2">
        <v>2015</v>
      </c>
      <c r="O1" s="2">
        <v>2016</v>
      </c>
      <c r="Q1" s="2" t="s">
        <v>2</v>
      </c>
      <c r="R1" s="2" t="s">
        <v>11</v>
      </c>
    </row>
    <row r="2" s="2" customFormat="1" ht="15"/>
    <row r="3" spans="1:18" s="12" customFormat="1" ht="15">
      <c r="A3" s="9" t="s">
        <v>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7:18" ht="15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s="2" customFormat="1" ht="15">
      <c r="B5" s="2" t="s">
        <v>46</v>
      </c>
      <c r="G5" s="3">
        <v>25219.9</v>
      </c>
      <c r="H5" s="3">
        <v>32500</v>
      </c>
      <c r="I5" s="3"/>
      <c r="J5" s="3">
        <v>32500</v>
      </c>
      <c r="K5" s="3">
        <f>J5*(1+K6)</f>
        <v>39000</v>
      </c>
      <c r="L5" s="3">
        <f>K5*(1+L6)</f>
        <v>44850</v>
      </c>
      <c r="M5" s="3">
        <f>L5*(1+M6)</f>
        <v>49335.00000000001</v>
      </c>
      <c r="N5" s="3">
        <f aca="true" t="shared" si="0" ref="N5:O5">M5*(1+N6)</f>
        <v>54268.500000000015</v>
      </c>
      <c r="O5" s="3">
        <f t="shared" si="0"/>
        <v>59695.35000000002</v>
      </c>
      <c r="P5" s="3"/>
      <c r="Q5" s="3"/>
      <c r="R5" s="3"/>
    </row>
    <row r="6" spans="2:18" ht="15">
      <c r="B6" t="s">
        <v>47</v>
      </c>
      <c r="G6" s="5"/>
      <c r="H6" s="14">
        <f>H5/G5-1</f>
        <v>0.28866490350873697</v>
      </c>
      <c r="I6" s="5"/>
      <c r="J6" s="14">
        <f>J5/G5-1</f>
        <v>0.28866490350873697</v>
      </c>
      <c r="K6" s="14">
        <v>0.2</v>
      </c>
      <c r="L6" s="14">
        <v>0.15</v>
      </c>
      <c r="M6" s="14">
        <v>0.1</v>
      </c>
      <c r="N6" s="14">
        <f aca="true" t="shared" si="1" ref="N6:O6">M6</f>
        <v>0.1</v>
      </c>
      <c r="O6" s="14">
        <f t="shared" si="1"/>
        <v>0.1</v>
      </c>
      <c r="P6" s="5"/>
      <c r="Q6" s="5"/>
      <c r="R6" s="5"/>
    </row>
    <row r="7" spans="7:18" ht="7.5" customHeight="1"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5">
      <c r="B8" t="s">
        <v>1</v>
      </c>
      <c r="G8" s="5">
        <v>450.2</v>
      </c>
      <c r="H8" s="5">
        <v>0</v>
      </c>
      <c r="I8" s="5"/>
      <c r="J8" s="5">
        <v>0</v>
      </c>
      <c r="K8" s="5">
        <f>J8</f>
        <v>0</v>
      </c>
      <c r="L8" s="5">
        <f aca="true" t="shared" si="2" ref="L8:O8">K8</f>
        <v>0</v>
      </c>
      <c r="M8" s="5">
        <f t="shared" si="2"/>
        <v>0</v>
      </c>
      <c r="N8" s="5">
        <f t="shared" si="2"/>
        <v>0</v>
      </c>
      <c r="O8" s="5">
        <f t="shared" si="2"/>
        <v>0</v>
      </c>
      <c r="P8" s="5"/>
      <c r="Q8" s="5"/>
      <c r="R8" s="5"/>
    </row>
    <row r="9" spans="2:18" ht="15">
      <c r="B9" t="s">
        <v>51</v>
      </c>
      <c r="G9" s="5">
        <v>1198.4</v>
      </c>
      <c r="H9" s="5">
        <v>900</v>
      </c>
      <c r="I9" s="5"/>
      <c r="J9" s="5">
        <v>900</v>
      </c>
      <c r="K9" s="5">
        <f>J9</f>
        <v>900</v>
      </c>
      <c r="L9" s="5">
        <f aca="true" t="shared" si="3" ref="L9:O9">K9</f>
        <v>900</v>
      </c>
      <c r="M9" s="5">
        <f t="shared" si="3"/>
        <v>900</v>
      </c>
      <c r="N9" s="5">
        <f t="shared" si="3"/>
        <v>900</v>
      </c>
      <c r="O9" s="5">
        <f t="shared" si="3"/>
        <v>900</v>
      </c>
      <c r="P9" s="5"/>
      <c r="Q9" s="5"/>
      <c r="R9" s="5"/>
    </row>
    <row r="10" spans="7:18" ht="7.5" customHeight="1"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s="2" customFormat="1" ht="15">
      <c r="B11" s="2" t="s">
        <v>52</v>
      </c>
      <c r="G11" s="3">
        <f>SUM(G5,G8:G9)</f>
        <v>26868.500000000004</v>
      </c>
      <c r="H11" s="3">
        <f>SUM(H5,H8:H9)</f>
        <v>33400</v>
      </c>
      <c r="I11" s="3"/>
      <c r="J11" s="3">
        <f aca="true" t="shared" si="4" ref="J11:O11">SUM(J5,J8:J9)</f>
        <v>33400</v>
      </c>
      <c r="K11" s="3">
        <f t="shared" si="4"/>
        <v>39900</v>
      </c>
      <c r="L11" s="3">
        <f t="shared" si="4"/>
        <v>45750</v>
      </c>
      <c r="M11" s="3">
        <f t="shared" si="4"/>
        <v>50235.00000000001</v>
      </c>
      <c r="N11" s="3">
        <f t="shared" si="4"/>
        <v>55168.500000000015</v>
      </c>
      <c r="O11" s="3">
        <f t="shared" si="4"/>
        <v>60595.35000000002</v>
      </c>
      <c r="P11" s="3"/>
      <c r="Q11" s="3"/>
      <c r="R11" s="3"/>
    </row>
    <row r="12" spans="2:18" ht="15">
      <c r="B12" t="s">
        <v>47</v>
      </c>
      <c r="G12" s="5"/>
      <c r="H12" s="14">
        <f>H11/G11-1</f>
        <v>0.24309135232707435</v>
      </c>
      <c r="I12" s="5"/>
      <c r="J12" s="14">
        <f>J11/G11-1</f>
        <v>0.24309135232707435</v>
      </c>
      <c r="K12" s="14">
        <f>K11/J11-1</f>
        <v>0.1946107784431137</v>
      </c>
      <c r="L12" s="14">
        <f>L11/K11-1</f>
        <v>0.14661654135338353</v>
      </c>
      <c r="M12" s="14">
        <f aca="true" t="shared" si="5" ref="M12:O12">M11/L11-1</f>
        <v>0.09803278688524597</v>
      </c>
      <c r="N12" s="14">
        <f t="shared" si="5"/>
        <v>0.09820842042400724</v>
      </c>
      <c r="O12" s="14">
        <f t="shared" si="5"/>
        <v>0.09836863427499387</v>
      </c>
      <c r="P12" s="5"/>
      <c r="Q12" s="5"/>
      <c r="R12" s="5"/>
    </row>
    <row r="13" spans="7:18" ht="7.5" customHeight="1"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5">
      <c r="B14" t="s">
        <v>48</v>
      </c>
      <c r="G14" s="5">
        <f>-15618.5</f>
        <v>-15618.5</v>
      </c>
      <c r="H14" s="5">
        <v>-20800</v>
      </c>
      <c r="I14" s="5"/>
      <c r="J14" s="5">
        <v>-20800</v>
      </c>
      <c r="K14" s="5">
        <v>-25200</v>
      </c>
      <c r="L14" s="5">
        <v>-28520</v>
      </c>
      <c r="M14" s="5">
        <f>-(M11-M16)</f>
        <v>-31282.000000000004</v>
      </c>
      <c r="N14" s="5">
        <f aca="true" t="shared" si="6" ref="N14:O14">-(N11-N16)</f>
        <v>-34320.20000000001</v>
      </c>
      <c r="O14" s="5">
        <f t="shared" si="6"/>
        <v>-37662.220000000016</v>
      </c>
      <c r="P14" s="5"/>
      <c r="Q14" s="5"/>
      <c r="R14" s="5"/>
    </row>
    <row r="15" spans="7:18" ht="7.5" customHeight="1"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s="2" customFormat="1" ht="15">
      <c r="B16" s="2" t="s">
        <v>49</v>
      </c>
      <c r="G16" s="3">
        <f>SUM(G11,G14)</f>
        <v>11250.000000000004</v>
      </c>
      <c r="H16" s="3">
        <f>SUM(H11,H14)</f>
        <v>12600</v>
      </c>
      <c r="I16" s="3"/>
      <c r="J16" s="3">
        <f aca="true" t="shared" si="7" ref="J16">SUM(J11,J14)</f>
        <v>12600</v>
      </c>
      <c r="K16" s="3">
        <f aca="true" t="shared" si="8" ref="K16:L16">SUM(K11,K14)</f>
        <v>14700</v>
      </c>
      <c r="L16" s="3">
        <f t="shared" si="8"/>
        <v>17230</v>
      </c>
      <c r="M16" s="3">
        <f>M17*M5</f>
        <v>18953.000000000004</v>
      </c>
      <c r="N16" s="3">
        <f aca="true" t="shared" si="9" ref="N16:O16">N17*N5</f>
        <v>20848.300000000007</v>
      </c>
      <c r="O16" s="3">
        <f t="shared" si="9"/>
        <v>22933.13000000001</v>
      </c>
      <c r="P16" s="3"/>
      <c r="Q16" s="3"/>
      <c r="R16" s="3"/>
    </row>
    <row r="17" spans="2:18" ht="15">
      <c r="B17" t="s">
        <v>50</v>
      </c>
      <c r="G17" s="14">
        <f>G16/G$5</f>
        <v>0.4460763127530245</v>
      </c>
      <c r="H17" s="14">
        <f>H16/H$5</f>
        <v>0.38769230769230767</v>
      </c>
      <c r="I17" s="14"/>
      <c r="J17" s="14">
        <f aca="true" t="shared" si="10" ref="J17">J16/J$5</f>
        <v>0.38769230769230767</v>
      </c>
      <c r="K17" s="14">
        <f aca="true" t="shared" si="11" ref="K17">K16/K$5</f>
        <v>0.3769230769230769</v>
      </c>
      <c r="L17" s="14">
        <f aca="true" t="shared" si="12" ref="L17">L16/L$5</f>
        <v>0.38416945373467115</v>
      </c>
      <c r="M17" s="14">
        <f>L17</f>
        <v>0.38416945373467115</v>
      </c>
      <c r="N17" s="14">
        <f aca="true" t="shared" si="13" ref="N17:O17">M17</f>
        <v>0.38416945373467115</v>
      </c>
      <c r="O17" s="14">
        <f t="shared" si="13"/>
        <v>0.38416945373467115</v>
      </c>
      <c r="P17" s="5"/>
      <c r="Q17" s="5"/>
      <c r="R17" s="5"/>
    </row>
    <row r="18" spans="7:18" ht="7.5" customHeight="1"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>
      <c r="B19" t="s">
        <v>53</v>
      </c>
      <c r="G19" s="5">
        <v>-6640.4</v>
      </c>
      <c r="H19" s="5">
        <v>-7884.8</v>
      </c>
      <c r="I19" s="5"/>
      <c r="J19" s="5">
        <v>-7884.8</v>
      </c>
      <c r="K19" s="5">
        <v>-9704.3</v>
      </c>
      <c r="L19" s="5">
        <v>-11160</v>
      </c>
      <c r="M19" s="5">
        <f>M20*M$5</f>
        <v>-12276.000000000002</v>
      </c>
      <c r="N19" s="5">
        <f aca="true" t="shared" si="14" ref="N19:O19">N20*N$5</f>
        <v>-13503.600000000002</v>
      </c>
      <c r="O19" s="5">
        <f t="shared" si="14"/>
        <v>-14853.960000000005</v>
      </c>
      <c r="P19" s="5"/>
      <c r="Q19" s="5"/>
      <c r="R19" s="5"/>
    </row>
    <row r="20" spans="2:18" ht="15">
      <c r="B20" t="s">
        <v>50</v>
      </c>
      <c r="G20" s="14">
        <f>G19/G$5</f>
        <v>-0.26330001308490514</v>
      </c>
      <c r="H20" s="14">
        <f>H19/H$5</f>
        <v>-0.24260923076923077</v>
      </c>
      <c r="I20" s="14"/>
      <c r="J20" s="14">
        <f aca="true" t="shared" si="15" ref="J20">J19/J$5</f>
        <v>-0.24260923076923077</v>
      </c>
      <c r="K20" s="14">
        <f aca="true" t="shared" si="16" ref="K20">K19/K$5</f>
        <v>-0.2488282051282051</v>
      </c>
      <c r="L20" s="14">
        <f aca="true" t="shared" si="17" ref="L20">L19/L$5</f>
        <v>-0.24882943143812708</v>
      </c>
      <c r="M20" s="14">
        <f>L20</f>
        <v>-0.24882943143812708</v>
      </c>
      <c r="N20" s="14">
        <f aca="true" t="shared" si="18" ref="N20:O22">M20</f>
        <v>-0.24882943143812708</v>
      </c>
      <c r="O20" s="14">
        <f t="shared" si="18"/>
        <v>-0.24882943143812708</v>
      </c>
      <c r="P20" s="5"/>
      <c r="Q20" s="5"/>
      <c r="R20" s="5"/>
    </row>
    <row r="21" spans="2:18" ht="15">
      <c r="B21" t="s">
        <v>54</v>
      </c>
      <c r="G21" s="5">
        <v>-1790</v>
      </c>
      <c r="H21" s="5">
        <v>-1950</v>
      </c>
      <c r="I21" s="5"/>
      <c r="J21" s="5">
        <v>-1950</v>
      </c>
      <c r="K21" s="5">
        <v>-2400</v>
      </c>
      <c r="L21" s="5">
        <v>-2760</v>
      </c>
      <c r="M21" s="5">
        <f>M22*M$5</f>
        <v>-3036.0000000000005</v>
      </c>
      <c r="N21" s="5">
        <f aca="true" t="shared" si="19" ref="N21">N22*N$5</f>
        <v>-3339.6000000000013</v>
      </c>
      <c r="O21" s="5">
        <f aca="true" t="shared" si="20" ref="O21">O22*O$5</f>
        <v>-3673.5600000000013</v>
      </c>
      <c r="P21" s="5"/>
      <c r="Q21" s="5"/>
      <c r="R21" s="5"/>
    </row>
    <row r="22" spans="2:18" ht="15">
      <c r="B22" t="s">
        <v>50</v>
      </c>
      <c r="G22" s="14">
        <f>G21/G$5</f>
        <v>-0.07097569776248121</v>
      </c>
      <c r="H22" s="14">
        <f>H21/H$5</f>
        <v>-0.06</v>
      </c>
      <c r="I22" s="14"/>
      <c r="J22" s="14">
        <f aca="true" t="shared" si="21" ref="J22">J21/J$5</f>
        <v>-0.06</v>
      </c>
      <c r="K22" s="14">
        <f aca="true" t="shared" si="22" ref="K22">K21/K$5</f>
        <v>-0.06153846153846154</v>
      </c>
      <c r="L22" s="14">
        <f aca="true" t="shared" si="23" ref="L22">L21/L$5</f>
        <v>-0.06153846153846154</v>
      </c>
      <c r="M22" s="14">
        <f>L22</f>
        <v>-0.06153846153846154</v>
      </c>
      <c r="N22" s="14">
        <f t="shared" si="18"/>
        <v>-0.06153846153846154</v>
      </c>
      <c r="O22" s="14">
        <f t="shared" si="18"/>
        <v>-0.06153846153846154</v>
      </c>
      <c r="P22" s="5"/>
      <c r="Q22" s="5"/>
      <c r="R22" s="5"/>
    </row>
    <row r="23" spans="7:18" ht="7.5" customHeight="1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s="2" customFormat="1" ht="15">
      <c r="B24" s="2" t="s">
        <v>3</v>
      </c>
      <c r="G24" s="3">
        <f>SUM(G16,G19,G21)</f>
        <v>2819.600000000004</v>
      </c>
      <c r="H24" s="3">
        <f>SUM(H16,H19,H21)</f>
        <v>2765.2</v>
      </c>
      <c r="I24" s="3"/>
      <c r="J24" s="3">
        <f aca="true" t="shared" si="24" ref="J24">SUM(J16,J19,J21)</f>
        <v>2765.2</v>
      </c>
      <c r="K24" s="3">
        <f aca="true" t="shared" si="25" ref="K24:L24">SUM(K16,K19,K21)</f>
        <v>2595.7000000000007</v>
      </c>
      <c r="L24" s="3">
        <f t="shared" si="25"/>
        <v>3310</v>
      </c>
      <c r="M24" s="3">
        <f aca="true" t="shared" si="26" ref="M24:O24">SUM(M16,M19,M21)</f>
        <v>3641.0000000000014</v>
      </c>
      <c r="N24" s="3">
        <f t="shared" si="26"/>
        <v>4005.100000000003</v>
      </c>
      <c r="O24" s="3">
        <f t="shared" si="26"/>
        <v>4405.610000000002</v>
      </c>
      <c r="P24" s="3"/>
      <c r="Q24" s="3"/>
      <c r="R24" s="3"/>
    </row>
    <row r="25" spans="2:18" ht="15">
      <c r="B25" t="s">
        <v>50</v>
      </c>
      <c r="G25" s="14">
        <f>G24/G$5</f>
        <v>0.11180060190563816</v>
      </c>
      <c r="H25" s="14">
        <f>H24/H$5</f>
        <v>0.08508307692307691</v>
      </c>
      <c r="I25" s="14"/>
      <c r="J25" s="14">
        <f aca="true" t="shared" si="27" ref="J25">J24/J$5</f>
        <v>0.08508307692307691</v>
      </c>
      <c r="K25" s="14">
        <f aca="true" t="shared" si="28" ref="K25">K24/K$5</f>
        <v>0.06655641025641028</v>
      </c>
      <c r="L25" s="14">
        <f aca="true" t="shared" si="29" ref="L25">L24/L$5</f>
        <v>0.0738015607580825</v>
      </c>
      <c r="M25" s="14">
        <f aca="true" t="shared" si="30" ref="M25">M24/M$5</f>
        <v>0.07380156075808252</v>
      </c>
      <c r="N25" s="14">
        <f aca="true" t="shared" si="31" ref="N25">N24/N$5</f>
        <v>0.07380156075808253</v>
      </c>
      <c r="O25" s="14">
        <f aca="true" t="shared" si="32" ref="O25">O24/O$5</f>
        <v>0.07380156075808252</v>
      </c>
      <c r="P25" s="5"/>
      <c r="Q25" s="5"/>
      <c r="R25" s="5"/>
    </row>
    <row r="26" spans="7:18" ht="7.5" customHeight="1"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ht="15">
      <c r="B27" t="s">
        <v>55</v>
      </c>
      <c r="G27" s="5">
        <v>-494.4</v>
      </c>
      <c r="H27" s="5">
        <v>-320</v>
      </c>
      <c r="I27" s="5"/>
      <c r="J27" s="5">
        <v>-320</v>
      </c>
      <c r="K27" s="5">
        <f>-K157</f>
        <v>-530.4</v>
      </c>
      <c r="L27" s="5">
        <f aca="true" t="shared" si="33" ref="L27:O27">-L157</f>
        <v>-750.3599999999999</v>
      </c>
      <c r="M27" s="5">
        <f t="shared" si="33"/>
        <v>-972.816</v>
      </c>
      <c r="N27" s="5">
        <f t="shared" si="33"/>
        <v>-1217.5176000000001</v>
      </c>
      <c r="O27" s="5">
        <f t="shared" si="33"/>
        <v>-1486.6893600000003</v>
      </c>
      <c r="P27" s="5"/>
      <c r="Q27" s="5"/>
      <c r="R27" s="5"/>
    </row>
    <row r="28" spans="7:18" ht="7.5" customHeight="1"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s="2" customFormat="1" ht="15">
      <c r="B29" s="2" t="s">
        <v>4</v>
      </c>
      <c r="G29" s="3">
        <v>2325.1</v>
      </c>
      <c r="H29" s="3">
        <v>2325.1</v>
      </c>
      <c r="I29" s="3"/>
      <c r="J29" s="3">
        <v>2325.1</v>
      </c>
      <c r="K29" s="3">
        <f>SUM(K24,K27)</f>
        <v>2065.3000000000006</v>
      </c>
      <c r="L29" s="3">
        <f>SUM(L24,L27)</f>
        <v>2559.6400000000003</v>
      </c>
      <c r="M29" s="3">
        <f aca="true" t="shared" si="34" ref="M29:O29">SUM(M24,M27)</f>
        <v>2668.184000000001</v>
      </c>
      <c r="N29" s="3">
        <f t="shared" si="34"/>
        <v>2787.582400000003</v>
      </c>
      <c r="O29" s="3">
        <f t="shared" si="34"/>
        <v>2918.920640000002</v>
      </c>
      <c r="P29" s="3"/>
      <c r="Q29" s="3"/>
      <c r="R29" s="3"/>
    </row>
    <row r="30" spans="2:18" ht="15">
      <c r="B30" t="s">
        <v>50</v>
      </c>
      <c r="G30" s="14">
        <f>G29/G$5</f>
        <v>0.09219306975840506</v>
      </c>
      <c r="H30" s="14">
        <f>H29/H$5</f>
        <v>0.07154153846153846</v>
      </c>
      <c r="I30" s="14"/>
      <c r="J30" s="14">
        <f aca="true" t="shared" si="35" ref="J30">J29/J$5</f>
        <v>0.07154153846153846</v>
      </c>
      <c r="K30" s="14">
        <f aca="true" t="shared" si="36" ref="K30">K29/K$5</f>
        <v>0.05295641025641027</v>
      </c>
      <c r="L30" s="14">
        <f aca="true" t="shared" si="37" ref="L30">L29/L$5</f>
        <v>0.057071125975473806</v>
      </c>
      <c r="M30" s="14">
        <f aca="true" t="shared" si="38" ref="M30">M29/M$5</f>
        <v>0.0540829836829837</v>
      </c>
      <c r="N30" s="14">
        <f aca="true" t="shared" si="39" ref="N30">N29/N$5</f>
        <v>0.05136649068981089</v>
      </c>
      <c r="O30" s="14">
        <f aca="true" t="shared" si="40" ref="O30">O29/O$5</f>
        <v>0.04889695160510829</v>
      </c>
      <c r="P30" s="5"/>
      <c r="Q30" s="5"/>
      <c r="R30" s="5"/>
    </row>
    <row r="31" spans="7:18" ht="7.5" customHeight="1"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15">
      <c r="B32" t="s">
        <v>5</v>
      </c>
      <c r="G32" s="5">
        <v>1.7</v>
      </c>
      <c r="H32" s="5">
        <v>1.7</v>
      </c>
      <c r="I32" s="5"/>
      <c r="J32" s="5">
        <v>1.7</v>
      </c>
      <c r="K32" s="5">
        <v>1.7</v>
      </c>
      <c r="L32" s="5">
        <v>1.7</v>
      </c>
      <c r="M32" s="5">
        <v>1.7</v>
      </c>
      <c r="N32" s="5">
        <v>1.7</v>
      </c>
      <c r="O32" s="5">
        <v>1.7</v>
      </c>
      <c r="P32" s="5"/>
      <c r="Q32" s="5"/>
      <c r="R32" s="5"/>
    </row>
    <row r="33" spans="2:18" ht="15">
      <c r="B33" t="s">
        <v>6</v>
      </c>
      <c r="G33" s="5">
        <v>0.3</v>
      </c>
      <c r="H33" s="5">
        <v>0.3</v>
      </c>
      <c r="I33" s="5"/>
      <c r="J33" s="5">
        <v>0.3</v>
      </c>
      <c r="K33" s="5">
        <f ca="1">K203</f>
        <v>3</v>
      </c>
      <c r="L33" s="5">
        <f aca="true" t="shared" si="41" ref="L33:O33">L203</f>
        <v>3</v>
      </c>
      <c r="M33" s="5">
        <f ca="1" t="shared" si="41"/>
        <v>3</v>
      </c>
      <c r="N33" s="5">
        <f ca="1" t="shared" si="41"/>
        <v>3</v>
      </c>
      <c r="O33" s="5">
        <f ca="1" t="shared" si="41"/>
        <v>3</v>
      </c>
      <c r="P33" s="5"/>
      <c r="Q33" s="5"/>
      <c r="R33" s="5"/>
    </row>
    <row r="34" spans="2:18" ht="15">
      <c r="B34" t="s">
        <v>56</v>
      </c>
      <c r="G34" s="5">
        <v>-181.1</v>
      </c>
      <c r="H34" s="5">
        <v>-221.5</v>
      </c>
      <c r="I34" s="5"/>
      <c r="J34" s="5">
        <v>-221.5</v>
      </c>
      <c r="K34" s="5">
        <f ca="1">-K195</f>
        <v>-678.6912896091713</v>
      </c>
      <c r="L34" s="5">
        <f aca="true" t="shared" si="42" ref="L34:O34">-L195</f>
        <v>-659.6219120996054</v>
      </c>
      <c r="M34" s="5">
        <f ca="1" t="shared" si="42"/>
        <v>-621.6033007129103</v>
      </c>
      <c r="N34" s="5">
        <f ca="1" t="shared" si="42"/>
        <v>-576.8690364795173</v>
      </c>
      <c r="O34" s="5">
        <f ca="1" t="shared" si="42"/>
        <v>-524.6079260342249</v>
      </c>
      <c r="P34" s="5"/>
      <c r="Q34" s="5"/>
      <c r="R34" s="5"/>
    </row>
    <row r="35" spans="2:18" ht="15">
      <c r="B35" t="s">
        <v>57</v>
      </c>
      <c r="G35" s="5">
        <v>0</v>
      </c>
      <c r="H35" s="5">
        <v>0</v>
      </c>
      <c r="I35" s="5"/>
      <c r="J35" s="5">
        <v>0</v>
      </c>
      <c r="K35" s="5">
        <f>-K200</f>
        <v>-814.7055600000001</v>
      </c>
      <c r="L35" s="5">
        <f aca="true" t="shared" si="43" ref="L35:O35">-L200</f>
        <v>-879.8820048000001</v>
      </c>
      <c r="M35" s="5">
        <f ca="1" t="shared" si="43"/>
        <v>-950.2725651840001</v>
      </c>
      <c r="N35" s="5">
        <f ca="1" t="shared" si="43"/>
        <v>-1026.2943703987203</v>
      </c>
      <c r="O35" s="5">
        <f ca="1" t="shared" si="43"/>
        <v>-1108.3979200306178</v>
      </c>
      <c r="P35" s="5"/>
      <c r="Q35" s="5"/>
      <c r="R35" s="5"/>
    </row>
    <row r="36" spans="7:18" ht="7.5" customHeight="1"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 s="2" customFormat="1" ht="15">
      <c r="B37" s="2" t="s">
        <v>7</v>
      </c>
      <c r="G37" s="3">
        <f>SUM(G29,G32:G35)</f>
        <v>2146</v>
      </c>
      <c r="H37" s="3">
        <f>SUM(H29,H32:H35)</f>
        <v>2105.6</v>
      </c>
      <c r="I37" s="3"/>
      <c r="J37" s="3">
        <f aca="true" t="shared" si="44" ref="J37">SUM(J29,J32:J35)</f>
        <v>2105.6</v>
      </c>
      <c r="K37" s="3">
        <f aca="true" t="shared" si="45" ref="K37:O37">SUM(K29,K32:K35)</f>
        <v>576.6031503908291</v>
      </c>
      <c r="L37" s="3">
        <f ca="1" t="shared" si="45"/>
        <v>1024.8360831003947</v>
      </c>
      <c r="M37" s="3">
        <f ca="1" t="shared" si="45"/>
        <v>1101.0081341030905</v>
      </c>
      <c r="N37" s="3">
        <f ca="1" t="shared" si="45"/>
        <v>1189.118993121765</v>
      </c>
      <c r="O37" s="3">
        <f ca="1" t="shared" si="45"/>
        <v>1290.6147939351592</v>
      </c>
      <c r="P37" s="3"/>
      <c r="Q37" s="3"/>
      <c r="R37" s="3"/>
    </row>
    <row r="38" spans="2:18" ht="15">
      <c r="B38" t="s">
        <v>50</v>
      </c>
      <c r="G38" s="14">
        <f>G37/G$5</f>
        <v>0.08509153485937691</v>
      </c>
      <c r="H38" s="14">
        <f>H37/H$5</f>
        <v>0.06478769230769231</v>
      </c>
      <c r="I38" s="14"/>
      <c r="J38" s="14">
        <f aca="true" t="shared" si="46" ref="J38">J37/J$5</f>
        <v>0.06478769230769231</v>
      </c>
      <c r="K38" s="14">
        <f aca="true" t="shared" si="47" ref="K38">K37/K$5</f>
        <v>0.014784696163867413</v>
      </c>
      <c r="L38" s="14">
        <f aca="true" t="shared" si="48" ref="L38">L37/L$5</f>
        <v>0.022850302856196093</v>
      </c>
      <c r="M38" s="14">
        <f aca="true" t="shared" si="49" ref="M38">M37/M$5</f>
        <v>0.022316978496059396</v>
      </c>
      <c r="N38" s="14">
        <f aca="true" t="shared" si="50" ref="N38">N37/N$5</f>
        <v>0.021911771895699435</v>
      </c>
      <c r="O38" s="14">
        <f aca="true" t="shared" si="51" ref="O38">O37/O$5</f>
        <v>0.02162002222845094</v>
      </c>
      <c r="P38" s="5"/>
      <c r="Q38" s="5"/>
      <c r="R38" s="5"/>
    </row>
    <row r="39" spans="7:18" ht="7.5" customHeight="1"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2:18" ht="15">
      <c r="B40" t="s">
        <v>8</v>
      </c>
      <c r="G40" s="5">
        <v>-431.9</v>
      </c>
      <c r="H40" s="5">
        <v>-513.5</v>
      </c>
      <c r="I40" s="5"/>
      <c r="J40" s="5">
        <v>-513.5</v>
      </c>
      <c r="K40" s="5">
        <f ca="1">K41*K37</f>
        <v>201.81110263679017</v>
      </c>
      <c r="L40" s="5">
        <f aca="true" t="shared" si="52" ref="L40:O40">L41*L37</f>
        <v>358.69262908513815</v>
      </c>
      <c r="M40" s="5">
        <f ca="1" t="shared" si="52"/>
        <v>385.3528469360816</v>
      </c>
      <c r="N40" s="5">
        <f ca="1" t="shared" si="52"/>
        <v>416.19164759261776</v>
      </c>
      <c r="O40" s="5">
        <f ca="1" t="shared" si="52"/>
        <v>451.7151778773057</v>
      </c>
      <c r="P40" s="5"/>
      <c r="Q40" s="5"/>
      <c r="R40" s="5"/>
    </row>
    <row r="41" spans="2:18" ht="15">
      <c r="B41" t="s">
        <v>58</v>
      </c>
      <c r="G41" s="14">
        <f>G40/G37</f>
        <v>-0.20125815470643055</v>
      </c>
      <c r="H41" s="14">
        <f>H40/H37</f>
        <v>-0.2438734802431611</v>
      </c>
      <c r="I41" s="14"/>
      <c r="J41" s="14">
        <v>0.35</v>
      </c>
      <c r="K41" s="14">
        <f>J41</f>
        <v>0.35</v>
      </c>
      <c r="L41" s="14">
        <f aca="true" t="shared" si="53" ref="L41:O41">K41</f>
        <v>0.35</v>
      </c>
      <c r="M41" s="14">
        <f t="shared" si="53"/>
        <v>0.35</v>
      </c>
      <c r="N41" s="14">
        <f t="shared" si="53"/>
        <v>0.35</v>
      </c>
      <c r="O41" s="14">
        <f t="shared" si="53"/>
        <v>0.35</v>
      </c>
      <c r="P41" s="5"/>
      <c r="Q41" s="5"/>
      <c r="R41" s="5"/>
    </row>
    <row r="42" spans="2:18" ht="15">
      <c r="B42" t="s">
        <v>9</v>
      </c>
      <c r="G42" s="5">
        <v>-14.4</v>
      </c>
      <c r="H42" s="5">
        <v>-14.4</v>
      </c>
      <c r="I42" s="5"/>
      <c r="J42" s="5">
        <v>-14.4</v>
      </c>
      <c r="K42" s="5">
        <f>J42</f>
        <v>-14.4</v>
      </c>
      <c r="L42" s="5">
        <f aca="true" t="shared" si="54" ref="L42:O42">K42</f>
        <v>-14.4</v>
      </c>
      <c r="M42" s="5">
        <f t="shared" si="54"/>
        <v>-14.4</v>
      </c>
      <c r="N42" s="5">
        <f t="shared" si="54"/>
        <v>-14.4</v>
      </c>
      <c r="O42" s="5">
        <f t="shared" si="54"/>
        <v>-14.4</v>
      </c>
      <c r="P42" s="5"/>
      <c r="Q42" s="5"/>
      <c r="R42" s="5"/>
    </row>
    <row r="43" spans="7:18" ht="7.5" customHeight="1"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18" s="2" customFormat="1" ht="15">
      <c r="B44" s="2" t="s">
        <v>10</v>
      </c>
      <c r="G44" s="3">
        <f>SUM(G37,G40,G42)</f>
        <v>1699.6999999999998</v>
      </c>
      <c r="H44" s="3">
        <f>SUM(H37,H40,H42)</f>
        <v>1577.6999999999998</v>
      </c>
      <c r="I44" s="3"/>
      <c r="J44" s="3">
        <f aca="true" t="shared" si="55" ref="J44">SUM(J37,J40,J42)</f>
        <v>1577.6999999999998</v>
      </c>
      <c r="K44" s="3">
        <f aca="true" t="shared" si="56" ref="K44:O44">SUM(K37,K40,K42)</f>
        <v>764.0142530276192</v>
      </c>
      <c r="L44" s="3">
        <f ca="1" t="shared" si="56"/>
        <v>1369.1287121855328</v>
      </c>
      <c r="M44" s="3">
        <f ca="1" t="shared" si="56"/>
        <v>1471.960981039172</v>
      </c>
      <c r="N44" s="3">
        <f ca="1" t="shared" si="56"/>
        <v>1590.9106407143827</v>
      </c>
      <c r="O44" s="3">
        <f ca="1" t="shared" si="56"/>
        <v>1727.9299718124648</v>
      </c>
      <c r="P44" s="3"/>
      <c r="Q44" s="3"/>
      <c r="R44" s="3"/>
    </row>
    <row r="45" spans="2:18" ht="15">
      <c r="B45" t="s">
        <v>50</v>
      </c>
      <c r="G45" s="14">
        <f>G44/G$5</f>
        <v>0.06739519189211693</v>
      </c>
      <c r="H45" s="14">
        <f>H44/H$5</f>
        <v>0.04854461538461538</v>
      </c>
      <c r="I45" s="14"/>
      <c r="J45" s="14">
        <f aca="true" t="shared" si="57" ref="J45">J44/J$5</f>
        <v>0.04854461538461538</v>
      </c>
      <c r="K45" s="14">
        <f aca="true" t="shared" si="58" ref="K45">K44/K$5</f>
        <v>0.019590109051990236</v>
      </c>
      <c r="L45" s="14">
        <f aca="true" t="shared" si="59" ref="L45">L44/L$5</f>
        <v>0.03052683862175101</v>
      </c>
      <c r="M45" s="14">
        <f aca="true" t="shared" si="60" ref="M45">M44/M$5</f>
        <v>0.02983603893866772</v>
      </c>
      <c r="N45" s="14">
        <f aca="true" t="shared" si="61" ref="N45">N44/N$5</f>
        <v>0.02931554475827381</v>
      </c>
      <c r="O45" s="14">
        <f aca="true" t="shared" si="62" ref="O45">O44/O$5</f>
        <v>0.0289458051893902</v>
      </c>
      <c r="P45" s="5"/>
      <c r="Q45" s="5"/>
      <c r="R45" s="5"/>
    </row>
    <row r="46" spans="7:18" ht="15"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7:18" ht="15"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s="12" customFormat="1" ht="15">
      <c r="A48" s="9" t="s">
        <v>59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7:18" ht="15"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ht="15">
      <c r="B50" s="15" t="s">
        <v>12</v>
      </c>
      <c r="C50" s="16"/>
      <c r="D50" s="16"/>
      <c r="G50" s="15" t="s">
        <v>69</v>
      </c>
      <c r="H50" s="16"/>
      <c r="I50" s="16"/>
      <c r="J50" s="22"/>
      <c r="K50" s="22"/>
      <c r="L50" s="22"/>
      <c r="M50" s="22"/>
      <c r="N50" s="22"/>
      <c r="O50" s="22"/>
      <c r="P50" s="22"/>
      <c r="Q50" s="22"/>
      <c r="R50" s="5"/>
    </row>
    <row r="51" spans="2:18" ht="15">
      <c r="B51" t="s">
        <v>13</v>
      </c>
      <c r="D51" s="5">
        <f>J24</f>
        <v>2765.2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ht="15">
      <c r="B52" s="10" t="s">
        <v>60</v>
      </c>
      <c r="C52" s="10"/>
      <c r="D52" s="18">
        <v>10</v>
      </c>
      <c r="E52" s="5"/>
      <c r="F52" s="5"/>
      <c r="G52" s="23" t="s">
        <v>36</v>
      </c>
      <c r="H52" s="5"/>
      <c r="I52" s="5"/>
      <c r="J52" s="5"/>
      <c r="K52" s="5"/>
      <c r="L52" s="5"/>
      <c r="M52" s="5"/>
      <c r="N52" s="5"/>
      <c r="O52" s="23" t="s">
        <v>38</v>
      </c>
      <c r="P52" s="5"/>
      <c r="Q52" s="5"/>
      <c r="R52" s="5"/>
    </row>
    <row r="53" spans="2:18" ht="15">
      <c r="B53" s="2" t="s">
        <v>61</v>
      </c>
      <c r="C53" s="2"/>
      <c r="D53" s="3">
        <f>D52*D51</f>
        <v>27652</v>
      </c>
      <c r="E53" s="5"/>
      <c r="F53" s="5"/>
      <c r="G53"/>
      <c r="H53" s="5"/>
      <c r="I53" s="3" t="s">
        <v>35</v>
      </c>
      <c r="J53" s="3" t="s">
        <v>39</v>
      </c>
      <c r="K53" s="3" t="s">
        <v>72</v>
      </c>
      <c r="L53" s="3" t="s">
        <v>73</v>
      </c>
      <c r="M53" s="3" t="s">
        <v>74</v>
      </c>
      <c r="N53" s="5"/>
      <c r="O53" s="5"/>
      <c r="P53" s="5"/>
      <c r="Q53" s="5"/>
      <c r="R53" s="5"/>
    </row>
    <row r="54" spans="2:18" ht="15">
      <c r="B54" s="19" t="s">
        <v>62</v>
      </c>
      <c r="D54" s="5">
        <f>-H94</f>
        <v>-3776.4</v>
      </c>
      <c r="E54" s="5"/>
      <c r="F54" s="5"/>
      <c r="G54" s="17" t="s">
        <v>70</v>
      </c>
      <c r="H54" s="5"/>
      <c r="I54" s="5">
        <f>J54*$D$51</f>
        <v>8295.599999999999</v>
      </c>
      <c r="J54" s="8">
        <v>3</v>
      </c>
      <c r="K54" s="5">
        <v>5</v>
      </c>
      <c r="L54" s="4">
        <v>0.01</v>
      </c>
      <c r="M54" s="5">
        <f>L54*I54</f>
        <v>82.95599999999999</v>
      </c>
      <c r="N54" s="5"/>
      <c r="O54" s="17" t="s">
        <v>44</v>
      </c>
      <c r="P54" s="5"/>
      <c r="Q54" s="5">
        <f>D56-Q55</f>
        <v>22873.15</v>
      </c>
      <c r="R54" s="5"/>
    </row>
    <row r="55" spans="2:18" ht="15">
      <c r="B55" s="21" t="s">
        <v>14</v>
      </c>
      <c r="C55" s="10"/>
      <c r="D55" s="18">
        <f>H84</f>
        <v>201.4</v>
      </c>
      <c r="E55" s="5"/>
      <c r="F55" s="5"/>
      <c r="G55" s="17" t="s">
        <v>71</v>
      </c>
      <c r="H55" s="5"/>
      <c r="I55" s="5">
        <f>J55*$D$51</f>
        <v>6913</v>
      </c>
      <c r="J55" s="8">
        <v>2.5</v>
      </c>
      <c r="K55" s="5">
        <v>5</v>
      </c>
      <c r="L55" s="4">
        <v>0.01</v>
      </c>
      <c r="M55" s="5">
        <f>L55*I55</f>
        <v>69.13</v>
      </c>
      <c r="N55" s="5"/>
      <c r="O55" s="17" t="s">
        <v>75</v>
      </c>
      <c r="P55" s="5"/>
      <c r="Q55" s="5">
        <f>I56</f>
        <v>1203.8500000000001</v>
      </c>
      <c r="R55" s="5"/>
    </row>
    <row r="56" spans="2:18" ht="15">
      <c r="B56" s="20" t="s">
        <v>15</v>
      </c>
      <c r="C56" s="2"/>
      <c r="D56" s="3">
        <f>SUM(D53:D55)</f>
        <v>24077</v>
      </c>
      <c r="E56" s="5"/>
      <c r="F56" s="5"/>
      <c r="G56" s="17" t="s">
        <v>75</v>
      </c>
      <c r="H56" s="5"/>
      <c r="I56" s="5">
        <f>E61*E62*D56</f>
        <v>1203.8500000000001</v>
      </c>
      <c r="J56" s="5"/>
      <c r="K56" s="5"/>
      <c r="L56" s="5"/>
      <c r="M56" s="5"/>
      <c r="N56" s="5"/>
      <c r="O56" s="17" t="s">
        <v>78</v>
      </c>
      <c r="P56" s="5"/>
      <c r="Q56" s="5">
        <f>E63*D56</f>
        <v>481.54</v>
      </c>
      <c r="R56" s="5"/>
    </row>
    <row r="57" spans="2:18" ht="15">
      <c r="B57" s="20"/>
      <c r="C57" s="2"/>
      <c r="D57" s="3"/>
      <c r="E57" s="5"/>
      <c r="F57" s="5"/>
      <c r="G57" s="17"/>
      <c r="H57" s="5"/>
      <c r="I57" s="5"/>
      <c r="J57" s="5"/>
      <c r="K57" s="5"/>
      <c r="L57" s="5"/>
      <c r="M57" s="5"/>
      <c r="N57" s="5"/>
      <c r="O57" s="17" t="s">
        <v>152</v>
      </c>
      <c r="P57" s="5"/>
      <c r="Q57" s="5">
        <f>-D54</f>
        <v>3776.4</v>
      </c>
      <c r="R57" s="5"/>
    </row>
    <row r="58" spans="4:18" ht="15">
      <c r="D58" s="5"/>
      <c r="E58" s="5"/>
      <c r="F58" s="5"/>
      <c r="G58" s="17" t="s">
        <v>37</v>
      </c>
      <c r="H58" s="5"/>
      <c r="I58" s="5">
        <f>E65*I65</f>
        <v>10183.819500000001</v>
      </c>
      <c r="J58" s="5"/>
      <c r="K58" s="5"/>
      <c r="L58" s="5"/>
      <c r="M58" s="5"/>
      <c r="N58" s="5"/>
      <c r="O58" s="17" t="s">
        <v>79</v>
      </c>
      <c r="P58" s="5"/>
      <c r="Q58" s="5">
        <f>M60</f>
        <v>152.08599999999998</v>
      </c>
      <c r="R58" s="5"/>
    </row>
    <row r="59" spans="4:18" ht="15">
      <c r="D59" s="5"/>
      <c r="E59" s="5"/>
      <c r="F59" s="5"/>
      <c r="G59" s="24" t="s">
        <v>76</v>
      </c>
      <c r="H59" s="18"/>
      <c r="I59" s="18">
        <f>I65-I56-I58</f>
        <v>2190.7565000000013</v>
      </c>
      <c r="J59" s="18"/>
      <c r="K59" s="18"/>
      <c r="L59" s="18"/>
      <c r="M59" s="18"/>
      <c r="N59" s="5"/>
      <c r="O59" s="24" t="s">
        <v>80</v>
      </c>
      <c r="P59" s="18"/>
      <c r="Q59" s="18">
        <f>E64</f>
        <v>300</v>
      </c>
      <c r="R59" s="5"/>
    </row>
    <row r="60" spans="2:18" ht="15">
      <c r="B60" s="15" t="s">
        <v>63</v>
      </c>
      <c r="C60" s="16"/>
      <c r="D60" s="16"/>
      <c r="E60" s="22"/>
      <c r="F60" s="5"/>
      <c r="G60" s="3" t="s">
        <v>77</v>
      </c>
      <c r="H60" s="5"/>
      <c r="I60" s="3">
        <f>Q60</f>
        <v>28787.026</v>
      </c>
      <c r="J60" s="5"/>
      <c r="K60" s="5"/>
      <c r="L60" s="5"/>
      <c r="M60" s="3">
        <f>SUM(M54:M55)</f>
        <v>152.08599999999998</v>
      </c>
      <c r="N60" s="5"/>
      <c r="O60" s="3" t="s">
        <v>77</v>
      </c>
      <c r="P60" s="5"/>
      <c r="Q60" s="3">
        <f>SUM(Q54:Q59)</f>
        <v>28787.026</v>
      </c>
      <c r="R60" s="5"/>
    </row>
    <row r="61" spans="2:18" ht="15">
      <c r="B61" t="s">
        <v>64</v>
      </c>
      <c r="E61" s="4">
        <v>0.5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ht="15">
      <c r="B62" t="s">
        <v>65</v>
      </c>
      <c r="E62" s="4">
        <v>0.1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ht="15">
      <c r="B63" t="s">
        <v>66</v>
      </c>
      <c r="D63" s="5"/>
      <c r="E63" s="4">
        <f>2%</f>
        <v>0.02</v>
      </c>
      <c r="F63" s="5"/>
      <c r="G63" s="25" t="s">
        <v>40</v>
      </c>
      <c r="H63" s="22"/>
      <c r="I63" s="22"/>
      <c r="J63" s="22"/>
      <c r="K63" s="5"/>
      <c r="L63" s="5"/>
      <c r="M63" s="5"/>
      <c r="N63" s="5"/>
      <c r="O63" s="5"/>
      <c r="P63" s="5"/>
      <c r="Q63" s="5"/>
      <c r="R63" s="5"/>
    </row>
    <row r="64" spans="2:18" ht="15">
      <c r="B64" t="s">
        <v>67</v>
      </c>
      <c r="D64" s="5"/>
      <c r="E64" s="5">
        <v>300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ht="15">
      <c r="B65" t="s">
        <v>68</v>
      </c>
      <c r="D65" s="5"/>
      <c r="E65" s="4">
        <v>0.75</v>
      </c>
      <c r="F65" s="5"/>
      <c r="G65" s="17" t="s">
        <v>42</v>
      </c>
      <c r="H65" s="5"/>
      <c r="I65" s="5">
        <f>I67-I66</f>
        <v>13578.426000000003</v>
      </c>
      <c r="J65" s="4">
        <f>I65/$I$67</f>
        <v>0.47168561281738525</v>
      </c>
      <c r="K65" s="5"/>
      <c r="L65" s="5"/>
      <c r="M65" s="5"/>
      <c r="N65" s="5"/>
      <c r="O65" s="5"/>
      <c r="P65" s="5"/>
      <c r="Q65" s="5"/>
      <c r="R65" s="5"/>
    </row>
    <row r="66" spans="4:18" ht="15">
      <c r="D66" s="5"/>
      <c r="E66" s="5"/>
      <c r="F66" s="5"/>
      <c r="G66" s="24" t="s">
        <v>41</v>
      </c>
      <c r="H66" s="18"/>
      <c r="I66" s="18">
        <f>SUM(I54:I55)</f>
        <v>15208.599999999999</v>
      </c>
      <c r="J66" s="26">
        <f>I66/$I$67</f>
        <v>0.5283143871826148</v>
      </c>
      <c r="K66" s="5"/>
      <c r="L66" s="5"/>
      <c r="M66" s="5"/>
      <c r="N66" s="5"/>
      <c r="O66" s="5"/>
      <c r="P66" s="5"/>
      <c r="Q66" s="5"/>
      <c r="R66" s="5"/>
    </row>
    <row r="67" spans="4:18" ht="15">
      <c r="D67" s="5"/>
      <c r="E67" s="5"/>
      <c r="F67" s="5"/>
      <c r="G67" s="5"/>
      <c r="H67" s="5"/>
      <c r="I67" s="3">
        <f>I60</f>
        <v>28787.026</v>
      </c>
      <c r="J67" s="5"/>
      <c r="K67" s="5"/>
      <c r="L67" s="5"/>
      <c r="M67" s="5"/>
      <c r="N67" s="5"/>
      <c r="O67" s="5"/>
      <c r="P67" s="5"/>
      <c r="Q67" s="5"/>
      <c r="R67" s="5"/>
    </row>
    <row r="68" spans="2:18" ht="15">
      <c r="B68" s="15" t="s">
        <v>81</v>
      </c>
      <c r="C68" s="16"/>
      <c r="D68" s="22"/>
      <c r="E68" s="2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ht="15">
      <c r="B69" t="s">
        <v>15</v>
      </c>
      <c r="D69" s="5"/>
      <c r="E69" s="5">
        <f>D56</f>
        <v>24077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ht="15">
      <c r="B70" s="10" t="s">
        <v>82</v>
      </c>
      <c r="C70" s="10"/>
      <c r="D70" s="18"/>
      <c r="E70" s="18">
        <f>-H78</f>
        <v>-96</v>
      </c>
      <c r="F70" s="5"/>
      <c r="G70" s="25" t="s">
        <v>83</v>
      </c>
      <c r="H70" s="22"/>
      <c r="I70" s="22"/>
      <c r="J70" s="22"/>
      <c r="K70" s="22"/>
      <c r="L70" s="22"/>
      <c r="M70" s="22"/>
      <c r="N70" s="22"/>
      <c r="O70" s="22"/>
      <c r="P70" s="5"/>
      <c r="Q70" s="5"/>
      <c r="R70" s="5"/>
    </row>
    <row r="71" spans="2:18" ht="15">
      <c r="B71" s="2" t="s">
        <v>45</v>
      </c>
      <c r="C71" s="2"/>
      <c r="D71" s="3"/>
      <c r="E71" s="3">
        <f>SUM(E69:E70)</f>
        <v>23981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4:18" ht="15">
      <c r="D72" s="5"/>
      <c r="E72" s="5"/>
      <c r="F72" s="5"/>
      <c r="G72" s="17" t="s">
        <v>33</v>
      </c>
      <c r="H72" s="5"/>
      <c r="J72" s="8">
        <f>I66/D51</f>
        <v>5.5</v>
      </c>
      <c r="K72" s="5"/>
      <c r="L72" s="5"/>
      <c r="M72" s="5"/>
      <c r="N72" s="5"/>
      <c r="O72" s="5"/>
      <c r="P72" s="5"/>
      <c r="Q72" s="5"/>
      <c r="R72" s="5"/>
    </row>
    <row r="73" spans="4:18" ht="15">
      <c r="D73" s="5"/>
      <c r="E73" s="5"/>
      <c r="F73" s="5"/>
      <c r="G73" s="17" t="s">
        <v>84</v>
      </c>
      <c r="H73" s="5"/>
      <c r="J73" s="5"/>
      <c r="K73" s="4">
        <f ca="1">K126/K44</f>
        <v>-0.6563267438863515</v>
      </c>
      <c r="L73" s="4">
        <f aca="true" t="shared" si="63" ref="L73:O73">L126/L44</f>
        <v>0.464270386946202</v>
      </c>
      <c r="M73" s="4">
        <f ca="1" t="shared" si="63"/>
        <v>0.8609515215060206</v>
      </c>
      <c r="N73" s="4">
        <f ca="1" t="shared" si="63"/>
        <v>0.9372884327705021</v>
      </c>
      <c r="O73" s="4">
        <f ca="1" t="shared" si="63"/>
        <v>1.0081641289061143</v>
      </c>
      <c r="P73" s="5"/>
      <c r="Q73" s="5"/>
      <c r="R73" s="5"/>
    </row>
    <row r="74" spans="4:18" ht="1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4:18" ht="1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s="12" customFormat="1" ht="15">
      <c r="A76" s="9" t="s">
        <v>85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4:18" ht="1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ht="15">
      <c r="B78" t="s">
        <v>16</v>
      </c>
      <c r="D78" s="5"/>
      <c r="E78" s="5"/>
      <c r="F78" s="5"/>
      <c r="G78" s="27">
        <v>96</v>
      </c>
      <c r="H78" s="27">
        <v>96</v>
      </c>
      <c r="I78" s="27">
        <f>J78-H78</f>
        <v>23885</v>
      </c>
      <c r="J78" s="27">
        <f>E71</f>
        <v>23981</v>
      </c>
      <c r="K78" s="27">
        <f>J78</f>
        <v>23981</v>
      </c>
      <c r="L78" s="27">
        <f aca="true" t="shared" si="64" ref="L78:O78">K78</f>
        <v>23981</v>
      </c>
      <c r="M78" s="27">
        <f t="shared" si="64"/>
        <v>23981</v>
      </c>
      <c r="N78" s="27">
        <f t="shared" si="64"/>
        <v>23981</v>
      </c>
      <c r="O78" s="27">
        <f t="shared" si="64"/>
        <v>23981</v>
      </c>
      <c r="P78" s="5"/>
      <c r="Q78" s="5"/>
      <c r="R78" s="5"/>
    </row>
    <row r="79" spans="2:18" ht="15">
      <c r="B79" t="s">
        <v>17</v>
      </c>
      <c r="D79" s="5"/>
      <c r="E79" s="5"/>
      <c r="F79" s="5"/>
      <c r="G79" s="27">
        <v>4467.5</v>
      </c>
      <c r="H79" s="27">
        <v>537.5</v>
      </c>
      <c r="I79" s="27"/>
      <c r="J79" s="27">
        <f>SUM(H79:I79)</f>
        <v>537.5</v>
      </c>
      <c r="K79" s="27">
        <f>J79+K148-K157</f>
        <v>709.1</v>
      </c>
      <c r="L79" s="27">
        <f aca="true" t="shared" si="65" ref="L79:O79">K79+L148-L157</f>
        <v>766.0400000000002</v>
      </c>
      <c r="M79" s="27">
        <f t="shared" si="65"/>
        <v>681.2540000000001</v>
      </c>
      <c r="N79" s="27">
        <f t="shared" si="65"/>
        <v>440.5694000000003</v>
      </c>
      <c r="O79" s="27">
        <f t="shared" si="65"/>
        <v>28.396340000000237</v>
      </c>
      <c r="P79" s="5"/>
      <c r="Q79" s="5"/>
      <c r="R79" s="5"/>
    </row>
    <row r="80" spans="2:18" ht="15">
      <c r="B80" t="s">
        <v>18</v>
      </c>
      <c r="D80" s="5"/>
      <c r="E80" s="5"/>
      <c r="F80" s="5"/>
      <c r="G80" s="27">
        <v>507</v>
      </c>
      <c r="H80" s="27">
        <v>507</v>
      </c>
      <c r="I80" s="27"/>
      <c r="J80" s="27">
        <f aca="true" t="shared" si="66" ref="J80:J85">SUM(H80:I80)</f>
        <v>507</v>
      </c>
      <c r="K80" s="27">
        <f>J80</f>
        <v>507</v>
      </c>
      <c r="L80" s="27">
        <f aca="true" t="shared" si="67" ref="L80:O80">K80</f>
        <v>507</v>
      </c>
      <c r="M80" s="27">
        <f t="shared" si="67"/>
        <v>507</v>
      </c>
      <c r="N80" s="27">
        <f t="shared" si="67"/>
        <v>507</v>
      </c>
      <c r="O80" s="27">
        <f t="shared" si="67"/>
        <v>507</v>
      </c>
      <c r="P80" s="5"/>
      <c r="Q80" s="5"/>
      <c r="R80" s="5"/>
    </row>
    <row r="81" spans="2:18" ht="15">
      <c r="B81" t="s">
        <v>19</v>
      </c>
      <c r="D81" s="5"/>
      <c r="E81" s="5"/>
      <c r="F81" s="5"/>
      <c r="G81" s="27">
        <v>6189.1</v>
      </c>
      <c r="H81" s="27">
        <v>7900</v>
      </c>
      <c r="I81" s="27"/>
      <c r="J81" s="27">
        <f t="shared" si="66"/>
        <v>7900</v>
      </c>
      <c r="K81" s="27">
        <f>K113*K109/365</f>
        <v>9571.153846153846</v>
      </c>
      <c r="L81" s="27">
        <f>L113*L109/365</f>
        <v>10832.115384615383</v>
      </c>
      <c r="M81" s="27">
        <f>M113*M109/365</f>
        <v>11881.14423076923</v>
      </c>
      <c r="N81" s="27">
        <f>N113*N109/365</f>
        <v>13035.075961538465</v>
      </c>
      <c r="O81" s="27">
        <f>O113*O109/365</f>
        <v>14304.40086538462</v>
      </c>
      <c r="P81" s="5"/>
      <c r="Q81" s="5"/>
      <c r="R81" s="5"/>
    </row>
    <row r="82" spans="2:18" ht="15">
      <c r="B82" t="s">
        <v>20</v>
      </c>
      <c r="D82" s="5"/>
      <c r="E82" s="5"/>
      <c r="F82" s="5"/>
      <c r="G82" s="27">
        <v>4709.4</v>
      </c>
      <c r="H82" s="27">
        <v>5500</v>
      </c>
      <c r="I82" s="27"/>
      <c r="J82" s="27">
        <f t="shared" si="66"/>
        <v>5500</v>
      </c>
      <c r="K82" s="27">
        <f>K111*K108/365</f>
        <v>6600</v>
      </c>
      <c r="L82" s="27">
        <f>L111*L108/365</f>
        <v>7590</v>
      </c>
      <c r="M82" s="27">
        <f>M111*M108/365</f>
        <v>8349.000000000002</v>
      </c>
      <c r="N82" s="27">
        <f>N111*N108/365</f>
        <v>9183.900000000003</v>
      </c>
      <c r="O82" s="27">
        <f>O111*O108/365</f>
        <v>10102.290000000005</v>
      </c>
      <c r="P82" s="5"/>
      <c r="Q82" s="5"/>
      <c r="R82" s="5"/>
    </row>
    <row r="83" spans="2:18" ht="15">
      <c r="B83" t="s">
        <v>21</v>
      </c>
      <c r="D83" s="5"/>
      <c r="E83" s="5"/>
      <c r="F83" s="5"/>
      <c r="G83" s="27">
        <v>473.2</v>
      </c>
      <c r="H83" s="27">
        <v>550</v>
      </c>
      <c r="I83" s="27"/>
      <c r="J83" s="27">
        <f t="shared" si="66"/>
        <v>550</v>
      </c>
      <c r="K83" s="27">
        <f>J83</f>
        <v>550</v>
      </c>
      <c r="L83" s="27">
        <f aca="true" t="shared" si="68" ref="L83:O83">K83</f>
        <v>550</v>
      </c>
      <c r="M83" s="27">
        <f t="shared" si="68"/>
        <v>550</v>
      </c>
      <c r="N83" s="27">
        <f t="shared" si="68"/>
        <v>550</v>
      </c>
      <c r="O83" s="27">
        <f t="shared" si="68"/>
        <v>550</v>
      </c>
      <c r="P83" s="5"/>
      <c r="Q83" s="5"/>
      <c r="R83" s="5"/>
    </row>
    <row r="84" spans="2:18" ht="15">
      <c r="B84" t="s">
        <v>22</v>
      </c>
      <c r="D84" s="5"/>
      <c r="E84" s="5"/>
      <c r="F84" s="5"/>
      <c r="G84" s="27">
        <v>124.5</v>
      </c>
      <c r="H84" s="27">
        <v>201.4</v>
      </c>
      <c r="I84" s="27">
        <f>J84-H84</f>
        <v>98.6</v>
      </c>
      <c r="J84" s="27">
        <f>E64</f>
        <v>300</v>
      </c>
      <c r="K84" s="27">
        <f ca="1">K137</f>
        <v>300</v>
      </c>
      <c r="L84" s="27">
        <f aca="true" t="shared" si="69" ref="L84:O84">L137</f>
        <v>300</v>
      </c>
      <c r="M84" s="27">
        <f ca="1" t="shared" si="69"/>
        <v>300</v>
      </c>
      <c r="N84" s="27">
        <f ca="1" t="shared" si="69"/>
        <v>300</v>
      </c>
      <c r="O84" s="27">
        <f ca="1" t="shared" si="69"/>
        <v>300</v>
      </c>
      <c r="P84" s="5"/>
      <c r="Q84" s="5"/>
      <c r="R84" s="5"/>
    </row>
    <row r="85" spans="2:18" ht="15">
      <c r="B85" t="s">
        <v>23</v>
      </c>
      <c r="D85" s="5"/>
      <c r="E85" s="5"/>
      <c r="F85" s="5"/>
      <c r="G85" s="27">
        <v>159.4</v>
      </c>
      <c r="H85" s="27">
        <v>205.4</v>
      </c>
      <c r="I85" s="27"/>
      <c r="J85" s="27">
        <f t="shared" si="66"/>
        <v>205.4</v>
      </c>
      <c r="K85" s="27">
        <f>K114*K108</f>
        <v>246.48</v>
      </c>
      <c r="L85" s="27">
        <f>L114*L108</f>
        <v>283.452</v>
      </c>
      <c r="M85" s="27">
        <f>M114*M108</f>
        <v>311.79720000000003</v>
      </c>
      <c r="N85" s="27">
        <f>N114*N108</f>
        <v>342.9769200000001</v>
      </c>
      <c r="O85" s="27">
        <f>O114*O108</f>
        <v>377.27461200000016</v>
      </c>
      <c r="P85" s="5"/>
      <c r="Q85" s="5"/>
      <c r="R85" s="5"/>
    </row>
    <row r="86" spans="2:18" ht="15">
      <c r="B86" s="10" t="s">
        <v>79</v>
      </c>
      <c r="C86" s="10"/>
      <c r="D86" s="18"/>
      <c r="E86" s="18"/>
      <c r="F86" s="18"/>
      <c r="G86" s="28">
        <v>0</v>
      </c>
      <c r="H86" s="28">
        <v>0</v>
      </c>
      <c r="I86" s="28">
        <f>M60</f>
        <v>152.08599999999998</v>
      </c>
      <c r="J86" s="28">
        <f>SUM(H86:I86)</f>
        <v>152.08599999999998</v>
      </c>
      <c r="K86" s="28">
        <f>J86-$J$86/5</f>
        <v>121.66879999999999</v>
      </c>
      <c r="L86" s="28">
        <f aca="true" t="shared" si="70" ref="L86:O86">K86-$J$86/5</f>
        <v>91.2516</v>
      </c>
      <c r="M86" s="28">
        <f t="shared" si="70"/>
        <v>60.8344</v>
      </c>
      <c r="N86" s="28">
        <f t="shared" si="70"/>
        <v>30.417200000000005</v>
      </c>
      <c r="O86" s="28">
        <f t="shared" si="70"/>
        <v>0</v>
      </c>
      <c r="P86" s="5"/>
      <c r="Q86" s="5"/>
      <c r="R86" s="5"/>
    </row>
    <row r="87" spans="2:18" s="2" customFormat="1" ht="15">
      <c r="B87" s="2" t="s">
        <v>24</v>
      </c>
      <c r="D87" s="3"/>
      <c r="E87" s="3"/>
      <c r="F87" s="3"/>
      <c r="G87" s="29">
        <f>SUM(G78:G86)</f>
        <v>16726.100000000002</v>
      </c>
      <c r="H87" s="29">
        <f>SUM(H78:H86)</f>
        <v>15497.3</v>
      </c>
      <c r="I87" s="29"/>
      <c r="J87" s="29">
        <f>SUM(J78:J86)</f>
        <v>39632.986000000004</v>
      </c>
      <c r="K87" s="29">
        <f aca="true" t="shared" si="71" ref="K87:O87">SUM(K78:K86)</f>
        <v>42586.402646153845</v>
      </c>
      <c r="L87" s="29">
        <f ca="1" t="shared" si="71"/>
        <v>44900.858984615385</v>
      </c>
      <c r="M87" s="29">
        <f ca="1" t="shared" si="71"/>
        <v>46622.029830769236</v>
      </c>
      <c r="N87" s="29">
        <f ca="1" t="shared" si="71"/>
        <v>48370.93948153847</v>
      </c>
      <c r="O87" s="29">
        <f ca="1" t="shared" si="71"/>
        <v>50150.361817384626</v>
      </c>
      <c r="P87" s="3"/>
      <c r="Q87" s="3"/>
      <c r="R87" s="3"/>
    </row>
    <row r="88" spans="4:18" ht="15">
      <c r="D88" s="5"/>
      <c r="E88" s="5"/>
      <c r="F88" s="5"/>
      <c r="G88" s="27"/>
      <c r="H88" s="27"/>
      <c r="I88" s="27"/>
      <c r="J88" s="27"/>
      <c r="K88" s="27"/>
      <c r="L88" s="27"/>
      <c r="M88" s="27"/>
      <c r="N88" s="27"/>
      <c r="O88" s="27"/>
      <c r="P88" s="5"/>
      <c r="Q88" s="5"/>
      <c r="R88" s="5"/>
    </row>
    <row r="89" spans="2:18" ht="15">
      <c r="B89" t="s">
        <v>86</v>
      </c>
      <c r="D89" s="5"/>
      <c r="E89" s="5"/>
      <c r="F89" s="5"/>
      <c r="G89" s="27">
        <v>4480.5</v>
      </c>
      <c r="H89" s="27">
        <v>5907.2</v>
      </c>
      <c r="I89" s="27">
        <f>J87-SUM(J90:J99)-H89</f>
        <v>2519.7665000000025</v>
      </c>
      <c r="J89" s="27">
        <f aca="true" t="shared" si="72" ref="J89:J99">SUM(H89:I89)</f>
        <v>8426.966500000002</v>
      </c>
      <c r="K89" s="27">
        <f ca="1">J89+K44</f>
        <v>9190.980753027621</v>
      </c>
      <c r="L89" s="27">
        <f aca="true" t="shared" si="73" ref="L89:O89">K89+L44</f>
        <v>10560.109465213154</v>
      </c>
      <c r="M89" s="27">
        <f ca="1" t="shared" si="73"/>
        <v>12032.070446252326</v>
      </c>
      <c r="N89" s="27">
        <f ca="1" t="shared" si="73"/>
        <v>13622.981086966709</v>
      </c>
      <c r="O89" s="27">
        <f ca="1" t="shared" si="73"/>
        <v>15350.911058779173</v>
      </c>
      <c r="P89" s="5"/>
      <c r="Q89" s="5"/>
      <c r="R89" s="5"/>
    </row>
    <row r="90" spans="2:18" ht="15">
      <c r="B90" t="s">
        <v>87</v>
      </c>
      <c r="D90" s="5"/>
      <c r="E90" s="5"/>
      <c r="F90" s="5"/>
      <c r="G90" s="27"/>
      <c r="H90" s="27"/>
      <c r="I90" s="27">
        <f>I58</f>
        <v>10183.819500000001</v>
      </c>
      <c r="J90" s="27">
        <f t="shared" si="72"/>
        <v>10183.819500000001</v>
      </c>
      <c r="K90" s="27">
        <f>K181</f>
        <v>10998.525060000002</v>
      </c>
      <c r="L90" s="27">
        <f aca="true" t="shared" si="74" ref="L90:O90">L181</f>
        <v>11878.407064800002</v>
      </c>
      <c r="M90" s="27">
        <f t="shared" si="74"/>
        <v>12828.679629984003</v>
      </c>
      <c r="N90" s="27">
        <f t="shared" si="74"/>
        <v>13854.974000382723</v>
      </c>
      <c r="O90" s="27">
        <f t="shared" si="74"/>
        <v>14963.371920413341</v>
      </c>
      <c r="P90" s="5"/>
      <c r="Q90" s="5"/>
      <c r="R90" s="5"/>
    </row>
    <row r="91" spans="2:18" ht="15">
      <c r="B91" t="s">
        <v>70</v>
      </c>
      <c r="D91" s="5"/>
      <c r="E91" s="5"/>
      <c r="F91" s="5"/>
      <c r="G91" s="27"/>
      <c r="H91" s="27"/>
      <c r="I91" s="27">
        <f>I54</f>
        <v>8295.599999999999</v>
      </c>
      <c r="J91" s="27">
        <f t="shared" si="72"/>
        <v>8295.599999999999</v>
      </c>
      <c r="K91" s="27">
        <f ca="1">K167</f>
        <v>8797.04298697238</v>
      </c>
      <c r="L91" s="27">
        <f aca="true" t="shared" si="75" ref="L91:O91">L167</f>
        <v>8161.397069986847</v>
      </c>
      <c r="M91" s="27">
        <f ca="1" t="shared" si="75"/>
        <v>6894.1100237636765</v>
      </c>
      <c r="N91" s="27">
        <f ca="1" t="shared" si="75"/>
        <v>5402.967882650577</v>
      </c>
      <c r="O91" s="27">
        <f ca="1" t="shared" si="75"/>
        <v>3660.9308678074967</v>
      </c>
      <c r="P91" s="5"/>
      <c r="Q91" s="5"/>
      <c r="R91" s="5"/>
    </row>
    <row r="92" spans="2:18" ht="15">
      <c r="B92" t="s">
        <v>71</v>
      </c>
      <c r="D92" s="5"/>
      <c r="E92" s="5"/>
      <c r="F92" s="5"/>
      <c r="G92" s="27"/>
      <c r="H92" s="27"/>
      <c r="I92" s="27">
        <f>I55</f>
        <v>6913</v>
      </c>
      <c r="J92" s="27">
        <f t="shared" si="72"/>
        <v>6913</v>
      </c>
      <c r="K92" s="27">
        <f ca="1">K175</f>
        <v>6913</v>
      </c>
      <c r="L92" s="27">
        <f aca="true" t="shared" si="76" ref="L92:O92">L175</f>
        <v>6913</v>
      </c>
      <c r="M92" s="27">
        <f ca="1" t="shared" si="76"/>
        <v>6913</v>
      </c>
      <c r="N92" s="27">
        <f ca="1" t="shared" si="76"/>
        <v>6913</v>
      </c>
      <c r="O92" s="27">
        <f ca="1" t="shared" si="76"/>
        <v>6913</v>
      </c>
      <c r="P92" s="5"/>
      <c r="Q92" s="5"/>
      <c r="R92" s="5"/>
    </row>
    <row r="93" spans="2:18" ht="15">
      <c r="B93" t="s">
        <v>30</v>
      </c>
      <c r="D93" s="5"/>
      <c r="E93" s="5"/>
      <c r="F93" s="5"/>
      <c r="G93" s="27">
        <v>299</v>
      </c>
      <c r="H93" s="27">
        <v>22.4</v>
      </c>
      <c r="I93" s="27"/>
      <c r="J93" s="27">
        <f t="shared" si="72"/>
        <v>22.4</v>
      </c>
      <c r="K93" s="27">
        <f>J93</f>
        <v>22.4</v>
      </c>
      <c r="L93" s="27">
        <f aca="true" t="shared" si="77" ref="L93:O93">K93</f>
        <v>22.4</v>
      </c>
      <c r="M93" s="27">
        <f t="shared" si="77"/>
        <v>22.4</v>
      </c>
      <c r="N93" s="27">
        <f t="shared" si="77"/>
        <v>22.4</v>
      </c>
      <c r="O93" s="27">
        <f t="shared" si="77"/>
        <v>22.4</v>
      </c>
      <c r="P93" s="5"/>
      <c r="Q93" s="5"/>
      <c r="R93" s="5"/>
    </row>
    <row r="94" spans="2:18" ht="15">
      <c r="B94" t="s">
        <v>88</v>
      </c>
      <c r="D94" s="5"/>
      <c r="E94" s="5"/>
      <c r="F94" s="5"/>
      <c r="G94" s="27">
        <v>7296.4</v>
      </c>
      <c r="H94" s="27">
        <v>3776.4</v>
      </c>
      <c r="I94" s="27">
        <f>-H94</f>
        <v>-3776.4</v>
      </c>
      <c r="J94" s="27">
        <v>0</v>
      </c>
      <c r="K94" s="27">
        <f aca="true" t="shared" si="78" ref="K94:O94">J94</f>
        <v>0</v>
      </c>
      <c r="L94" s="27">
        <f t="shared" si="78"/>
        <v>0</v>
      </c>
      <c r="M94" s="27">
        <f t="shared" si="78"/>
        <v>0</v>
      </c>
      <c r="N94" s="27">
        <f t="shared" si="78"/>
        <v>0</v>
      </c>
      <c r="O94" s="27">
        <f t="shared" si="78"/>
        <v>0</v>
      </c>
      <c r="P94" s="5"/>
      <c r="Q94" s="5"/>
      <c r="R94" s="5"/>
    </row>
    <row r="95" spans="2:18" ht="15">
      <c r="B95" t="s">
        <v>31</v>
      </c>
      <c r="D95" s="5"/>
      <c r="E95" s="5"/>
      <c r="F95" s="5"/>
      <c r="G95" s="27">
        <v>1170.7</v>
      </c>
      <c r="H95" s="27">
        <v>1414.3</v>
      </c>
      <c r="I95" s="27"/>
      <c r="J95" s="27">
        <f t="shared" si="72"/>
        <v>1414.3</v>
      </c>
      <c r="K95" s="27">
        <f aca="true" t="shared" si="79" ref="K95:O95">J95</f>
        <v>1414.3</v>
      </c>
      <c r="L95" s="27">
        <f t="shared" si="79"/>
        <v>1414.3</v>
      </c>
      <c r="M95" s="27">
        <f t="shared" si="79"/>
        <v>1414.3</v>
      </c>
      <c r="N95" s="27">
        <f t="shared" si="79"/>
        <v>1414.3</v>
      </c>
      <c r="O95" s="27">
        <f t="shared" si="79"/>
        <v>1414.3</v>
      </c>
      <c r="P95" s="5"/>
      <c r="Q95" s="5"/>
      <c r="R95" s="5"/>
    </row>
    <row r="96" spans="2:18" ht="15">
      <c r="B96" t="s">
        <v>25</v>
      </c>
      <c r="D96" s="5"/>
      <c r="E96" s="5"/>
      <c r="F96" s="5"/>
      <c r="G96" s="27">
        <v>272.5</v>
      </c>
      <c r="H96" s="27">
        <v>92</v>
      </c>
      <c r="I96" s="27"/>
      <c r="J96" s="27">
        <f t="shared" si="72"/>
        <v>92</v>
      </c>
      <c r="K96" s="27">
        <f aca="true" t="shared" si="80" ref="K96:O96">J96</f>
        <v>92</v>
      </c>
      <c r="L96" s="27">
        <f t="shared" si="80"/>
        <v>92</v>
      </c>
      <c r="M96" s="27">
        <f t="shared" si="80"/>
        <v>92</v>
      </c>
      <c r="N96" s="27">
        <f t="shared" si="80"/>
        <v>92</v>
      </c>
      <c r="O96" s="27">
        <f t="shared" si="80"/>
        <v>92</v>
      </c>
      <c r="P96" s="5"/>
      <c r="Q96" s="5"/>
      <c r="R96" s="5"/>
    </row>
    <row r="97" spans="2:18" ht="15">
      <c r="B97" t="s">
        <v>26</v>
      </c>
      <c r="D97" s="5"/>
      <c r="E97" s="5"/>
      <c r="F97" s="5"/>
      <c r="G97" s="27">
        <v>2070.4</v>
      </c>
      <c r="H97" s="27">
        <v>2757.2</v>
      </c>
      <c r="I97" s="27"/>
      <c r="J97" s="27">
        <f t="shared" si="72"/>
        <v>2757.2</v>
      </c>
      <c r="K97" s="27">
        <f>K112*K109/365</f>
        <v>3340.453846153846</v>
      </c>
      <c r="L97" s="27">
        <f>L112*L109/365</f>
        <v>3780.545384615384</v>
      </c>
      <c r="M97" s="27">
        <f>M112*M109/365</f>
        <v>4146.669730769231</v>
      </c>
      <c r="N97" s="27">
        <f>N112*N109/365</f>
        <v>4549.406511538463</v>
      </c>
      <c r="O97" s="27">
        <f>O112*O109/365</f>
        <v>4992.416970384617</v>
      </c>
      <c r="P97" s="5"/>
      <c r="Q97" s="5"/>
      <c r="R97" s="5"/>
    </row>
    <row r="98" spans="2:18" ht="15">
      <c r="B98" t="s">
        <v>27</v>
      </c>
      <c r="D98" s="5"/>
      <c r="E98" s="5"/>
      <c r="F98" s="5"/>
      <c r="G98" s="27">
        <v>60.3</v>
      </c>
      <c r="H98" s="27">
        <v>77.7</v>
      </c>
      <c r="I98" s="27"/>
      <c r="J98" s="27">
        <f t="shared" si="72"/>
        <v>77.7</v>
      </c>
      <c r="K98" s="27">
        <f>J98</f>
        <v>77.7</v>
      </c>
      <c r="L98" s="27">
        <f aca="true" t="shared" si="81" ref="L98:O98">K98</f>
        <v>77.7</v>
      </c>
      <c r="M98" s="27">
        <f t="shared" si="81"/>
        <v>77.7</v>
      </c>
      <c r="N98" s="27">
        <f t="shared" si="81"/>
        <v>77.7</v>
      </c>
      <c r="O98" s="27">
        <f t="shared" si="81"/>
        <v>77.7</v>
      </c>
      <c r="P98" s="5"/>
      <c r="Q98" s="5"/>
      <c r="R98" s="5"/>
    </row>
    <row r="99" spans="2:18" ht="15">
      <c r="B99" s="10" t="s">
        <v>28</v>
      </c>
      <c r="C99" s="10"/>
      <c r="D99" s="18"/>
      <c r="E99" s="18"/>
      <c r="F99" s="18"/>
      <c r="G99" s="28">
        <v>1076.2</v>
      </c>
      <c r="H99" s="28">
        <v>1450</v>
      </c>
      <c r="I99" s="28"/>
      <c r="J99" s="28">
        <f t="shared" si="72"/>
        <v>1450</v>
      </c>
      <c r="K99" s="28">
        <f>K115*K108</f>
        <v>1739.9999999999998</v>
      </c>
      <c r="L99" s="28">
        <f>L115*L108</f>
        <v>2000.9999999999998</v>
      </c>
      <c r="M99" s="28">
        <f>M115*M108</f>
        <v>2201.1000000000004</v>
      </c>
      <c r="N99" s="28">
        <f>N115*N108</f>
        <v>2421.2100000000005</v>
      </c>
      <c r="O99" s="28">
        <f>O115*O108</f>
        <v>2663.3310000000006</v>
      </c>
      <c r="P99" s="5"/>
      <c r="Q99" s="5"/>
      <c r="R99" s="5"/>
    </row>
    <row r="100" spans="2:18" ht="15">
      <c r="B100" s="2" t="s">
        <v>32</v>
      </c>
      <c r="D100" s="5"/>
      <c r="E100" s="5"/>
      <c r="F100" s="5"/>
      <c r="G100" s="29">
        <f>SUM(G89:G99)</f>
        <v>16726</v>
      </c>
      <c r="H100" s="29">
        <f>SUM(H89:H99)</f>
        <v>15497.2</v>
      </c>
      <c r="I100" s="29"/>
      <c r="J100" s="29">
        <f>SUM(J89:J99)</f>
        <v>39632.986</v>
      </c>
      <c r="K100" s="29">
        <f aca="true" t="shared" si="82" ref="K100:O100">SUM(K89:K99)</f>
        <v>42586.40264615385</v>
      </c>
      <c r="L100" s="29">
        <f ca="1" t="shared" si="82"/>
        <v>44900.858984615385</v>
      </c>
      <c r="M100" s="29">
        <f ca="1" t="shared" si="82"/>
        <v>46622.029830769236</v>
      </c>
      <c r="N100" s="29">
        <f ca="1" t="shared" si="82"/>
        <v>48370.93948153847</v>
      </c>
      <c r="O100" s="29">
        <f ca="1" t="shared" si="82"/>
        <v>50150.36181738463</v>
      </c>
      <c r="P100" s="5"/>
      <c r="Q100" s="5"/>
      <c r="R100" s="5"/>
    </row>
    <row r="101" spans="4:18" ht="15">
      <c r="D101" s="5"/>
      <c r="E101" s="5"/>
      <c r="F101" s="5"/>
      <c r="G101" s="27"/>
      <c r="H101" s="27"/>
      <c r="I101" s="27"/>
      <c r="J101" s="27"/>
      <c r="K101" s="27"/>
      <c r="L101" s="27"/>
      <c r="M101" s="27"/>
      <c r="N101" s="27"/>
      <c r="O101" s="27"/>
      <c r="P101" s="5"/>
      <c r="Q101" s="5"/>
      <c r="R101" s="5"/>
    </row>
    <row r="102" spans="2:18" ht="15">
      <c r="B102" t="s">
        <v>43</v>
      </c>
      <c r="D102" s="5"/>
      <c r="E102" s="5"/>
      <c r="F102" s="5"/>
      <c r="G102" s="27">
        <f>G87-G100</f>
        <v>0.10000000000218279</v>
      </c>
      <c r="H102" s="27">
        <f>H87-H100</f>
        <v>0.09999999999854481</v>
      </c>
      <c r="I102" s="27"/>
      <c r="J102" s="27">
        <f>J87-J100</f>
        <v>0</v>
      </c>
      <c r="K102" s="27">
        <f aca="true" t="shared" si="83" ref="K102:O102">K87-K100</f>
        <v>0</v>
      </c>
      <c r="L102" s="27">
        <f ca="1" t="shared" si="83"/>
        <v>0</v>
      </c>
      <c r="M102" s="27">
        <f ca="1" t="shared" si="83"/>
        <v>0</v>
      </c>
      <c r="N102" s="27">
        <f ca="1" t="shared" si="83"/>
        <v>0</v>
      </c>
      <c r="O102" s="27">
        <f ca="1" t="shared" si="83"/>
        <v>0</v>
      </c>
      <c r="P102" s="5"/>
      <c r="Q102" s="5"/>
      <c r="R102" s="5"/>
    </row>
    <row r="103" spans="4:18" ht="15">
      <c r="D103" s="5"/>
      <c r="E103" s="5"/>
      <c r="F103" s="5"/>
      <c r="G103" s="27"/>
      <c r="H103" s="27"/>
      <c r="I103" s="27"/>
      <c r="J103" s="27"/>
      <c r="K103" s="27"/>
      <c r="L103" s="27"/>
      <c r="M103" s="27"/>
      <c r="N103" s="27"/>
      <c r="O103" s="27"/>
      <c r="P103" s="5"/>
      <c r="Q103" s="5"/>
      <c r="R103" s="5"/>
    </row>
    <row r="104" spans="2:18" ht="15">
      <c r="B104" t="s">
        <v>101</v>
      </c>
      <c r="D104" s="5"/>
      <c r="E104" s="5"/>
      <c r="F104" s="5"/>
      <c r="G104" s="27">
        <f>SUM(G82,G85,G81)-SUM(G97,G99)</f>
        <v>7911.299999999999</v>
      </c>
      <c r="H104" s="27">
        <f>SUM(H82,H85,H81)-SUM(H97,H99)</f>
        <v>9398.2</v>
      </c>
      <c r="I104" s="27"/>
      <c r="J104" s="27">
        <f>SUM(J82,J85,J81)-SUM(J97,J99)</f>
        <v>9398.2</v>
      </c>
      <c r="K104" s="27">
        <f aca="true" t="shared" si="84" ref="K104:O104">SUM(K82,K85,K81)-SUM(K97,K99)</f>
        <v>11337.18</v>
      </c>
      <c r="L104" s="27">
        <f t="shared" si="84"/>
        <v>12924.022</v>
      </c>
      <c r="M104" s="27">
        <f t="shared" si="84"/>
        <v>14194.171700000003</v>
      </c>
      <c r="N104" s="27">
        <f t="shared" si="84"/>
        <v>15591.336370000006</v>
      </c>
      <c r="O104" s="27">
        <f t="shared" si="84"/>
        <v>17128.21750700001</v>
      </c>
      <c r="P104" s="5"/>
      <c r="Q104" s="5"/>
      <c r="R104" s="5"/>
    </row>
    <row r="105" spans="2:18" ht="15">
      <c r="B105" t="s">
        <v>102</v>
      </c>
      <c r="H105" s="30">
        <f>G104-H104</f>
        <v>-1486.9000000000015</v>
      </c>
      <c r="J105" s="30">
        <f>H105</f>
        <v>-1486.9000000000015</v>
      </c>
      <c r="K105" s="30">
        <f>J104-K104</f>
        <v>-1938.9799999999996</v>
      </c>
      <c r="L105" s="30">
        <f aca="true" t="shared" si="85" ref="L105:O105">K104-L104</f>
        <v>-1586.8420000000006</v>
      </c>
      <c r="M105" s="30">
        <f t="shared" si="85"/>
        <v>-1270.1497000000018</v>
      </c>
      <c r="N105" s="30">
        <f t="shared" si="85"/>
        <v>-1397.1646700000038</v>
      </c>
      <c r="O105" s="30">
        <f t="shared" si="85"/>
        <v>-1536.8811370000021</v>
      </c>
      <c r="P105" s="5"/>
      <c r="Q105" s="5"/>
      <c r="R105" s="5"/>
    </row>
    <row r="106" spans="16:18" ht="15">
      <c r="P106" s="5"/>
      <c r="Q106" s="5"/>
      <c r="R106" s="5"/>
    </row>
    <row r="107" spans="4:18" ht="15">
      <c r="D107" s="5"/>
      <c r="E107" s="5"/>
      <c r="F107" s="5"/>
      <c r="G107" s="27"/>
      <c r="H107" s="27"/>
      <c r="I107" s="27"/>
      <c r="J107" s="27"/>
      <c r="K107" s="27"/>
      <c r="L107" s="27"/>
      <c r="M107" s="27"/>
      <c r="N107" s="27"/>
      <c r="O107" s="27"/>
      <c r="P107" s="5"/>
      <c r="Q107" s="5"/>
      <c r="R107" s="5"/>
    </row>
    <row r="108" spans="2:18" ht="15">
      <c r="B108" s="31" t="s">
        <v>46</v>
      </c>
      <c r="C108" s="32"/>
      <c r="D108" s="33"/>
      <c r="E108" s="33"/>
      <c r="F108" s="33"/>
      <c r="G108" s="34">
        <f>G5</f>
        <v>25219.9</v>
      </c>
      <c r="H108" s="34">
        <f>H5</f>
        <v>32500</v>
      </c>
      <c r="I108" s="34"/>
      <c r="J108" s="34">
        <f aca="true" t="shared" si="86" ref="J108:O108">J5</f>
        <v>32500</v>
      </c>
      <c r="K108" s="34">
        <f t="shared" si="86"/>
        <v>39000</v>
      </c>
      <c r="L108" s="34">
        <f t="shared" si="86"/>
        <v>44850</v>
      </c>
      <c r="M108" s="34">
        <f t="shared" si="86"/>
        <v>49335.00000000001</v>
      </c>
      <c r="N108" s="34">
        <f t="shared" si="86"/>
        <v>54268.500000000015</v>
      </c>
      <c r="O108" s="35">
        <f t="shared" si="86"/>
        <v>59695.35000000002</v>
      </c>
      <c r="P108" s="5"/>
      <c r="Q108" s="5"/>
      <c r="R108" s="5"/>
    </row>
    <row r="109" spans="2:18" ht="15">
      <c r="B109" s="36" t="s">
        <v>89</v>
      </c>
      <c r="C109" s="37"/>
      <c r="D109" s="38"/>
      <c r="E109" s="38"/>
      <c r="F109" s="38"/>
      <c r="G109" s="39">
        <f>-G14</f>
        <v>15618.5</v>
      </c>
      <c r="H109" s="39">
        <f>-H14</f>
        <v>20800</v>
      </c>
      <c r="I109" s="39"/>
      <c r="J109" s="39">
        <f aca="true" t="shared" si="87" ref="J109:O109">-J14</f>
        <v>20800</v>
      </c>
      <c r="K109" s="39">
        <f t="shared" si="87"/>
        <v>25200</v>
      </c>
      <c r="L109" s="39">
        <f t="shared" si="87"/>
        <v>28520</v>
      </c>
      <c r="M109" s="39">
        <f t="shared" si="87"/>
        <v>31282.000000000004</v>
      </c>
      <c r="N109" s="39">
        <f t="shared" si="87"/>
        <v>34320.20000000001</v>
      </c>
      <c r="O109" s="40">
        <f t="shared" si="87"/>
        <v>37662.220000000016</v>
      </c>
      <c r="P109" s="5"/>
      <c r="Q109" s="5"/>
      <c r="R109" s="5"/>
    </row>
    <row r="110" spans="2:18" ht="15">
      <c r="B110" s="36"/>
      <c r="C110" s="37"/>
      <c r="D110" s="38"/>
      <c r="E110" s="38"/>
      <c r="F110" s="38"/>
      <c r="G110" s="39"/>
      <c r="H110" s="39"/>
      <c r="I110" s="39"/>
      <c r="J110" s="39"/>
      <c r="K110" s="39"/>
      <c r="L110" s="39"/>
      <c r="M110" s="39"/>
      <c r="N110" s="39"/>
      <c r="O110" s="40"/>
      <c r="P110" s="5"/>
      <c r="Q110" s="5"/>
      <c r="R110" s="5"/>
    </row>
    <row r="111" spans="2:18" ht="15">
      <c r="B111" s="36" t="s">
        <v>90</v>
      </c>
      <c r="C111" s="37"/>
      <c r="D111" s="38"/>
      <c r="E111" s="38"/>
      <c r="F111" s="38"/>
      <c r="G111" s="39">
        <f>G82/G108*365</f>
        <v>68.1577246539439</v>
      </c>
      <c r="H111" s="39">
        <f>H82/H108*365</f>
        <v>61.769230769230774</v>
      </c>
      <c r="I111" s="39"/>
      <c r="J111" s="39">
        <f>H111</f>
        <v>61.769230769230774</v>
      </c>
      <c r="K111" s="39">
        <f>J111</f>
        <v>61.769230769230774</v>
      </c>
      <c r="L111" s="39">
        <f aca="true" t="shared" si="88" ref="L111:O111">K111</f>
        <v>61.769230769230774</v>
      </c>
      <c r="M111" s="39">
        <f t="shared" si="88"/>
        <v>61.769230769230774</v>
      </c>
      <c r="N111" s="39">
        <f t="shared" si="88"/>
        <v>61.769230769230774</v>
      </c>
      <c r="O111" s="40">
        <f t="shared" si="88"/>
        <v>61.769230769230774</v>
      </c>
      <c r="P111" s="5"/>
      <c r="Q111" s="5"/>
      <c r="R111" s="5"/>
    </row>
    <row r="112" spans="2:18" ht="15">
      <c r="B112" s="36" t="s">
        <v>91</v>
      </c>
      <c r="C112" s="37"/>
      <c r="D112" s="38"/>
      <c r="E112" s="38"/>
      <c r="F112" s="38"/>
      <c r="G112" s="39">
        <f>G97/G109*365</f>
        <v>48.384672023561805</v>
      </c>
      <c r="H112" s="39">
        <f>H97/H109*365</f>
        <v>48.38355769230769</v>
      </c>
      <c r="I112" s="39"/>
      <c r="J112" s="39">
        <f aca="true" t="shared" si="89" ref="J112:J115">H112</f>
        <v>48.38355769230769</v>
      </c>
      <c r="K112" s="39">
        <f aca="true" t="shared" si="90" ref="K112:O115">J112</f>
        <v>48.38355769230769</v>
      </c>
      <c r="L112" s="39">
        <f t="shared" si="90"/>
        <v>48.38355769230769</v>
      </c>
      <c r="M112" s="39">
        <f t="shared" si="90"/>
        <v>48.38355769230769</v>
      </c>
      <c r="N112" s="39">
        <f t="shared" si="90"/>
        <v>48.38355769230769</v>
      </c>
      <c r="O112" s="40">
        <f t="shared" si="90"/>
        <v>48.38355769230769</v>
      </c>
      <c r="P112" s="5"/>
      <c r="Q112" s="5"/>
      <c r="R112" s="5"/>
    </row>
    <row r="113" spans="2:18" ht="15">
      <c r="B113" s="36" t="s">
        <v>92</v>
      </c>
      <c r="C113" s="37"/>
      <c r="D113" s="38"/>
      <c r="E113" s="38"/>
      <c r="F113" s="38"/>
      <c r="G113" s="39">
        <f>G81/G109*365</f>
        <v>144.63754521881103</v>
      </c>
      <c r="H113" s="39">
        <f>H81/H109*365</f>
        <v>138.62980769230768</v>
      </c>
      <c r="I113" s="39"/>
      <c r="J113" s="39">
        <f t="shared" si="89"/>
        <v>138.62980769230768</v>
      </c>
      <c r="K113" s="39">
        <f t="shared" si="90"/>
        <v>138.62980769230768</v>
      </c>
      <c r="L113" s="39">
        <f t="shared" si="90"/>
        <v>138.62980769230768</v>
      </c>
      <c r="M113" s="39">
        <f t="shared" si="90"/>
        <v>138.62980769230768</v>
      </c>
      <c r="N113" s="39">
        <f t="shared" si="90"/>
        <v>138.62980769230768</v>
      </c>
      <c r="O113" s="40">
        <f t="shared" si="90"/>
        <v>138.62980769230768</v>
      </c>
      <c r="P113" s="5"/>
      <c r="Q113" s="5"/>
      <c r="R113" s="5"/>
    </row>
    <row r="114" spans="2:18" ht="15">
      <c r="B114" s="36" t="s">
        <v>93</v>
      </c>
      <c r="C114" s="37"/>
      <c r="D114" s="38"/>
      <c r="E114" s="38"/>
      <c r="F114" s="38"/>
      <c r="G114" s="41">
        <f>G85/G108</f>
        <v>0.006320405711362853</v>
      </c>
      <c r="H114" s="41">
        <f>H85/H108</f>
        <v>0.00632</v>
      </c>
      <c r="I114" s="39"/>
      <c r="J114" s="41">
        <f t="shared" si="89"/>
        <v>0.00632</v>
      </c>
      <c r="K114" s="41">
        <f t="shared" si="90"/>
        <v>0.00632</v>
      </c>
      <c r="L114" s="41">
        <f t="shared" si="90"/>
        <v>0.00632</v>
      </c>
      <c r="M114" s="41">
        <f t="shared" si="90"/>
        <v>0.00632</v>
      </c>
      <c r="N114" s="41">
        <f t="shared" si="90"/>
        <v>0.00632</v>
      </c>
      <c r="O114" s="42">
        <f t="shared" si="90"/>
        <v>0.00632</v>
      </c>
      <c r="P114" s="5"/>
      <c r="Q114" s="5"/>
      <c r="R114" s="5"/>
    </row>
    <row r="115" spans="2:18" ht="15">
      <c r="B115" s="43" t="s">
        <v>94</v>
      </c>
      <c r="C115" s="10"/>
      <c r="D115" s="18"/>
      <c r="E115" s="18"/>
      <c r="F115" s="18"/>
      <c r="G115" s="44">
        <f>G99/G108</f>
        <v>0.04267265135864932</v>
      </c>
      <c r="H115" s="44">
        <f>H99/H108</f>
        <v>0.04461538461538461</v>
      </c>
      <c r="I115" s="28"/>
      <c r="J115" s="44">
        <f t="shared" si="89"/>
        <v>0.04461538461538461</v>
      </c>
      <c r="K115" s="44">
        <f t="shared" si="90"/>
        <v>0.04461538461538461</v>
      </c>
      <c r="L115" s="44">
        <f t="shared" si="90"/>
        <v>0.04461538461538461</v>
      </c>
      <c r="M115" s="44">
        <f t="shared" si="90"/>
        <v>0.04461538461538461</v>
      </c>
      <c r="N115" s="44">
        <f t="shared" si="90"/>
        <v>0.04461538461538461</v>
      </c>
      <c r="O115" s="45">
        <f t="shared" si="90"/>
        <v>0.04461538461538461</v>
      </c>
      <c r="P115" s="5"/>
      <c r="Q115" s="5"/>
      <c r="R115" s="5"/>
    </row>
    <row r="116" spans="4:18" ht="15">
      <c r="D116" s="5"/>
      <c r="E116" s="5"/>
      <c r="F116" s="5"/>
      <c r="G116" s="27"/>
      <c r="H116" s="27"/>
      <c r="I116" s="27"/>
      <c r="J116" s="27"/>
      <c r="K116" s="27"/>
      <c r="L116" s="27"/>
      <c r="M116" s="27"/>
      <c r="N116" s="27"/>
      <c r="O116" s="27"/>
      <c r="P116" s="5"/>
      <c r="Q116" s="5"/>
      <c r="R116" s="5"/>
    </row>
    <row r="117" spans="4:18" ht="15">
      <c r="D117" s="5"/>
      <c r="E117" s="5"/>
      <c r="F117" s="5"/>
      <c r="G117" s="27"/>
      <c r="H117" s="27"/>
      <c r="I117" s="27"/>
      <c r="J117" s="27"/>
      <c r="K117" s="27"/>
      <c r="L117" s="27"/>
      <c r="M117" s="27"/>
      <c r="N117" s="27"/>
      <c r="O117" s="27"/>
      <c r="P117" s="5"/>
      <c r="Q117" s="5"/>
      <c r="R117" s="5"/>
    </row>
    <row r="118" spans="1:18" s="12" customFormat="1" ht="15">
      <c r="A118" s="9" t="s">
        <v>95</v>
      </c>
      <c r="D118" s="13"/>
      <c r="E118" s="13"/>
      <c r="F118" s="13"/>
      <c r="G118" s="46"/>
      <c r="H118" s="46"/>
      <c r="I118" s="46"/>
      <c r="J118" s="46"/>
      <c r="K118" s="46"/>
      <c r="L118" s="46"/>
      <c r="M118" s="46"/>
      <c r="N118" s="46"/>
      <c r="O118" s="46"/>
      <c r="P118" s="13"/>
      <c r="Q118" s="13"/>
      <c r="R118" s="13"/>
    </row>
    <row r="119" spans="4:18" ht="15">
      <c r="D119" s="5"/>
      <c r="E119" s="5"/>
      <c r="F119" s="5"/>
      <c r="G119" s="27"/>
      <c r="H119" s="27"/>
      <c r="I119" s="27"/>
      <c r="J119" s="27"/>
      <c r="K119" s="27"/>
      <c r="L119" s="27"/>
      <c r="M119" s="27"/>
      <c r="N119" s="27"/>
      <c r="O119" s="27"/>
      <c r="P119" s="5"/>
      <c r="Q119" s="5"/>
      <c r="R119" s="5"/>
    </row>
    <row r="120" spans="2:18" s="2" customFormat="1" ht="15">
      <c r="B120" s="2" t="s">
        <v>10</v>
      </c>
      <c r="D120" s="3"/>
      <c r="E120" s="3"/>
      <c r="F120" s="3"/>
      <c r="G120" s="29"/>
      <c r="H120" s="29"/>
      <c r="I120" s="29"/>
      <c r="J120" s="29"/>
      <c r="K120" s="29">
        <f aca="true" t="shared" si="91" ref="K120:O120">K44</f>
        <v>764.0142530276192</v>
      </c>
      <c r="L120" s="29">
        <f ca="1" t="shared" si="91"/>
        <v>1369.1287121855328</v>
      </c>
      <c r="M120" s="29">
        <f ca="1" t="shared" si="91"/>
        <v>1471.960981039172</v>
      </c>
      <c r="N120" s="29">
        <f ca="1" t="shared" si="91"/>
        <v>1590.9106407143827</v>
      </c>
      <c r="O120" s="29">
        <f ca="1" t="shared" si="91"/>
        <v>1727.9299718124648</v>
      </c>
      <c r="P120" s="3"/>
      <c r="Q120" s="3"/>
      <c r="R120" s="3"/>
    </row>
    <row r="121" spans="2:18" ht="15">
      <c r="B121" s="1" t="s">
        <v>96</v>
      </c>
      <c r="D121" s="5"/>
      <c r="E121" s="5"/>
      <c r="F121" s="5"/>
      <c r="G121" s="27"/>
      <c r="H121" s="27"/>
      <c r="I121" s="27"/>
      <c r="J121" s="27"/>
      <c r="K121" s="27">
        <f>K157</f>
        <v>530.4</v>
      </c>
      <c r="L121" s="27">
        <f aca="true" t="shared" si="92" ref="L121:O121">L157</f>
        <v>750.3599999999999</v>
      </c>
      <c r="M121" s="27">
        <f t="shared" si="92"/>
        <v>972.816</v>
      </c>
      <c r="N121" s="27">
        <f t="shared" si="92"/>
        <v>1217.5176000000001</v>
      </c>
      <c r="O121" s="27">
        <f t="shared" si="92"/>
        <v>1486.6893600000003</v>
      </c>
      <c r="P121" s="5"/>
      <c r="Q121" s="5"/>
      <c r="R121" s="5"/>
    </row>
    <row r="122" spans="2:18" ht="15">
      <c r="B122" s="1" t="s">
        <v>97</v>
      </c>
      <c r="D122" s="5"/>
      <c r="E122" s="5"/>
      <c r="F122" s="5"/>
      <c r="G122" s="27"/>
      <c r="H122" s="27"/>
      <c r="I122" s="27"/>
      <c r="J122" s="27"/>
      <c r="K122" s="27">
        <f>K200</f>
        <v>814.7055600000001</v>
      </c>
      <c r="L122" s="27">
        <f aca="true" t="shared" si="93" ref="L122:O122">L200</f>
        <v>879.8820048000001</v>
      </c>
      <c r="M122" s="27">
        <f ca="1" t="shared" si="93"/>
        <v>950.2725651840001</v>
      </c>
      <c r="N122" s="27">
        <f ca="1" t="shared" si="93"/>
        <v>1026.2943703987203</v>
      </c>
      <c r="O122" s="27">
        <f ca="1" t="shared" si="93"/>
        <v>1108.3979200306178</v>
      </c>
      <c r="P122" s="5"/>
      <c r="Q122" s="5"/>
      <c r="R122" s="5"/>
    </row>
    <row r="123" spans="2:18" ht="15">
      <c r="B123" s="1" t="s">
        <v>98</v>
      </c>
      <c r="D123" s="5"/>
      <c r="E123" s="5"/>
      <c r="F123" s="5"/>
      <c r="G123" s="27"/>
      <c r="H123" s="27"/>
      <c r="I123" s="27"/>
      <c r="J123" s="27"/>
      <c r="K123" s="27">
        <f>$M$60/$K$54</f>
        <v>30.417199999999998</v>
      </c>
      <c r="L123" s="27">
        <f aca="true" t="shared" si="94" ref="L123:O123">$M$60/$K$54</f>
        <v>30.417199999999998</v>
      </c>
      <c r="M123" s="27">
        <f t="shared" si="94"/>
        <v>30.417199999999998</v>
      </c>
      <c r="N123" s="27">
        <f t="shared" si="94"/>
        <v>30.417199999999998</v>
      </c>
      <c r="O123" s="27">
        <f t="shared" si="94"/>
        <v>30.417199999999998</v>
      </c>
      <c r="P123" s="5"/>
      <c r="Q123" s="5"/>
      <c r="R123" s="5"/>
    </row>
    <row r="124" spans="2:18" ht="15">
      <c r="B124" s="1" t="s">
        <v>99</v>
      </c>
      <c r="D124" s="5"/>
      <c r="E124" s="5"/>
      <c r="F124" s="5"/>
      <c r="G124" s="27"/>
      <c r="H124" s="27"/>
      <c r="I124" s="27"/>
      <c r="J124" s="27"/>
      <c r="K124" s="27">
        <f>-K148</f>
        <v>-702</v>
      </c>
      <c r="L124" s="27">
        <f aca="true" t="shared" si="95" ref="L124:O124">-L148</f>
        <v>-807.3</v>
      </c>
      <c r="M124" s="27">
        <f t="shared" si="95"/>
        <v>-888.0300000000001</v>
      </c>
      <c r="N124" s="27">
        <f t="shared" si="95"/>
        <v>-976.8330000000002</v>
      </c>
      <c r="O124" s="27">
        <f t="shared" si="95"/>
        <v>-1074.5163000000002</v>
      </c>
      <c r="P124" s="5"/>
      <c r="Q124" s="5"/>
      <c r="R124" s="5"/>
    </row>
    <row r="125" spans="2:18" ht="15">
      <c r="B125" s="47" t="s">
        <v>100</v>
      </c>
      <c r="C125" s="10"/>
      <c r="D125" s="18"/>
      <c r="E125" s="18"/>
      <c r="F125" s="18"/>
      <c r="G125" s="28"/>
      <c r="H125" s="28"/>
      <c r="I125" s="28"/>
      <c r="J125" s="28"/>
      <c r="K125" s="28">
        <f>K105</f>
        <v>-1938.9799999999996</v>
      </c>
      <c r="L125" s="28">
        <f aca="true" t="shared" si="96" ref="L125:O125">L105</f>
        <v>-1586.8420000000006</v>
      </c>
      <c r="M125" s="28">
        <f t="shared" si="96"/>
        <v>-1270.1497000000018</v>
      </c>
      <c r="N125" s="28">
        <f t="shared" si="96"/>
        <v>-1397.1646700000038</v>
      </c>
      <c r="O125" s="28">
        <f t="shared" si="96"/>
        <v>-1536.8811370000021</v>
      </c>
      <c r="P125" s="5"/>
      <c r="Q125" s="5"/>
      <c r="R125" s="5"/>
    </row>
    <row r="126" spans="2:18" s="2" customFormat="1" ht="15">
      <c r="B126" s="48" t="s">
        <v>103</v>
      </c>
      <c r="D126" s="3"/>
      <c r="E126" s="3"/>
      <c r="F126" s="3"/>
      <c r="G126" s="29"/>
      <c r="H126" s="29"/>
      <c r="I126" s="29"/>
      <c r="J126" s="29"/>
      <c r="K126" s="29">
        <f ca="1">SUM(K120:K125)</f>
        <v>-501.44298697238037</v>
      </c>
      <c r="L126" s="29">
        <f aca="true" t="shared" si="97" ref="L126:O126">SUM(L120:L125)</f>
        <v>635.6459169855325</v>
      </c>
      <c r="M126" s="29">
        <f ca="1" t="shared" si="97"/>
        <v>1267.28704622317</v>
      </c>
      <c r="N126" s="29">
        <f ca="1" t="shared" si="97"/>
        <v>1491.1421411130991</v>
      </c>
      <c r="O126" s="29">
        <f ca="1" t="shared" si="97"/>
        <v>1742.0370148430802</v>
      </c>
      <c r="P126" s="3"/>
      <c r="Q126" s="3"/>
      <c r="R126" s="3"/>
    </row>
    <row r="127" spans="4:18" ht="15">
      <c r="D127" s="5"/>
      <c r="E127" s="5"/>
      <c r="F127" s="5"/>
      <c r="G127" s="27"/>
      <c r="H127" s="27"/>
      <c r="I127" s="27"/>
      <c r="J127" s="27"/>
      <c r="K127" s="27"/>
      <c r="L127" s="27"/>
      <c r="M127" s="27"/>
      <c r="N127" s="27"/>
      <c r="O127" s="27"/>
      <c r="P127" s="5"/>
      <c r="Q127" s="5"/>
      <c r="R127" s="5"/>
    </row>
    <row r="128" spans="4:18" ht="15">
      <c r="D128" s="5"/>
      <c r="E128" s="5"/>
      <c r="F128" s="5"/>
      <c r="G128" s="27"/>
      <c r="H128" s="27"/>
      <c r="I128" s="27"/>
      <c r="J128" s="27"/>
      <c r="K128" s="27"/>
      <c r="L128" s="27"/>
      <c r="M128" s="27"/>
      <c r="N128" s="27"/>
      <c r="O128" s="27"/>
      <c r="P128" s="5"/>
      <c r="Q128" s="5"/>
      <c r="R128" s="5"/>
    </row>
    <row r="129" spans="2:18" s="2" customFormat="1" ht="15">
      <c r="B129" s="2" t="s">
        <v>104</v>
      </c>
      <c r="D129" s="3"/>
      <c r="E129" s="3"/>
      <c r="F129" s="3"/>
      <c r="G129" s="29"/>
      <c r="H129" s="29"/>
      <c r="I129" s="29"/>
      <c r="J129" s="29"/>
      <c r="K129" s="29">
        <f>J84</f>
        <v>300</v>
      </c>
      <c r="L129" s="29">
        <f ca="1">K137</f>
        <v>300</v>
      </c>
      <c r="M129" s="29">
        <f aca="true" t="shared" si="98" ref="M129:O129">L137</f>
        <v>300</v>
      </c>
      <c r="N129" s="29">
        <f ca="1" t="shared" si="98"/>
        <v>300</v>
      </c>
      <c r="O129" s="29">
        <f ca="1" t="shared" si="98"/>
        <v>300</v>
      </c>
      <c r="P129" s="3"/>
      <c r="Q129" s="3"/>
      <c r="R129" s="3"/>
    </row>
    <row r="130" spans="2:18" ht="15">
      <c r="B130" t="s">
        <v>105</v>
      </c>
      <c r="D130" s="5"/>
      <c r="E130" s="5"/>
      <c r="F130" s="5"/>
      <c r="G130" s="27"/>
      <c r="H130" s="27"/>
      <c r="I130" s="27"/>
      <c r="J130" s="27"/>
      <c r="K130" s="27">
        <f>-E64</f>
        <v>-300</v>
      </c>
      <c r="L130" s="27">
        <f>K130</f>
        <v>-300</v>
      </c>
      <c r="M130" s="27">
        <f aca="true" t="shared" si="99" ref="M130:O130">L130</f>
        <v>-300</v>
      </c>
      <c r="N130" s="27">
        <f t="shared" si="99"/>
        <v>-300</v>
      </c>
      <c r="O130" s="27">
        <f t="shared" si="99"/>
        <v>-300</v>
      </c>
      <c r="P130" s="5"/>
      <c r="Q130" s="5"/>
      <c r="R130" s="5"/>
    </row>
    <row r="131" spans="2:18" ht="15">
      <c r="B131" s="10" t="s">
        <v>106</v>
      </c>
      <c r="C131" s="10"/>
      <c r="D131" s="18"/>
      <c r="E131" s="18"/>
      <c r="F131" s="18"/>
      <c r="G131" s="28"/>
      <c r="H131" s="28"/>
      <c r="I131" s="28"/>
      <c r="J131" s="28"/>
      <c r="K131" s="28">
        <f ca="1">K126</f>
        <v>-501.44298697238037</v>
      </c>
      <c r="L131" s="28">
        <f aca="true" t="shared" si="100" ref="L131:O131">L126</f>
        <v>635.6459169855325</v>
      </c>
      <c r="M131" s="28">
        <f ca="1" t="shared" si="100"/>
        <v>1267.28704622317</v>
      </c>
      <c r="N131" s="28">
        <f ca="1" t="shared" si="100"/>
        <v>1491.1421411130991</v>
      </c>
      <c r="O131" s="28">
        <f ca="1" t="shared" si="100"/>
        <v>1742.0370148430802</v>
      </c>
      <c r="P131" s="5"/>
      <c r="Q131" s="5"/>
      <c r="R131" s="5"/>
    </row>
    <row r="132" spans="2:18" s="2" customFormat="1" ht="15">
      <c r="B132" s="2" t="s">
        <v>107</v>
      </c>
      <c r="D132" s="3"/>
      <c r="E132" s="3"/>
      <c r="F132" s="3"/>
      <c r="G132" s="29"/>
      <c r="H132" s="29"/>
      <c r="I132" s="29"/>
      <c r="J132" s="29"/>
      <c r="K132" s="29">
        <f ca="1">SUM(K129:K131)*$D$139</f>
        <v>-501.44298697238037</v>
      </c>
      <c r="L132" s="29">
        <f aca="true" t="shared" si="101" ref="L132:O132">SUM(L129:L131)*$D$139</f>
        <v>635.6459169855325</v>
      </c>
      <c r="M132" s="29">
        <f ca="1" t="shared" si="101"/>
        <v>1267.28704622317</v>
      </c>
      <c r="N132" s="29">
        <f ca="1" t="shared" si="101"/>
        <v>1491.1421411130991</v>
      </c>
      <c r="O132" s="29">
        <f ca="1" t="shared" si="101"/>
        <v>1742.0370148430802</v>
      </c>
      <c r="P132" s="3"/>
      <c r="Q132" s="3"/>
      <c r="R132" s="3"/>
    </row>
    <row r="133" spans="2:18" ht="15">
      <c r="B133" s="10" t="s">
        <v>108</v>
      </c>
      <c r="C133" s="10"/>
      <c r="D133" s="18"/>
      <c r="E133" s="18"/>
      <c r="F133" s="18"/>
      <c r="G133" s="28"/>
      <c r="H133" s="28"/>
      <c r="I133" s="28"/>
      <c r="J133" s="28"/>
      <c r="K133" s="28">
        <f>SUM(K165,K172)</f>
        <v>0</v>
      </c>
      <c r="L133" s="28">
        <f aca="true" t="shared" si="102" ref="L133:O133">SUM(L165,L172)</f>
        <v>0</v>
      </c>
      <c r="M133" s="28">
        <f ca="1" t="shared" si="102"/>
        <v>0</v>
      </c>
      <c r="N133" s="28">
        <f ca="1" t="shared" si="102"/>
        <v>0</v>
      </c>
      <c r="O133" s="28">
        <f ca="1" t="shared" si="102"/>
        <v>0</v>
      </c>
      <c r="P133" s="5"/>
      <c r="Q133" s="5"/>
      <c r="R133" s="5"/>
    </row>
    <row r="134" spans="2:18" s="2" customFormat="1" ht="15">
      <c r="B134" s="2" t="s">
        <v>109</v>
      </c>
      <c r="D134" s="3"/>
      <c r="E134" s="3"/>
      <c r="F134" s="3"/>
      <c r="G134" s="29"/>
      <c r="H134" s="29"/>
      <c r="I134" s="29"/>
      <c r="J134" s="29"/>
      <c r="K134" s="29">
        <f ca="1">SUM(K132:K133)</f>
        <v>-501.44298697238037</v>
      </c>
      <c r="L134" s="29">
        <f aca="true" t="shared" si="103" ref="L134:O134">SUM(L132:L133)</f>
        <v>635.6459169855325</v>
      </c>
      <c r="M134" s="29">
        <f ca="1" t="shared" si="103"/>
        <v>1267.28704622317</v>
      </c>
      <c r="N134" s="29">
        <f ca="1" t="shared" si="103"/>
        <v>1491.1421411130991</v>
      </c>
      <c r="O134" s="29">
        <f ca="1" t="shared" si="103"/>
        <v>1742.0370148430802</v>
      </c>
      <c r="P134" s="3"/>
      <c r="Q134" s="3"/>
      <c r="R134" s="3"/>
    </row>
    <row r="135" spans="2:18" ht="15">
      <c r="B135" s="10" t="s">
        <v>110</v>
      </c>
      <c r="C135" s="10"/>
      <c r="D135" s="18"/>
      <c r="E135" s="18"/>
      <c r="F135" s="18"/>
      <c r="G135" s="28"/>
      <c r="H135" s="28"/>
      <c r="I135" s="28"/>
      <c r="J135" s="28"/>
      <c r="K135" s="28">
        <f ca="1">SUM(K166,K173)</f>
        <v>501.44298697238037</v>
      </c>
      <c r="L135" s="28">
        <f aca="true" t="shared" si="104" ref="L135:O135">SUM(L166,L173)</f>
        <v>-635.6459169855325</v>
      </c>
      <c r="M135" s="28">
        <f ca="1" t="shared" si="104"/>
        <v>-1267.28704622317</v>
      </c>
      <c r="N135" s="28">
        <f ca="1" t="shared" si="104"/>
        <v>-1491.1421411130991</v>
      </c>
      <c r="O135" s="28">
        <f ca="1" t="shared" si="104"/>
        <v>-1742.0370148430802</v>
      </c>
      <c r="P135" s="5"/>
      <c r="Q135" s="5"/>
      <c r="R135" s="5"/>
    </row>
    <row r="136" spans="2:18" s="2" customFormat="1" ht="15">
      <c r="B136" s="2" t="s">
        <v>111</v>
      </c>
      <c r="D136" s="3"/>
      <c r="E136" s="3"/>
      <c r="F136" s="3"/>
      <c r="G136" s="29"/>
      <c r="H136" s="29"/>
      <c r="I136" s="29"/>
      <c r="J136" s="29"/>
      <c r="K136" s="29">
        <f ca="1">SUM(K134:K135)</f>
        <v>0</v>
      </c>
      <c r="L136" s="29">
        <f aca="true" t="shared" si="105" ref="L136">SUM(L134:L135)</f>
        <v>0</v>
      </c>
      <c r="M136" s="29">
        <f aca="true" t="shared" si="106" ref="M136">SUM(M134:M135)</f>
        <v>0</v>
      </c>
      <c r="N136" s="29">
        <f aca="true" t="shared" si="107" ref="N136">SUM(N134:N135)</f>
        <v>0</v>
      </c>
      <c r="O136" s="29">
        <f aca="true" t="shared" si="108" ref="O136">SUM(O134:O135)</f>
        <v>0</v>
      </c>
      <c r="P136" s="3"/>
      <c r="Q136" s="3"/>
      <c r="R136" s="3"/>
    </row>
    <row r="137" spans="2:18" s="2" customFormat="1" ht="15">
      <c r="B137" s="2" t="s">
        <v>112</v>
      </c>
      <c r="D137" s="3"/>
      <c r="E137" s="3"/>
      <c r="F137" s="3"/>
      <c r="G137" s="29"/>
      <c r="H137" s="29"/>
      <c r="I137" s="29"/>
      <c r="J137" s="29"/>
      <c r="K137" s="29">
        <f ca="1">K129+K131-K132</f>
        <v>300</v>
      </c>
      <c r="L137" s="29">
        <f aca="true" t="shared" si="109" ref="L137:O137">L129+L131-L132</f>
        <v>300</v>
      </c>
      <c r="M137" s="29">
        <f ca="1" t="shared" si="109"/>
        <v>300</v>
      </c>
      <c r="N137" s="29">
        <f ca="1" t="shared" si="109"/>
        <v>300</v>
      </c>
      <c r="O137" s="29">
        <f ca="1" t="shared" si="109"/>
        <v>300</v>
      </c>
      <c r="P137" s="3"/>
      <c r="Q137" s="3"/>
      <c r="R137" s="3"/>
    </row>
    <row r="138" spans="4:18" ht="15">
      <c r="D138" s="5"/>
      <c r="E138" s="5"/>
      <c r="F138" s="5"/>
      <c r="G138" s="27"/>
      <c r="H138" s="27"/>
      <c r="I138" s="27"/>
      <c r="J138" s="27"/>
      <c r="K138" s="27"/>
      <c r="L138" s="27"/>
      <c r="M138" s="27"/>
      <c r="N138" s="27"/>
      <c r="O138" s="27"/>
      <c r="P138" s="5"/>
      <c r="Q138" s="5"/>
      <c r="R138" s="5"/>
    </row>
    <row r="139" spans="2:18" ht="15">
      <c r="B139" s="2" t="s">
        <v>113</v>
      </c>
      <c r="D139" s="4">
        <v>1</v>
      </c>
      <c r="E139" s="5"/>
      <c r="F139" s="5"/>
      <c r="G139" s="27"/>
      <c r="H139" s="27"/>
      <c r="I139" s="27"/>
      <c r="J139" s="27"/>
      <c r="K139" s="27"/>
      <c r="L139" s="27"/>
      <c r="M139" s="27"/>
      <c r="N139" s="27"/>
      <c r="O139" s="27"/>
      <c r="P139" s="5"/>
      <c r="Q139" s="5"/>
      <c r="R139" s="5"/>
    </row>
    <row r="140" spans="4:18" ht="15">
      <c r="D140" s="5"/>
      <c r="E140" s="5"/>
      <c r="F140" s="5"/>
      <c r="G140" s="27"/>
      <c r="H140" s="27"/>
      <c r="I140" s="27"/>
      <c r="J140" s="27"/>
      <c r="K140" s="27"/>
      <c r="L140" s="27"/>
      <c r="M140" s="27"/>
      <c r="N140" s="27"/>
      <c r="O140" s="27"/>
      <c r="P140" s="5"/>
      <c r="Q140" s="5"/>
      <c r="R140" s="5"/>
    </row>
    <row r="141" spans="4:18" ht="15">
      <c r="D141" s="5"/>
      <c r="E141" s="5"/>
      <c r="F141" s="5"/>
      <c r="G141" s="27"/>
      <c r="H141" s="27"/>
      <c r="I141" s="27"/>
      <c r="J141" s="27"/>
      <c r="K141" s="27"/>
      <c r="L141" s="27"/>
      <c r="M141" s="27"/>
      <c r="N141" s="27"/>
      <c r="O141" s="27"/>
      <c r="P141" s="5"/>
      <c r="Q141" s="5"/>
      <c r="R141" s="5"/>
    </row>
    <row r="142" spans="1:18" s="12" customFormat="1" ht="15">
      <c r="A142" s="9" t="s">
        <v>114</v>
      </c>
      <c r="D142" s="13"/>
      <c r="E142" s="13"/>
      <c r="F142" s="13"/>
      <c r="G142" s="46"/>
      <c r="H142" s="46"/>
      <c r="I142" s="46"/>
      <c r="J142" s="46"/>
      <c r="K142" s="46"/>
      <c r="L142" s="46"/>
      <c r="M142" s="46"/>
      <c r="N142" s="46"/>
      <c r="O142" s="46"/>
      <c r="P142" s="13"/>
      <c r="Q142" s="13"/>
      <c r="R142" s="13"/>
    </row>
    <row r="143" spans="4:18" ht="15">
      <c r="D143" s="5"/>
      <c r="E143" s="5"/>
      <c r="F143" s="5"/>
      <c r="G143" s="27"/>
      <c r="H143" s="27"/>
      <c r="I143" s="27"/>
      <c r="J143" s="27"/>
      <c r="K143" s="27"/>
      <c r="L143" s="27"/>
      <c r="M143" s="27"/>
      <c r="N143" s="27"/>
      <c r="O143" s="27"/>
      <c r="P143" s="5"/>
      <c r="Q143" s="5"/>
      <c r="R143" s="5"/>
    </row>
    <row r="144" spans="2:18" ht="15">
      <c r="B144" t="s">
        <v>115</v>
      </c>
      <c r="D144" s="5"/>
      <c r="E144" s="5"/>
      <c r="F144" s="5"/>
      <c r="G144" s="14">
        <f>-G27/G5</f>
        <v>0.01960356702445291</v>
      </c>
      <c r="H144" s="14">
        <f>-H27/H5</f>
        <v>0.009846153846153846</v>
      </c>
      <c r="I144" s="27"/>
      <c r="J144" s="14">
        <f>H144</f>
        <v>0.009846153846153846</v>
      </c>
      <c r="K144" s="14">
        <v>0.01</v>
      </c>
      <c r="L144" s="14">
        <f aca="true" t="shared" si="110" ref="L144:O144">K144</f>
        <v>0.01</v>
      </c>
      <c r="M144" s="14">
        <f t="shared" si="110"/>
        <v>0.01</v>
      </c>
      <c r="N144" s="14">
        <f t="shared" si="110"/>
        <v>0.01</v>
      </c>
      <c r="O144" s="14">
        <f t="shared" si="110"/>
        <v>0.01</v>
      </c>
      <c r="P144" s="5"/>
      <c r="Q144" s="5"/>
      <c r="R144" s="5"/>
    </row>
    <row r="145" spans="2:18" s="2" customFormat="1" ht="15">
      <c r="B145" s="2" t="s">
        <v>116</v>
      </c>
      <c r="D145" s="3"/>
      <c r="E145" s="3"/>
      <c r="F145" s="3"/>
      <c r="G145" s="29"/>
      <c r="H145" s="29"/>
      <c r="I145" s="29"/>
      <c r="J145" s="29"/>
      <c r="K145" s="29">
        <f>K144*K$5</f>
        <v>390</v>
      </c>
      <c r="L145" s="29">
        <f aca="true" t="shared" si="111" ref="L145:O145">L144*L$5</f>
        <v>448.5</v>
      </c>
      <c r="M145" s="29">
        <f t="shared" si="111"/>
        <v>493.3500000000001</v>
      </c>
      <c r="N145" s="29">
        <f t="shared" si="111"/>
        <v>542.6850000000002</v>
      </c>
      <c r="O145" s="29">
        <f t="shared" si="111"/>
        <v>596.9535000000002</v>
      </c>
      <c r="P145" s="3"/>
      <c r="Q145" s="3"/>
      <c r="R145" s="3"/>
    </row>
    <row r="146" spans="4:18" ht="15">
      <c r="D146" s="5"/>
      <c r="E146" s="5"/>
      <c r="F146" s="5"/>
      <c r="G146" s="27"/>
      <c r="H146" s="27"/>
      <c r="I146" s="27"/>
      <c r="J146" s="27"/>
      <c r="K146" s="27"/>
      <c r="L146" s="27"/>
      <c r="M146" s="27"/>
      <c r="N146" s="27"/>
      <c r="O146" s="27"/>
      <c r="P146" s="5"/>
      <c r="Q146" s="5"/>
      <c r="R146" s="5"/>
    </row>
    <row r="147" spans="2:18" ht="15">
      <c r="B147" t="s">
        <v>117</v>
      </c>
      <c r="D147" s="5"/>
      <c r="E147" s="5"/>
      <c r="F147" s="5"/>
      <c r="G147" s="27"/>
      <c r="H147" s="27"/>
      <c r="I147" s="27"/>
      <c r="J147" s="27"/>
      <c r="K147" s="14">
        <v>0.018</v>
      </c>
      <c r="L147" s="14">
        <f>K147</f>
        <v>0.018</v>
      </c>
      <c r="M147" s="14">
        <f aca="true" t="shared" si="112" ref="M147:O147">L147</f>
        <v>0.018</v>
      </c>
      <c r="N147" s="14">
        <f t="shared" si="112"/>
        <v>0.018</v>
      </c>
      <c r="O147" s="14">
        <f t="shared" si="112"/>
        <v>0.018</v>
      </c>
      <c r="P147" s="5"/>
      <c r="Q147" s="5"/>
      <c r="R147" s="5"/>
    </row>
    <row r="148" spans="2:18" s="2" customFormat="1" ht="15">
      <c r="B148" s="2" t="s">
        <v>118</v>
      </c>
      <c r="D148" s="3"/>
      <c r="E148" s="3"/>
      <c r="F148" s="3"/>
      <c r="G148" s="29"/>
      <c r="H148" s="29"/>
      <c r="I148" s="29"/>
      <c r="J148" s="29"/>
      <c r="K148" s="29">
        <f>K147*K$5</f>
        <v>702</v>
      </c>
      <c r="L148" s="29">
        <f aca="true" t="shared" si="113" ref="L148">L147*L$5</f>
        <v>807.3</v>
      </c>
      <c r="M148" s="29">
        <f aca="true" t="shared" si="114" ref="M148">M147*M$5</f>
        <v>888.0300000000001</v>
      </c>
      <c r="N148" s="29">
        <f aca="true" t="shared" si="115" ref="N148">N147*N$5</f>
        <v>976.8330000000002</v>
      </c>
      <c r="O148" s="29">
        <f aca="true" t="shared" si="116" ref="O148">O147*O$5</f>
        <v>1074.5163000000002</v>
      </c>
      <c r="P148" s="3"/>
      <c r="Q148" s="3"/>
      <c r="R148" s="3"/>
    </row>
    <row r="149" spans="2:18" ht="15">
      <c r="B149" t="s">
        <v>72</v>
      </c>
      <c r="D149" s="5"/>
      <c r="E149" s="5">
        <v>5</v>
      </c>
      <c r="F149" s="5"/>
      <c r="G149" s="27"/>
      <c r="H149" s="27"/>
      <c r="I149" s="27"/>
      <c r="J149" s="27"/>
      <c r="K149" s="27"/>
      <c r="L149" s="27"/>
      <c r="M149" s="27"/>
      <c r="N149" s="27"/>
      <c r="O149" s="27"/>
      <c r="P149" s="5"/>
      <c r="Q149" s="5"/>
      <c r="R149" s="5"/>
    </row>
    <row r="150" spans="4:18" ht="15">
      <c r="D150" s="5"/>
      <c r="E150" s="5"/>
      <c r="F150" s="5"/>
      <c r="G150" s="27"/>
      <c r="H150" s="27"/>
      <c r="I150" s="27"/>
      <c r="J150" s="27"/>
      <c r="K150" s="27"/>
      <c r="L150" s="27"/>
      <c r="M150" s="27"/>
      <c r="N150" s="27"/>
      <c r="O150" s="27"/>
      <c r="P150" s="5"/>
      <c r="Q150" s="5"/>
      <c r="R150" s="5"/>
    </row>
    <row r="151" spans="2:18" ht="15">
      <c r="B151" t="s">
        <v>119</v>
      </c>
      <c r="D151" s="5"/>
      <c r="E151" s="5"/>
      <c r="F151" s="5"/>
      <c r="G151" s="27"/>
      <c r="H151" s="27"/>
      <c r="I151" s="27"/>
      <c r="J151" s="27"/>
      <c r="K151" s="27">
        <f>K145</f>
        <v>390</v>
      </c>
      <c r="L151" s="27">
        <f aca="true" t="shared" si="117" ref="L151:O151">L145</f>
        <v>448.5</v>
      </c>
      <c r="M151" s="27">
        <f t="shared" si="117"/>
        <v>493.3500000000001</v>
      </c>
      <c r="N151" s="27">
        <f t="shared" si="117"/>
        <v>542.6850000000002</v>
      </c>
      <c r="O151" s="27">
        <f t="shared" si="117"/>
        <v>596.9535000000002</v>
      </c>
      <c r="P151" s="5"/>
      <c r="Q151" s="5"/>
      <c r="R151" s="5"/>
    </row>
    <row r="152" spans="2:18" ht="15">
      <c r="B152" t="s">
        <v>120</v>
      </c>
      <c r="D152" s="5"/>
      <c r="E152" s="5"/>
      <c r="F152" s="5"/>
      <c r="G152" s="27"/>
      <c r="H152" s="27"/>
      <c r="I152" s="27"/>
      <c r="J152" s="27"/>
      <c r="K152" s="27">
        <f>$K$148/$E$149</f>
        <v>140.4</v>
      </c>
      <c r="L152" s="27">
        <f aca="true" t="shared" si="118" ref="L152:O152">$K$148/$E$149</f>
        <v>140.4</v>
      </c>
      <c r="M152" s="27">
        <f t="shared" si="118"/>
        <v>140.4</v>
      </c>
      <c r="N152" s="27">
        <f t="shared" si="118"/>
        <v>140.4</v>
      </c>
      <c r="O152" s="27">
        <f t="shared" si="118"/>
        <v>140.4</v>
      </c>
      <c r="P152" s="5"/>
      <c r="Q152" s="5"/>
      <c r="R152" s="5"/>
    </row>
    <row r="153" spans="4:18" ht="15">
      <c r="D153" s="5"/>
      <c r="E153" s="5"/>
      <c r="F153" s="5"/>
      <c r="G153" s="27"/>
      <c r="H153" s="27"/>
      <c r="I153" s="27"/>
      <c r="J153" s="27"/>
      <c r="K153" s="27"/>
      <c r="L153" s="27">
        <f>$L$148/$E$149</f>
        <v>161.45999999999998</v>
      </c>
      <c r="M153" s="27">
        <f aca="true" t="shared" si="119" ref="M153:O153">$L$148/$E$149</f>
        <v>161.45999999999998</v>
      </c>
      <c r="N153" s="27">
        <f t="shared" si="119"/>
        <v>161.45999999999998</v>
      </c>
      <c r="O153" s="27">
        <f t="shared" si="119"/>
        <v>161.45999999999998</v>
      </c>
      <c r="P153" s="5"/>
      <c r="Q153" s="5"/>
      <c r="R153" s="5"/>
    </row>
    <row r="154" spans="4:18" ht="15">
      <c r="D154" s="5"/>
      <c r="E154" s="5"/>
      <c r="F154" s="5"/>
      <c r="G154" s="27"/>
      <c r="H154" s="27"/>
      <c r="I154" s="27"/>
      <c r="J154" s="27"/>
      <c r="K154" s="27"/>
      <c r="L154" s="27"/>
      <c r="M154" s="27">
        <f>$M$148/$E$149</f>
        <v>177.60600000000002</v>
      </c>
      <c r="N154" s="27">
        <f aca="true" t="shared" si="120" ref="N154:O154">$M$148/$E$149</f>
        <v>177.60600000000002</v>
      </c>
      <c r="O154" s="27">
        <f t="shared" si="120"/>
        <v>177.60600000000002</v>
      </c>
      <c r="P154" s="5"/>
      <c r="Q154" s="5"/>
      <c r="R154" s="5"/>
    </row>
    <row r="155" spans="4:18" ht="15">
      <c r="D155" s="5"/>
      <c r="E155" s="5"/>
      <c r="F155" s="5"/>
      <c r="G155" s="27"/>
      <c r="H155" s="27"/>
      <c r="I155" s="27"/>
      <c r="J155" s="27"/>
      <c r="K155" s="27"/>
      <c r="L155" s="27"/>
      <c r="M155" s="27"/>
      <c r="N155" s="27">
        <f>$N$148/$E$149</f>
        <v>195.36660000000003</v>
      </c>
      <c r="O155" s="27">
        <f>$N$148/$E$149</f>
        <v>195.36660000000003</v>
      </c>
      <c r="P155" s="5"/>
      <c r="Q155" s="5"/>
      <c r="R155" s="5"/>
    </row>
    <row r="156" spans="2:18" ht="15">
      <c r="B156" s="10"/>
      <c r="C156" s="10"/>
      <c r="D156" s="18"/>
      <c r="E156" s="18"/>
      <c r="F156" s="18"/>
      <c r="G156" s="28"/>
      <c r="H156" s="28"/>
      <c r="I156" s="28"/>
      <c r="J156" s="28"/>
      <c r="K156" s="28"/>
      <c r="L156" s="28"/>
      <c r="M156" s="28"/>
      <c r="N156" s="28"/>
      <c r="O156" s="28">
        <f>$O$148/$E$149</f>
        <v>214.90326000000005</v>
      </c>
      <c r="P156" s="5"/>
      <c r="Q156" s="5"/>
      <c r="R156" s="5"/>
    </row>
    <row r="157" spans="2:18" s="2" customFormat="1" ht="15">
      <c r="B157" s="2" t="s">
        <v>121</v>
      </c>
      <c r="D157" s="3"/>
      <c r="E157" s="3"/>
      <c r="F157" s="3"/>
      <c r="G157" s="29"/>
      <c r="H157" s="29"/>
      <c r="I157" s="29"/>
      <c r="J157" s="29"/>
      <c r="K157" s="29">
        <f>SUM(K151:K156)</f>
        <v>530.4</v>
      </c>
      <c r="L157" s="29">
        <f aca="true" t="shared" si="121" ref="L157:O157">SUM(L151:L156)</f>
        <v>750.3599999999999</v>
      </c>
      <c r="M157" s="29">
        <f t="shared" si="121"/>
        <v>972.816</v>
      </c>
      <c r="N157" s="29">
        <f t="shared" si="121"/>
        <v>1217.5176000000001</v>
      </c>
      <c r="O157" s="29">
        <f t="shared" si="121"/>
        <v>1486.6893600000003</v>
      </c>
      <c r="P157" s="3"/>
      <c r="Q157" s="3"/>
      <c r="R157" s="3"/>
    </row>
    <row r="158" spans="4:18" ht="15">
      <c r="D158" s="5"/>
      <c r="E158" s="5"/>
      <c r="F158" s="5"/>
      <c r="G158" s="27"/>
      <c r="H158" s="27"/>
      <c r="I158" s="27"/>
      <c r="J158" s="27"/>
      <c r="K158" s="27"/>
      <c r="L158" s="27"/>
      <c r="M158" s="27"/>
      <c r="N158" s="27"/>
      <c r="O158" s="27"/>
      <c r="P158" s="5"/>
      <c r="Q158" s="5"/>
      <c r="R158" s="5"/>
    </row>
    <row r="159" spans="4:18" ht="15">
      <c r="D159" s="5"/>
      <c r="E159" s="5"/>
      <c r="F159" s="5"/>
      <c r="G159" s="27"/>
      <c r="H159" s="27"/>
      <c r="I159" s="27"/>
      <c r="J159" s="27"/>
      <c r="K159" s="27"/>
      <c r="L159" s="27"/>
      <c r="M159" s="27"/>
      <c r="N159" s="27"/>
      <c r="O159" s="27"/>
      <c r="P159" s="5"/>
      <c r="Q159" s="5"/>
      <c r="R159" s="5"/>
    </row>
    <row r="160" spans="1:18" s="12" customFormat="1" ht="15">
      <c r="A160" s="9" t="s">
        <v>122</v>
      </c>
      <c r="D160" s="13"/>
      <c r="E160" s="13"/>
      <c r="F160" s="13"/>
      <c r="G160" s="46"/>
      <c r="H160" s="46"/>
      <c r="I160" s="46"/>
      <c r="J160" s="46"/>
      <c r="K160" s="46"/>
      <c r="L160" s="46"/>
      <c r="M160" s="46"/>
      <c r="N160" s="46"/>
      <c r="O160" s="46"/>
      <c r="P160" s="13"/>
      <c r="Q160" s="13"/>
      <c r="R160" s="13"/>
    </row>
    <row r="161" spans="4:18" ht="15">
      <c r="D161" s="5"/>
      <c r="E161" s="5"/>
      <c r="F161" s="5"/>
      <c r="G161" s="27"/>
      <c r="H161" s="27"/>
      <c r="I161" s="27"/>
      <c r="J161" s="27"/>
      <c r="K161" s="27"/>
      <c r="L161" s="27"/>
      <c r="M161" s="27"/>
      <c r="N161" s="27"/>
      <c r="O161" s="27"/>
      <c r="P161" s="5"/>
      <c r="Q161" s="5"/>
      <c r="R161" s="5"/>
    </row>
    <row r="162" spans="4:18" ht="15">
      <c r="D162" s="5"/>
      <c r="E162" s="5"/>
      <c r="F162" s="5"/>
      <c r="G162" s="27"/>
      <c r="H162" s="27"/>
      <c r="I162" s="27"/>
      <c r="J162" s="27"/>
      <c r="K162" s="27"/>
      <c r="L162" s="27"/>
      <c r="M162" s="27"/>
      <c r="N162" s="27"/>
      <c r="O162" s="27"/>
      <c r="P162" s="5"/>
      <c r="Q162" s="5"/>
      <c r="R162" s="5"/>
    </row>
    <row r="163" spans="2:18" ht="15">
      <c r="B163" s="49" t="s">
        <v>70</v>
      </c>
      <c r="D163" s="5"/>
      <c r="E163" s="5"/>
      <c r="F163" s="5"/>
      <c r="G163" s="27"/>
      <c r="H163" s="27"/>
      <c r="I163" s="27"/>
      <c r="J163" s="27"/>
      <c r="K163" s="27"/>
      <c r="L163" s="27"/>
      <c r="M163" s="27"/>
      <c r="N163" s="27"/>
      <c r="O163" s="27"/>
      <c r="P163" s="5"/>
      <c r="Q163" s="5"/>
      <c r="R163" s="5"/>
    </row>
    <row r="164" spans="2:18" s="2" customFormat="1" ht="15">
      <c r="B164" s="2" t="s">
        <v>123</v>
      </c>
      <c r="D164" s="3"/>
      <c r="E164" s="3"/>
      <c r="F164" s="3"/>
      <c r="G164" s="29"/>
      <c r="H164" s="29"/>
      <c r="I164" s="29"/>
      <c r="J164" s="29"/>
      <c r="K164" s="29">
        <f>J167</f>
        <v>8295.599999999999</v>
      </c>
      <c r="L164" s="29">
        <f aca="true" t="shared" si="122" ref="L164:O164">K167</f>
        <v>8797.04298697238</v>
      </c>
      <c r="M164" s="29">
        <f ca="1" t="shared" si="122"/>
        <v>8161.397069986847</v>
      </c>
      <c r="N164" s="29">
        <f ca="1" t="shared" si="122"/>
        <v>6894.1100237636765</v>
      </c>
      <c r="O164" s="29">
        <f ca="1" t="shared" si="122"/>
        <v>5402.967882650577</v>
      </c>
      <c r="P164" s="3"/>
      <c r="Q164" s="3"/>
      <c r="R164" s="3"/>
    </row>
    <row r="165" spans="2:18" ht="15">
      <c r="B165" t="s">
        <v>108</v>
      </c>
      <c r="D165" s="5"/>
      <c r="E165" s="4">
        <v>0</v>
      </c>
      <c r="F165" s="5"/>
      <c r="G165" s="27"/>
      <c r="H165" s="27"/>
      <c r="I165" s="27"/>
      <c r="J165" s="27"/>
      <c r="K165" s="27">
        <f>-$E$165*K164</f>
        <v>0</v>
      </c>
      <c r="L165" s="27">
        <f aca="true" t="shared" si="123" ref="L165:O165">-$E$165*L164</f>
        <v>0</v>
      </c>
      <c r="M165" s="27">
        <f ca="1" t="shared" si="123"/>
        <v>0</v>
      </c>
      <c r="N165" s="27">
        <f ca="1" t="shared" si="123"/>
        <v>0</v>
      </c>
      <c r="O165" s="27">
        <f ca="1" t="shared" si="123"/>
        <v>0</v>
      </c>
      <c r="P165" s="5"/>
      <c r="Q165" s="5"/>
      <c r="R165" s="5"/>
    </row>
    <row r="166" spans="2:18" ht="15">
      <c r="B166" s="10" t="s">
        <v>110</v>
      </c>
      <c r="C166" s="10"/>
      <c r="D166" s="18"/>
      <c r="E166" s="18"/>
      <c r="F166" s="18"/>
      <c r="G166" s="28"/>
      <c r="H166" s="28"/>
      <c r="I166" s="28"/>
      <c r="J166" s="28"/>
      <c r="K166" s="28">
        <f ca="1">-MIN(K164+K165,K134)</f>
        <v>501.44298697238037</v>
      </c>
      <c r="L166" s="28">
        <f aca="true" t="shared" si="124" ref="L166:O166">-MIN(L164+L165,L134)</f>
        <v>-635.6459169855325</v>
      </c>
      <c r="M166" s="28">
        <f ca="1" t="shared" si="124"/>
        <v>-1267.28704622317</v>
      </c>
      <c r="N166" s="28">
        <f ca="1" t="shared" si="124"/>
        <v>-1491.1421411130991</v>
      </c>
      <c r="O166" s="28">
        <f ca="1" t="shared" si="124"/>
        <v>-1742.0370148430802</v>
      </c>
      <c r="P166" s="5"/>
      <c r="Q166" s="5"/>
      <c r="R166" s="5"/>
    </row>
    <row r="167" spans="2:18" s="2" customFormat="1" ht="15">
      <c r="B167" s="2" t="s">
        <v>124</v>
      </c>
      <c r="D167" s="3"/>
      <c r="E167" s="3"/>
      <c r="F167" s="3"/>
      <c r="G167" s="29"/>
      <c r="H167" s="29"/>
      <c r="I167" s="29"/>
      <c r="J167" s="29">
        <f>J91</f>
        <v>8295.599999999999</v>
      </c>
      <c r="K167" s="29">
        <f ca="1">SUM(K164:K166)</f>
        <v>8797.04298697238</v>
      </c>
      <c r="L167" s="29">
        <f aca="true" t="shared" si="125" ref="L167:O167">SUM(L164:L166)</f>
        <v>8161.397069986847</v>
      </c>
      <c r="M167" s="29">
        <f ca="1" t="shared" si="125"/>
        <v>6894.1100237636765</v>
      </c>
      <c r="N167" s="29">
        <f ca="1" t="shared" si="125"/>
        <v>5402.967882650577</v>
      </c>
      <c r="O167" s="29">
        <f ca="1" t="shared" si="125"/>
        <v>3660.9308678074967</v>
      </c>
      <c r="P167" s="3"/>
      <c r="Q167" s="3"/>
      <c r="R167" s="3"/>
    </row>
    <row r="168" spans="4:18" ht="15">
      <c r="D168" s="5"/>
      <c r="E168" s="5"/>
      <c r="F168" s="5"/>
      <c r="G168" s="27"/>
      <c r="H168" s="27"/>
      <c r="I168" s="27"/>
      <c r="J168" s="27"/>
      <c r="K168" s="27"/>
      <c r="L168" s="27"/>
      <c r="M168" s="27"/>
      <c r="N168" s="27"/>
      <c r="O168" s="27"/>
      <c r="P168" s="5"/>
      <c r="Q168" s="5"/>
      <c r="R168" s="5"/>
    </row>
    <row r="169" spans="4:18" ht="15">
      <c r="D169" s="5"/>
      <c r="E169" s="5"/>
      <c r="F169" s="5"/>
      <c r="G169" s="27"/>
      <c r="H169" s="27"/>
      <c r="I169" s="27"/>
      <c r="J169" s="27"/>
      <c r="K169" s="27"/>
      <c r="L169" s="27"/>
      <c r="M169" s="27"/>
      <c r="N169" s="27"/>
      <c r="O169" s="27"/>
      <c r="P169" s="5"/>
      <c r="Q169" s="5"/>
      <c r="R169" s="5"/>
    </row>
    <row r="170" spans="2:18" ht="15">
      <c r="B170" s="49" t="s">
        <v>71</v>
      </c>
      <c r="D170" s="5"/>
      <c r="E170" s="5"/>
      <c r="F170" s="5"/>
      <c r="G170" s="27"/>
      <c r="H170" s="27"/>
      <c r="I170" s="27"/>
      <c r="J170" s="27"/>
      <c r="K170" s="27"/>
      <c r="L170" s="27"/>
      <c r="M170" s="27"/>
      <c r="N170" s="27"/>
      <c r="O170" s="27"/>
      <c r="P170" s="5"/>
      <c r="Q170" s="5"/>
      <c r="R170" s="5"/>
    </row>
    <row r="171" spans="2:18" ht="15">
      <c r="B171" s="2" t="s">
        <v>123</v>
      </c>
      <c r="D171" s="5"/>
      <c r="E171" s="5"/>
      <c r="F171" s="5"/>
      <c r="G171" s="27"/>
      <c r="H171" s="27"/>
      <c r="I171" s="27"/>
      <c r="J171" s="27"/>
      <c r="K171" s="29">
        <f>J175</f>
        <v>6913</v>
      </c>
      <c r="L171" s="29">
        <f aca="true" t="shared" si="126" ref="L171:O171">K175</f>
        <v>6913</v>
      </c>
      <c r="M171" s="29">
        <f ca="1" t="shared" si="126"/>
        <v>6913</v>
      </c>
      <c r="N171" s="29">
        <f ca="1" t="shared" si="126"/>
        <v>6913</v>
      </c>
      <c r="O171" s="29">
        <f ca="1" t="shared" si="126"/>
        <v>6913</v>
      </c>
      <c r="P171" s="5"/>
      <c r="Q171" s="5"/>
      <c r="R171" s="5"/>
    </row>
    <row r="172" spans="2:18" ht="15">
      <c r="B172" t="s">
        <v>108</v>
      </c>
      <c r="D172" s="5"/>
      <c r="E172" s="4">
        <v>0</v>
      </c>
      <c r="F172" s="5"/>
      <c r="G172" s="27"/>
      <c r="H172" s="27"/>
      <c r="I172" s="27"/>
      <c r="J172" s="27"/>
      <c r="K172" s="27">
        <f>$E$172*K171</f>
        <v>0</v>
      </c>
      <c r="L172" s="27">
        <f aca="true" t="shared" si="127" ref="L172:O172">$E$172*L171</f>
        <v>0</v>
      </c>
      <c r="M172" s="27">
        <f ca="1" t="shared" si="127"/>
        <v>0</v>
      </c>
      <c r="N172" s="27">
        <f ca="1" t="shared" si="127"/>
        <v>0</v>
      </c>
      <c r="O172" s="27">
        <f ca="1" t="shared" si="127"/>
        <v>0</v>
      </c>
      <c r="P172" s="5"/>
      <c r="Q172" s="5"/>
      <c r="R172" s="5"/>
    </row>
    <row r="173" spans="2:18" ht="15">
      <c r="B173" t="s">
        <v>110</v>
      </c>
      <c r="D173" s="5"/>
      <c r="E173" s="5"/>
      <c r="F173" s="5"/>
      <c r="G173" s="27"/>
      <c r="H173" s="27"/>
      <c r="I173" s="27"/>
      <c r="J173" s="27"/>
      <c r="K173" s="27">
        <f ca="1">-MIN(K171+K172,K186)</f>
        <v>0</v>
      </c>
      <c r="L173" s="27">
        <f aca="true" t="shared" si="128" ref="L173:O173">-MIN(L171+L172,L186)</f>
        <v>0</v>
      </c>
      <c r="M173" s="27">
        <f ca="1" t="shared" si="128"/>
        <v>0</v>
      </c>
      <c r="N173" s="27">
        <f ca="1" t="shared" si="128"/>
        <v>0</v>
      </c>
      <c r="O173" s="27">
        <f ca="1" t="shared" si="128"/>
        <v>0</v>
      </c>
      <c r="P173" s="5"/>
      <c r="Q173" s="5"/>
      <c r="R173" s="5"/>
    </row>
    <row r="174" spans="2:18" ht="15">
      <c r="B174" s="10" t="s">
        <v>125</v>
      </c>
      <c r="C174" s="10"/>
      <c r="D174" s="18"/>
      <c r="E174" s="18"/>
      <c r="F174" s="18"/>
      <c r="G174" s="28"/>
      <c r="H174" s="28"/>
      <c r="I174" s="28"/>
      <c r="J174" s="28"/>
      <c r="K174" s="28">
        <f>K198</f>
        <v>0</v>
      </c>
      <c r="L174" s="28">
        <f aca="true" t="shared" si="129" ref="L174:O174">L198</f>
        <v>0</v>
      </c>
      <c r="M174" s="28">
        <f ca="1" t="shared" si="129"/>
        <v>0</v>
      </c>
      <c r="N174" s="28">
        <f ca="1" t="shared" si="129"/>
        <v>0</v>
      </c>
      <c r="O174" s="28">
        <f ca="1" t="shared" si="129"/>
        <v>0</v>
      </c>
      <c r="P174" s="5"/>
      <c r="Q174" s="5"/>
      <c r="R174" s="5"/>
    </row>
    <row r="175" spans="2:18" s="2" customFormat="1" ht="15">
      <c r="B175" s="2" t="s">
        <v>124</v>
      </c>
      <c r="D175" s="3"/>
      <c r="E175" s="3"/>
      <c r="F175" s="3"/>
      <c r="G175" s="29"/>
      <c r="H175" s="29"/>
      <c r="I175" s="29"/>
      <c r="J175" s="29">
        <f>J92</f>
        <v>6913</v>
      </c>
      <c r="K175" s="29">
        <f ca="1">SUM(K171:K174)</f>
        <v>6913</v>
      </c>
      <c r="L175" s="29">
        <f aca="true" t="shared" si="130" ref="L175:O175">SUM(L171:L174)</f>
        <v>6913</v>
      </c>
      <c r="M175" s="29">
        <f ca="1" t="shared" si="130"/>
        <v>6913</v>
      </c>
      <c r="N175" s="29">
        <f ca="1" t="shared" si="130"/>
        <v>6913</v>
      </c>
      <c r="O175" s="29">
        <f ca="1" t="shared" si="130"/>
        <v>6913</v>
      </c>
      <c r="P175" s="3"/>
      <c r="Q175" s="3"/>
      <c r="R175" s="3"/>
    </row>
    <row r="176" spans="4:18" ht="15">
      <c r="D176" s="5"/>
      <c r="E176" s="5"/>
      <c r="F176" s="5"/>
      <c r="G176" s="27"/>
      <c r="H176" s="27"/>
      <c r="I176" s="27"/>
      <c r="J176" s="27"/>
      <c r="K176" s="27"/>
      <c r="L176" s="27"/>
      <c r="M176" s="27"/>
      <c r="N176" s="27"/>
      <c r="O176" s="27"/>
      <c r="P176" s="5"/>
      <c r="Q176" s="5"/>
      <c r="R176" s="5"/>
    </row>
    <row r="177" spans="4:18" ht="15">
      <c r="D177" s="5"/>
      <c r="E177" s="5"/>
      <c r="F177" s="5"/>
      <c r="G177" s="27"/>
      <c r="H177" s="27"/>
      <c r="I177" s="27"/>
      <c r="J177" s="27"/>
      <c r="K177" s="27"/>
      <c r="L177" s="27"/>
      <c r="M177" s="27"/>
      <c r="N177" s="27"/>
      <c r="O177" s="27"/>
      <c r="P177" s="5"/>
      <c r="Q177" s="5"/>
      <c r="R177" s="5"/>
    </row>
    <row r="178" spans="2:18" ht="15">
      <c r="B178" s="49" t="s">
        <v>37</v>
      </c>
      <c r="D178" s="5"/>
      <c r="E178" s="5"/>
      <c r="F178" s="5"/>
      <c r="G178" s="27"/>
      <c r="H178" s="27"/>
      <c r="I178" s="27"/>
      <c r="J178" s="27"/>
      <c r="K178" s="27"/>
      <c r="L178" s="27"/>
      <c r="M178" s="27"/>
      <c r="N178" s="27"/>
      <c r="O178" s="27"/>
      <c r="P178" s="5"/>
      <c r="Q178" s="5"/>
      <c r="R178" s="5"/>
    </row>
    <row r="179" spans="2:18" s="2" customFormat="1" ht="15">
      <c r="B179" s="2" t="s">
        <v>123</v>
      </c>
      <c r="D179" s="3"/>
      <c r="E179" s="3"/>
      <c r="F179" s="3"/>
      <c r="G179" s="29"/>
      <c r="H179" s="29"/>
      <c r="I179" s="29"/>
      <c r="J179" s="29"/>
      <c r="K179" s="29">
        <f>J181</f>
        <v>10183.819500000001</v>
      </c>
      <c r="L179" s="29">
        <f aca="true" t="shared" si="131" ref="L179:O179">K181</f>
        <v>10998.525060000002</v>
      </c>
      <c r="M179" s="29">
        <f t="shared" si="131"/>
        <v>11878.407064800002</v>
      </c>
      <c r="N179" s="29">
        <f t="shared" si="131"/>
        <v>12828.679629984003</v>
      </c>
      <c r="O179" s="29">
        <f t="shared" si="131"/>
        <v>13854.974000382723</v>
      </c>
      <c r="P179" s="3"/>
      <c r="Q179" s="3"/>
      <c r="R179" s="3"/>
    </row>
    <row r="180" spans="2:18" ht="15">
      <c r="B180" s="10" t="s">
        <v>125</v>
      </c>
      <c r="C180" s="10"/>
      <c r="D180" s="18"/>
      <c r="E180" s="18"/>
      <c r="F180" s="18"/>
      <c r="G180" s="28"/>
      <c r="H180" s="28"/>
      <c r="I180" s="28"/>
      <c r="J180" s="28"/>
      <c r="K180" s="28">
        <f>K199</f>
        <v>814.7055600000001</v>
      </c>
      <c r="L180" s="28">
        <f aca="true" t="shared" si="132" ref="L180:O180">L199</f>
        <v>879.8820048000001</v>
      </c>
      <c r="M180" s="28">
        <f t="shared" si="132"/>
        <v>950.2725651840001</v>
      </c>
      <c r="N180" s="28">
        <f t="shared" si="132"/>
        <v>1026.2943703987203</v>
      </c>
      <c r="O180" s="28">
        <f t="shared" si="132"/>
        <v>1108.3979200306178</v>
      </c>
      <c r="P180" s="5"/>
      <c r="Q180" s="5"/>
      <c r="R180" s="5"/>
    </row>
    <row r="181" spans="2:18" s="2" customFormat="1" ht="15">
      <c r="B181" s="2" t="s">
        <v>124</v>
      </c>
      <c r="D181" s="3"/>
      <c r="E181" s="3"/>
      <c r="F181" s="3"/>
      <c r="G181" s="29"/>
      <c r="H181" s="29"/>
      <c r="I181" s="29"/>
      <c r="J181" s="29">
        <f>J90</f>
        <v>10183.819500000001</v>
      </c>
      <c r="K181" s="29">
        <f>SUM(K179:K180)</f>
        <v>10998.525060000002</v>
      </c>
      <c r="L181" s="29">
        <f aca="true" t="shared" si="133" ref="L181:O181">SUM(L179:L180)</f>
        <v>11878.407064800002</v>
      </c>
      <c r="M181" s="29">
        <f t="shared" si="133"/>
        <v>12828.679629984003</v>
      </c>
      <c r="N181" s="29">
        <f t="shared" si="133"/>
        <v>13854.974000382723</v>
      </c>
      <c r="O181" s="29">
        <f t="shared" si="133"/>
        <v>14963.371920413341</v>
      </c>
      <c r="P181" s="3"/>
      <c r="Q181" s="3"/>
      <c r="R181" s="3"/>
    </row>
    <row r="182" spans="4:18" s="2" customFormat="1" ht="15">
      <c r="D182" s="3"/>
      <c r="E182" s="3"/>
      <c r="F182" s="3"/>
      <c r="G182" s="29"/>
      <c r="H182" s="29"/>
      <c r="I182" s="29"/>
      <c r="J182" s="29"/>
      <c r="K182" s="29"/>
      <c r="L182" s="29"/>
      <c r="M182" s="29"/>
      <c r="N182" s="29"/>
      <c r="O182" s="29"/>
      <c r="P182" s="3"/>
      <c r="Q182" s="3"/>
      <c r="R182" s="3"/>
    </row>
    <row r="183" spans="4:18" s="2" customFormat="1" ht="15">
      <c r="D183" s="3"/>
      <c r="E183" s="3"/>
      <c r="F183" s="3"/>
      <c r="G183" s="29"/>
      <c r="H183" s="29"/>
      <c r="I183" s="29"/>
      <c r="J183" s="29"/>
      <c r="K183" s="29"/>
      <c r="L183" s="29"/>
      <c r="M183" s="29"/>
      <c r="N183" s="29"/>
      <c r="O183" s="29"/>
      <c r="P183" s="3"/>
      <c r="Q183" s="3"/>
      <c r="R183" s="3"/>
    </row>
    <row r="184" spans="2:18" s="2" customFormat="1" ht="15">
      <c r="B184" s="2" t="s">
        <v>134</v>
      </c>
      <c r="D184" s="3"/>
      <c r="E184" s="3"/>
      <c r="F184" s="3"/>
      <c r="G184" s="29"/>
      <c r="H184" s="29"/>
      <c r="I184" s="29"/>
      <c r="J184" s="29"/>
      <c r="K184" s="29"/>
      <c r="L184" s="29"/>
      <c r="M184" s="29"/>
      <c r="N184" s="29"/>
      <c r="O184" s="29"/>
      <c r="P184" s="3"/>
      <c r="Q184" s="3"/>
      <c r="R184" s="3"/>
    </row>
    <row r="185" spans="2:18" s="2" customFormat="1" ht="15">
      <c r="B185" s="7" t="s">
        <v>70</v>
      </c>
      <c r="D185" s="3"/>
      <c r="E185" s="3"/>
      <c r="F185" s="3"/>
      <c r="G185" s="29"/>
      <c r="H185" s="29"/>
      <c r="I185" s="29"/>
      <c r="J185" s="29"/>
      <c r="K185" s="27">
        <f ca="1">K134</f>
        <v>-501.44298697238037</v>
      </c>
      <c r="L185" s="27">
        <f aca="true" t="shared" si="134" ref="L185:O185">L134</f>
        <v>635.6459169855325</v>
      </c>
      <c r="M185" s="27">
        <f ca="1" t="shared" si="134"/>
        <v>1267.28704622317</v>
      </c>
      <c r="N185" s="27">
        <f ca="1" t="shared" si="134"/>
        <v>1491.1421411130991</v>
      </c>
      <c r="O185" s="27">
        <f ca="1" t="shared" si="134"/>
        <v>1742.0370148430802</v>
      </c>
      <c r="P185" s="3"/>
      <c r="Q185" s="3"/>
      <c r="R185" s="3"/>
    </row>
    <row r="186" spans="2:18" s="2" customFormat="1" ht="15">
      <c r="B186" s="7" t="s">
        <v>71</v>
      </c>
      <c r="D186" s="3"/>
      <c r="E186" s="3"/>
      <c r="F186" s="3"/>
      <c r="G186" s="29"/>
      <c r="H186" s="29"/>
      <c r="I186" s="29"/>
      <c r="J186" s="29"/>
      <c r="K186" s="29">
        <f ca="1">K185+K166</f>
        <v>0</v>
      </c>
      <c r="L186" s="29">
        <f aca="true" t="shared" si="135" ref="L186:O186">L185+L166</f>
        <v>0</v>
      </c>
      <c r="M186" s="29">
        <f ca="1" t="shared" si="135"/>
        <v>0</v>
      </c>
      <c r="N186" s="29">
        <f ca="1" t="shared" si="135"/>
        <v>0</v>
      </c>
      <c r="O186" s="27">
        <f ca="1" t="shared" si="135"/>
        <v>0</v>
      </c>
      <c r="P186" s="3"/>
      <c r="Q186" s="3"/>
      <c r="R186" s="3"/>
    </row>
    <row r="187" spans="4:18" s="2" customFormat="1" ht="15">
      <c r="D187" s="3"/>
      <c r="E187" s="3"/>
      <c r="F187" s="3"/>
      <c r="G187" s="29"/>
      <c r="H187" s="29"/>
      <c r="I187" s="29"/>
      <c r="J187" s="29"/>
      <c r="K187" s="29"/>
      <c r="L187" s="29"/>
      <c r="M187" s="29"/>
      <c r="N187" s="29"/>
      <c r="O187" s="29"/>
      <c r="P187" s="3"/>
      <c r="Q187" s="3"/>
      <c r="R187" s="3"/>
    </row>
    <row r="188" spans="4:18" ht="15">
      <c r="D188" s="5"/>
      <c r="E188" s="5"/>
      <c r="F188" s="5"/>
      <c r="G188" s="27"/>
      <c r="H188" s="27"/>
      <c r="I188" s="27"/>
      <c r="J188" s="27"/>
      <c r="K188" s="27"/>
      <c r="L188" s="27"/>
      <c r="M188" s="27"/>
      <c r="N188" s="27"/>
      <c r="O188" s="27"/>
      <c r="P188" s="5"/>
      <c r="Q188" s="5"/>
      <c r="R188" s="5"/>
    </row>
    <row r="189" spans="4:18" ht="15">
      <c r="D189" s="5"/>
      <c r="E189" s="5"/>
      <c r="F189" s="5"/>
      <c r="G189" s="27"/>
      <c r="H189" s="27"/>
      <c r="I189" s="27"/>
      <c r="J189" s="27"/>
      <c r="K189" s="27"/>
      <c r="L189" s="27"/>
      <c r="M189" s="27"/>
      <c r="N189" s="27"/>
      <c r="O189" s="27"/>
      <c r="P189" s="5"/>
      <c r="Q189" s="5"/>
      <c r="R189" s="5"/>
    </row>
    <row r="190" spans="1:18" s="12" customFormat="1" ht="15">
      <c r="A190" s="9" t="s">
        <v>126</v>
      </c>
      <c r="D190" s="13"/>
      <c r="E190" s="13"/>
      <c r="F190" s="13"/>
      <c r="G190" s="46"/>
      <c r="H190" s="46"/>
      <c r="I190" s="46"/>
      <c r="J190" s="46"/>
      <c r="K190" s="46"/>
      <c r="L190" s="46"/>
      <c r="M190" s="46"/>
      <c r="N190" s="46"/>
      <c r="O190" s="46"/>
      <c r="P190" s="13"/>
      <c r="Q190" s="13"/>
      <c r="R190" s="13"/>
    </row>
    <row r="191" spans="4:18" ht="15">
      <c r="D191" s="5"/>
      <c r="E191" s="5"/>
      <c r="F191" s="5"/>
      <c r="G191" s="27"/>
      <c r="H191" s="27"/>
      <c r="I191" s="27"/>
      <c r="J191" s="27"/>
      <c r="K191" s="27"/>
      <c r="L191" s="27"/>
      <c r="M191" s="27"/>
      <c r="N191" s="27"/>
      <c r="O191" s="27"/>
      <c r="P191" s="5"/>
      <c r="Q191" s="5"/>
      <c r="R191" s="5"/>
    </row>
    <row r="192" spans="4:18" ht="15">
      <c r="D192" s="3" t="s">
        <v>127</v>
      </c>
      <c r="E192" s="3" t="s">
        <v>128</v>
      </c>
      <c r="F192" s="5"/>
      <c r="G192" s="27"/>
      <c r="H192" s="27"/>
      <c r="I192" s="27"/>
      <c r="J192" s="27"/>
      <c r="K192" s="27"/>
      <c r="L192" s="27"/>
      <c r="M192" s="27"/>
      <c r="N192" s="27"/>
      <c r="O192" s="27"/>
      <c r="P192" s="5"/>
      <c r="Q192" s="5"/>
      <c r="R192" s="5"/>
    </row>
    <row r="193" spans="2:18" ht="15">
      <c r="B193" t="s">
        <v>70</v>
      </c>
      <c r="D193" s="17" t="s">
        <v>129</v>
      </c>
      <c r="E193" s="50">
        <v>0.03</v>
      </c>
      <c r="F193" s="5"/>
      <c r="G193" s="27"/>
      <c r="H193" s="27"/>
      <c r="I193" s="27"/>
      <c r="J193" s="27"/>
      <c r="K193" s="27">
        <f aca="true" t="shared" si="136" ref="K193:O193">$E$193*K167</f>
        <v>263.9112896091714</v>
      </c>
      <c r="L193" s="27">
        <f ca="1" t="shared" si="136"/>
        <v>244.8419120996054</v>
      </c>
      <c r="M193" s="27">
        <f ca="1" t="shared" si="136"/>
        <v>206.82330071291028</v>
      </c>
      <c r="N193" s="27">
        <f ca="1" t="shared" si="136"/>
        <v>162.0890364795173</v>
      </c>
      <c r="O193" s="27">
        <f ca="1" t="shared" si="136"/>
        <v>109.8279260342249</v>
      </c>
      <c r="P193" s="5"/>
      <c r="Q193" s="5"/>
      <c r="R193" s="5"/>
    </row>
    <row r="194" spans="2:18" ht="15">
      <c r="B194" s="10" t="s">
        <v>71</v>
      </c>
      <c r="C194" s="10"/>
      <c r="D194" s="24" t="s">
        <v>129</v>
      </c>
      <c r="E194" s="51">
        <v>0.06</v>
      </c>
      <c r="F194" s="18"/>
      <c r="G194" s="28"/>
      <c r="H194" s="28"/>
      <c r="I194" s="28"/>
      <c r="J194" s="28"/>
      <c r="K194" s="28">
        <f aca="true" t="shared" si="137" ref="K194:O194">$E$194*K175</f>
        <v>414.78</v>
      </c>
      <c r="L194" s="28">
        <f ca="1" t="shared" si="137"/>
        <v>414.78</v>
      </c>
      <c r="M194" s="28">
        <f ca="1" t="shared" si="137"/>
        <v>414.78</v>
      </c>
      <c r="N194" s="28">
        <f ca="1" t="shared" si="137"/>
        <v>414.78</v>
      </c>
      <c r="O194" s="28">
        <f ca="1" t="shared" si="137"/>
        <v>414.78</v>
      </c>
      <c r="P194" s="5"/>
      <c r="Q194" s="5"/>
      <c r="R194" s="5"/>
    </row>
    <row r="195" spans="2:18" s="2" customFormat="1" ht="15">
      <c r="B195" s="2" t="s">
        <v>130</v>
      </c>
      <c r="D195" s="3"/>
      <c r="E195" s="3"/>
      <c r="F195" s="3"/>
      <c r="G195" s="29"/>
      <c r="H195" s="29"/>
      <c r="I195" s="29"/>
      <c r="J195" s="29"/>
      <c r="K195" s="29">
        <f aca="true" t="shared" si="138" ref="K195:O195">SUM(K193:K194)</f>
        <v>678.6912896091713</v>
      </c>
      <c r="L195" s="29">
        <f ca="1" t="shared" si="138"/>
        <v>659.6219120996054</v>
      </c>
      <c r="M195" s="29">
        <f ca="1" t="shared" si="138"/>
        <v>621.6033007129103</v>
      </c>
      <c r="N195" s="29">
        <f ca="1" t="shared" si="138"/>
        <v>576.8690364795173</v>
      </c>
      <c r="O195" s="29">
        <f ca="1" t="shared" si="138"/>
        <v>524.6079260342249</v>
      </c>
      <c r="P195" s="3"/>
      <c r="Q195" s="3"/>
      <c r="R195" s="3"/>
    </row>
    <row r="196" spans="4:18" ht="15">
      <c r="D196" s="5"/>
      <c r="E196" s="5"/>
      <c r="F196" s="5"/>
      <c r="G196" s="27"/>
      <c r="H196" s="27"/>
      <c r="I196" s="27"/>
      <c r="J196" s="27"/>
      <c r="K196" s="27"/>
      <c r="L196" s="27"/>
      <c r="M196" s="27"/>
      <c r="N196" s="27"/>
      <c r="O196" s="27"/>
      <c r="P196" s="5"/>
      <c r="Q196" s="5"/>
      <c r="R196" s="5"/>
    </row>
    <row r="197" spans="4:18" ht="15">
      <c r="D197" s="5"/>
      <c r="E197" s="5"/>
      <c r="F197" s="5"/>
      <c r="G197" s="27"/>
      <c r="H197" s="27"/>
      <c r="I197" s="27"/>
      <c r="J197" s="27"/>
      <c r="K197" s="27"/>
      <c r="L197" s="27"/>
      <c r="M197" s="27"/>
      <c r="N197" s="27"/>
      <c r="O197" s="27"/>
      <c r="P197" s="5"/>
      <c r="Q197" s="5"/>
      <c r="R197" s="5"/>
    </row>
    <row r="198" spans="2:18" ht="15">
      <c r="B198" t="s">
        <v>71</v>
      </c>
      <c r="D198" s="17" t="s">
        <v>131</v>
      </c>
      <c r="E198" s="4">
        <v>0</v>
      </c>
      <c r="F198" s="5"/>
      <c r="G198" s="27"/>
      <c r="H198" s="27"/>
      <c r="I198" s="27"/>
      <c r="J198" s="27"/>
      <c r="K198" s="27">
        <f>$E$198*K171</f>
        <v>0</v>
      </c>
      <c r="L198" s="27">
        <f aca="true" t="shared" si="139" ref="L198:O198">$E$198*L171</f>
        <v>0</v>
      </c>
      <c r="M198" s="27">
        <f ca="1" t="shared" si="139"/>
        <v>0</v>
      </c>
      <c r="N198" s="27">
        <f ca="1" t="shared" si="139"/>
        <v>0</v>
      </c>
      <c r="O198" s="27">
        <f ca="1" t="shared" si="139"/>
        <v>0</v>
      </c>
      <c r="P198" s="5"/>
      <c r="Q198" s="5"/>
      <c r="R198" s="5"/>
    </row>
    <row r="199" spans="2:18" ht="15">
      <c r="B199" s="10" t="s">
        <v>87</v>
      </c>
      <c r="C199" s="10"/>
      <c r="D199" s="24" t="s">
        <v>131</v>
      </c>
      <c r="E199" s="26">
        <v>0.08</v>
      </c>
      <c r="F199" s="18"/>
      <c r="G199" s="28"/>
      <c r="H199" s="28"/>
      <c r="I199" s="28"/>
      <c r="J199" s="28"/>
      <c r="K199" s="28">
        <f>K179*$E$199</f>
        <v>814.7055600000001</v>
      </c>
      <c r="L199" s="28">
        <f aca="true" t="shared" si="140" ref="L199:O199">L179*$E$199</f>
        <v>879.8820048000001</v>
      </c>
      <c r="M199" s="28">
        <f t="shared" si="140"/>
        <v>950.2725651840001</v>
      </c>
      <c r="N199" s="28">
        <f t="shared" si="140"/>
        <v>1026.2943703987203</v>
      </c>
      <c r="O199" s="28">
        <f t="shared" si="140"/>
        <v>1108.3979200306178</v>
      </c>
      <c r="P199" s="5"/>
      <c r="Q199" s="5"/>
      <c r="R199" s="5"/>
    </row>
    <row r="200" spans="2:18" ht="15">
      <c r="B200" s="2" t="s">
        <v>132</v>
      </c>
      <c r="C200" s="2"/>
      <c r="D200" s="3"/>
      <c r="E200" s="3"/>
      <c r="F200" s="3"/>
      <c r="G200" s="29"/>
      <c r="H200" s="29"/>
      <c r="I200" s="29"/>
      <c r="J200" s="29"/>
      <c r="K200" s="29">
        <f aca="true" t="shared" si="141" ref="K200">SUM(K198:K199)</f>
        <v>814.7055600000001</v>
      </c>
      <c r="L200" s="29">
        <f aca="true" t="shared" si="142" ref="L200">SUM(L198:L199)</f>
        <v>879.8820048000001</v>
      </c>
      <c r="M200" s="29">
        <f aca="true" t="shared" si="143" ref="M200">SUM(M198:M199)</f>
        <v>950.2725651840001</v>
      </c>
      <c r="N200" s="29">
        <f aca="true" t="shared" si="144" ref="N200">SUM(N198:N199)</f>
        <v>1026.2943703987203</v>
      </c>
      <c r="O200" s="29">
        <f aca="true" t="shared" si="145" ref="O200">SUM(O198:O199)</f>
        <v>1108.3979200306178</v>
      </c>
      <c r="P200" s="5"/>
      <c r="Q200" s="5"/>
      <c r="R200" s="5"/>
    </row>
    <row r="201" spans="4:18" ht="15">
      <c r="D201" s="5"/>
      <c r="E201" s="5"/>
      <c r="F201" s="5"/>
      <c r="G201" s="27"/>
      <c r="H201" s="27"/>
      <c r="I201" s="27"/>
      <c r="J201" s="27"/>
      <c r="K201" s="27"/>
      <c r="L201" s="27"/>
      <c r="M201" s="27"/>
      <c r="N201" s="27"/>
      <c r="O201" s="27"/>
      <c r="P201" s="5"/>
      <c r="Q201" s="5"/>
      <c r="R201" s="5"/>
    </row>
    <row r="202" spans="4:18" ht="15">
      <c r="D202" s="5"/>
      <c r="E202" s="5"/>
      <c r="F202" s="5"/>
      <c r="G202" s="27"/>
      <c r="H202" s="27"/>
      <c r="I202" s="27"/>
      <c r="J202" s="27"/>
      <c r="K202" s="27"/>
      <c r="L202" s="27"/>
      <c r="M202" s="27"/>
      <c r="N202" s="27"/>
      <c r="O202" s="27"/>
      <c r="P202" s="5"/>
      <c r="Q202" s="5"/>
      <c r="R202" s="5"/>
    </row>
    <row r="203" spans="2:18" s="2" customFormat="1" ht="15">
      <c r="B203" s="2" t="s">
        <v>133</v>
      </c>
      <c r="D203" s="3" t="s">
        <v>129</v>
      </c>
      <c r="E203" s="6">
        <v>0.01</v>
      </c>
      <c r="F203" s="3"/>
      <c r="G203" s="29"/>
      <c r="H203" s="29"/>
      <c r="I203" s="29"/>
      <c r="J203" s="29"/>
      <c r="K203" s="29">
        <f ca="1">$E$203*K84</f>
        <v>3</v>
      </c>
      <c r="L203" s="29">
        <f aca="true" t="shared" si="146" ref="L203:O203">$E$203*L84</f>
        <v>3</v>
      </c>
      <c r="M203" s="29">
        <f ca="1" t="shared" si="146"/>
        <v>3</v>
      </c>
      <c r="N203" s="29">
        <f ca="1" t="shared" si="146"/>
        <v>3</v>
      </c>
      <c r="O203" s="29">
        <f ca="1" t="shared" si="146"/>
        <v>3</v>
      </c>
      <c r="P203" s="3"/>
      <c r="Q203" s="3"/>
      <c r="R203" s="3"/>
    </row>
    <row r="204" spans="4:18" ht="15">
      <c r="D204" s="5"/>
      <c r="E204" s="5"/>
      <c r="F204" s="5"/>
      <c r="G204" s="27"/>
      <c r="H204" s="27"/>
      <c r="I204" s="27"/>
      <c r="J204" s="27"/>
      <c r="K204" s="27"/>
      <c r="L204" s="27"/>
      <c r="M204" s="27"/>
      <c r="N204" s="27"/>
      <c r="O204" s="27"/>
      <c r="P204" s="5"/>
      <c r="Q204" s="5"/>
      <c r="R204" s="5"/>
    </row>
    <row r="205" spans="4:18" ht="15">
      <c r="D205" s="5"/>
      <c r="E205" s="5"/>
      <c r="F205" s="5"/>
      <c r="G205" s="27"/>
      <c r="H205" s="27"/>
      <c r="I205" s="27"/>
      <c r="J205" s="27"/>
      <c r="K205" s="27"/>
      <c r="L205" s="27"/>
      <c r="M205" s="27"/>
      <c r="N205" s="27"/>
      <c r="O205" s="27"/>
      <c r="P205" s="5"/>
      <c r="Q205" s="5"/>
      <c r="R205" s="5"/>
    </row>
    <row r="206" spans="1:18" s="12" customFormat="1" ht="15">
      <c r="A206" s="9" t="s">
        <v>135</v>
      </c>
      <c r="D206" s="13"/>
      <c r="E206" s="13"/>
      <c r="F206" s="13"/>
      <c r="G206" s="46"/>
      <c r="H206" s="46"/>
      <c r="I206" s="46"/>
      <c r="J206" s="46"/>
      <c r="K206" s="46"/>
      <c r="L206" s="46"/>
      <c r="M206" s="46"/>
      <c r="N206" s="46"/>
      <c r="O206" s="46"/>
      <c r="P206" s="13"/>
      <c r="Q206" s="13"/>
      <c r="R206" s="13"/>
    </row>
    <row r="207" spans="4:18" ht="15">
      <c r="D207" s="5"/>
      <c r="E207" s="5"/>
      <c r="F207" s="5"/>
      <c r="G207" s="27"/>
      <c r="H207" s="27"/>
      <c r="I207" s="27"/>
      <c r="J207" s="27"/>
      <c r="K207" s="27"/>
      <c r="L207" s="27"/>
      <c r="M207" s="27"/>
      <c r="N207" s="27"/>
      <c r="O207" s="27"/>
      <c r="P207" s="5"/>
      <c r="Q207" s="5"/>
      <c r="R207" s="5"/>
    </row>
    <row r="208" spans="4:18" ht="15">
      <c r="D208" s="5"/>
      <c r="E208" s="5"/>
      <c r="F208" s="5"/>
      <c r="G208" s="27"/>
      <c r="H208" s="27"/>
      <c r="I208" s="27"/>
      <c r="J208" s="27"/>
      <c r="K208" s="2">
        <v>2012</v>
      </c>
      <c r="L208" s="2">
        <v>2013</v>
      </c>
      <c r="M208" s="2">
        <v>2014</v>
      </c>
      <c r="N208" s="2">
        <v>2015</v>
      </c>
      <c r="O208" s="2">
        <v>2016</v>
      </c>
      <c r="P208" s="5"/>
      <c r="Q208" s="5"/>
      <c r="R208" s="5"/>
    </row>
    <row r="209" spans="2:18" ht="15">
      <c r="B209" t="s">
        <v>3</v>
      </c>
      <c r="D209" s="5"/>
      <c r="E209" s="5"/>
      <c r="F209" s="5"/>
      <c r="G209" s="27"/>
      <c r="H209" s="27"/>
      <c r="I209" s="27"/>
      <c r="J209" s="27"/>
      <c r="K209" s="27">
        <f>K24</f>
        <v>2595.7000000000007</v>
      </c>
      <c r="L209" s="27">
        <f aca="true" t="shared" si="147" ref="L209:O209">L24</f>
        <v>3310</v>
      </c>
      <c r="M209" s="27">
        <f t="shared" si="147"/>
        <v>3641.0000000000014</v>
      </c>
      <c r="N209" s="27">
        <f t="shared" si="147"/>
        <v>4005.100000000003</v>
      </c>
      <c r="O209" s="27">
        <f t="shared" si="147"/>
        <v>4405.610000000002</v>
      </c>
      <c r="P209" s="5"/>
      <c r="Q209" s="5"/>
      <c r="R209" s="5"/>
    </row>
    <row r="210" spans="2:18" ht="15">
      <c r="B210" s="10" t="s">
        <v>136</v>
      </c>
      <c r="C210" s="10"/>
      <c r="D210" s="18"/>
      <c r="E210" s="18"/>
      <c r="F210" s="18"/>
      <c r="G210" s="28"/>
      <c r="H210" s="28"/>
      <c r="I210" s="28"/>
      <c r="J210" s="28"/>
      <c r="K210" s="28">
        <v>10</v>
      </c>
      <c r="L210" s="28">
        <v>10</v>
      </c>
      <c r="M210" s="28">
        <v>10</v>
      </c>
      <c r="N210" s="28">
        <v>10</v>
      </c>
      <c r="O210" s="28">
        <v>10</v>
      </c>
      <c r="P210" s="5"/>
      <c r="Q210" s="5"/>
      <c r="R210" s="5"/>
    </row>
    <row r="211" spans="2:18" s="2" customFormat="1" ht="15">
      <c r="B211" s="2" t="s">
        <v>61</v>
      </c>
      <c r="D211" s="3"/>
      <c r="E211" s="3"/>
      <c r="F211" s="3"/>
      <c r="G211" s="29"/>
      <c r="H211" s="29"/>
      <c r="I211" s="29"/>
      <c r="J211" s="29"/>
      <c r="K211" s="29">
        <f>K210*K209</f>
        <v>25957.000000000007</v>
      </c>
      <c r="L211" s="29">
        <f aca="true" t="shared" si="148" ref="L211:O211">L210*L209</f>
        <v>33100</v>
      </c>
      <c r="M211" s="29">
        <f t="shared" si="148"/>
        <v>36410.000000000015</v>
      </c>
      <c r="N211" s="29">
        <f t="shared" si="148"/>
        <v>40051.00000000003</v>
      </c>
      <c r="O211" s="29">
        <f t="shared" si="148"/>
        <v>44056.10000000002</v>
      </c>
      <c r="P211" s="3"/>
      <c r="Q211" s="3"/>
      <c r="R211" s="3"/>
    </row>
    <row r="212" spans="2:18" ht="15">
      <c r="B212" s="19" t="s">
        <v>137</v>
      </c>
      <c r="D212" s="5"/>
      <c r="E212" s="5"/>
      <c r="F212" s="5"/>
      <c r="G212" s="27"/>
      <c r="H212" s="27"/>
      <c r="I212" s="27"/>
      <c r="J212" s="27"/>
      <c r="K212" s="27">
        <f ca="1">-K167</f>
        <v>-8797.04298697238</v>
      </c>
      <c r="L212" s="27">
        <f aca="true" t="shared" si="149" ref="L212:O212">-L167</f>
        <v>-8161.397069986847</v>
      </c>
      <c r="M212" s="27">
        <f ca="1" t="shared" si="149"/>
        <v>-6894.1100237636765</v>
      </c>
      <c r="N212" s="27">
        <f ca="1" t="shared" si="149"/>
        <v>-5402.967882650577</v>
      </c>
      <c r="O212" s="27">
        <f ca="1" t="shared" si="149"/>
        <v>-3660.9308678074967</v>
      </c>
      <c r="P212" s="5"/>
      <c r="Q212" s="5"/>
      <c r="R212" s="5"/>
    </row>
    <row r="213" spans="2:18" ht="15">
      <c r="B213" s="19" t="s">
        <v>138</v>
      </c>
      <c r="D213" s="5"/>
      <c r="E213" s="5"/>
      <c r="F213" s="5"/>
      <c r="G213" s="27"/>
      <c r="H213" s="27"/>
      <c r="I213" s="27"/>
      <c r="J213" s="27"/>
      <c r="K213" s="27">
        <f ca="1">-K175</f>
        <v>-6913</v>
      </c>
      <c r="L213" s="27">
        <f aca="true" t="shared" si="150" ref="L213:O213">-L175</f>
        <v>-6913</v>
      </c>
      <c r="M213" s="27">
        <f ca="1" t="shared" si="150"/>
        <v>-6913</v>
      </c>
      <c r="N213" s="27">
        <f ca="1" t="shared" si="150"/>
        <v>-6913</v>
      </c>
      <c r="O213" s="27">
        <f ca="1" t="shared" si="150"/>
        <v>-6913</v>
      </c>
      <c r="P213" s="5"/>
      <c r="Q213" s="5"/>
      <c r="R213" s="5"/>
    </row>
    <row r="214" spans="2:18" ht="15">
      <c r="B214" s="19" t="s">
        <v>140</v>
      </c>
      <c r="D214" s="5"/>
      <c r="E214" s="5"/>
      <c r="F214" s="5"/>
      <c r="G214" s="27"/>
      <c r="H214" s="27"/>
      <c r="I214" s="27"/>
      <c r="J214" s="27"/>
      <c r="K214" s="27">
        <f>-K181</f>
        <v>-10998.525060000002</v>
      </c>
      <c r="L214" s="27">
        <f aca="true" t="shared" si="151" ref="L214:O214">-L181</f>
        <v>-11878.407064800002</v>
      </c>
      <c r="M214" s="27">
        <f t="shared" si="151"/>
        <v>-12828.679629984003</v>
      </c>
      <c r="N214" s="27">
        <f t="shared" si="151"/>
        <v>-13854.974000382723</v>
      </c>
      <c r="O214" s="27">
        <f t="shared" si="151"/>
        <v>-14963.371920413341</v>
      </c>
      <c r="P214" s="5"/>
      <c r="Q214" s="5"/>
      <c r="R214" s="5"/>
    </row>
    <row r="215" spans="2:18" ht="15">
      <c r="B215" s="21" t="s">
        <v>14</v>
      </c>
      <c r="C215" s="10"/>
      <c r="D215" s="18"/>
      <c r="E215" s="18"/>
      <c r="F215" s="18"/>
      <c r="G215" s="28"/>
      <c r="H215" s="28"/>
      <c r="I215" s="28"/>
      <c r="J215" s="28"/>
      <c r="K215" s="28">
        <f ca="1">K84</f>
        <v>300</v>
      </c>
      <c r="L215" s="28">
        <f aca="true" t="shared" si="152" ref="L215:O215">L84</f>
        <v>300</v>
      </c>
      <c r="M215" s="28">
        <f ca="1" t="shared" si="152"/>
        <v>300</v>
      </c>
      <c r="N215" s="28">
        <f ca="1" t="shared" si="152"/>
        <v>300</v>
      </c>
      <c r="O215" s="28">
        <f ca="1" t="shared" si="152"/>
        <v>300</v>
      </c>
      <c r="P215" s="5"/>
      <c r="Q215" s="5"/>
      <c r="R215" s="5"/>
    </row>
    <row r="216" spans="2:18" s="2" customFormat="1" ht="15">
      <c r="B216" s="20" t="s">
        <v>139</v>
      </c>
      <c r="D216" s="3"/>
      <c r="E216" s="3"/>
      <c r="F216" s="3"/>
      <c r="G216" s="29"/>
      <c r="H216" s="29"/>
      <c r="I216" s="29"/>
      <c r="J216" s="29"/>
      <c r="K216" s="29">
        <f ca="1">SUM(K211:K215)</f>
        <v>-451.56804697237567</v>
      </c>
      <c r="L216" s="29">
        <f aca="true" t="shared" si="153" ref="L216:O216">SUM(L211:L215)</f>
        <v>6447.195865213151</v>
      </c>
      <c r="M216" s="29">
        <f ca="1" t="shared" si="153"/>
        <v>10074.210346252334</v>
      </c>
      <c r="N216" s="29">
        <f ca="1" t="shared" si="153"/>
        <v>14180.05811696673</v>
      </c>
      <c r="O216" s="29">
        <f ca="1" t="shared" si="153"/>
        <v>18818.797211779183</v>
      </c>
      <c r="P216" s="3"/>
      <c r="Q216" s="3"/>
      <c r="R216" s="3"/>
    </row>
    <row r="217" spans="4:18" ht="15">
      <c r="D217" s="5"/>
      <c r="E217" s="5"/>
      <c r="F217" s="5"/>
      <c r="G217" s="27"/>
      <c r="H217" s="27"/>
      <c r="I217" s="27"/>
      <c r="J217" s="27"/>
      <c r="K217" s="27"/>
      <c r="L217" s="27"/>
      <c r="M217" s="27"/>
      <c r="N217" s="27"/>
      <c r="O217" s="27"/>
      <c r="P217" s="5"/>
      <c r="Q217" s="5"/>
      <c r="R217" s="5"/>
    </row>
    <row r="218" spans="2:18" s="2" customFormat="1" ht="15">
      <c r="B218" s="2" t="s">
        <v>141</v>
      </c>
      <c r="D218" s="3"/>
      <c r="E218" s="3"/>
      <c r="F218" s="3"/>
      <c r="G218" s="29"/>
      <c r="H218" s="29"/>
      <c r="I218" s="29"/>
      <c r="J218" s="29"/>
      <c r="K218" s="29"/>
      <c r="L218" s="29"/>
      <c r="M218" s="29"/>
      <c r="N218" s="29"/>
      <c r="O218" s="29"/>
      <c r="P218" s="3"/>
      <c r="Q218" s="3"/>
      <c r="R218" s="3"/>
    </row>
    <row r="219" spans="2:18" ht="15">
      <c r="B219" t="s">
        <v>145</v>
      </c>
      <c r="D219" s="5"/>
      <c r="E219" s="4">
        <f>I56/I65</f>
        <v>0.08865902424920237</v>
      </c>
      <c r="F219" s="5"/>
      <c r="G219" s="27"/>
      <c r="H219" s="27"/>
      <c r="I219" s="27"/>
      <c r="J219" s="27"/>
      <c r="K219" s="27">
        <f ca="1">$E$219*K216</f>
        <v>-40.03558242668881</v>
      </c>
      <c r="L219" s="27">
        <f aca="true" t="shared" si="154" ref="L219:O219">$E$219*L216</f>
        <v>571.6020945532899</v>
      </c>
      <c r="M219" s="27">
        <f ca="1" t="shared" si="154"/>
        <v>893.1696593799511</v>
      </c>
      <c r="N219" s="27">
        <f ca="1" t="shared" si="154"/>
        <v>1257.1901164472522</v>
      </c>
      <c r="O219" s="27">
        <f ca="1" t="shared" si="154"/>
        <v>1668.4561983399526</v>
      </c>
      <c r="P219" s="5"/>
      <c r="Q219" s="5"/>
      <c r="R219" s="5"/>
    </row>
    <row r="220" spans="2:18" ht="15">
      <c r="B220" s="7" t="s">
        <v>142</v>
      </c>
      <c r="D220" s="5"/>
      <c r="E220" s="4">
        <f>1-E219</f>
        <v>0.9113409757507976</v>
      </c>
      <c r="F220" s="5"/>
      <c r="G220" s="27"/>
      <c r="H220" s="27"/>
      <c r="I220" s="27"/>
      <c r="J220" s="27"/>
      <c r="K220" s="27">
        <f ca="1">$E$220*K216</f>
        <v>-411.5324645456869</v>
      </c>
      <c r="L220" s="27">
        <f aca="true" t="shared" si="155" ref="L220:O220">$E$220*L216</f>
        <v>5875.593770659861</v>
      </c>
      <c r="M220" s="27">
        <f ca="1" t="shared" si="155"/>
        <v>9181.040686872382</v>
      </c>
      <c r="N220" s="27">
        <f ca="1" t="shared" si="155"/>
        <v>12922.868000519478</v>
      </c>
      <c r="O220" s="27">
        <f ca="1" t="shared" si="155"/>
        <v>17150.341013439232</v>
      </c>
      <c r="P220" s="5"/>
      <c r="Q220" s="5"/>
      <c r="R220" s="5"/>
    </row>
    <row r="221" spans="4:18" ht="15">
      <c r="D221" s="5"/>
      <c r="E221" s="5"/>
      <c r="F221" s="5"/>
      <c r="G221" s="27"/>
      <c r="H221" s="27"/>
      <c r="I221" s="27"/>
      <c r="J221" s="27"/>
      <c r="K221" s="27"/>
      <c r="L221" s="27"/>
      <c r="M221" s="27"/>
      <c r="N221" s="27"/>
      <c r="O221" s="27"/>
      <c r="P221" s="5"/>
      <c r="Q221" s="5"/>
      <c r="R221" s="5"/>
    </row>
    <row r="222" spans="2:18" ht="15">
      <c r="B222" s="2" t="s">
        <v>143</v>
      </c>
      <c r="D222" s="5"/>
      <c r="E222" s="5"/>
      <c r="F222" s="5"/>
      <c r="G222" s="27"/>
      <c r="H222" s="27"/>
      <c r="I222" s="27"/>
      <c r="J222" s="27"/>
      <c r="K222" s="27"/>
      <c r="L222" s="27"/>
      <c r="M222" s="27"/>
      <c r="N222" s="27"/>
      <c r="O222" s="27"/>
      <c r="P222" s="5"/>
      <c r="Q222" s="5"/>
      <c r="R222" s="5"/>
    </row>
    <row r="223" spans="2:18" ht="15">
      <c r="B223" t="s">
        <v>145</v>
      </c>
      <c r="D223" s="5"/>
      <c r="E223" s="5"/>
      <c r="F223" s="5"/>
      <c r="G223" s="27"/>
      <c r="H223" s="27"/>
      <c r="I223" s="27"/>
      <c r="J223" s="27"/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5"/>
      <c r="Q223" s="5"/>
      <c r="R223" s="5"/>
    </row>
    <row r="224" spans="2:18" ht="15">
      <c r="B224" s="7" t="s">
        <v>142</v>
      </c>
      <c r="D224" s="5"/>
      <c r="E224" s="5"/>
      <c r="F224" s="5"/>
      <c r="G224" s="27"/>
      <c r="H224" s="27"/>
      <c r="I224" s="27"/>
      <c r="J224" s="27"/>
      <c r="K224" s="27">
        <f>-K214</f>
        <v>10998.525060000002</v>
      </c>
      <c r="L224" s="27">
        <f aca="true" t="shared" si="156" ref="L224:O224">-L214</f>
        <v>11878.407064800002</v>
      </c>
      <c r="M224" s="27">
        <f t="shared" si="156"/>
        <v>12828.679629984003</v>
      </c>
      <c r="N224" s="27">
        <f t="shared" si="156"/>
        <v>13854.974000382723</v>
      </c>
      <c r="O224" s="27">
        <f t="shared" si="156"/>
        <v>14963.371920413341</v>
      </c>
      <c r="P224" s="5"/>
      <c r="Q224" s="5"/>
      <c r="R224" s="5"/>
    </row>
    <row r="225" spans="4:18" ht="15">
      <c r="D225" s="5"/>
      <c r="E225" s="5"/>
      <c r="F225" s="5"/>
      <c r="G225" s="27"/>
      <c r="H225" s="27"/>
      <c r="I225" s="27"/>
      <c r="J225" s="27"/>
      <c r="K225" s="27"/>
      <c r="L225" s="27"/>
      <c r="M225" s="27"/>
      <c r="N225" s="27"/>
      <c r="O225" s="27"/>
      <c r="P225" s="5"/>
      <c r="Q225" s="5"/>
      <c r="R225" s="5"/>
    </row>
    <row r="226" spans="2:18" ht="15">
      <c r="B226" s="2" t="s">
        <v>144</v>
      </c>
      <c r="D226" s="5"/>
      <c r="E226" s="5"/>
      <c r="F226" s="5"/>
      <c r="G226" s="27"/>
      <c r="H226" s="27"/>
      <c r="I226" s="27"/>
      <c r="J226" s="27"/>
      <c r="K226" s="27"/>
      <c r="L226" s="27"/>
      <c r="M226" s="27"/>
      <c r="N226" s="27"/>
      <c r="O226" s="27"/>
      <c r="P226" s="5"/>
      <c r="Q226" s="5"/>
      <c r="R226" s="5"/>
    </row>
    <row r="227" spans="2:18" ht="15">
      <c r="B227" t="s">
        <v>145</v>
      </c>
      <c r="D227" s="5"/>
      <c r="E227" s="5"/>
      <c r="F227" s="5"/>
      <c r="G227" s="27"/>
      <c r="H227" s="27"/>
      <c r="I227" s="27"/>
      <c r="J227" s="27"/>
      <c r="K227" s="27">
        <f ca="1">SUM(K219,K223)</f>
        <v>-40.03558242668881</v>
      </c>
      <c r="L227" s="27">
        <f aca="true" t="shared" si="157" ref="L227:O228">SUM(L219,L223)</f>
        <v>571.6020945532899</v>
      </c>
      <c r="M227" s="27">
        <f ca="1" t="shared" si="157"/>
        <v>893.1696593799511</v>
      </c>
      <c r="N227" s="27">
        <f ca="1" t="shared" si="157"/>
        <v>1257.1901164472522</v>
      </c>
      <c r="O227" s="27">
        <f ca="1" t="shared" si="157"/>
        <v>1668.4561983399526</v>
      </c>
      <c r="P227" s="5"/>
      <c r="Q227" s="5"/>
      <c r="R227" s="5"/>
    </row>
    <row r="228" spans="2:18" ht="15">
      <c r="B228" s="7" t="s">
        <v>142</v>
      </c>
      <c r="D228" s="5"/>
      <c r="E228" s="5"/>
      <c r="F228" s="5"/>
      <c r="G228" s="27"/>
      <c r="H228" s="27"/>
      <c r="I228" s="27"/>
      <c r="J228" s="27"/>
      <c r="K228" s="27">
        <f ca="1">SUM(K220,K224)</f>
        <v>10586.992595454314</v>
      </c>
      <c r="L228" s="27">
        <f ca="1" t="shared" si="157"/>
        <v>17754.00083545986</v>
      </c>
      <c r="M228" s="27">
        <f ca="1" t="shared" si="157"/>
        <v>22009.720316856386</v>
      </c>
      <c r="N228" s="27">
        <f ca="1" t="shared" si="157"/>
        <v>26777.8420009022</v>
      </c>
      <c r="O228" s="27">
        <f ca="1" t="shared" si="157"/>
        <v>32113.712933852574</v>
      </c>
      <c r="P228" s="5"/>
      <c r="Q228" s="5"/>
      <c r="R228" s="5"/>
    </row>
    <row r="229" spans="4:18" ht="15">
      <c r="D229" s="5"/>
      <c r="E229" s="5"/>
      <c r="F229" s="5"/>
      <c r="G229" s="27"/>
      <c r="H229" s="27"/>
      <c r="I229" s="27"/>
      <c r="J229" s="27"/>
      <c r="K229" s="27"/>
      <c r="L229" s="27"/>
      <c r="M229" s="27"/>
      <c r="N229" s="27"/>
      <c r="O229" s="27"/>
      <c r="P229" s="5"/>
      <c r="Q229" s="5"/>
      <c r="R229" s="5"/>
    </row>
    <row r="230" spans="4:18" ht="15">
      <c r="D230" s="5"/>
      <c r="E230" s="5"/>
      <c r="F230" s="5"/>
      <c r="G230" s="27"/>
      <c r="H230" s="27"/>
      <c r="I230" s="27"/>
      <c r="J230" s="27"/>
      <c r="K230" s="27"/>
      <c r="L230" s="27"/>
      <c r="M230" s="27"/>
      <c r="N230" s="27"/>
      <c r="O230" s="27"/>
      <c r="P230" s="5"/>
      <c r="Q230" s="5"/>
      <c r="R230" s="5"/>
    </row>
    <row r="231" spans="2:18" ht="15">
      <c r="B231" s="11" t="s">
        <v>146</v>
      </c>
      <c r="C231" s="10"/>
      <c r="D231" s="24" t="s">
        <v>147</v>
      </c>
      <c r="E231" s="18">
        <v>2016</v>
      </c>
      <c r="F231" s="18"/>
      <c r="G231" s="28"/>
      <c r="H231" s="28"/>
      <c r="I231" s="28"/>
      <c r="J231" s="52">
        <v>40908</v>
      </c>
      <c r="K231" s="52">
        <v>40909</v>
      </c>
      <c r="L231" s="52">
        <v>41275</v>
      </c>
      <c r="M231" s="52">
        <v>41640</v>
      </c>
      <c r="N231" s="52">
        <v>42005</v>
      </c>
      <c r="O231" s="52">
        <v>42370</v>
      </c>
      <c r="P231" s="5"/>
      <c r="Q231" s="5"/>
      <c r="R231" s="5"/>
    </row>
    <row r="232" spans="2:18" ht="15">
      <c r="B232" t="s">
        <v>145</v>
      </c>
      <c r="D232" s="5"/>
      <c r="E232" s="5"/>
      <c r="F232" s="5"/>
      <c r="G232" s="27"/>
      <c r="H232" s="27"/>
      <c r="I232" s="27"/>
      <c r="J232" s="27">
        <f>-Q55</f>
        <v>-1203.8500000000001</v>
      </c>
      <c r="K232" s="27">
        <f>IF(YEAR(K$231)=$E$231,K227,0)</f>
        <v>0</v>
      </c>
      <c r="L232" s="27">
        <f aca="true" t="shared" si="158" ref="L232:O233">IF(YEAR(L$231)=$E$231,L227,0)</f>
        <v>0</v>
      </c>
      <c r="M232" s="27">
        <f t="shared" si="158"/>
        <v>0</v>
      </c>
      <c r="N232" s="27">
        <f t="shared" si="158"/>
        <v>0</v>
      </c>
      <c r="O232" s="27">
        <f ca="1" t="shared" si="158"/>
        <v>1668.4561983399526</v>
      </c>
      <c r="P232" s="5"/>
      <c r="Q232" s="5"/>
      <c r="R232" s="5"/>
    </row>
    <row r="233" spans="2:18" ht="15">
      <c r="B233" s="7" t="s">
        <v>142</v>
      </c>
      <c r="D233" s="5"/>
      <c r="E233" s="5"/>
      <c r="F233" s="5"/>
      <c r="G233" s="27"/>
      <c r="H233" s="27"/>
      <c r="I233" s="27"/>
      <c r="J233" s="27">
        <f>-SUM(I58:I59)</f>
        <v>-12374.576000000003</v>
      </c>
      <c r="K233" s="27">
        <f>IF(YEAR(K$231)=$E$231,K228,0)</f>
        <v>0</v>
      </c>
      <c r="L233" s="27">
        <f t="shared" si="158"/>
        <v>0</v>
      </c>
      <c r="M233" s="27">
        <f t="shared" si="158"/>
        <v>0</v>
      </c>
      <c r="N233" s="27">
        <f t="shared" si="158"/>
        <v>0</v>
      </c>
      <c r="O233" s="27">
        <f ca="1" t="shared" si="158"/>
        <v>32113.712933852574</v>
      </c>
      <c r="P233" s="5"/>
      <c r="Q233" s="5"/>
      <c r="R233" s="5"/>
    </row>
    <row r="234" spans="4:18" ht="15">
      <c r="D234" s="5"/>
      <c r="E234" s="5"/>
      <c r="F234" s="5"/>
      <c r="G234" s="27"/>
      <c r="H234" s="27"/>
      <c r="I234" s="27"/>
      <c r="J234" s="27"/>
      <c r="K234" s="27"/>
      <c r="L234" s="27"/>
      <c r="M234" s="27"/>
      <c r="N234" s="27"/>
      <c r="O234" s="27"/>
      <c r="P234" s="5"/>
      <c r="Q234" s="5"/>
      <c r="R234" s="5"/>
    </row>
    <row r="235" spans="4:18" ht="15">
      <c r="D235" s="5"/>
      <c r="E235" s="5"/>
      <c r="F235" s="5"/>
      <c r="G235" s="27"/>
      <c r="H235" s="27"/>
      <c r="I235" s="27"/>
      <c r="J235" s="27"/>
      <c r="K235" s="27"/>
      <c r="L235" s="27"/>
      <c r="M235" s="27"/>
      <c r="N235" s="27"/>
      <c r="O235" s="27"/>
      <c r="P235" s="5"/>
      <c r="Q235" s="5"/>
      <c r="R235" s="5"/>
    </row>
    <row r="236" spans="2:18" ht="15">
      <c r="B236" s="31" t="s">
        <v>148</v>
      </c>
      <c r="C236" s="32"/>
      <c r="D236" s="33">
        <f>E231</f>
        <v>2016</v>
      </c>
      <c r="E236" s="53"/>
      <c r="F236" s="5"/>
      <c r="G236" s="27"/>
      <c r="H236" s="27"/>
      <c r="I236" s="27"/>
      <c r="J236" s="27"/>
      <c r="K236" s="27"/>
      <c r="L236" s="27"/>
      <c r="M236" s="27"/>
      <c r="N236" s="27"/>
      <c r="O236" s="27"/>
      <c r="P236" s="5"/>
      <c r="Q236" s="5"/>
      <c r="R236" s="5"/>
    </row>
    <row r="237" spans="2:18" ht="15">
      <c r="B237" s="36" t="s">
        <v>149</v>
      </c>
      <c r="C237" s="37"/>
      <c r="D237" s="38">
        <f ca="1">OFFSET(J210,0,MATCH(E231,K208:O208,0))</f>
        <v>10</v>
      </c>
      <c r="E237" s="54"/>
      <c r="F237" s="5"/>
      <c r="G237" s="27"/>
      <c r="H237" s="27"/>
      <c r="I237" s="27"/>
      <c r="J237" s="27"/>
      <c r="K237" s="27"/>
      <c r="L237" s="27"/>
      <c r="M237" s="27"/>
      <c r="N237" s="27"/>
      <c r="O237" s="27"/>
      <c r="P237" s="5"/>
      <c r="Q237" s="5"/>
      <c r="R237" s="5"/>
    </row>
    <row r="238" spans="2:18" ht="15">
      <c r="B238" s="36"/>
      <c r="C238" s="37"/>
      <c r="D238" s="38"/>
      <c r="E238" s="54"/>
      <c r="F238" s="5"/>
      <c r="G238" s="27"/>
      <c r="H238" s="27"/>
      <c r="I238" s="27"/>
      <c r="J238" s="27"/>
      <c r="K238" s="27"/>
      <c r="L238" s="27"/>
      <c r="M238" s="27"/>
      <c r="N238" s="27"/>
      <c r="O238" s="27"/>
      <c r="P238" s="5"/>
      <c r="Q238" s="5"/>
      <c r="R238" s="5"/>
    </row>
    <row r="239" spans="2:18" ht="15">
      <c r="B239" s="36"/>
      <c r="C239" s="37"/>
      <c r="D239" s="55" t="s">
        <v>150</v>
      </c>
      <c r="E239" s="56" t="s">
        <v>151</v>
      </c>
      <c r="F239" s="5"/>
      <c r="G239" s="27"/>
      <c r="H239" s="27"/>
      <c r="I239" s="27"/>
      <c r="J239" s="27"/>
      <c r="K239" s="27"/>
      <c r="L239" s="27"/>
      <c r="M239" s="27"/>
      <c r="N239" s="27"/>
      <c r="O239" s="27"/>
      <c r="P239" s="5"/>
      <c r="Q239" s="5"/>
      <c r="R239" s="5"/>
    </row>
    <row r="240" spans="2:18" ht="15">
      <c r="B240" s="36" t="s">
        <v>145</v>
      </c>
      <c r="C240" s="37"/>
      <c r="D240" s="41">
        <f ca="1">XIRR(J232:O232,J231:O231)</f>
        <v>0.08489356338977815</v>
      </c>
      <c r="E240" s="57">
        <f ca="1">-O232/J232</f>
        <v>1.3859336282260684</v>
      </c>
      <c r="F240" s="5"/>
      <c r="G240" s="27"/>
      <c r="H240" s="27"/>
      <c r="I240" s="27"/>
      <c r="J240" s="27"/>
      <c r="K240" s="27"/>
      <c r="L240" s="27"/>
      <c r="M240" s="27"/>
      <c r="N240" s="27"/>
      <c r="O240" s="27"/>
      <c r="P240" s="5"/>
      <c r="Q240" s="5"/>
      <c r="R240" s="5"/>
    </row>
    <row r="241" spans="2:18" ht="15">
      <c r="B241" s="58" t="s">
        <v>142</v>
      </c>
      <c r="C241" s="10"/>
      <c r="D241" s="44">
        <f ca="1">XIRR(J233:O233,J231:O231)</f>
        <v>0.2688152968883515</v>
      </c>
      <c r="E241" s="59">
        <f ca="1">-O233/J233</f>
        <v>2.5951364259957326</v>
      </c>
      <c r="F241" s="5"/>
      <c r="G241" s="27"/>
      <c r="H241" s="27"/>
      <c r="I241" s="27"/>
      <c r="J241" s="27"/>
      <c r="K241" s="27"/>
      <c r="L241" s="27"/>
      <c r="M241" s="27"/>
      <c r="N241" s="27"/>
      <c r="O241" s="27"/>
      <c r="P241" s="5"/>
      <c r="Q241" s="5"/>
      <c r="R241" s="5"/>
    </row>
  </sheetData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Boston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 Kaili</dc:creator>
  <cp:keywords/>
  <dc:description/>
  <cp:lastModifiedBy>Shen Kaili</cp:lastModifiedBy>
  <dcterms:created xsi:type="dcterms:W3CDTF">2016-03-08T14:01:59Z</dcterms:created>
  <dcterms:modified xsi:type="dcterms:W3CDTF">2016-03-13T11:32:22Z</dcterms:modified>
  <cp:category/>
  <cp:version/>
  <cp:contentType/>
  <cp:contentStatus/>
</cp:coreProperties>
</file>