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100" tabRatio="658" activeTab="1"/>
  </bookViews>
  <sheets>
    <sheet name="General Mills" sheetId="1" r:id="rId1"/>
    <sheet name="Income Statement" sheetId="2" r:id="rId2"/>
    <sheet name="Working Capital" sheetId="3" r:id="rId3"/>
    <sheet name="PP&amp;E" sheetId="4" r:id="rId4"/>
    <sheet name="Cash Flow Statement" sheetId="5" r:id="rId5"/>
    <sheet name="Balance Sheet" sheetId="6" r:id="rId6"/>
    <sheet name="Debt Schedule" sheetId="7" r:id="rId7"/>
    <sheet name="DCF" sheetId="8" r:id="rId8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>UserOne</author>
    <author>tradingroom</author>
  </authors>
  <commentList>
    <comment ref="E22" authorId="0">
      <text>
        <r>
          <rPr>
            <b/>
            <sz val="9"/>
            <rFont val="Tahoma"/>
            <family val="2"/>
          </rPr>
          <t xml:space="preserve">Joey: Effective Income Tax Rate is 33% as seen on Page 17
</t>
        </r>
        <r>
          <rPr>
            <sz val="9"/>
            <rFont val="Tahoma"/>
            <family val="2"/>
          </rPr>
          <t xml:space="preserve">
</t>
        </r>
      </text>
    </comment>
    <comment ref="H12" authorId="1">
      <text>
        <r>
          <rPr>
            <b/>
            <sz val="9"/>
            <rFont val="Tahoma"/>
            <family val="2"/>
          </rPr>
          <t>JM:</t>
        </r>
        <r>
          <rPr>
            <sz val="9"/>
            <rFont val="Tahoma"/>
            <family val="2"/>
          </rPr>
          <t xml:space="preserve"> Amortization is expected to be the same
</t>
        </r>
      </text>
    </comment>
    <comment ref="I38" authorId="1">
      <text>
        <r>
          <rPr>
            <b/>
            <sz val="9"/>
            <rFont val="Tahoma"/>
            <family val="2"/>
          </rPr>
          <t>JM: Population growth will drive revenues as well as the acquisition of Annie's Pretzels</t>
        </r>
      </text>
    </comment>
    <comment ref="I39" authorId="1">
      <text>
        <r>
          <rPr>
            <b/>
            <sz val="9"/>
            <rFont val="Tahoma"/>
            <family val="2"/>
          </rPr>
          <t>JM: Commodity prices are expected to grow</t>
        </r>
        <r>
          <rPr>
            <sz val="9"/>
            <rFont val="Tahoma"/>
            <family val="2"/>
          </rPr>
          <t xml:space="preserve">
</t>
        </r>
      </text>
    </comment>
    <comment ref="H34" authorId="1">
      <text>
        <r>
          <rPr>
            <b/>
            <sz val="9"/>
            <rFont val="Tahoma"/>
            <family val="2"/>
          </rPr>
          <t>JM: Price after market closing on 4/18/2016</t>
        </r>
      </text>
    </comment>
    <comment ref="I41" authorId="1">
      <text>
        <r>
          <rPr>
            <b/>
            <sz val="9"/>
            <rFont val="Tahoma"/>
            <family val="2"/>
          </rPr>
          <t xml:space="preserve">JM: Project Compass initiative is designed to decrease administrative expense
</t>
        </r>
      </text>
    </comment>
    <comment ref="I13" authorId="1">
      <text>
        <r>
          <rPr>
            <b/>
            <sz val="9"/>
            <rFont val="Tahoma"/>
            <family val="2"/>
          </rPr>
          <t>JM: Project Compass will incur ~$62 million in cost for the first year.</t>
        </r>
      </text>
    </comment>
    <comment ref="J13" authorId="1">
      <text>
        <r>
          <rPr>
            <b/>
            <sz val="9"/>
            <rFont val="Tahoma"/>
            <family val="2"/>
          </rPr>
          <t xml:space="preserve">JM: Remaining cost from Project Compass
</t>
        </r>
      </text>
    </comment>
    <comment ref="H58" authorId="1">
      <text>
        <r>
          <rPr>
            <b/>
            <sz val="9"/>
            <rFont val="Tahoma"/>
            <family val="2"/>
          </rPr>
          <t xml:space="preserve">JM: Shares Outstanding on 
Pg. 53 of Stockholder's equity
</t>
        </r>
      </text>
    </comment>
    <comment ref="I57" authorId="1">
      <text>
        <r>
          <rPr>
            <b/>
            <sz val="9"/>
            <rFont val="Tahoma"/>
            <family val="2"/>
          </rPr>
          <t>JM: Assumption of Shares Outstanding is flatlined from last given year</t>
        </r>
      </text>
    </comment>
    <comment ref="I58" authorId="1">
      <text>
        <r>
          <rPr>
            <b/>
            <sz val="9"/>
            <rFont val="Tahoma"/>
            <family val="2"/>
          </rPr>
          <t xml:space="preserve">JM: Shares Issued per projection year is assumed to be zero
</t>
        </r>
      </text>
    </comment>
    <comment ref="I60" authorId="0">
      <text>
        <r>
          <rPr>
            <b/>
            <sz val="9"/>
            <rFont val="Tahoma"/>
            <family val="2"/>
          </rPr>
          <t>JM: Since no shares are being issued we can not project a price</t>
        </r>
      </text>
    </comment>
  </commentList>
</comments>
</file>

<file path=xl/comments3.xml><?xml version="1.0" encoding="utf-8"?>
<comments xmlns="http://schemas.openxmlformats.org/spreadsheetml/2006/main">
  <authors>
    <author>UserOne</author>
  </authors>
  <commentList>
    <comment ref="I11" authorId="0">
      <text>
        <r>
          <rPr>
            <b/>
            <sz val="9"/>
            <rFont val="Tahoma"/>
            <family val="2"/>
          </rPr>
          <t>JM: Average of past years</t>
        </r>
      </text>
    </comment>
  </commentList>
</comments>
</file>

<file path=xl/comments4.xml><?xml version="1.0" encoding="utf-8"?>
<comments xmlns="http://schemas.openxmlformats.org/spreadsheetml/2006/main">
  <authors>
    <author>tradingroom</author>
    <author>UserOne</author>
  </authors>
  <commentList>
    <comment ref="D38" authorId="0">
      <text>
        <r>
          <rPr>
            <b/>
            <sz val="9"/>
            <rFont val="Tahoma"/>
            <family val="2"/>
          </rPr>
          <t xml:space="preserve">JM: Note 17 Supplemental Information
</t>
        </r>
      </text>
    </comment>
    <comment ref="D39" authorId="0">
      <text>
        <r>
          <rPr>
            <b/>
            <sz val="9"/>
            <rFont val="Tahoma"/>
            <family val="2"/>
          </rPr>
          <t xml:space="preserve">JM: Includes Buildings under Capital Lease
</t>
        </r>
      </text>
    </comment>
    <comment ref="D40" authorId="0">
      <text>
        <r>
          <rPr>
            <b/>
            <sz val="9"/>
            <rFont val="Tahoma"/>
            <family val="2"/>
          </rPr>
          <t xml:space="preserve">JM: Includes Equipment under Capital lease
</t>
        </r>
      </text>
    </comment>
    <comment ref="D30" authorId="1">
      <text>
        <r>
          <rPr>
            <b/>
            <sz val="9"/>
            <rFont val="Tahoma"/>
            <family val="2"/>
          </rPr>
          <t>JM: Using 5 years worth of Fiscal 10K's  where Gross PP&amp;E is stated on Note 17 under Supplemental Information</t>
        </r>
      </text>
    </comment>
  </commentList>
</comments>
</file>

<file path=xl/comments5.xml><?xml version="1.0" encoding="utf-8"?>
<comments xmlns="http://schemas.openxmlformats.org/spreadsheetml/2006/main">
  <authors>
    <author>tradingroom</author>
    <author>UserOne</author>
  </authors>
  <commentList>
    <comment ref="E18" authorId="0">
      <text>
        <r>
          <rPr>
            <b/>
            <sz val="9"/>
            <rFont val="Tahoma"/>
            <family val="2"/>
          </rPr>
          <t xml:space="preserve">JM: 10% of 2015 Net Sales
</t>
        </r>
      </text>
    </comment>
    <comment ref="F24" authorId="0">
      <text>
        <r>
          <rPr>
            <b/>
            <sz val="9"/>
            <rFont val="Tahoma"/>
            <family val="2"/>
          </rPr>
          <t xml:space="preserve">JM: $1,200,000,000 in share repurchases in at the end of Fiscal 2015 (Page. 17)
</t>
        </r>
      </text>
    </comment>
    <comment ref="F89" authorId="1">
      <text>
        <r>
          <rPr>
            <b/>
            <sz val="9"/>
            <rFont val="Tahoma"/>
            <family val="2"/>
          </rPr>
          <t>JM: Dividend Projections are an average of the past three years</t>
        </r>
      </text>
    </comment>
  </commentList>
</comments>
</file>

<file path=xl/comments6.xml><?xml version="1.0" encoding="utf-8"?>
<comments xmlns="http://schemas.openxmlformats.org/spreadsheetml/2006/main">
  <authors>
    <author>tradingroom</author>
    <author>UserOne</author>
  </authors>
  <commentList>
    <comment ref="D53" authorId="0">
      <text>
        <r>
          <rPr>
            <b/>
            <sz val="9"/>
            <rFont val="Tahoma"/>
            <family val="2"/>
          </rPr>
          <t xml:space="preserve">JM: Includes Non Controlling Interest
</t>
        </r>
      </text>
    </comment>
    <comment ref="G52" authorId="0">
      <text>
        <r>
          <rPr>
            <b/>
            <sz val="9"/>
            <rFont val="Tahoma"/>
            <family val="2"/>
          </rPr>
          <t>JM: Found on Page 32 under Capital Resources</t>
        </r>
      </text>
    </comment>
    <comment ref="D26" authorId="0">
      <text>
        <r>
          <rPr>
            <b/>
            <sz val="9"/>
            <rFont val="Tahoma"/>
            <family val="2"/>
          </rPr>
          <t>JM: Page 78 of 10k lists out a summary of long term debt</t>
        </r>
      </text>
    </comment>
    <comment ref="D49" authorId="0">
      <text>
        <r>
          <rPr>
            <b/>
            <sz val="9"/>
            <rFont val="Tahoma"/>
            <family val="2"/>
          </rPr>
          <t xml:space="preserve">JM: Includes deferred income taxes
</t>
        </r>
      </text>
    </comment>
    <comment ref="G45" authorId="1">
      <text>
        <r>
          <rPr>
            <b/>
            <sz val="9"/>
            <rFont val="Tahoma"/>
            <family val="2"/>
          </rPr>
          <t>JM: Flatlined for Projection Purposes</t>
        </r>
      </text>
    </comment>
    <comment ref="G46" authorId="1">
      <text>
        <r>
          <rPr>
            <b/>
            <sz val="9"/>
            <rFont val="Tahoma"/>
            <family val="2"/>
          </rPr>
          <t xml:space="preserve">JM: Flatlined for Projection Purposes
</t>
        </r>
      </text>
    </comment>
    <comment ref="G47" authorId="1">
      <text>
        <r>
          <rPr>
            <b/>
            <sz val="9"/>
            <rFont val="Tahoma"/>
            <family val="2"/>
          </rPr>
          <t xml:space="preserve">JM: Flatlined for Projection Purposes
</t>
        </r>
      </text>
    </comment>
    <comment ref="G48" authorId="1">
      <text>
        <r>
          <rPr>
            <b/>
            <sz val="9"/>
            <rFont val="Tahoma"/>
            <family val="2"/>
          </rPr>
          <t>JM: Page 78 page about Debt (Note 8)</t>
        </r>
      </text>
    </comment>
    <comment ref="H22" authorId="1">
      <text>
        <r>
          <rPr>
            <b/>
            <sz val="9"/>
            <rFont val="Tahoma"/>
            <family val="2"/>
          </rPr>
          <t xml:space="preserve">JM: Flatlined for Projection Purposes
</t>
        </r>
      </text>
    </comment>
    <comment ref="H15" authorId="1">
      <text>
        <r>
          <rPr>
            <b/>
            <sz val="9"/>
            <rFont val="Tahoma"/>
            <family val="2"/>
          </rPr>
          <t>JM: Estimation based on previous years</t>
        </r>
      </text>
    </comment>
  </commentList>
</comments>
</file>

<file path=xl/comments7.xml><?xml version="1.0" encoding="utf-8"?>
<comments xmlns="http://schemas.openxmlformats.org/spreadsheetml/2006/main">
  <authors>
    <author>UserOne</author>
  </authors>
  <commentList>
    <comment ref="F9" authorId="0">
      <text>
        <r>
          <rPr>
            <b/>
            <sz val="9"/>
            <rFont val="Tahoma"/>
            <family val="2"/>
          </rPr>
          <t>JM: Notes Payable on page 76</t>
        </r>
      </text>
    </comment>
    <comment ref="E10" authorId="0">
      <text>
        <r>
          <rPr>
            <b/>
            <sz val="9"/>
            <rFont val="Tahoma"/>
            <family val="2"/>
          </rPr>
          <t>JM: USD Libor Rate</t>
        </r>
      </text>
    </comment>
  </commentList>
</comments>
</file>

<file path=xl/comments8.xml><?xml version="1.0" encoding="utf-8"?>
<comments xmlns="http://schemas.openxmlformats.org/spreadsheetml/2006/main">
  <authors>
    <author>UserOne</author>
  </authors>
  <commentList>
    <comment ref="P4" authorId="0">
      <text>
        <r>
          <rPr>
            <b/>
            <sz val="9"/>
            <rFont val="Tahoma"/>
            <family val="2"/>
          </rPr>
          <t>JM: Rate according to Yahoo Finance</t>
        </r>
      </text>
    </comment>
    <comment ref="E33" authorId="0">
      <text>
        <r>
          <rPr>
            <b/>
            <sz val="9"/>
            <rFont val="Tahoma"/>
            <family val="2"/>
          </rPr>
          <t>JM: Estimation based off of U.S GDP Growth</t>
        </r>
      </text>
    </comment>
  </commentList>
</comments>
</file>

<file path=xl/sharedStrings.xml><?xml version="1.0" encoding="utf-8"?>
<sst xmlns="http://schemas.openxmlformats.org/spreadsheetml/2006/main" count="467" uniqueCount="230">
  <si>
    <t>Ticker Symbol:</t>
  </si>
  <si>
    <t>Industry:</t>
  </si>
  <si>
    <t>Sector:</t>
  </si>
  <si>
    <t>Food Processing</t>
  </si>
  <si>
    <t>GIS | (NYSE)</t>
  </si>
  <si>
    <t>Consumer Products</t>
  </si>
  <si>
    <t>Dollars in Millions</t>
  </si>
  <si>
    <t>Net Sales</t>
  </si>
  <si>
    <t>Cost of Goods Sold</t>
  </si>
  <si>
    <t>Gross Profit</t>
  </si>
  <si>
    <t>SG&amp;A</t>
  </si>
  <si>
    <t>Amoritzation</t>
  </si>
  <si>
    <t>Depreciation</t>
  </si>
  <si>
    <t>EBITDA</t>
  </si>
  <si>
    <t>Net Interest Expense</t>
  </si>
  <si>
    <t>EBT</t>
  </si>
  <si>
    <t>Taxes</t>
  </si>
  <si>
    <t>Net Income (Non-GAAP)</t>
  </si>
  <si>
    <t>Net Income GAAP</t>
  </si>
  <si>
    <t>Actual</t>
  </si>
  <si>
    <t>Projected</t>
  </si>
  <si>
    <t>-</t>
  </si>
  <si>
    <t>Growth Summary</t>
  </si>
  <si>
    <t>Revenue Growth</t>
  </si>
  <si>
    <t>Gross Profit Growth</t>
  </si>
  <si>
    <t>Cost of Goods Sold growth</t>
  </si>
  <si>
    <t>EBIT/OP Growth</t>
  </si>
  <si>
    <t>EBITDA growth</t>
  </si>
  <si>
    <t>Margin Summary</t>
  </si>
  <si>
    <t>Cost of Goods Sold / rev.</t>
  </si>
  <si>
    <t>Gross Profit / rev.</t>
  </si>
  <si>
    <t>SG&amp;A and Operating Expense / rev.</t>
  </si>
  <si>
    <t>EBIT/OP / rev.</t>
  </si>
  <si>
    <t>EBITDA / rev.</t>
  </si>
  <si>
    <t>EBT / rev.</t>
  </si>
  <si>
    <t>Net income (non-GAAP) / rev.</t>
  </si>
  <si>
    <t>After Tax Earnings</t>
  </si>
  <si>
    <t>Noncontrolling interests</t>
  </si>
  <si>
    <t>EBIT/Operating Profit</t>
  </si>
  <si>
    <t>General Mills Income Statement</t>
  </si>
  <si>
    <t>Average Shares Outstanding</t>
  </si>
  <si>
    <t>Earnings per Share (EPS)</t>
  </si>
  <si>
    <t>Market Price</t>
  </si>
  <si>
    <t>Working Capital</t>
  </si>
  <si>
    <t>Assets</t>
  </si>
  <si>
    <t>Accounts Receivable</t>
  </si>
  <si>
    <t>Days Sales Outstanding</t>
  </si>
  <si>
    <t>Receivables Turnover Ratio</t>
  </si>
  <si>
    <t>Inventory</t>
  </si>
  <si>
    <t>Days on Hand</t>
  </si>
  <si>
    <t>Inventory Turnover</t>
  </si>
  <si>
    <t>Other Current Assets</t>
  </si>
  <si>
    <t>Liabilities</t>
  </si>
  <si>
    <t>Accounts Payable</t>
  </si>
  <si>
    <t>Days Payable Outstanding</t>
  </si>
  <si>
    <t>Payables Turnover Ratio</t>
  </si>
  <si>
    <t>Other Current Liabilities</t>
  </si>
  <si>
    <t>Change in Working Capital</t>
  </si>
  <si>
    <t>Cash Conversion Cycle</t>
  </si>
  <si>
    <t>Inventory days + Receivable days - Payable days</t>
  </si>
  <si>
    <t>Balance Sheet</t>
  </si>
  <si>
    <t>Total Current Assets</t>
  </si>
  <si>
    <t>Price to Earnings (P/E)</t>
  </si>
  <si>
    <t>Cash and Cash Equivalents</t>
  </si>
  <si>
    <t>Total Assets</t>
  </si>
  <si>
    <t>Liabilities &amp; Shareholders Equity</t>
  </si>
  <si>
    <t>Total Current Liabilities</t>
  </si>
  <si>
    <t>Balance Sheet Check</t>
  </si>
  <si>
    <t>Current Portion of long-term debt</t>
  </si>
  <si>
    <t>Notes Payable</t>
  </si>
  <si>
    <t>Reedeemable Interest</t>
  </si>
  <si>
    <t>Total Liabilities</t>
  </si>
  <si>
    <t>Fiscal Year Ended May 31, 2015</t>
  </si>
  <si>
    <t>% of Net Sales</t>
  </si>
  <si>
    <t>Projected PP&amp;E</t>
  </si>
  <si>
    <t>Gross PP&amp;E</t>
  </si>
  <si>
    <t>Beginning Net PP&amp;E</t>
  </si>
  <si>
    <t>Ending Net PP&amp;E</t>
  </si>
  <si>
    <t>Total Capex Depreciation</t>
  </si>
  <si>
    <t>Total Depreciation</t>
  </si>
  <si>
    <t>Cash Flow Statement</t>
  </si>
  <si>
    <t>Funds from (used by) operating activities</t>
  </si>
  <si>
    <t>Net income GAAP</t>
  </si>
  <si>
    <t>Amortization</t>
  </si>
  <si>
    <t>Total Funds From (Used by) Operating Activities</t>
  </si>
  <si>
    <t>Capital Expenditures</t>
  </si>
  <si>
    <t>% of Gross PP&amp;E</t>
  </si>
  <si>
    <t>Total Funds From (Used by) Investing Activities</t>
  </si>
  <si>
    <t>Minimum Cash Balance</t>
  </si>
  <si>
    <t xml:space="preserve">Excess over/(under) Minimum Cash Balance </t>
  </si>
  <si>
    <t>Funds from (used by) financing activities</t>
  </si>
  <si>
    <t>Equity Issuance</t>
  </si>
  <si>
    <t>Share Repurchase</t>
  </si>
  <si>
    <t>Bank Revolver</t>
  </si>
  <si>
    <t>Net increase (decrease) in cash</t>
  </si>
  <si>
    <t>Common Stock Dividends</t>
  </si>
  <si>
    <t>Cash summary</t>
  </si>
  <si>
    <t>Beginning cash balance</t>
  </si>
  <si>
    <t>Dividends</t>
  </si>
  <si>
    <t>Ending cash balance</t>
  </si>
  <si>
    <t>Debt Schedule</t>
  </si>
  <si>
    <t>Revolver</t>
  </si>
  <si>
    <t>Beginning balance</t>
  </si>
  <si>
    <t>Additional borrowings (repayment)</t>
  </si>
  <si>
    <t>Ending balance</t>
  </si>
  <si>
    <t>Interest expense</t>
  </si>
  <si>
    <t>Commitment Fee</t>
  </si>
  <si>
    <t>Revolver commitment</t>
  </si>
  <si>
    <t>Revolver balance</t>
  </si>
  <si>
    <t>Mandatory amortization</t>
  </si>
  <si>
    <t>Amortization %</t>
  </si>
  <si>
    <t>Interest income</t>
  </si>
  <si>
    <t>Total interest expense</t>
  </si>
  <si>
    <t>SG&amp;A Growth</t>
  </si>
  <si>
    <t xml:space="preserve">Other Current Assets </t>
  </si>
  <si>
    <t>Net PP&amp;E</t>
  </si>
  <si>
    <t>Accumulate Depreciation</t>
  </si>
  <si>
    <t>Other Intangibles (Includes Goodwill)</t>
  </si>
  <si>
    <t>Other Long Term Assets</t>
  </si>
  <si>
    <t xml:space="preserve">Stockholders' Equity </t>
  </si>
  <si>
    <t>Total Liabilities + Total Equity</t>
  </si>
  <si>
    <t>Long Term Liabilities</t>
  </si>
  <si>
    <t>Notes due Feb 2019</t>
  </si>
  <si>
    <t>Notes due Feb 2017</t>
  </si>
  <si>
    <t>Notes due Dec 2021</t>
  </si>
  <si>
    <t>Notes due March 2015</t>
  </si>
  <si>
    <t>Notes due Nov 2020</t>
  </si>
  <si>
    <t>Notes due April 2023</t>
  </si>
  <si>
    <t>Notes due Oct 2017</t>
  </si>
  <si>
    <t>Notes due June 2040</t>
  </si>
  <si>
    <t>Notes due Feb 2043</t>
  </si>
  <si>
    <t>Notes due Feb 2024</t>
  </si>
  <si>
    <t>Notes due Oct 2019</t>
  </si>
  <si>
    <t>Notes due Jan 2016</t>
  </si>
  <si>
    <t>Notes due April 2027</t>
  </si>
  <si>
    <t>Notes due Dec 2014</t>
  </si>
  <si>
    <t>Notes due June 2021</t>
  </si>
  <si>
    <t>Other, including capital leases</t>
  </si>
  <si>
    <t>Less amount due within one year</t>
  </si>
  <si>
    <t>Note Due Feb 2019</t>
  </si>
  <si>
    <t>Note Due Feb 2017</t>
  </si>
  <si>
    <t>Other LT Liabilities</t>
  </si>
  <si>
    <t>Total LT Debt</t>
  </si>
  <si>
    <t>Note Due Dec 2021</t>
  </si>
  <si>
    <t>Note Due March 2015</t>
  </si>
  <si>
    <t>Note Due Nov 2020</t>
  </si>
  <si>
    <t>Note Due April 2023</t>
  </si>
  <si>
    <t>Note Due Oct 2017</t>
  </si>
  <si>
    <t>Note Due June 2040</t>
  </si>
  <si>
    <t>Note Due Feb 2043</t>
  </si>
  <si>
    <t>Note Due Feb 2024</t>
  </si>
  <si>
    <t>Note Due Oct 2019</t>
  </si>
  <si>
    <t>Note Due Jan 2016</t>
  </si>
  <si>
    <t>Note Due April 2027</t>
  </si>
  <si>
    <t>Note Due Dec 2014</t>
  </si>
  <si>
    <t>Note Due June 2021</t>
  </si>
  <si>
    <t>Funds from  investing activities</t>
  </si>
  <si>
    <t>Asset Useful Life</t>
  </si>
  <si>
    <t>Years</t>
  </si>
  <si>
    <t>Historical Calculations</t>
  </si>
  <si>
    <t>Capex as a % of Gross PP&amp;E</t>
  </si>
  <si>
    <t>CapEx</t>
  </si>
  <si>
    <t>Weighted Average Useful Life</t>
  </si>
  <si>
    <t>Plant, Property &amp; Equipment</t>
  </si>
  <si>
    <t>Land</t>
  </si>
  <si>
    <t>Building</t>
  </si>
  <si>
    <t>Machinery &amp; Equipment</t>
  </si>
  <si>
    <t>Capitalized Software</t>
  </si>
  <si>
    <t>Construction in Progress</t>
  </si>
  <si>
    <t>Total Gross PP&amp;E</t>
  </si>
  <si>
    <t>Weighted %</t>
  </si>
  <si>
    <t>Given Range (Yrs)</t>
  </si>
  <si>
    <t>Median (Yrs)</t>
  </si>
  <si>
    <t>Weighted Average</t>
  </si>
  <si>
    <t>5 Yr. Average</t>
  </si>
  <si>
    <t>Free Cash Flow (FCF)</t>
  </si>
  <si>
    <t>Cash Available after Mandatory Amortization</t>
  </si>
  <si>
    <t>Mandatory Debt Amortization</t>
  </si>
  <si>
    <t>Optional Debt Amortization</t>
  </si>
  <si>
    <t>Senior Unsecured Notes:</t>
  </si>
  <si>
    <t>Other Notes</t>
  </si>
  <si>
    <t>New Unsecured Subordinate Notes</t>
  </si>
  <si>
    <t>Net Increase (Decrease) in Cash</t>
  </si>
  <si>
    <t>Shares Outstanding Schedule:</t>
  </si>
  <si>
    <t>BOY Shares Outstanding</t>
  </si>
  <si>
    <t>Shares Issued</t>
  </si>
  <si>
    <t>EOY Shares Outstanding</t>
  </si>
  <si>
    <t>Price Per Share Issued</t>
  </si>
  <si>
    <t>Price Per Share Repurchased</t>
  </si>
  <si>
    <t>Medium Term Notes</t>
  </si>
  <si>
    <t>Discounted Cash Flow</t>
  </si>
  <si>
    <t>Numbers in Millions</t>
  </si>
  <si>
    <t>EBIT</t>
  </si>
  <si>
    <t>Depreciation &amp; Amortization</t>
  </si>
  <si>
    <t>Taxes on EBIT</t>
  </si>
  <si>
    <t>Capital Expenditure</t>
  </si>
  <si>
    <t>Assumptions</t>
  </si>
  <si>
    <t>S&amp;P CoE</t>
  </si>
  <si>
    <t>10 Year Treasury</t>
  </si>
  <si>
    <t>Implied ERP</t>
  </si>
  <si>
    <t>GM ERP</t>
  </si>
  <si>
    <t>GM Beta</t>
  </si>
  <si>
    <t>GM CoE</t>
  </si>
  <si>
    <t>GM CoD</t>
  </si>
  <si>
    <t>GM WACC</t>
  </si>
  <si>
    <t>% Growth of FCF</t>
  </si>
  <si>
    <t>Exit Multiple Method</t>
  </si>
  <si>
    <t>Discount Rate / WACC</t>
  </si>
  <si>
    <t>TV Year EBITA</t>
  </si>
  <si>
    <t>Terminal EBITA Multiple</t>
  </si>
  <si>
    <t>Terminal Value</t>
  </si>
  <si>
    <t>PV of Terminal Value</t>
  </si>
  <si>
    <t>Sum of PV of Cash Flows</t>
  </si>
  <si>
    <t>Total Company Value</t>
  </si>
  <si>
    <t>Less</t>
  </si>
  <si>
    <t>Debt</t>
  </si>
  <si>
    <t>Equity Value</t>
  </si>
  <si>
    <t>Shares Outstanding</t>
  </si>
  <si>
    <t>Target Price</t>
  </si>
  <si>
    <t>Perpetuity Method</t>
  </si>
  <si>
    <t>TV Year FCF</t>
  </si>
  <si>
    <t>Terminal Growth Rate</t>
  </si>
  <si>
    <t>Total Cost of Equity &amp; Debt</t>
  </si>
  <si>
    <t>GM Equity</t>
  </si>
  <si>
    <t>GM Debt</t>
  </si>
  <si>
    <t>Total Equity &amp; Debt</t>
  </si>
  <si>
    <t>Restructuring &amp; Divestiture</t>
  </si>
  <si>
    <t>Capex</t>
  </si>
  <si>
    <t>Additional Depreciation</t>
  </si>
  <si>
    <t>*should be in the 30's this number not the 50 range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</si>
</sst>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0.0%"/>
    <numFmt numFmtId="167" formatCode="0.0"/>
    <numFmt numFmtId="168" formatCode="0.00%_);\(0.00%\);0.00%_);@_%_)"/>
    <numFmt numFmtId="169" formatCode="0_);\(0\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8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15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0"/>
      <color indexed="8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sz val="10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21"/>
      <name val="Calibri"/>
      <family val="2"/>
    </font>
    <font>
      <sz val="9"/>
      <color indexed="15"/>
      <name val="Arial"/>
      <family val="2"/>
    </font>
    <font>
      <sz val="9"/>
      <color indexed="21"/>
      <name val="Arial"/>
      <family val="2"/>
    </font>
    <font>
      <b/>
      <sz val="20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Times New Roman"/>
      <family val="1"/>
    </font>
    <font>
      <b/>
      <sz val="11"/>
      <name val="Calibri"/>
      <family val="2"/>
    </font>
    <font>
      <b/>
      <sz val="20"/>
      <color indexed="8"/>
      <name val="Arial"/>
      <family val="2"/>
    </font>
    <font>
      <sz val="9"/>
      <color indexed="12"/>
      <name val="Arial"/>
      <family val="2"/>
    </font>
    <font>
      <sz val="11"/>
      <color indexed="40"/>
      <name val="Calibri"/>
      <family val="2"/>
    </font>
    <font>
      <b/>
      <i/>
      <sz val="9"/>
      <color indexed="12"/>
      <name val="Arial"/>
      <family val="2"/>
    </font>
    <font>
      <sz val="9"/>
      <color indexed="40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sz val="11"/>
      <color rgb="FF008000"/>
      <name val="Calibri"/>
      <family val="2"/>
    </font>
    <font>
      <sz val="11"/>
      <color rgb="FF0000FF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  <font>
      <sz val="11"/>
      <color rgb="FF0066FF"/>
      <name val="Calibri"/>
      <family val="2"/>
    </font>
    <font>
      <sz val="9"/>
      <color rgb="FF0066FF"/>
      <name val="Arial"/>
      <family val="2"/>
    </font>
    <font>
      <sz val="11"/>
      <color rgb="FFFF0000"/>
      <name val="Calibri"/>
      <family val="2"/>
    </font>
    <font>
      <sz val="9"/>
      <color rgb="FF00B050"/>
      <name val="Arial"/>
      <family val="2"/>
    </font>
    <font>
      <b/>
      <sz val="20"/>
      <color theme="1"/>
      <name val="Arial"/>
      <family val="2"/>
    </font>
    <font>
      <sz val="11"/>
      <color rgb="FF1CC1FC"/>
      <name val="Calibri"/>
      <family val="2"/>
    </font>
    <font>
      <b/>
      <i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rgb="FF1CC1FC"/>
      <name val="Arial"/>
      <family val="2"/>
    </font>
    <font>
      <sz val="9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double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9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0" fillId="0" borderId="0" xfId="0" applyFont="1" applyAlignment="1">
      <alignment/>
    </xf>
    <xf numFmtId="164" fontId="4" fillId="0" borderId="0" xfId="42" applyNumberFormat="1" applyFont="1" applyBorder="1" applyAlignment="1">
      <alignment/>
    </xf>
    <xf numFmtId="0" fontId="0" fillId="0" borderId="13" xfId="0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9" fontId="0" fillId="0" borderId="16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0" borderId="13" xfId="0" applyNumberFormat="1" applyFont="1" applyBorder="1" applyAlignment="1">
      <alignment/>
    </xf>
    <xf numFmtId="164" fontId="4" fillId="0" borderId="15" xfId="42" applyNumberFormat="1" applyFont="1" applyBorder="1" applyAlignment="1">
      <alignment/>
    </xf>
    <xf numFmtId="164" fontId="4" fillId="0" borderId="13" xfId="42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71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72" fillId="0" borderId="0" xfId="0" applyNumberFormat="1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3" fillId="0" borderId="17" xfId="0" applyFont="1" applyBorder="1" applyAlignment="1">
      <alignment horizontal="center"/>
    </xf>
    <xf numFmtId="1" fontId="72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70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15" fillId="0" borderId="0" xfId="55" applyFont="1">
      <alignment/>
      <protection/>
    </xf>
    <xf numFmtId="0" fontId="15" fillId="0" borderId="0" xfId="55" applyFont="1" applyFill="1">
      <alignment/>
      <protection/>
    </xf>
    <xf numFmtId="0" fontId="17" fillId="0" borderId="0" xfId="55" applyFont="1" applyFill="1">
      <alignment/>
      <protection/>
    </xf>
    <xf numFmtId="0" fontId="16" fillId="0" borderId="0" xfId="55" applyFont="1" applyFill="1">
      <alignment/>
      <protection/>
    </xf>
    <xf numFmtId="0" fontId="18" fillId="0" borderId="0" xfId="55" applyFont="1">
      <alignment/>
      <protection/>
    </xf>
    <xf numFmtId="0" fontId="17" fillId="0" borderId="0" xfId="55" applyFont="1">
      <alignment/>
      <protection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2" xfId="0" applyFont="1" applyFill="1" applyBorder="1" applyAlignment="1">
      <alignment/>
    </xf>
    <xf numFmtId="0" fontId="20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4" xfId="0" applyFont="1" applyBorder="1" applyAlignment="1">
      <alignment/>
    </xf>
    <xf numFmtId="0" fontId="0" fillId="0" borderId="23" xfId="0" applyBorder="1" applyAlignment="1">
      <alignment/>
    </xf>
    <xf numFmtId="1" fontId="0" fillId="0" borderId="13" xfId="0" applyNumberFormat="1" applyBorder="1" applyAlignment="1">
      <alignment/>
    </xf>
    <xf numFmtId="164" fontId="4" fillId="0" borderId="14" xfId="42" applyNumberFormat="1" applyFont="1" applyBorder="1" applyAlignment="1">
      <alignment/>
    </xf>
    <xf numFmtId="164" fontId="0" fillId="0" borderId="15" xfId="0" applyNumberFormat="1" applyBorder="1" applyAlignment="1">
      <alignment/>
    </xf>
    <xf numFmtId="1" fontId="73" fillId="0" borderId="13" xfId="0" applyNumberFormat="1" applyFont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4" fontId="72" fillId="0" borderId="13" xfId="0" applyNumberFormat="1" applyFont="1" applyBorder="1" applyAlignment="1">
      <alignment/>
    </xf>
    <xf numFmtId="1" fontId="72" fillId="0" borderId="13" xfId="0" applyNumberFormat="1" applyFont="1" applyBorder="1" applyAlignment="1">
      <alignment/>
    </xf>
    <xf numFmtId="167" fontId="0" fillId="0" borderId="13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164" fontId="0" fillId="0" borderId="10" xfId="0" applyNumberFormat="1" applyBorder="1" applyAlignment="1">
      <alignment/>
    </xf>
    <xf numFmtId="1" fontId="0" fillId="0" borderId="14" xfId="0" applyNumberForma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6" fontId="70" fillId="0" borderId="25" xfId="0" applyNumberFormat="1" applyFont="1" applyBorder="1" applyAlignment="1">
      <alignment/>
    </xf>
    <xf numFmtId="6" fontId="70" fillId="0" borderId="26" xfId="0" applyNumberFormat="1" applyFont="1" applyBorder="1" applyAlignment="1">
      <alignment/>
    </xf>
    <xf numFmtId="37" fontId="73" fillId="0" borderId="13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74" fillId="0" borderId="0" xfId="0" applyNumberFormat="1" applyFont="1" applyAlignment="1">
      <alignment/>
    </xf>
    <xf numFmtId="0" fontId="75" fillId="0" borderId="0" xfId="0" applyFont="1" applyAlignment="1">
      <alignment/>
    </xf>
    <xf numFmtId="1" fontId="76" fillId="0" borderId="0" xfId="0" applyNumberFormat="1" applyFont="1" applyAlignment="1">
      <alignment/>
    </xf>
    <xf numFmtId="0" fontId="77" fillId="0" borderId="16" xfId="55" applyFont="1" applyBorder="1" applyAlignment="1">
      <alignment horizontal="center"/>
      <protection/>
    </xf>
    <xf numFmtId="0" fontId="0" fillId="0" borderId="27" xfId="0" applyBorder="1" applyAlignment="1">
      <alignment/>
    </xf>
    <xf numFmtId="0" fontId="18" fillId="0" borderId="0" xfId="55" applyFont="1">
      <alignment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10" fontId="17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" fontId="7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18" fillId="0" borderId="14" xfId="0" applyFont="1" applyBorder="1" applyAlignment="1">
      <alignment/>
    </xf>
    <xf numFmtId="0" fontId="4" fillId="0" borderId="0" xfId="0" applyFont="1" applyFill="1" applyBorder="1" applyAlignment="1">
      <alignment/>
    </xf>
    <xf numFmtId="166" fontId="0" fillId="0" borderId="0" xfId="58" applyNumberFormat="1" applyFont="1" applyAlignment="1">
      <alignment/>
    </xf>
    <xf numFmtId="0" fontId="74" fillId="0" borderId="0" xfId="0" applyFont="1" applyAlignment="1">
      <alignment/>
    </xf>
    <xf numFmtId="3" fontId="74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9" fontId="0" fillId="0" borderId="0" xfId="58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0" xfId="58" applyFont="1" applyBorder="1" applyAlignment="1">
      <alignment/>
    </xf>
    <xf numFmtId="0" fontId="70" fillId="0" borderId="20" xfId="0" applyFont="1" applyBorder="1" applyAlignment="1">
      <alignment/>
    </xf>
    <xf numFmtId="0" fontId="70" fillId="0" borderId="10" xfId="0" applyFont="1" applyBorder="1" applyAlignment="1">
      <alignment/>
    </xf>
    <xf numFmtId="167" fontId="0" fillId="0" borderId="27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20" xfId="0" applyNumberFormat="1" applyBorder="1" applyAlignment="1">
      <alignment/>
    </xf>
    <xf numFmtId="0" fontId="15" fillId="0" borderId="0" xfId="55" applyFont="1" applyBorder="1">
      <alignment/>
      <protection/>
    </xf>
    <xf numFmtId="0" fontId="18" fillId="0" borderId="0" xfId="55" applyFont="1" applyFill="1">
      <alignment/>
      <protection/>
    </xf>
    <xf numFmtId="1" fontId="15" fillId="0" borderId="0" xfId="55" applyNumberFormat="1" applyFont="1" applyAlignment="1">
      <alignment wrapText="1"/>
      <protection/>
    </xf>
    <xf numFmtId="37" fontId="0" fillId="0" borderId="0" xfId="0" applyNumberFormat="1" applyAlignment="1">
      <alignment/>
    </xf>
    <xf numFmtId="44" fontId="0" fillId="0" borderId="0" xfId="44" applyFont="1" applyBorder="1" applyAlignment="1">
      <alignment/>
    </xf>
    <xf numFmtId="44" fontId="0" fillId="0" borderId="13" xfId="44" applyFont="1" applyBorder="1" applyAlignment="1">
      <alignment/>
    </xf>
    <xf numFmtId="2" fontId="78" fillId="0" borderId="16" xfId="0" applyNumberFormat="1" applyFont="1" applyBorder="1" applyAlignment="1">
      <alignment/>
    </xf>
    <xf numFmtId="2" fontId="78" fillId="0" borderId="10" xfId="0" applyNumberFormat="1" applyFont="1" applyBorder="1" applyAlignment="1">
      <alignment/>
    </xf>
    <xf numFmtId="0" fontId="0" fillId="0" borderId="28" xfId="0" applyBorder="1" applyAlignment="1">
      <alignment/>
    </xf>
    <xf numFmtId="166" fontId="78" fillId="0" borderId="27" xfId="0" applyNumberFormat="1" applyFont="1" applyBorder="1" applyAlignment="1">
      <alignment/>
    </xf>
    <xf numFmtId="166" fontId="78" fillId="0" borderId="0" xfId="0" applyNumberFormat="1" applyFont="1" applyBorder="1" applyAlignment="1">
      <alignment/>
    </xf>
    <xf numFmtId="169" fontId="0" fillId="0" borderId="0" xfId="0" applyNumberFormat="1" applyAlignment="1">
      <alignment/>
    </xf>
    <xf numFmtId="169" fontId="15" fillId="0" borderId="0" xfId="55" applyNumberFormat="1" applyFont="1" applyFill="1">
      <alignment/>
      <protection/>
    </xf>
    <xf numFmtId="1" fontId="15" fillId="0" borderId="0" xfId="0" applyNumberFormat="1" applyFont="1" applyAlignment="1">
      <alignment/>
    </xf>
    <xf numFmtId="167" fontId="17" fillId="0" borderId="0" xfId="58" applyNumberFormat="1" applyFont="1" applyFill="1" applyBorder="1" applyAlignment="1">
      <alignment/>
    </xf>
    <xf numFmtId="9" fontId="0" fillId="0" borderId="0" xfId="58" applyFont="1" applyAlignment="1">
      <alignment/>
    </xf>
    <xf numFmtId="9" fontId="4" fillId="0" borderId="0" xfId="58" applyFont="1" applyAlignment="1">
      <alignment/>
    </xf>
    <xf numFmtId="167" fontId="17" fillId="0" borderId="14" xfId="58" applyNumberFormat="1" applyFont="1" applyFill="1" applyBorder="1" applyAlignment="1">
      <alignment/>
    </xf>
    <xf numFmtId="1" fontId="79" fillId="0" borderId="0" xfId="0" applyNumberFormat="1" applyFont="1" applyAlignment="1">
      <alignment/>
    </xf>
    <xf numFmtId="169" fontId="74" fillId="0" borderId="0" xfId="0" applyNumberFormat="1" applyFont="1" applyAlignment="1">
      <alignment/>
    </xf>
    <xf numFmtId="0" fontId="18" fillId="0" borderId="29" xfId="0" applyFont="1" applyFill="1" applyBorder="1" applyAlignment="1">
      <alignment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168" fontId="27" fillId="0" borderId="0" xfId="58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44" fontId="0" fillId="0" borderId="0" xfId="44" applyNumberFormat="1" applyFont="1" applyAlignment="1">
      <alignment/>
    </xf>
    <xf numFmtId="44" fontId="0" fillId="0" borderId="30" xfId="44" applyNumberFormat="1" applyFont="1" applyBorder="1" applyAlignment="1">
      <alignment/>
    </xf>
    <xf numFmtId="0" fontId="29" fillId="0" borderId="29" xfId="0" applyFont="1" applyBorder="1" applyAlignment="1">
      <alignment/>
    </xf>
    <xf numFmtId="0" fontId="18" fillId="0" borderId="22" xfId="0" applyFont="1" applyBorder="1" applyAlignment="1">
      <alignment/>
    </xf>
    <xf numFmtId="44" fontId="15" fillId="0" borderId="22" xfId="0" applyNumberFormat="1" applyFont="1" applyBorder="1" applyAlignment="1">
      <alignment/>
    </xf>
    <xf numFmtId="44" fontId="15" fillId="0" borderId="31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69" fontId="15" fillId="0" borderId="0" xfId="55" applyNumberFormat="1" applyFont="1">
      <alignment/>
      <protection/>
    </xf>
    <xf numFmtId="169" fontId="15" fillId="0" borderId="0" xfId="55" applyNumberFormat="1" applyFont="1" applyBorder="1">
      <alignment/>
      <protection/>
    </xf>
    <xf numFmtId="169" fontId="15" fillId="0" borderId="0" xfId="55" applyNumberFormat="1" applyFont="1" applyFill="1" applyBorder="1">
      <alignment/>
      <protection/>
    </xf>
    <xf numFmtId="169" fontId="15" fillId="0" borderId="10" xfId="55" applyNumberFormat="1" applyFont="1" applyBorder="1">
      <alignment/>
      <protection/>
    </xf>
    <xf numFmtId="169" fontId="0" fillId="0" borderId="10" xfId="0" applyNumberFormat="1" applyBorder="1" applyAlignment="1">
      <alignment/>
    </xf>
    <xf numFmtId="169" fontId="15" fillId="0" borderId="10" xfId="55" applyNumberFormat="1" applyFont="1" applyFill="1" applyBorder="1">
      <alignment/>
      <protection/>
    </xf>
    <xf numFmtId="0" fontId="80" fillId="0" borderId="0" xfId="0" applyFont="1" applyAlignment="1">
      <alignment/>
    </xf>
    <xf numFmtId="9" fontId="0" fillId="0" borderId="0" xfId="0" applyNumberFormat="1" applyAlignment="1">
      <alignment/>
    </xf>
    <xf numFmtId="169" fontId="0" fillId="0" borderId="25" xfId="0" applyNumberFormat="1" applyBorder="1" applyAlignment="1">
      <alignment/>
    </xf>
    <xf numFmtId="10" fontId="0" fillId="0" borderId="0" xfId="58" applyNumberFormat="1" applyFont="1" applyAlignment="1">
      <alignment/>
    </xf>
    <xf numFmtId="9" fontId="75" fillId="0" borderId="0" xfId="58" applyFont="1" applyAlignment="1">
      <alignment/>
    </xf>
    <xf numFmtId="166" fontId="75" fillId="0" borderId="0" xfId="58" applyNumberFormat="1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9" fontId="74" fillId="0" borderId="33" xfId="0" applyNumberFormat="1" applyFont="1" applyBorder="1" applyAlignment="1">
      <alignment/>
    </xf>
    <xf numFmtId="169" fontId="0" fillId="0" borderId="34" xfId="0" applyNumberFormat="1" applyBorder="1" applyAlignment="1">
      <alignment/>
    </xf>
    <xf numFmtId="10" fontId="0" fillId="0" borderId="33" xfId="58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9" fontId="74" fillId="0" borderId="36" xfId="0" applyNumberFormat="1" applyFont="1" applyBorder="1" applyAlignment="1">
      <alignment/>
    </xf>
    <xf numFmtId="169" fontId="0" fillId="0" borderId="37" xfId="0" applyNumberFormat="1" applyBorder="1" applyAlignment="1">
      <alignment/>
    </xf>
    <xf numFmtId="10" fontId="0" fillId="0" borderId="36" xfId="58" applyNumberFormat="1" applyFont="1" applyBorder="1" applyAlignment="1">
      <alignment/>
    </xf>
    <xf numFmtId="171" fontId="0" fillId="0" borderId="0" xfId="42" applyNumberFormat="1" applyFont="1" applyAlignment="1">
      <alignment/>
    </xf>
    <xf numFmtId="172" fontId="0" fillId="0" borderId="0" xfId="42" applyNumberFormat="1" applyFont="1" applyAlignment="1">
      <alignment/>
    </xf>
    <xf numFmtId="170" fontId="0" fillId="0" borderId="0" xfId="44" applyNumberFormat="1" applyFont="1" applyAlignment="1">
      <alignment/>
    </xf>
    <xf numFmtId="170" fontId="0" fillId="0" borderId="0" xfId="0" applyNumberFormat="1" applyAlignment="1">
      <alignment/>
    </xf>
    <xf numFmtId="44" fontId="0" fillId="0" borderId="27" xfId="44" applyFont="1" applyBorder="1" applyAlignment="1">
      <alignment/>
    </xf>
    <xf numFmtId="0" fontId="73" fillId="0" borderId="17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164" fontId="73" fillId="0" borderId="0" xfId="0" applyNumberFormat="1" applyFont="1" applyAlignment="1">
      <alignment/>
    </xf>
    <xf numFmtId="164" fontId="73" fillId="0" borderId="13" xfId="0" applyNumberFormat="1" applyFont="1" applyBorder="1" applyAlignment="1">
      <alignment/>
    </xf>
    <xf numFmtId="164" fontId="73" fillId="0" borderId="10" xfId="42" applyNumberFormat="1" applyFont="1" applyBorder="1" applyAlignment="1">
      <alignment/>
    </xf>
    <xf numFmtId="164" fontId="73" fillId="0" borderId="24" xfId="42" applyNumberFormat="1" applyFont="1" applyBorder="1" applyAlignment="1">
      <alignment/>
    </xf>
    <xf numFmtId="1" fontId="73" fillId="0" borderId="10" xfId="0" applyNumberFormat="1" applyFont="1" applyBorder="1" applyAlignment="1">
      <alignment/>
    </xf>
    <xf numFmtId="1" fontId="73" fillId="0" borderId="13" xfId="0" applyNumberFormat="1" applyFont="1" applyBorder="1" applyAlignment="1">
      <alignment/>
    </xf>
    <xf numFmtId="0" fontId="73" fillId="0" borderId="0" xfId="0" applyFont="1" applyAlignment="1">
      <alignment/>
    </xf>
    <xf numFmtId="0" fontId="73" fillId="0" borderId="13" xfId="0" applyFont="1" applyBorder="1" applyAlignment="1">
      <alignment/>
    </xf>
    <xf numFmtId="1" fontId="73" fillId="0" borderId="24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49" fontId="70" fillId="0" borderId="0" xfId="0" applyNumberFormat="1" applyFont="1" applyAlignment="1">
      <alignment/>
    </xf>
    <xf numFmtId="166" fontId="0" fillId="0" borderId="0" xfId="58" applyNumberFormat="1" applyFont="1" applyBorder="1" applyAlignment="1">
      <alignment/>
    </xf>
    <xf numFmtId="166" fontId="0" fillId="0" borderId="13" xfId="58" applyNumberFormat="1" applyFont="1" applyBorder="1" applyAlignment="1">
      <alignment/>
    </xf>
    <xf numFmtId="166" fontId="0" fillId="0" borderId="10" xfId="58" applyNumberFormat="1" applyFont="1" applyBorder="1" applyAlignment="1">
      <alignment/>
    </xf>
    <xf numFmtId="0" fontId="0" fillId="0" borderId="16" xfId="0" applyBorder="1" applyAlignment="1">
      <alignment horizontal="center"/>
    </xf>
    <xf numFmtId="37" fontId="0" fillId="0" borderId="14" xfId="0" applyNumberFormat="1" applyBorder="1" applyAlignment="1">
      <alignment/>
    </xf>
    <xf numFmtId="39" fontId="0" fillId="0" borderId="0" xfId="0" applyNumberFormat="1" applyAlignment="1">
      <alignment/>
    </xf>
    <xf numFmtId="37" fontId="79" fillId="0" borderId="0" xfId="55" applyNumberFormat="1" applyFont="1">
      <alignment/>
      <protection/>
    </xf>
    <xf numFmtId="37" fontId="18" fillId="0" borderId="14" xfId="55" applyNumberFormat="1" applyFont="1" applyBorder="1">
      <alignment/>
      <protection/>
    </xf>
    <xf numFmtId="172" fontId="15" fillId="0" borderId="0" xfId="42" applyNumberFormat="1" applyFont="1" applyAlignment="1">
      <alignment/>
    </xf>
    <xf numFmtId="172" fontId="15" fillId="0" borderId="14" xfId="42" applyNumberFormat="1" applyFont="1" applyBorder="1" applyAlignment="1">
      <alignment/>
    </xf>
    <xf numFmtId="172" fontId="15" fillId="0" borderId="0" xfId="42" applyNumberFormat="1" applyFont="1" applyFill="1" applyAlignment="1">
      <alignment/>
    </xf>
    <xf numFmtId="172" fontId="79" fillId="0" borderId="0" xfId="42" applyNumberFormat="1" applyFont="1" applyFill="1" applyAlignment="1">
      <alignment/>
    </xf>
    <xf numFmtId="172" fontId="74" fillId="0" borderId="0" xfId="42" applyNumberFormat="1" applyFont="1" applyAlignment="1">
      <alignment/>
    </xf>
    <xf numFmtId="172" fontId="79" fillId="0" borderId="0" xfId="42" applyNumberFormat="1" applyFont="1" applyAlignment="1">
      <alignment/>
    </xf>
    <xf numFmtId="172" fontId="15" fillId="0" borderId="0" xfId="42" applyNumberFormat="1" applyFont="1" applyAlignment="1">
      <alignment wrapText="1"/>
    </xf>
    <xf numFmtId="37" fontId="79" fillId="0" borderId="0" xfId="55" applyNumberFormat="1" applyFont="1" applyFill="1" applyAlignment="1">
      <alignment wrapText="1"/>
      <protection/>
    </xf>
    <xf numFmtId="172" fontId="0" fillId="0" borderId="14" xfId="42" applyNumberFormat="1" applyFont="1" applyBorder="1" applyAlignment="1">
      <alignment/>
    </xf>
    <xf numFmtId="37" fontId="73" fillId="0" borderId="13" xfId="0" applyNumberFormat="1" applyFont="1" applyBorder="1" applyAlignment="1">
      <alignment/>
    </xf>
    <xf numFmtId="37" fontId="73" fillId="0" borderId="38" xfId="0" applyNumberFormat="1" applyFont="1" applyBorder="1" applyAlignment="1">
      <alignment/>
    </xf>
    <xf numFmtId="1" fontId="73" fillId="0" borderId="0" xfId="0" applyNumberFormat="1" applyFont="1" applyBorder="1" applyAlignment="1">
      <alignment/>
    </xf>
    <xf numFmtId="172" fontId="73" fillId="0" borderId="0" xfId="42" applyNumberFormat="1" applyFont="1" applyAlignment="1">
      <alignment/>
    </xf>
    <xf numFmtId="172" fontId="73" fillId="0" borderId="13" xfId="42" applyNumberFormat="1" applyFont="1" applyBorder="1" applyAlignment="1">
      <alignment/>
    </xf>
    <xf numFmtId="172" fontId="73" fillId="0" borderId="10" xfId="42" applyNumberFormat="1" applyFont="1" applyBorder="1" applyAlignment="1">
      <alignment/>
    </xf>
    <xf numFmtId="172" fontId="73" fillId="0" borderId="24" xfId="42" applyNumberFormat="1" applyFont="1" applyBorder="1" applyAlignment="1">
      <alignment/>
    </xf>
    <xf numFmtId="172" fontId="0" fillId="0" borderId="39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73" fillId="0" borderId="10" xfId="42" applyNumberFormat="1" applyFont="1" applyBorder="1" applyAlignment="1">
      <alignment horizontal="right"/>
    </xf>
    <xf numFmtId="172" fontId="73" fillId="0" borderId="24" xfId="42" applyNumberFormat="1" applyFont="1" applyBorder="1" applyAlignment="1">
      <alignment horizontal="right"/>
    </xf>
    <xf numFmtId="172" fontId="73" fillId="0" borderId="12" xfId="42" applyNumberFormat="1" applyFont="1" applyBorder="1" applyAlignment="1">
      <alignment/>
    </xf>
    <xf numFmtId="172" fontId="73" fillId="0" borderId="10" xfId="42" applyNumberFormat="1" applyFont="1" applyFill="1" applyBorder="1" applyAlignment="1">
      <alignment horizontal="right"/>
    </xf>
    <xf numFmtId="172" fontId="73" fillId="0" borderId="0" xfId="42" applyNumberFormat="1" applyFont="1" applyBorder="1" applyAlignment="1">
      <alignment/>
    </xf>
    <xf numFmtId="172" fontId="74" fillId="0" borderId="0" xfId="42" applyNumberFormat="1" applyFont="1" applyBorder="1" applyAlignment="1">
      <alignment/>
    </xf>
    <xf numFmtId="172" fontId="0" fillId="0" borderId="15" xfId="42" applyNumberFormat="1" applyFont="1" applyBorder="1" applyAlignment="1">
      <alignment/>
    </xf>
    <xf numFmtId="0" fontId="7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6" fontId="0" fillId="0" borderId="46" xfId="0" applyNumberFormat="1" applyBorder="1" applyAlignment="1">
      <alignment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0" fontId="70" fillId="0" borderId="41" xfId="0" applyFont="1" applyBorder="1" applyAlignment="1">
      <alignment/>
    </xf>
    <xf numFmtId="0" fontId="70" fillId="0" borderId="23" xfId="0" applyFont="1" applyBorder="1" applyAlignment="1">
      <alignment/>
    </xf>
    <xf numFmtId="0" fontId="70" fillId="0" borderId="42" xfId="0" applyFont="1" applyBorder="1" applyAlignment="1">
      <alignment/>
    </xf>
    <xf numFmtId="0" fontId="70" fillId="0" borderId="4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0" fillId="0" borderId="44" xfId="0" applyNumberFormat="1" applyBorder="1" applyAlignment="1">
      <alignment/>
    </xf>
    <xf numFmtId="0" fontId="73" fillId="0" borderId="0" xfId="0" applyFont="1" applyBorder="1" applyAlignment="1">
      <alignment/>
    </xf>
    <xf numFmtId="0" fontId="73" fillId="0" borderId="44" xfId="0" applyFont="1" applyBorder="1" applyAlignment="1">
      <alignment/>
    </xf>
    <xf numFmtId="1" fontId="0" fillId="0" borderId="49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44" fontId="0" fillId="0" borderId="46" xfId="44" applyFont="1" applyBorder="1" applyAlignment="1">
      <alignment/>
    </xf>
    <xf numFmtId="44" fontId="0" fillId="0" borderId="48" xfId="44" applyFont="1" applyBorder="1" applyAlignment="1">
      <alignment/>
    </xf>
    <xf numFmtId="0" fontId="0" fillId="0" borderId="21" xfId="0" applyBorder="1" applyAlignment="1">
      <alignment/>
    </xf>
    <xf numFmtId="166" fontId="81" fillId="0" borderId="0" xfId="0" applyNumberFormat="1" applyFont="1" applyBorder="1" applyAlignment="1">
      <alignment/>
    </xf>
    <xf numFmtId="0" fontId="81" fillId="0" borderId="0" xfId="0" applyFont="1" applyAlignment="1">
      <alignment/>
    </xf>
    <xf numFmtId="166" fontId="81" fillId="0" borderId="0" xfId="0" applyNumberFormat="1" applyFont="1" applyAlignment="1">
      <alignment/>
    </xf>
    <xf numFmtId="37" fontId="0" fillId="0" borderId="27" xfId="0" applyNumberFormat="1" applyBorder="1" applyAlignment="1">
      <alignment/>
    </xf>
    <xf numFmtId="37" fontId="0" fillId="0" borderId="20" xfId="0" applyNumberFormat="1" applyBorder="1" applyAlignment="1">
      <alignment/>
    </xf>
    <xf numFmtId="37" fontId="0" fillId="0" borderId="13" xfId="0" applyNumberFormat="1" applyBorder="1" applyAlignment="1">
      <alignment/>
    </xf>
    <xf numFmtId="172" fontId="4" fillId="0" borderId="0" xfId="42" applyNumberFormat="1" applyFont="1" applyAlignment="1">
      <alignment/>
    </xf>
    <xf numFmtId="37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166" fontId="73" fillId="0" borderId="0" xfId="58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70" fillId="0" borderId="0" xfId="0" applyFont="1" applyBorder="1" applyAlignment="1">
      <alignment/>
    </xf>
    <xf numFmtId="0" fontId="0" fillId="0" borderId="39" xfId="0" applyBorder="1" applyAlignment="1">
      <alignment/>
    </xf>
    <xf numFmtId="37" fontId="0" fillId="0" borderId="0" xfId="42" applyNumberFormat="1" applyFont="1" applyAlignment="1">
      <alignment/>
    </xf>
    <xf numFmtId="37" fontId="74" fillId="0" borderId="0" xfId="0" applyNumberFormat="1" applyFont="1" applyAlignment="1">
      <alignment/>
    </xf>
    <xf numFmtId="37" fontId="73" fillId="0" borderId="0" xfId="42" applyNumberFormat="1" applyFont="1" applyAlignment="1">
      <alignment/>
    </xf>
    <xf numFmtId="37" fontId="73" fillId="0" borderId="13" xfId="42" applyNumberFormat="1" applyFont="1" applyBorder="1" applyAlignment="1">
      <alignment/>
    </xf>
    <xf numFmtId="37" fontId="73" fillId="0" borderId="10" xfId="42" applyNumberFormat="1" applyFont="1" applyBorder="1" applyAlignment="1">
      <alignment/>
    </xf>
    <xf numFmtId="37" fontId="73" fillId="0" borderId="24" xfId="42" applyNumberFormat="1" applyFont="1" applyBorder="1" applyAlignment="1">
      <alignment/>
    </xf>
    <xf numFmtId="37" fontId="0" fillId="0" borderId="15" xfId="42" applyNumberFormat="1" applyFont="1" applyBorder="1" applyAlignment="1">
      <alignment/>
    </xf>
    <xf numFmtId="37" fontId="4" fillId="0" borderId="0" xfId="0" applyNumberFormat="1" applyFont="1" applyAlignment="1">
      <alignment/>
    </xf>
    <xf numFmtId="173" fontId="0" fillId="0" borderId="14" xfId="0" applyNumberFormat="1" applyBorder="1" applyAlignment="1">
      <alignment/>
    </xf>
    <xf numFmtId="37" fontId="73" fillId="0" borderId="0" xfId="0" applyNumberFormat="1" applyFont="1" applyAlignment="1">
      <alignment/>
    </xf>
    <xf numFmtId="37" fontId="73" fillId="0" borderId="13" xfId="0" applyNumberFormat="1" applyFont="1" applyBorder="1" applyAlignment="1">
      <alignment horizontal="right"/>
    </xf>
    <xf numFmtId="37" fontId="73" fillId="0" borderId="0" xfId="0" applyNumberFormat="1" applyFont="1" applyAlignment="1">
      <alignment horizontal="right"/>
    </xf>
    <xf numFmtId="37" fontId="73" fillId="0" borderId="24" xfId="0" applyNumberFormat="1" applyFont="1" applyBorder="1" applyAlignment="1">
      <alignment horizontal="right"/>
    </xf>
    <xf numFmtId="37" fontId="0" fillId="0" borderId="15" xfId="0" applyNumberFormat="1" applyBorder="1" applyAlignment="1">
      <alignment/>
    </xf>
    <xf numFmtId="37" fontId="74" fillId="0" borderId="0" xfId="0" applyNumberFormat="1" applyFont="1" applyBorder="1" applyAlignment="1">
      <alignment/>
    </xf>
    <xf numFmtId="37" fontId="73" fillId="0" borderId="0" xfId="0" applyNumberFormat="1" applyFont="1" applyBorder="1" applyAlignment="1">
      <alignment horizontal="right"/>
    </xf>
    <xf numFmtId="37" fontId="81" fillId="0" borderId="0" xfId="0" applyNumberFormat="1" applyFont="1" applyAlignment="1">
      <alignment/>
    </xf>
    <xf numFmtId="37" fontId="75" fillId="0" borderId="0" xfId="0" applyNumberFormat="1" applyFont="1" applyAlignment="1">
      <alignment/>
    </xf>
    <xf numFmtId="37" fontId="70" fillId="0" borderId="25" xfId="0" applyNumberFormat="1" applyFont="1" applyBorder="1" applyAlignment="1">
      <alignment/>
    </xf>
    <xf numFmtId="37" fontId="70" fillId="0" borderId="26" xfId="0" applyNumberFormat="1" applyFont="1" applyBorder="1" applyAlignment="1">
      <alignment/>
    </xf>
    <xf numFmtId="10" fontId="82" fillId="0" borderId="22" xfId="0" applyNumberFormat="1" applyFont="1" applyFill="1" applyBorder="1" applyAlignment="1">
      <alignment/>
    </xf>
    <xf numFmtId="168" fontId="82" fillId="0" borderId="22" xfId="58" applyNumberFormat="1" applyFont="1" applyBorder="1" applyAlignment="1">
      <alignment/>
    </xf>
    <xf numFmtId="173" fontId="15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37" fontId="20" fillId="0" borderId="0" xfId="0" applyNumberFormat="1" applyFont="1" applyAlignment="1">
      <alignment/>
    </xf>
    <xf numFmtId="173" fontId="79" fillId="0" borderId="0" xfId="0" applyNumberFormat="1" applyFont="1" applyAlignment="1">
      <alignment/>
    </xf>
    <xf numFmtId="173" fontId="17" fillId="0" borderId="14" xfId="58" applyNumberFormat="1" applyFont="1" applyFill="1" applyBorder="1" applyAlignment="1">
      <alignment/>
    </xf>
    <xf numFmtId="37" fontId="74" fillId="0" borderId="12" xfId="0" applyNumberFormat="1" applyFont="1" applyBorder="1" applyAlignment="1">
      <alignment/>
    </xf>
    <xf numFmtId="37" fontId="74" fillId="0" borderId="10" xfId="0" applyNumberFormat="1" applyFont="1" applyBorder="1" applyAlignment="1">
      <alignment/>
    </xf>
    <xf numFmtId="0" fontId="0" fillId="0" borderId="50" xfId="0" applyBorder="1" applyAlignment="1">
      <alignment/>
    </xf>
    <xf numFmtId="0" fontId="77" fillId="0" borderId="21" xfId="55" applyFont="1" applyBorder="1" applyAlignment="1">
      <alignment horizontal="center"/>
      <protection/>
    </xf>
    <xf numFmtId="164" fontId="0" fillId="0" borderId="14" xfId="0" applyNumberFormat="1" applyBorder="1" applyAlignment="1">
      <alignment/>
    </xf>
    <xf numFmtId="166" fontId="73" fillId="0" borderId="0" xfId="0" applyNumberFormat="1" applyFont="1" applyBorder="1" applyAlignment="1">
      <alignment/>
    </xf>
    <xf numFmtId="37" fontId="81" fillId="0" borderId="0" xfId="0" applyNumberFormat="1" applyFont="1" applyBorder="1" applyAlignment="1">
      <alignment/>
    </xf>
    <xf numFmtId="37" fontId="73" fillId="0" borderId="10" xfId="0" applyNumberFormat="1" applyFont="1" applyBorder="1" applyAlignment="1">
      <alignment/>
    </xf>
    <xf numFmtId="37" fontId="73" fillId="0" borderId="24" xfId="0" applyNumberFormat="1" applyFont="1" applyBorder="1" applyAlignment="1">
      <alignment/>
    </xf>
    <xf numFmtId="37" fontId="0" fillId="0" borderId="12" xfId="0" applyNumberFormat="1" applyBorder="1" applyAlignment="1">
      <alignment/>
    </xf>
    <xf numFmtId="172" fontId="17" fillId="0" borderId="0" xfId="42" applyNumberFormat="1" applyFont="1" applyFill="1" applyAlignment="1">
      <alignment/>
    </xf>
    <xf numFmtId="172" fontId="83" fillId="0" borderId="0" xfId="42" applyNumberFormat="1" applyFont="1" applyAlignment="1">
      <alignment/>
    </xf>
    <xf numFmtId="5" fontId="15" fillId="0" borderId="0" xfId="55" applyNumberFormat="1" applyFont="1" applyFill="1">
      <alignment/>
      <protection/>
    </xf>
    <xf numFmtId="169" fontId="84" fillId="0" borderId="0" xfId="55" applyNumberFormat="1" applyFont="1" applyFill="1">
      <alignment/>
      <protection/>
    </xf>
    <xf numFmtId="43" fontId="15" fillId="0" borderId="0" xfId="42" applyNumberFormat="1" applyFont="1" applyFill="1" applyAlignment="1">
      <alignment/>
    </xf>
    <xf numFmtId="0" fontId="78" fillId="0" borderId="0" xfId="0" applyFont="1" applyAlignment="1">
      <alignment/>
    </xf>
    <xf numFmtId="166" fontId="78" fillId="0" borderId="0" xfId="0" applyNumberFormat="1" applyFont="1" applyAlignment="1">
      <alignment/>
    </xf>
    <xf numFmtId="0" fontId="85" fillId="0" borderId="0" xfId="0" applyFont="1" applyBorder="1" applyAlignment="1">
      <alignment/>
    </xf>
    <xf numFmtId="37" fontId="83" fillId="0" borderId="10" xfId="0" applyNumberFormat="1" applyFont="1" applyBorder="1" applyAlignment="1">
      <alignment/>
    </xf>
    <xf numFmtId="37" fontId="83" fillId="0" borderId="0" xfId="44" applyNumberFormat="1" applyFont="1" applyBorder="1" applyAlignment="1">
      <alignment/>
    </xf>
    <xf numFmtId="9" fontId="0" fillId="0" borderId="13" xfId="0" applyNumberFormat="1" applyBorder="1" applyAlignment="1">
      <alignment/>
    </xf>
    <xf numFmtId="10" fontId="79" fillId="0" borderId="0" xfId="58" applyNumberFormat="1" applyFont="1" applyAlignment="1">
      <alignment/>
    </xf>
    <xf numFmtId="166" fontId="81" fillId="0" borderId="0" xfId="58" applyNumberFormat="1" applyFont="1" applyBorder="1" applyAlignment="1">
      <alignment/>
    </xf>
    <xf numFmtId="166" fontId="0" fillId="0" borderId="44" xfId="58" applyNumberFormat="1" applyFont="1" applyBorder="1" applyAlignment="1">
      <alignment/>
    </xf>
    <xf numFmtId="166" fontId="81" fillId="0" borderId="44" xfId="58" applyNumberFormat="1" applyFont="1" applyBorder="1" applyAlignment="1">
      <alignment/>
    </xf>
    <xf numFmtId="166" fontId="0" fillId="0" borderId="46" xfId="58" applyNumberFormat="1" applyFont="1" applyBorder="1" applyAlignment="1">
      <alignment/>
    </xf>
    <xf numFmtId="166" fontId="0" fillId="0" borderId="47" xfId="58" applyNumberFormat="1" applyFont="1" applyBorder="1" applyAlignment="1">
      <alignment/>
    </xf>
    <xf numFmtId="166" fontId="0" fillId="0" borderId="48" xfId="58" applyNumberFormat="1" applyFont="1" applyBorder="1" applyAlignment="1">
      <alignment/>
    </xf>
    <xf numFmtId="173" fontId="17" fillId="0" borderId="0" xfId="0" applyNumberFormat="1" applyFont="1" applyFill="1" applyBorder="1" applyAlignment="1">
      <alignment/>
    </xf>
    <xf numFmtId="173" fontId="15" fillId="0" borderId="14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10" fontId="73" fillId="0" borderId="0" xfId="0" applyNumberFormat="1" applyFont="1" applyBorder="1" applyAlignment="1">
      <alignment/>
    </xf>
    <xf numFmtId="37" fontId="0" fillId="0" borderId="14" xfId="42" applyNumberFormat="1" applyFont="1" applyBorder="1" applyAlignment="1">
      <alignment/>
    </xf>
    <xf numFmtId="37" fontId="81" fillId="0" borderId="0" xfId="0" applyNumberFormat="1" applyFont="1" applyAlignment="1">
      <alignment horizontal="right"/>
    </xf>
    <xf numFmtId="172" fontId="70" fillId="0" borderId="25" xfId="0" applyNumberFormat="1" applyFont="1" applyBorder="1" applyAlignment="1">
      <alignment/>
    </xf>
    <xf numFmtId="10" fontId="73" fillId="0" borderId="44" xfId="0" applyNumberFormat="1" applyFont="1" applyBorder="1" applyAlignment="1">
      <alignment/>
    </xf>
    <xf numFmtId="166" fontId="81" fillId="0" borderId="44" xfId="0" applyNumberFormat="1" applyFont="1" applyBorder="1" applyAlignment="1">
      <alignment/>
    </xf>
    <xf numFmtId="0" fontId="73" fillId="0" borderId="40" xfId="0" applyFont="1" applyBorder="1" applyAlignment="1">
      <alignment horizontal="center"/>
    </xf>
    <xf numFmtId="0" fontId="73" fillId="0" borderId="41" xfId="0" applyFont="1" applyBorder="1" applyAlignment="1">
      <alignment horizontal="center"/>
    </xf>
    <xf numFmtId="0" fontId="73" fillId="0" borderId="4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5" fillId="0" borderId="17" xfId="55" applyFont="1" applyBorder="1" applyAlignment="1">
      <alignment horizontal="center"/>
      <protection/>
    </xf>
    <xf numFmtId="0" fontId="15" fillId="0" borderId="18" xfId="55" applyFont="1" applyBorder="1" applyAlignment="1">
      <alignment horizontal="center"/>
      <protection/>
    </xf>
    <xf numFmtId="0" fontId="15" fillId="0" borderId="19" xfId="55" applyFont="1" applyBorder="1" applyAlignment="1">
      <alignment horizontal="center"/>
      <protection/>
    </xf>
    <xf numFmtId="0" fontId="70" fillId="0" borderId="40" xfId="0" applyFont="1" applyBorder="1" applyAlignment="1">
      <alignment horizontal="center"/>
    </xf>
    <xf numFmtId="0" fontId="70" fillId="0" borderId="41" xfId="0" applyFont="1" applyBorder="1" applyAlignment="1">
      <alignment horizontal="center"/>
    </xf>
    <xf numFmtId="0" fontId="70" fillId="0" borderId="42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0" fillId="0" borderId="28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70" fillId="0" borderId="27" xfId="0" applyFont="1" applyBorder="1" applyAlignment="1">
      <alignment horizontal="center"/>
    </xf>
    <xf numFmtId="0" fontId="15" fillId="0" borderId="28" xfId="55" applyFont="1" applyBorder="1" applyAlignment="1">
      <alignment horizontal="center"/>
      <protection/>
    </xf>
    <xf numFmtId="0" fontId="15" fillId="0" borderId="20" xfId="55" applyFont="1" applyBorder="1" applyAlignment="1">
      <alignment horizontal="center"/>
      <protection/>
    </xf>
    <xf numFmtId="0" fontId="15" fillId="0" borderId="15" xfId="55" applyFont="1" applyBorder="1" applyAlignment="1">
      <alignment horizontal="center"/>
      <protection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5</xdr:row>
      <xdr:rowOff>0</xdr:rowOff>
    </xdr:to>
    <xdr:pic>
      <xdr:nvPicPr>
        <xdr:cNvPr id="1" name="Picture 2" descr="http://www.sistersshoppingonashoestring.com/wp-content/uploads/2014/10/Screen-Shot-2014-10-29-at-5.06.00-P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38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7"/>
  <sheetViews>
    <sheetView workbookViewId="0" topLeftCell="A1">
      <selection activeCell="B13" sqref="B13"/>
    </sheetView>
  </sheetViews>
  <sheetFormatPr defaultColWidth="8.8515625" defaultRowHeight="15"/>
  <cols>
    <col min="1" max="1" width="15.28125" style="0" bestFit="1" customWidth="1"/>
    <col min="2" max="2" width="16.140625" style="0" bestFit="1" customWidth="1"/>
    <col min="3" max="3" width="14.00390625" style="0" bestFit="1" customWidth="1"/>
  </cols>
  <sheetData>
    <row r="6" spans="3:4" ht="13.5">
      <c r="C6" t="s">
        <v>0</v>
      </c>
      <c r="D6" t="s">
        <v>4</v>
      </c>
    </row>
    <row r="7" spans="3:4" ht="13.5">
      <c r="C7" t="s">
        <v>1</v>
      </c>
      <c r="D7" t="s">
        <v>3</v>
      </c>
    </row>
    <row r="8" spans="3:4" ht="13.5">
      <c r="C8" t="s">
        <v>2</v>
      </c>
      <c r="D8" t="s">
        <v>5</v>
      </c>
    </row>
    <row r="17" ht="13.5">
      <c r="B17" s="5"/>
    </row>
  </sheetData>
  <sheetProtection/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8">
      <selection activeCell="I57" sqref="I57"/>
    </sheetView>
  </sheetViews>
  <sheetFormatPr defaultColWidth="8.8515625" defaultRowHeight="15"/>
  <cols>
    <col min="1" max="8" width="8.8515625" style="0" customWidth="1"/>
    <col min="9" max="9" width="10.140625" style="0" bestFit="1" customWidth="1"/>
    <col min="10" max="11" width="10.421875" style="0" customWidth="1"/>
    <col min="12" max="12" width="11.00390625" style="0" customWidth="1"/>
    <col min="13" max="13" width="11.140625" style="0" customWidth="1"/>
  </cols>
  <sheetData>
    <row r="1" spans="1:2" ht="26.25">
      <c r="A1" s="8" t="s">
        <v>39</v>
      </c>
      <c r="B1" s="7"/>
    </row>
    <row r="2" spans="1:2" ht="15.75" thickBot="1">
      <c r="A2" s="7" t="s">
        <v>6</v>
      </c>
      <c r="B2" s="7"/>
    </row>
    <row r="3" spans="6:13" ht="15.75" thickBot="1">
      <c r="F3" s="328" t="s">
        <v>72</v>
      </c>
      <c r="G3" s="329"/>
      <c r="H3" s="329"/>
      <c r="I3" s="329"/>
      <c r="J3" s="329"/>
      <c r="K3" s="329"/>
      <c r="L3" s="329"/>
      <c r="M3" s="330"/>
    </row>
    <row r="4" spans="6:13" ht="15.75" thickBot="1">
      <c r="F4" s="322" t="s">
        <v>19</v>
      </c>
      <c r="G4" s="323"/>
      <c r="H4" s="324"/>
      <c r="I4" s="325" t="s">
        <v>20</v>
      </c>
      <c r="J4" s="326"/>
      <c r="K4" s="326"/>
      <c r="L4" s="326"/>
      <c r="M4" s="327"/>
    </row>
    <row r="5" spans="6:13" ht="18" customHeight="1" thickBot="1">
      <c r="F5" s="170">
        <v>2013</v>
      </c>
      <c r="G5" s="171">
        <v>2014</v>
      </c>
      <c r="H5" s="172">
        <v>2015</v>
      </c>
      <c r="I5" s="28">
        <v>2016</v>
      </c>
      <c r="J5" s="29">
        <v>2017</v>
      </c>
      <c r="K5" s="29">
        <v>2018</v>
      </c>
      <c r="L5" s="29">
        <v>2019</v>
      </c>
      <c r="M5" s="30">
        <v>2020</v>
      </c>
    </row>
    <row r="6" spans="9:13" ht="15">
      <c r="I6" s="3"/>
      <c r="J6" s="1"/>
      <c r="K6" s="1"/>
      <c r="L6" s="1"/>
      <c r="M6" s="1"/>
    </row>
    <row r="7" spans="1:13" ht="15">
      <c r="A7" s="9" t="s">
        <v>7</v>
      </c>
      <c r="F7" s="173">
        <v>17774.1</v>
      </c>
      <c r="G7" s="173">
        <v>17909.6</v>
      </c>
      <c r="H7" s="174">
        <v>17630.3</v>
      </c>
      <c r="I7" s="63">
        <f>H7*(1+I38)</f>
        <v>18159.209</v>
      </c>
      <c r="J7" s="63">
        <f>I7*(1+J38)</f>
        <v>18703.98527</v>
      </c>
      <c r="K7" s="63">
        <f>J7*(1+K38)</f>
        <v>19265.1048281</v>
      </c>
      <c r="L7" s="63">
        <f>K7*(1+L38)</f>
        <v>19843.057972943</v>
      </c>
      <c r="M7" s="63">
        <f>L7*(1+M38)</f>
        <v>20438.34971213129</v>
      </c>
    </row>
    <row r="8" spans="1:13" ht="15">
      <c r="A8" s="9" t="s">
        <v>8</v>
      </c>
      <c r="F8" s="175">
        <v>11350.2</v>
      </c>
      <c r="G8" s="175">
        <v>11539.8</v>
      </c>
      <c r="H8" s="176">
        <v>11681.1</v>
      </c>
      <c r="I8" s="63">
        <f>I7*I47</f>
        <v>11776.096099766735</v>
      </c>
      <c r="J8" s="63">
        <f>J7*J47</f>
        <v>12250.672772587335</v>
      </c>
      <c r="K8" s="63">
        <f>K7*K47</f>
        <v>12744.374885322604</v>
      </c>
      <c r="L8" s="63">
        <f>L7*L47</f>
        <v>13257.973193201104</v>
      </c>
      <c r="M8" s="72">
        <f>M7*M47</f>
        <v>13792.26951288711</v>
      </c>
    </row>
    <row r="9" spans="1:13" ht="15">
      <c r="A9" s="9" t="s">
        <v>9</v>
      </c>
      <c r="B9" s="9"/>
      <c r="F9" s="10">
        <f>F7-F8</f>
        <v>6423.899999999998</v>
      </c>
      <c r="G9" s="10">
        <f>G7-G8</f>
        <v>6369.799999999999</v>
      </c>
      <c r="H9" s="18">
        <f>H7-H8</f>
        <v>5949.199999999999</v>
      </c>
      <c r="I9" s="58">
        <f>I7-I8</f>
        <v>6383.112900233264</v>
      </c>
      <c r="J9" s="58">
        <f>J7-J8</f>
        <v>6453.312497412666</v>
      </c>
      <c r="K9" s="58">
        <f>K7-K8</f>
        <v>6520.729942777396</v>
      </c>
      <c r="L9" s="58">
        <f>L7-L8</f>
        <v>6585.0847797418955</v>
      </c>
      <c r="M9" s="10">
        <f>M7-M8</f>
        <v>6646.080199244181</v>
      </c>
    </row>
    <row r="10" spans="2:13" ht="15">
      <c r="B10" s="9"/>
      <c r="F10" s="10"/>
      <c r="G10" s="10"/>
      <c r="H10" s="19"/>
      <c r="I10" s="1"/>
      <c r="J10" s="1"/>
      <c r="K10" s="1"/>
      <c r="L10" s="1"/>
      <c r="M10" s="1"/>
    </row>
    <row r="11" spans="1:13" ht="15">
      <c r="A11" s="9" t="s">
        <v>10</v>
      </c>
      <c r="F11" s="204">
        <v>3552.3</v>
      </c>
      <c r="G11" s="204">
        <v>3474.3</v>
      </c>
      <c r="H11" s="205">
        <v>3328</v>
      </c>
      <c r="I11" s="209">
        <f>I7*I49</f>
        <v>3064.65582</v>
      </c>
      <c r="J11" s="209">
        <f>I11*(1+J41)</f>
        <v>2972.7161453999997</v>
      </c>
      <c r="K11" s="209">
        <f>J11*(1+K41)</f>
        <v>2883.5346610379997</v>
      </c>
      <c r="L11" s="209">
        <f>K11*(1+L41)</f>
        <v>2797.0286212068595</v>
      </c>
      <c r="M11" s="209">
        <f>L11*(1+M41)</f>
        <v>2713.1177625706537</v>
      </c>
    </row>
    <row r="12" spans="1:13" ht="15">
      <c r="A12" s="9" t="s">
        <v>11</v>
      </c>
      <c r="F12" s="214">
        <v>28</v>
      </c>
      <c r="G12" s="214">
        <v>28</v>
      </c>
      <c r="H12" s="205">
        <v>28</v>
      </c>
      <c r="I12" s="209">
        <f>H12</f>
        <v>28</v>
      </c>
      <c r="J12" s="209">
        <f>I12</f>
        <v>28</v>
      </c>
      <c r="K12" s="209">
        <f>J12</f>
        <v>28</v>
      </c>
      <c r="L12" s="209">
        <f>K12</f>
        <v>28</v>
      </c>
      <c r="M12" s="209">
        <f>L12</f>
        <v>28</v>
      </c>
    </row>
    <row r="13" spans="1:13" ht="15">
      <c r="A13" s="86" t="s">
        <v>226</v>
      </c>
      <c r="F13" s="210">
        <v>19.8</v>
      </c>
      <c r="G13" s="210">
        <v>-30</v>
      </c>
      <c r="H13" s="211">
        <v>543.9</v>
      </c>
      <c r="I13" s="212">
        <v>62</v>
      </c>
      <c r="J13" s="213">
        <v>15</v>
      </c>
      <c r="K13" s="213">
        <v>15</v>
      </c>
      <c r="L13" s="213">
        <v>15</v>
      </c>
      <c r="M13" s="213">
        <v>15</v>
      </c>
    </row>
    <row r="14" spans="1:13" ht="15">
      <c r="A14" s="9" t="s">
        <v>38</v>
      </c>
      <c r="F14" s="166">
        <f>F7-F8-F11-F13</f>
        <v>2851.7999999999975</v>
      </c>
      <c r="G14" s="166">
        <f>G7-G8-G11-G13</f>
        <v>2925.499999999999</v>
      </c>
      <c r="H14" s="216">
        <f>H7-H8-H11-H13</f>
        <v>2077.299999999999</v>
      </c>
      <c r="I14" s="166">
        <f>I9-I11-I13</f>
        <v>3256.4570802332637</v>
      </c>
      <c r="J14" s="166">
        <f>J7-J8-J11-J13</f>
        <v>3465.596352012666</v>
      </c>
      <c r="K14" s="166">
        <f>K7-K8-K11-K13</f>
        <v>3622.1952817393963</v>
      </c>
      <c r="L14" s="166">
        <f>L7-L8-L11-L13</f>
        <v>3773.056158535036</v>
      </c>
      <c r="M14" s="166">
        <f>M7-M8-M11-M13</f>
        <v>3917.9624366735275</v>
      </c>
    </row>
    <row r="15" spans="1:13" ht="15">
      <c r="A15" s="9"/>
      <c r="F15" s="6"/>
      <c r="G15" s="6"/>
      <c r="H15" s="6"/>
      <c r="I15" s="3"/>
      <c r="J15" s="1"/>
      <c r="K15" s="1"/>
      <c r="L15" s="1"/>
      <c r="M15" s="1"/>
    </row>
    <row r="16" spans="1:13" ht="15">
      <c r="A16" s="9" t="s">
        <v>12</v>
      </c>
      <c r="F16" s="214">
        <v>560.3</v>
      </c>
      <c r="G16" s="214">
        <v>557.4</v>
      </c>
      <c r="H16" s="205">
        <v>560</v>
      </c>
      <c r="I16" s="215">
        <f>'PP&amp;E'!F23</f>
        <v>306.15220123488467</v>
      </c>
      <c r="J16" s="215">
        <f>'PP&amp;E'!G23</f>
        <v>367.38818685415816</v>
      </c>
      <c r="K16" s="215">
        <f>'PP&amp;E'!H23</f>
        <v>434.06029553742314</v>
      </c>
      <c r="L16" s="215">
        <f>'PP&amp;E'!I23</f>
        <v>506.6511100939216</v>
      </c>
      <c r="M16" s="215">
        <f>'PP&amp;E'!J23</f>
        <v>585.6860538214268</v>
      </c>
    </row>
    <row r="17" spans="1:13" ht="15">
      <c r="A17" s="9" t="s">
        <v>13</v>
      </c>
      <c r="F17" s="289">
        <f aca="true" t="shared" si="0" ref="F17:M17">F14+F16+F12</f>
        <v>3440.0999999999976</v>
      </c>
      <c r="G17" s="289">
        <f t="shared" si="0"/>
        <v>3510.899999999999</v>
      </c>
      <c r="H17" s="59">
        <f t="shared" si="0"/>
        <v>2665.299999999999</v>
      </c>
      <c r="I17" s="289">
        <f t="shared" si="0"/>
        <v>3590.6092814681483</v>
      </c>
      <c r="J17" s="289">
        <f t="shared" si="0"/>
        <v>3860.984538866824</v>
      </c>
      <c r="K17" s="289">
        <f t="shared" si="0"/>
        <v>4084.255577276819</v>
      </c>
      <c r="L17" s="289">
        <f t="shared" si="0"/>
        <v>4307.7072686289575</v>
      </c>
      <c r="M17" s="289">
        <f t="shared" si="0"/>
        <v>4531.648490494954</v>
      </c>
    </row>
    <row r="18" ht="15">
      <c r="H18" s="11"/>
    </row>
    <row r="19" spans="1:13" ht="15">
      <c r="A19" s="9" t="s">
        <v>14</v>
      </c>
      <c r="F19" s="177">
        <v>316.9</v>
      </c>
      <c r="G19" s="177">
        <v>302.4</v>
      </c>
      <c r="H19" s="177">
        <v>315.4</v>
      </c>
      <c r="I19" s="285">
        <f>'Debt Schedule'!F180</f>
        <v>281.8474</v>
      </c>
      <c r="J19" s="286">
        <f>'Debt Schedule'!G180</f>
        <v>283.5234162559999</v>
      </c>
      <c r="K19" s="286">
        <f>'Debt Schedule'!H180</f>
        <v>241.0506704730324</v>
      </c>
      <c r="L19" s="286">
        <f>'Debt Schedule'!I180</f>
        <v>201.94631141911208</v>
      </c>
      <c r="M19" s="286">
        <f>'Debt Schedule'!J180</f>
        <v>214.34048340382736</v>
      </c>
    </row>
    <row r="20" spans="1:13" ht="15">
      <c r="A20" s="9" t="s">
        <v>15</v>
      </c>
      <c r="F20" s="6">
        <f aca="true" t="shared" si="1" ref="F20:M20">F14-F19</f>
        <v>2534.8999999999974</v>
      </c>
      <c r="G20" s="6">
        <f t="shared" si="1"/>
        <v>2623.099999999999</v>
      </c>
      <c r="H20" s="59">
        <f t="shared" si="1"/>
        <v>1761.8999999999987</v>
      </c>
      <c r="I20" s="6">
        <f t="shared" si="1"/>
        <v>2974.6096802332636</v>
      </c>
      <c r="J20" s="6">
        <f t="shared" si="1"/>
        <v>3182.072935756666</v>
      </c>
      <c r="K20" s="6">
        <f t="shared" si="1"/>
        <v>3381.144611266364</v>
      </c>
      <c r="L20" s="6">
        <f t="shared" si="1"/>
        <v>3571.109847115924</v>
      </c>
      <c r="M20" s="6">
        <f t="shared" si="1"/>
        <v>3703.6219532697</v>
      </c>
    </row>
    <row r="21" spans="1:13" ht="15">
      <c r="A21" s="9"/>
      <c r="F21" s="6"/>
      <c r="G21" s="6"/>
      <c r="H21" s="6"/>
      <c r="I21" s="3"/>
      <c r="J21" s="1"/>
      <c r="K21" s="1"/>
      <c r="L21" s="1"/>
      <c r="M21" s="1"/>
    </row>
    <row r="22" spans="1:13" ht="15">
      <c r="A22" s="9" t="s">
        <v>16</v>
      </c>
      <c r="E22" s="14">
        <v>0.33</v>
      </c>
      <c r="F22" s="204">
        <v>741.2</v>
      </c>
      <c r="G22" s="204">
        <v>883.3</v>
      </c>
      <c r="H22" s="205">
        <v>586.8</v>
      </c>
      <c r="I22" s="209">
        <f>I20*$E$22</f>
        <v>981.621194476977</v>
      </c>
      <c r="J22" s="209">
        <f>J20*$E$22</f>
        <v>1050.0840687997</v>
      </c>
      <c r="K22" s="209">
        <f>K20*$E$22</f>
        <v>1115.7777217179</v>
      </c>
      <c r="L22" s="209">
        <f>L20*$E$22</f>
        <v>1178.4662495482548</v>
      </c>
      <c r="M22" s="209">
        <f>M20*$E$22</f>
        <v>1222.1952445790012</v>
      </c>
    </row>
    <row r="23" spans="1:13" ht="15">
      <c r="A23" s="9" t="s">
        <v>36</v>
      </c>
      <c r="F23" s="179">
        <v>98.8</v>
      </c>
      <c r="G23" s="179">
        <v>89.6</v>
      </c>
      <c r="H23" s="180">
        <v>84.3</v>
      </c>
      <c r="I23" s="61" t="s">
        <v>21</v>
      </c>
      <c r="J23" s="62" t="s">
        <v>21</v>
      </c>
      <c r="K23" s="62" t="s">
        <v>21</v>
      </c>
      <c r="L23" s="62" t="s">
        <v>21</v>
      </c>
      <c r="M23" s="62" t="s">
        <v>21</v>
      </c>
    </row>
    <row r="24" spans="1:13" ht="15">
      <c r="A24" s="9" t="s">
        <v>17</v>
      </c>
      <c r="F24" s="12">
        <f>F20-F22+F23</f>
        <v>1892.4999999999973</v>
      </c>
      <c r="G24" s="12">
        <f>G20-G22+G23</f>
        <v>1829.399999999999</v>
      </c>
      <c r="H24" s="13">
        <f>H20-H22+H23</f>
        <v>1259.3999999999987</v>
      </c>
      <c r="I24" s="63">
        <f>H20-H22</f>
        <v>1175.0999999999988</v>
      </c>
      <c r="J24" s="63">
        <f>I20-I22</f>
        <v>1992.9884857562865</v>
      </c>
      <c r="K24" s="63">
        <f>J20-J22</f>
        <v>2131.9888669569664</v>
      </c>
      <c r="L24" s="63">
        <f>K20-K22</f>
        <v>2265.366889548464</v>
      </c>
      <c r="M24" s="63">
        <f>L20-L22</f>
        <v>2392.643597567669</v>
      </c>
    </row>
    <row r="25" spans="1:13" ht="15">
      <c r="A25" s="9"/>
      <c r="F25" s="15"/>
      <c r="G25" s="15"/>
      <c r="H25" s="17"/>
      <c r="I25" s="1"/>
      <c r="J25" s="1"/>
      <c r="K25" s="1"/>
      <c r="L25" s="1"/>
      <c r="M25" s="1"/>
    </row>
    <row r="26" spans="1:13" ht="15">
      <c r="A26" s="9" t="s">
        <v>37</v>
      </c>
      <c r="F26" s="177">
        <v>37.3</v>
      </c>
      <c r="G26" s="177">
        <v>36.9</v>
      </c>
      <c r="H26" s="181">
        <v>38.1</v>
      </c>
      <c r="I26" s="4">
        <v>37</v>
      </c>
      <c r="J26" s="2">
        <v>37</v>
      </c>
      <c r="K26" s="2">
        <v>37</v>
      </c>
      <c r="L26" s="2">
        <v>37</v>
      </c>
      <c r="M26" s="2">
        <v>37</v>
      </c>
    </row>
    <row r="27" spans="1:13" ht="15">
      <c r="A27" s="9" t="s">
        <v>18</v>
      </c>
      <c r="F27" s="16">
        <v>1855.2</v>
      </c>
      <c r="G27" s="16">
        <v>1824.4</v>
      </c>
      <c r="H27" s="64">
        <v>1221</v>
      </c>
      <c r="I27" s="16">
        <f>I24-I26</f>
        <v>1138.0999999999988</v>
      </c>
      <c r="J27" s="16">
        <f>J24-J26</f>
        <v>1955.9884857562865</v>
      </c>
      <c r="K27" s="16">
        <f>K24-K26</f>
        <v>2094.9888669569664</v>
      </c>
      <c r="L27" s="16">
        <f>L24-L26</f>
        <v>2228.366889548464</v>
      </c>
      <c r="M27" s="16">
        <f>M24-M26</f>
        <v>2355.643597567669</v>
      </c>
    </row>
    <row r="28" spans="1:8" ht="15">
      <c r="A28" s="9"/>
      <c r="F28" s="1"/>
      <c r="G28" s="1"/>
      <c r="H28" s="11"/>
    </row>
    <row r="29" spans="6:8" ht="15">
      <c r="F29" s="1"/>
      <c r="G29" s="1"/>
      <c r="H29" s="11"/>
    </row>
    <row r="30" spans="1:15" ht="15">
      <c r="A30" s="9" t="s">
        <v>40</v>
      </c>
      <c r="F30" s="21">
        <v>665.6</v>
      </c>
      <c r="G30" s="21">
        <v>645.7</v>
      </c>
      <c r="H30" s="57">
        <v>618.8</v>
      </c>
      <c r="I30" s="21">
        <f>AVERAGE(I57,I59)</f>
        <v>694.3</v>
      </c>
      <c r="J30" s="21">
        <f>AVERAGE(J57,J59)</f>
        <v>694.3</v>
      </c>
      <c r="K30" s="21">
        <f>AVERAGE(K57,K59)</f>
        <v>694.3</v>
      </c>
      <c r="L30" s="21">
        <f>AVERAGE(L57,L59)</f>
        <v>694.3</v>
      </c>
      <c r="M30" s="21">
        <f>AVERAGE(M57,M59)</f>
        <v>694.3</v>
      </c>
      <c r="O30" s="315"/>
    </row>
    <row r="31" spans="6:13" ht="15">
      <c r="F31" s="1"/>
      <c r="G31" s="1"/>
      <c r="H31" s="11"/>
      <c r="I31" s="1"/>
      <c r="J31" s="1"/>
      <c r="K31" s="1"/>
      <c r="L31" s="1"/>
      <c r="M31" s="1"/>
    </row>
    <row r="32" spans="1:13" ht="15">
      <c r="A32" s="9" t="s">
        <v>41</v>
      </c>
      <c r="F32" s="113">
        <v>2.79</v>
      </c>
      <c r="G32" s="113">
        <v>2.83</v>
      </c>
      <c r="H32" s="114">
        <v>1.97</v>
      </c>
      <c r="I32" s="113">
        <f>I27/I30</f>
        <v>1.6392049546305616</v>
      </c>
      <c r="J32" s="113">
        <f>J27/J30</f>
        <v>2.817209399044054</v>
      </c>
      <c r="K32" s="113">
        <f>K27/K30</f>
        <v>3.017411590028758</v>
      </c>
      <c r="L32" s="113">
        <f>L27/L30</f>
        <v>3.2095159002570415</v>
      </c>
      <c r="M32" s="113">
        <f>M27/M30</f>
        <v>3.392832489655292</v>
      </c>
    </row>
    <row r="33" spans="1:13" ht="15">
      <c r="A33" s="9" t="s">
        <v>62</v>
      </c>
      <c r="F33" s="1"/>
      <c r="G33" s="1"/>
      <c r="H33" s="11"/>
      <c r="I33" s="102">
        <f>$H$34/I32</f>
        <v>38.14654160442847</v>
      </c>
      <c r="J33" s="102">
        <f>$H$34/J32</f>
        <v>22.195723193745525</v>
      </c>
      <c r="K33" s="102">
        <f>$H$34/K32</f>
        <v>20.723059527786877</v>
      </c>
      <c r="L33" s="102">
        <f>$H$34/L32</f>
        <v>19.482688960971387</v>
      </c>
      <c r="M33" s="102">
        <f>$H$34/M32</f>
        <v>18.430028653242758</v>
      </c>
    </row>
    <row r="34" spans="1:13" ht="15">
      <c r="A34" s="9" t="s">
        <v>42</v>
      </c>
      <c r="F34" s="1"/>
      <c r="G34" s="1"/>
      <c r="H34" s="11">
        <v>62.53</v>
      </c>
      <c r="I34" s="1">
        <v>62.53</v>
      </c>
      <c r="J34" s="1">
        <v>62.53</v>
      </c>
      <c r="K34" s="1">
        <v>62.53</v>
      </c>
      <c r="L34" s="1">
        <v>62.53</v>
      </c>
      <c r="M34" s="1">
        <v>62.53</v>
      </c>
    </row>
    <row r="35" spans="8:13" ht="15">
      <c r="H35" s="11"/>
      <c r="I35" s="1"/>
      <c r="J35" s="1"/>
      <c r="K35" s="1"/>
      <c r="L35" s="1"/>
      <c r="M35" s="1"/>
    </row>
    <row r="36" ht="15.75" thickBot="1">
      <c r="H36" s="11"/>
    </row>
    <row r="37" spans="1:13" ht="15">
      <c r="A37" s="217" t="s">
        <v>22</v>
      </c>
      <c r="B37" s="218"/>
      <c r="C37" s="218"/>
      <c r="D37" s="218"/>
      <c r="E37" s="218"/>
      <c r="F37" s="218"/>
      <c r="G37" s="218"/>
      <c r="H37" s="56"/>
      <c r="I37" s="218"/>
      <c r="J37" s="218"/>
      <c r="K37" s="218"/>
      <c r="L37" s="218"/>
      <c r="M37" s="219"/>
    </row>
    <row r="38" spans="1:13" ht="15">
      <c r="A38" s="220"/>
      <c r="B38" s="1" t="s">
        <v>23</v>
      </c>
      <c r="C38" s="1"/>
      <c r="D38" s="1"/>
      <c r="E38" s="1"/>
      <c r="F38" s="1"/>
      <c r="G38" s="184">
        <f>+G7/F7-1</f>
        <v>0.007623452101653605</v>
      </c>
      <c r="H38" s="185">
        <f>+H7/G7-1</f>
        <v>-0.015594988162773049</v>
      </c>
      <c r="I38" s="307">
        <v>0.03</v>
      </c>
      <c r="J38" s="307">
        <v>0.03</v>
      </c>
      <c r="K38" s="307">
        <v>0.03</v>
      </c>
      <c r="L38" s="307">
        <v>0.03</v>
      </c>
      <c r="M38" s="309">
        <v>0.03</v>
      </c>
    </row>
    <row r="39" spans="1:13" ht="15">
      <c r="A39" s="220"/>
      <c r="B39" s="1" t="s">
        <v>25</v>
      </c>
      <c r="C39" s="1"/>
      <c r="D39" s="1"/>
      <c r="E39" s="1"/>
      <c r="F39" s="1"/>
      <c r="G39" s="184">
        <f aca="true" t="shared" si="2" ref="G39:I40">G8/F8-1</f>
        <v>0.016704551461648176</v>
      </c>
      <c r="H39" s="185">
        <f t="shared" si="2"/>
        <v>0.01224457962876313</v>
      </c>
      <c r="I39" s="307">
        <f>I8/H8-1</f>
        <v>0.008132461820097081</v>
      </c>
      <c r="J39" s="307">
        <f>J8/I8-1</f>
        <v>0.0403</v>
      </c>
      <c r="K39" s="307">
        <f>K8/J8-1</f>
        <v>0.0403</v>
      </c>
      <c r="L39" s="307">
        <f>L8/K8-1</f>
        <v>0.04029999999999978</v>
      </c>
      <c r="M39" s="309">
        <f>M8/L8-1</f>
        <v>0.0403</v>
      </c>
    </row>
    <row r="40" spans="1:13" ht="15">
      <c r="A40" s="220"/>
      <c r="B40" s="1" t="s">
        <v>24</v>
      </c>
      <c r="C40" s="1"/>
      <c r="D40" s="1"/>
      <c r="E40" s="1"/>
      <c r="F40" s="1"/>
      <c r="G40" s="184">
        <f t="shared" si="2"/>
        <v>-0.00842167530627791</v>
      </c>
      <c r="H40" s="185">
        <f t="shared" si="2"/>
        <v>-0.06603033062262553</v>
      </c>
      <c r="I40" s="184">
        <f t="shared" si="2"/>
        <v>0.07293634442164731</v>
      </c>
      <c r="J40" s="184">
        <f>J9/I9-1</f>
        <v>0.01099770570826597</v>
      </c>
      <c r="K40" s="184">
        <f>K9/J9-1</f>
        <v>0.010446951916827096</v>
      </c>
      <c r="L40" s="184">
        <f>L9/K9-1</f>
        <v>0.009869268859352465</v>
      </c>
      <c r="M40" s="308">
        <f>M9/L9-1</f>
        <v>0.009262662751120532</v>
      </c>
    </row>
    <row r="41" spans="1:13" ht="15">
      <c r="A41" s="220"/>
      <c r="B41" s="1" t="s">
        <v>113</v>
      </c>
      <c r="C41" s="1"/>
      <c r="D41" s="1"/>
      <c r="E41" s="1"/>
      <c r="F41" s="1"/>
      <c r="G41" s="184">
        <f>G11/F11-1</f>
        <v>-0.02195760493201593</v>
      </c>
      <c r="H41" s="185">
        <f>H11/G11-1</f>
        <v>-0.04210920185361089</v>
      </c>
      <c r="I41" s="307">
        <v>-0.03</v>
      </c>
      <c r="J41" s="307">
        <v>-0.03</v>
      </c>
      <c r="K41" s="307">
        <v>-0.03</v>
      </c>
      <c r="L41" s="307">
        <v>-0.03</v>
      </c>
      <c r="M41" s="309">
        <v>-0.03</v>
      </c>
    </row>
    <row r="42" spans="1:13" ht="15">
      <c r="A42" s="220"/>
      <c r="B42" s="1" t="s">
        <v>26</v>
      </c>
      <c r="C42" s="1"/>
      <c r="D42" s="1"/>
      <c r="E42" s="1"/>
      <c r="F42" s="1"/>
      <c r="G42" s="184">
        <f aca="true" t="shared" si="3" ref="G42:M42">G14/F14-1</f>
        <v>0.025843327021530804</v>
      </c>
      <c r="H42" s="185">
        <f t="shared" si="3"/>
        <v>-0.2899333447273972</v>
      </c>
      <c r="I42" s="184">
        <f t="shared" si="3"/>
        <v>0.5676392818722695</v>
      </c>
      <c r="J42" s="184">
        <f t="shared" si="3"/>
        <v>0.06422294740160428</v>
      </c>
      <c r="K42" s="184">
        <f t="shared" si="3"/>
        <v>0.04518671934652296</v>
      </c>
      <c r="L42" s="184">
        <f t="shared" si="3"/>
        <v>0.041649018084744416</v>
      </c>
      <c r="M42" s="308">
        <f t="shared" si="3"/>
        <v>0.03840554501440385</v>
      </c>
    </row>
    <row r="43" spans="1:13" ht="15.75" thickBot="1">
      <c r="A43" s="223"/>
      <c r="B43" s="224" t="s">
        <v>27</v>
      </c>
      <c r="C43" s="224"/>
      <c r="D43" s="224"/>
      <c r="E43" s="224"/>
      <c r="F43" s="224"/>
      <c r="G43" s="310">
        <f>G17/F17-1</f>
        <v>0.020580797069853052</v>
      </c>
      <c r="H43" s="311">
        <f>H17/G17-1</f>
        <v>-0.24084992452077836</v>
      </c>
      <c r="I43" s="310">
        <f>I17/H17-1</f>
        <v>0.34716890461417105</v>
      </c>
      <c r="J43" s="310">
        <f>J17/I17-1</f>
        <v>0.07530066242354372</v>
      </c>
      <c r="K43" s="310">
        <f>K17/J17-1</f>
        <v>0.05782748834200824</v>
      </c>
      <c r="L43" s="310">
        <f>L17/K17-1</f>
        <v>0.05471050651074205</v>
      </c>
      <c r="M43" s="312">
        <f>M17/L17-1</f>
        <v>0.051986174524173645</v>
      </c>
    </row>
    <row r="44" ht="15">
      <c r="H44" s="11"/>
    </row>
    <row r="45" ht="15.75" thickBot="1">
      <c r="H45" s="11"/>
    </row>
    <row r="46" spans="1:13" s="9" customFormat="1" ht="15">
      <c r="A46" s="217" t="s">
        <v>28</v>
      </c>
      <c r="B46" s="228"/>
      <c r="C46" s="228"/>
      <c r="D46" s="228"/>
      <c r="E46" s="228"/>
      <c r="F46" s="228"/>
      <c r="G46" s="228"/>
      <c r="H46" s="229"/>
      <c r="I46" s="228"/>
      <c r="J46" s="228"/>
      <c r="K46" s="228"/>
      <c r="L46" s="228"/>
      <c r="M46" s="230"/>
    </row>
    <row r="47" spans="1:15" ht="15">
      <c r="A47" s="220"/>
      <c r="B47" s="1" t="s">
        <v>29</v>
      </c>
      <c r="C47" s="1"/>
      <c r="D47" s="1"/>
      <c r="E47" s="1"/>
      <c r="F47" s="221">
        <f>F8/F7</f>
        <v>0.6385808564146709</v>
      </c>
      <c r="G47" s="221">
        <f>G8/G7</f>
        <v>0.644335998570599</v>
      </c>
      <c r="H47" s="69">
        <f>H8/H7</f>
        <v>0.6625582094462374</v>
      </c>
      <c r="I47" s="290">
        <f>AVERAGE(F47:H47)</f>
        <v>0.6484916881438357</v>
      </c>
      <c r="J47" s="316">
        <f>I47*(1+$O$47)</f>
        <v>0.6549766050252741</v>
      </c>
      <c r="K47" s="316">
        <f>J47*(1+$O$47)</f>
        <v>0.6615263710755268</v>
      </c>
      <c r="L47" s="316">
        <f>K47*(1+$O$47)</f>
        <v>0.6681416347862821</v>
      </c>
      <c r="M47" s="320">
        <f>L47*(1+$O$47)</f>
        <v>0.6748230511341449</v>
      </c>
      <c r="O47" s="124">
        <v>0.01</v>
      </c>
    </row>
    <row r="48" spans="1:13" ht="15">
      <c r="A48" s="220"/>
      <c r="B48" s="1" t="s">
        <v>30</v>
      </c>
      <c r="C48" s="1"/>
      <c r="D48" s="1"/>
      <c r="E48" s="1"/>
      <c r="F48" s="221">
        <f aca="true" t="shared" si="4" ref="F48:M48">F9/F7</f>
        <v>0.3614191435853291</v>
      </c>
      <c r="G48" s="221">
        <f t="shared" si="4"/>
        <v>0.35566400142940097</v>
      </c>
      <c r="H48" s="69">
        <f t="shared" si="4"/>
        <v>0.3374417905537625</v>
      </c>
      <c r="I48" s="221">
        <f t="shared" si="4"/>
        <v>0.3515083118561642</v>
      </c>
      <c r="J48" s="221">
        <f t="shared" si="4"/>
        <v>0.3450233949747259</v>
      </c>
      <c r="K48" s="221">
        <f t="shared" si="4"/>
        <v>0.3384736289244732</v>
      </c>
      <c r="L48" s="221">
        <f t="shared" si="4"/>
        <v>0.3318583652137179</v>
      </c>
      <c r="M48" s="222">
        <f t="shared" si="4"/>
        <v>0.32517694886585513</v>
      </c>
    </row>
    <row r="49" spans="1:13" ht="15">
      <c r="A49" s="220"/>
      <c r="B49" s="1" t="s">
        <v>31</v>
      </c>
      <c r="C49" s="1"/>
      <c r="D49" s="1"/>
      <c r="E49" s="1"/>
      <c r="F49" s="221">
        <f>F11/F7</f>
        <v>0.199858220669401</v>
      </c>
      <c r="G49" s="221">
        <f>G11/G7</f>
        <v>0.19399093223745928</v>
      </c>
      <c r="H49" s="69">
        <f>H11/H7</f>
        <v>0.18876593137950007</v>
      </c>
      <c r="I49" s="242">
        <f>H49-2%</f>
        <v>0.16876593137950008</v>
      </c>
      <c r="J49" s="242">
        <f>I49-0.5%</f>
        <v>0.16376593137950007</v>
      </c>
      <c r="K49" s="242">
        <f>J49-0.5%</f>
        <v>0.15876593137950007</v>
      </c>
      <c r="L49" s="242">
        <f>K49-0.5%</f>
        <v>0.15376593137950006</v>
      </c>
      <c r="M49" s="321">
        <f>L49-0.5%</f>
        <v>0.14876593137950006</v>
      </c>
    </row>
    <row r="50" spans="1:13" ht="15">
      <c r="A50" s="220"/>
      <c r="B50" s="1" t="s">
        <v>32</v>
      </c>
      <c r="C50" s="1"/>
      <c r="D50" s="1"/>
      <c r="E50" s="1"/>
      <c r="F50" s="221">
        <f aca="true" t="shared" si="5" ref="F50:M50">F14/F7</f>
        <v>0.16044694246122154</v>
      </c>
      <c r="G50" s="221">
        <f t="shared" si="5"/>
        <v>0.16334814847902798</v>
      </c>
      <c r="H50" s="69">
        <f t="shared" si="5"/>
        <v>0.1178255616750707</v>
      </c>
      <c r="I50" s="221">
        <f t="shared" si="5"/>
        <v>0.17932813484515014</v>
      </c>
      <c r="J50" s="221">
        <f t="shared" si="5"/>
        <v>0.1852865205989689</v>
      </c>
      <c r="K50" s="221">
        <f t="shared" si="5"/>
        <v>0.18801845689705657</v>
      </c>
      <c r="L50" s="221">
        <f t="shared" si="5"/>
        <v>0.1901448941831338</v>
      </c>
      <c r="M50" s="222">
        <f t="shared" si="5"/>
        <v>0.1916966140543138</v>
      </c>
    </row>
    <row r="51" spans="1:13" ht="15">
      <c r="A51" s="220"/>
      <c r="B51" s="1" t="s">
        <v>33</v>
      </c>
      <c r="C51" s="1"/>
      <c r="D51" s="1"/>
      <c r="E51" s="1"/>
      <c r="F51" s="221">
        <f aca="true" t="shared" si="6" ref="F51:M51">F17/F7</f>
        <v>0.193545664759397</v>
      </c>
      <c r="G51" s="221">
        <f t="shared" si="6"/>
        <v>0.19603452896770443</v>
      </c>
      <c r="H51" s="69">
        <f t="shared" si="6"/>
        <v>0.15117723464716987</v>
      </c>
      <c r="I51" s="221">
        <f t="shared" si="6"/>
        <v>0.1977293879633275</v>
      </c>
      <c r="J51" s="221">
        <f t="shared" si="6"/>
        <v>0.20642576879375524</v>
      </c>
      <c r="K51" s="221">
        <f t="shared" si="6"/>
        <v>0.21200276944870505</v>
      </c>
      <c r="L51" s="221">
        <f t="shared" si="6"/>
        <v>0.2170888818902173</v>
      </c>
      <c r="M51" s="222">
        <f t="shared" si="6"/>
        <v>0.22172281785574743</v>
      </c>
    </row>
    <row r="52" spans="1:13" ht="15">
      <c r="A52" s="220"/>
      <c r="B52" s="1" t="s">
        <v>34</v>
      </c>
      <c r="C52" s="1"/>
      <c r="D52" s="1"/>
      <c r="E52" s="1"/>
      <c r="F52" s="221">
        <f aca="true" t="shared" si="7" ref="F52:M52">F20/F7</f>
        <v>0.14261762902200378</v>
      </c>
      <c r="G52" s="221">
        <f t="shared" si="7"/>
        <v>0.14646334926519852</v>
      </c>
      <c r="H52" s="69">
        <f t="shared" si="7"/>
        <v>0.09993590579853995</v>
      </c>
      <c r="I52" s="221">
        <f t="shared" si="7"/>
        <v>0.16380722751928586</v>
      </c>
      <c r="J52" s="221">
        <f t="shared" si="7"/>
        <v>0.17012807109405223</v>
      </c>
      <c r="K52" s="221">
        <f t="shared" si="7"/>
        <v>0.17550616212244227</v>
      </c>
      <c r="L52" s="221">
        <f t="shared" si="7"/>
        <v>0.17996771727348226</v>
      </c>
      <c r="M52" s="222">
        <f t="shared" si="7"/>
        <v>0.18120944231967004</v>
      </c>
    </row>
    <row r="53" spans="1:13" ht="15.75" thickBot="1">
      <c r="A53" s="223"/>
      <c r="B53" s="224" t="s">
        <v>35</v>
      </c>
      <c r="C53" s="224"/>
      <c r="D53" s="224"/>
      <c r="E53" s="224"/>
      <c r="F53" s="225">
        <f aca="true" t="shared" si="8" ref="F53:M53">F27/F7</f>
        <v>0.10437659290765779</v>
      </c>
      <c r="G53" s="225">
        <f t="shared" si="8"/>
        <v>0.10186715504533883</v>
      </c>
      <c r="H53" s="226">
        <f t="shared" si="8"/>
        <v>0.06925576989614471</v>
      </c>
      <c r="I53" s="225">
        <f t="shared" si="8"/>
        <v>0.06267343472945318</v>
      </c>
      <c r="J53" s="225">
        <f t="shared" si="8"/>
        <v>0.10457602791708606</v>
      </c>
      <c r="K53" s="225">
        <f t="shared" si="8"/>
        <v>0.10874526173879026</v>
      </c>
      <c r="L53" s="225">
        <f t="shared" si="8"/>
        <v>0.11229957058972229</v>
      </c>
      <c r="M53" s="227">
        <f t="shared" si="8"/>
        <v>0.11525605690998939</v>
      </c>
    </row>
    <row r="54" spans="6:13" ht="15">
      <c r="F54" s="27"/>
      <c r="G54" s="27"/>
      <c r="H54" s="69"/>
      <c r="I54" s="27"/>
      <c r="J54" s="27"/>
      <c r="K54" s="27"/>
      <c r="L54" s="27"/>
      <c r="M54" s="27"/>
    </row>
    <row r="55" ht="15.75" thickBot="1">
      <c r="H55" s="11"/>
    </row>
    <row r="56" spans="1:13" ht="15">
      <c r="A56" s="231" t="s">
        <v>183</v>
      </c>
      <c r="B56" s="218"/>
      <c r="C56" s="218"/>
      <c r="D56" s="218"/>
      <c r="E56" s="218"/>
      <c r="F56" s="218"/>
      <c r="G56" s="218"/>
      <c r="H56" s="56"/>
      <c r="I56" s="218"/>
      <c r="J56" s="218"/>
      <c r="K56" s="218"/>
      <c r="L56" s="218"/>
      <c r="M56" s="219"/>
    </row>
    <row r="57" spans="1:13" ht="15">
      <c r="A57" s="220"/>
      <c r="B57" s="1" t="s">
        <v>184</v>
      </c>
      <c r="C57" s="1"/>
      <c r="D57" s="1"/>
      <c r="E57" s="1"/>
      <c r="F57" s="232">
        <f>F30</f>
        <v>665.6</v>
      </c>
      <c r="G57" s="232">
        <f>G30</f>
        <v>645.7</v>
      </c>
      <c r="H57" s="182">
        <f>H30</f>
        <v>618.8</v>
      </c>
      <c r="I57" s="21">
        <f>$H$59</f>
        <v>694.3</v>
      </c>
      <c r="J57" s="21">
        <f>$H$59</f>
        <v>694.3</v>
      </c>
      <c r="K57" s="21">
        <f>$H$59</f>
        <v>694.3</v>
      </c>
      <c r="L57" s="21">
        <f>$H$59</f>
        <v>694.3</v>
      </c>
      <c r="M57" s="233">
        <f>$H$59</f>
        <v>694.3</v>
      </c>
    </row>
    <row r="58" spans="1:13" ht="15">
      <c r="A58" s="220"/>
      <c r="B58" s="1" t="s">
        <v>185</v>
      </c>
      <c r="C58" s="1"/>
      <c r="D58" s="1"/>
      <c r="E58" s="1"/>
      <c r="F58" s="234">
        <v>75.5</v>
      </c>
      <c r="G58" s="234">
        <v>75.5</v>
      </c>
      <c r="H58" s="180">
        <v>75.5</v>
      </c>
      <c r="I58" s="234">
        <v>0</v>
      </c>
      <c r="J58" s="234">
        <v>0</v>
      </c>
      <c r="K58" s="234">
        <v>0</v>
      </c>
      <c r="L58" s="234">
        <v>0</v>
      </c>
      <c r="M58" s="235">
        <v>0</v>
      </c>
    </row>
    <row r="59" spans="1:13" ht="15">
      <c r="A59" s="220"/>
      <c r="B59" s="1" t="s">
        <v>186</v>
      </c>
      <c r="C59" s="1"/>
      <c r="D59" s="1"/>
      <c r="E59" s="1"/>
      <c r="F59" s="73">
        <f>F57+F58</f>
        <v>741.1</v>
      </c>
      <c r="G59" s="73">
        <f>G57+G58</f>
        <v>721.2</v>
      </c>
      <c r="H59" s="79">
        <f>H57+H58</f>
        <v>694.3</v>
      </c>
      <c r="I59" s="73">
        <f>I57+I58</f>
        <v>694.3</v>
      </c>
      <c r="J59" s="73">
        <f>J57+J58</f>
        <v>694.3</v>
      </c>
      <c r="K59" s="73">
        <f>K57+K58</f>
        <v>694.3</v>
      </c>
      <c r="L59" s="73">
        <f>L57+L58</f>
        <v>694.3</v>
      </c>
      <c r="M59" s="236">
        <f>M57+M58</f>
        <v>694.3</v>
      </c>
    </row>
    <row r="60" spans="1:13" ht="15">
      <c r="A60" s="220"/>
      <c r="B60" s="1" t="s">
        <v>187</v>
      </c>
      <c r="C60" s="1"/>
      <c r="D60" s="1"/>
      <c r="E60" s="1"/>
      <c r="F60" s="1"/>
      <c r="G60" s="1"/>
      <c r="H60" s="11"/>
      <c r="I60" s="234">
        <v>0</v>
      </c>
      <c r="J60" s="234">
        <v>0</v>
      </c>
      <c r="K60" s="234">
        <v>0</v>
      </c>
      <c r="L60" s="234">
        <v>0</v>
      </c>
      <c r="M60" s="235">
        <v>0</v>
      </c>
    </row>
    <row r="61" spans="1:13" ht="15.75" thickBot="1">
      <c r="A61" s="223"/>
      <c r="B61" s="224" t="s">
        <v>188</v>
      </c>
      <c r="C61" s="224"/>
      <c r="D61" s="224"/>
      <c r="E61" s="224"/>
      <c r="F61" s="224"/>
      <c r="G61" s="224"/>
      <c r="H61" s="238"/>
      <c r="I61" s="239">
        <f>$H$34</f>
        <v>62.53</v>
      </c>
      <c r="J61" s="239">
        <f>$H$34</f>
        <v>62.53</v>
      </c>
      <c r="K61" s="239">
        <f>$H$34</f>
        <v>62.53</v>
      </c>
      <c r="L61" s="239">
        <f>$H$34</f>
        <v>62.53</v>
      </c>
      <c r="M61" s="240">
        <f>$H$34</f>
        <v>62.53</v>
      </c>
    </row>
  </sheetData>
  <sheetProtection/>
  <mergeCells count="3">
    <mergeCell ref="F4:H4"/>
    <mergeCell ref="I4:M4"/>
    <mergeCell ref="F3:M3"/>
  </mergeCells>
  <printOptions/>
  <pageMargins left="0.7" right="0.7" top="0.75" bottom="0.75" header="0.3" footer="0.3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6">
      <selection activeCell="I17" sqref="I17"/>
    </sheetView>
  </sheetViews>
  <sheetFormatPr defaultColWidth="8.8515625" defaultRowHeight="15"/>
  <cols>
    <col min="1" max="1" width="2.8515625" style="9" customWidth="1"/>
    <col min="2" max="2" width="6.140625" style="0" customWidth="1"/>
    <col min="3" max="3" width="2.8515625" style="0" customWidth="1"/>
    <col min="4" max="4" width="8.8515625" style="0" customWidth="1"/>
    <col min="5" max="5" width="12.8515625" style="0" customWidth="1"/>
    <col min="6" max="6" width="8.8515625" style="0" customWidth="1"/>
    <col min="7" max="8" width="9.7109375" style="0" bestFit="1" customWidth="1"/>
    <col min="9" max="13" width="9.421875" style="0" bestFit="1" customWidth="1"/>
  </cols>
  <sheetData>
    <row r="1" ht="26.25">
      <c r="A1" s="87" t="s">
        <v>43</v>
      </c>
    </row>
    <row r="2" ht="15.75" thickBot="1">
      <c r="A2" t="s">
        <v>6</v>
      </c>
    </row>
    <row r="3" spans="7:13" ht="15.75" thickBot="1">
      <c r="G3" s="328" t="s">
        <v>72</v>
      </c>
      <c r="H3" s="329"/>
      <c r="I3" s="329"/>
      <c r="J3" s="329"/>
      <c r="K3" s="329"/>
      <c r="L3" s="329"/>
      <c r="M3" s="330"/>
    </row>
    <row r="4" spans="7:13" ht="15.75" thickBot="1">
      <c r="G4" s="331" t="s">
        <v>19</v>
      </c>
      <c r="H4" s="332"/>
      <c r="I4" s="333" t="s">
        <v>20</v>
      </c>
      <c r="J4" s="334"/>
      <c r="K4" s="334"/>
      <c r="L4" s="334"/>
      <c r="M4" s="335"/>
    </row>
    <row r="5" spans="7:13" ht="15.75" thickBot="1">
      <c r="G5" s="23">
        <v>2014</v>
      </c>
      <c r="H5" s="25">
        <v>2015</v>
      </c>
      <c r="I5" s="23">
        <v>2016</v>
      </c>
      <c r="J5" s="24">
        <v>2017</v>
      </c>
      <c r="K5" s="24">
        <v>2018</v>
      </c>
      <c r="L5" s="24">
        <v>2019</v>
      </c>
      <c r="M5" s="25">
        <v>2020</v>
      </c>
    </row>
    <row r="6" spans="1:13" ht="15">
      <c r="A6" s="9" t="s">
        <v>7</v>
      </c>
      <c r="G6" s="33">
        <f>'Income Statement'!G7</f>
        <v>17909.6</v>
      </c>
      <c r="H6" s="66">
        <f>'Income Statement'!H7</f>
        <v>17630.3</v>
      </c>
      <c r="I6" s="33">
        <f>'Income Statement'!I7</f>
        <v>18159.209</v>
      </c>
      <c r="J6" s="33">
        <f>'Income Statement'!J7</f>
        <v>18703.98527</v>
      </c>
      <c r="K6" s="33">
        <f>'Income Statement'!K7</f>
        <v>19265.1048281</v>
      </c>
      <c r="L6" s="33">
        <f>'Income Statement'!L7</f>
        <v>19843.057972943</v>
      </c>
      <c r="M6" s="33">
        <f>'Income Statement'!M7</f>
        <v>20438.34971213129</v>
      </c>
    </row>
    <row r="7" spans="1:13" ht="15">
      <c r="A7" s="9" t="s">
        <v>8</v>
      </c>
      <c r="G7" s="33">
        <f>'Income Statement'!G8</f>
        <v>11539.8</v>
      </c>
      <c r="H7" s="66">
        <f>'Income Statement'!H8</f>
        <v>11681.1</v>
      </c>
      <c r="I7" s="33">
        <f>'Income Statement'!I8</f>
        <v>11776.096099766735</v>
      </c>
      <c r="J7" s="33">
        <f>'Income Statement'!J8</f>
        <v>12250.672772587335</v>
      </c>
      <c r="K7" s="33">
        <f>'Income Statement'!K8</f>
        <v>12744.374885322604</v>
      </c>
      <c r="L7" s="33">
        <f>'Income Statement'!L8</f>
        <v>13257.973193201104</v>
      </c>
      <c r="M7" s="33">
        <f>'Income Statement'!M8</f>
        <v>13792.26951288711</v>
      </c>
    </row>
    <row r="8" ht="15.75" thickBot="1">
      <c r="H8" s="11"/>
    </row>
    <row r="9" spans="1:8" ht="15.75" thickBot="1">
      <c r="A9" s="86" t="s">
        <v>44</v>
      </c>
      <c r="F9" s="241">
        <v>365</v>
      </c>
      <c r="H9" s="11"/>
    </row>
    <row r="10" spans="2:13" ht="15">
      <c r="B10" t="s">
        <v>45</v>
      </c>
      <c r="G10" s="38">
        <f>'Balance Sheet'!F7</f>
        <v>1483.6</v>
      </c>
      <c r="H10" s="67">
        <f>'Balance Sheet'!G7</f>
        <v>1386.7</v>
      </c>
      <c r="I10" s="166">
        <f>+I6/I12</f>
        <v>1467.6620972602739</v>
      </c>
      <c r="J10" s="166">
        <f>+J6/J12</f>
        <v>1511.6919601780821</v>
      </c>
      <c r="K10" s="166">
        <f>+K6/K12</f>
        <v>1557.0427189834245</v>
      </c>
      <c r="L10" s="166">
        <f>+L6/L12</f>
        <v>1603.7540005529272</v>
      </c>
      <c r="M10" s="166">
        <f>+M6/M12</f>
        <v>1651.8666205695151</v>
      </c>
    </row>
    <row r="11" spans="3:14" ht="15">
      <c r="C11" t="s">
        <v>46</v>
      </c>
      <c r="G11" s="20">
        <f>365/G12</f>
        <v>30.23596283557422</v>
      </c>
      <c r="H11" s="57">
        <f>365/H12</f>
        <v>28.708842163774868</v>
      </c>
      <c r="I11" s="243">
        <v>29.5</v>
      </c>
      <c r="J11" s="243">
        <f>I11</f>
        <v>29.5</v>
      </c>
      <c r="K11" s="243">
        <f>J11</f>
        <v>29.5</v>
      </c>
      <c r="L11" s="243">
        <f>K11</f>
        <v>29.5</v>
      </c>
      <c r="M11" s="243">
        <f>L11</f>
        <v>29.5</v>
      </c>
      <c r="N11" s="300"/>
    </row>
    <row r="12" spans="3:13" ht="15">
      <c r="C12" t="s">
        <v>47</v>
      </c>
      <c r="G12" s="31">
        <f>G6/G10</f>
        <v>12.071717444055</v>
      </c>
      <c r="H12" s="68">
        <f>H6/H10</f>
        <v>12.713853032379028</v>
      </c>
      <c r="I12" s="31">
        <f>365/I11</f>
        <v>12.372881355932204</v>
      </c>
      <c r="J12" s="31">
        <f>365/J11</f>
        <v>12.372881355932204</v>
      </c>
      <c r="K12" s="31">
        <f>365/K11</f>
        <v>12.372881355932204</v>
      </c>
      <c r="L12" s="31">
        <f>365/L11</f>
        <v>12.372881355932204</v>
      </c>
      <c r="M12" s="31">
        <f>365/M11</f>
        <v>12.372881355932204</v>
      </c>
    </row>
    <row r="13" spans="7:8" ht="15.75" thickBot="1">
      <c r="G13" s="31"/>
      <c r="H13" s="68"/>
    </row>
    <row r="14" spans="2:13" ht="15.75" thickBot="1">
      <c r="B14" t="s">
        <v>48</v>
      </c>
      <c r="F14" s="241">
        <v>365</v>
      </c>
      <c r="G14" s="38">
        <f>'Balance Sheet'!F8</f>
        <v>1559.4</v>
      </c>
      <c r="H14" s="67">
        <f>'Balance Sheet'!G8</f>
        <v>1540.9</v>
      </c>
      <c r="I14" s="20">
        <f>+I6/I16</f>
        <v>1592.0402410958902</v>
      </c>
      <c r="J14" s="20">
        <f>+J6/J16</f>
        <v>1639.8014483287673</v>
      </c>
      <c r="K14" s="20">
        <f>+K6/K16</f>
        <v>1688.9954917786301</v>
      </c>
      <c r="L14" s="20">
        <f>+L6/L16</f>
        <v>1739.665356531989</v>
      </c>
      <c r="M14" s="20">
        <f>+M6/M16</f>
        <v>1791.8553172279487</v>
      </c>
    </row>
    <row r="15" spans="3:13" ht="13.5">
      <c r="C15" t="s">
        <v>49</v>
      </c>
      <c r="G15" s="20">
        <f>$F$14/G16</f>
        <v>31.780776790101402</v>
      </c>
      <c r="H15" s="57">
        <f>365/H16</f>
        <v>31.901243881272585</v>
      </c>
      <c r="I15" s="243">
        <v>32</v>
      </c>
      <c r="J15" s="243">
        <f>I15</f>
        <v>32</v>
      </c>
      <c r="K15" s="243">
        <f>J15</f>
        <v>32</v>
      </c>
      <c r="L15" s="243">
        <f>K15</f>
        <v>32</v>
      </c>
      <c r="M15" s="243">
        <f>L15</f>
        <v>32</v>
      </c>
    </row>
    <row r="16" spans="3:13" ht="13.5">
      <c r="C16" t="s">
        <v>50</v>
      </c>
      <c r="G16" s="31">
        <f>G6/G14</f>
        <v>11.48493010132102</v>
      </c>
      <c r="H16" s="68">
        <f>H6/H14</f>
        <v>11.44156012719839</v>
      </c>
      <c r="I16" s="31">
        <f>365/I15</f>
        <v>11.40625</v>
      </c>
      <c r="J16" s="31">
        <f>365/J15</f>
        <v>11.40625</v>
      </c>
      <c r="K16" s="31">
        <f>365/K15</f>
        <v>11.40625</v>
      </c>
      <c r="L16" s="31">
        <f>365/L15</f>
        <v>11.40625</v>
      </c>
      <c r="M16" s="31">
        <f>365/M15</f>
        <v>11.40625</v>
      </c>
    </row>
    <row r="17" spans="7:8" ht="13.5">
      <c r="G17" s="31"/>
      <c r="H17" s="68"/>
    </row>
    <row r="18" spans="2:13" ht="13.5">
      <c r="B18" t="s">
        <v>51</v>
      </c>
      <c r="G18" s="38">
        <f>'Balance Sheet'!F9</f>
        <v>483.20000000000005</v>
      </c>
      <c r="H18" s="67">
        <f>'Balance Sheet'!G9</f>
        <v>523.9</v>
      </c>
      <c r="I18" s="166">
        <f>I19*I6</f>
        <v>517.5374565</v>
      </c>
      <c r="J18" s="166">
        <f>J19*J6</f>
        <v>533.0635801950001</v>
      </c>
      <c r="K18" s="166">
        <f>K19*K6</f>
        <v>549.05548760085</v>
      </c>
      <c r="L18" s="166">
        <f>L19*L6</f>
        <v>565.5271522288755</v>
      </c>
      <c r="M18" s="166">
        <f>M19*M6</f>
        <v>582.4929667957418</v>
      </c>
    </row>
    <row r="19" spans="3:13" ht="13.5">
      <c r="C19" t="s">
        <v>73</v>
      </c>
      <c r="G19" s="27">
        <f>G18/G6</f>
        <v>0.026979943717335957</v>
      </c>
      <c r="H19" s="69">
        <f>H18/H6</f>
        <v>0.029715886853882236</v>
      </c>
      <c r="I19" s="244">
        <v>0.0285</v>
      </c>
      <c r="J19" s="244">
        <f>I19</f>
        <v>0.0285</v>
      </c>
      <c r="K19" s="244">
        <f>J19</f>
        <v>0.0285</v>
      </c>
      <c r="L19" s="244">
        <f>K19</f>
        <v>0.0285</v>
      </c>
      <c r="M19" s="244">
        <f>L19</f>
        <v>0.0285</v>
      </c>
    </row>
    <row r="20" spans="7:8" ht="15" thickBot="1">
      <c r="G20" s="31"/>
      <c r="H20" s="68"/>
    </row>
    <row r="21" spans="1:8" ht="15" thickBot="1">
      <c r="A21" s="86" t="s">
        <v>52</v>
      </c>
      <c r="F21" s="241">
        <v>365</v>
      </c>
      <c r="G21" s="20"/>
      <c r="H21" s="57"/>
    </row>
    <row r="22" spans="2:13" ht="13.5">
      <c r="B22" t="s">
        <v>53</v>
      </c>
      <c r="G22" s="38">
        <f>'Balance Sheet'!F21</f>
        <v>1611.3</v>
      </c>
      <c r="H22" s="67">
        <f>'Balance Sheet'!G21</f>
        <v>1684</v>
      </c>
      <c r="I22" s="166">
        <f>I6/I24</f>
        <v>1691.5427561643835</v>
      </c>
      <c r="J22" s="166">
        <f>J6/J24</f>
        <v>1742.2890388493154</v>
      </c>
      <c r="K22" s="166">
        <f>K6/K24</f>
        <v>1794.5577100147948</v>
      </c>
      <c r="L22" s="166">
        <f>L6/L24</f>
        <v>1848.3944413152385</v>
      </c>
      <c r="M22" s="166">
        <f>M6/M24</f>
        <v>1903.8462745546956</v>
      </c>
    </row>
    <row r="23" spans="3:14" ht="13.5">
      <c r="C23" t="s">
        <v>54</v>
      </c>
      <c r="G23" s="20">
        <f>365/G24</f>
        <v>32.83850560593201</v>
      </c>
      <c r="H23" s="57">
        <f>365/H24</f>
        <v>34.86384236229673</v>
      </c>
      <c r="I23" s="243">
        <v>34</v>
      </c>
      <c r="J23" s="243">
        <v>34</v>
      </c>
      <c r="K23" s="243">
        <v>34</v>
      </c>
      <c r="L23" s="243">
        <v>34</v>
      </c>
      <c r="M23" s="243">
        <v>34</v>
      </c>
      <c r="N23" s="300" t="s">
        <v>229</v>
      </c>
    </row>
    <row r="24" spans="3:13" ht="13.5">
      <c r="C24" t="s">
        <v>55</v>
      </c>
      <c r="G24" s="32">
        <f>G6/G22</f>
        <v>11.115000310308446</v>
      </c>
      <c r="H24" s="32">
        <f>H6/H22</f>
        <v>10.469299287410927</v>
      </c>
      <c r="I24" s="32">
        <f>365/I23</f>
        <v>10.735294117647058</v>
      </c>
      <c r="J24" s="32">
        <f>365/J23</f>
        <v>10.735294117647058</v>
      </c>
      <c r="K24" s="32">
        <f>365/K23</f>
        <v>10.735294117647058</v>
      </c>
      <c r="L24" s="32">
        <f>365/L23</f>
        <v>10.735294117647058</v>
      </c>
      <c r="M24" s="32">
        <f>365/M23</f>
        <v>10.735294117647058</v>
      </c>
    </row>
    <row r="25" ht="13.5">
      <c r="H25" s="11"/>
    </row>
    <row r="26" spans="2:13" ht="13.5">
      <c r="B26" t="s">
        <v>56</v>
      </c>
      <c r="G26" s="38">
        <f>'Balance Sheet'!F23</f>
        <v>1449.9</v>
      </c>
      <c r="H26" s="67">
        <f>'Balance Sheet'!G23</f>
        <v>1590</v>
      </c>
      <c r="I26" s="248">
        <f>I27*I6</f>
        <v>1552.6123695</v>
      </c>
      <c r="J26" s="248">
        <f>J27*J6</f>
        <v>1599.1907405850002</v>
      </c>
      <c r="K26" s="248">
        <f>K27*K6</f>
        <v>1647.16646280255</v>
      </c>
      <c r="L26" s="248">
        <f>L27*L6</f>
        <v>1696.5814566866266</v>
      </c>
      <c r="M26" s="248">
        <f>M27*M6</f>
        <v>1747.4789003872254</v>
      </c>
    </row>
    <row r="27" spans="3:14" ht="13.5">
      <c r="C27" t="s">
        <v>73</v>
      </c>
      <c r="G27" s="27">
        <f>G26/G6</f>
        <v>0.08095658194487873</v>
      </c>
      <c r="H27" s="305">
        <f>H26/H6</f>
        <v>0.0901856463021049</v>
      </c>
      <c r="I27" s="244">
        <v>0.0855</v>
      </c>
      <c r="J27" s="244">
        <v>0.0855</v>
      </c>
      <c r="K27" s="244">
        <v>0.0855</v>
      </c>
      <c r="L27" s="244">
        <v>0.0855</v>
      </c>
      <c r="M27" s="244">
        <v>0.0855</v>
      </c>
      <c r="N27" s="301"/>
    </row>
    <row r="28" ht="13.5">
      <c r="H28" s="11"/>
    </row>
    <row r="29" ht="13.5">
      <c r="H29" s="11"/>
    </row>
    <row r="30" spans="2:13" ht="13.5">
      <c r="B30" s="86" t="s">
        <v>43</v>
      </c>
      <c r="G30" s="20">
        <f>(G10+G14+G18)-(G22+G26)</f>
        <v>465</v>
      </c>
      <c r="H30" s="57">
        <f aca="true" t="shared" si="0" ref="H30:M30">(H10+H14+H18)-(H22+H26)</f>
        <v>177.50000000000045</v>
      </c>
      <c r="I30" s="20">
        <f>(I10+I14+I18)-(I22+I26)</f>
        <v>333.08466919178045</v>
      </c>
      <c r="J30" s="20">
        <f t="shared" si="0"/>
        <v>343.0772092675338</v>
      </c>
      <c r="K30" s="20">
        <f t="shared" si="0"/>
        <v>353.36952554555955</v>
      </c>
      <c r="L30" s="20">
        <f t="shared" si="0"/>
        <v>363.9706113119264</v>
      </c>
      <c r="M30" s="20">
        <f t="shared" si="0"/>
        <v>374.8897296512846</v>
      </c>
    </row>
    <row r="31" ht="13.5">
      <c r="H31" s="70"/>
    </row>
    <row r="32" spans="1:13" ht="13.5">
      <c r="A32" s="40"/>
      <c r="B32" s="104" t="s">
        <v>57</v>
      </c>
      <c r="C32" s="39"/>
      <c r="D32" s="39"/>
      <c r="E32" s="39"/>
      <c r="F32" s="39"/>
      <c r="G32" s="39"/>
      <c r="H32" s="245">
        <f>H30-G30</f>
        <v>-287.49999999999955</v>
      </c>
      <c r="I32" s="246">
        <f>I30-H30</f>
        <v>155.58466919178</v>
      </c>
      <c r="J32" s="246">
        <f>J30-I30</f>
        <v>9.992540075753368</v>
      </c>
      <c r="K32" s="246">
        <f>K30-J30</f>
        <v>10.292316278025737</v>
      </c>
      <c r="L32" s="246">
        <f>L30-K30</f>
        <v>10.60108576636685</v>
      </c>
      <c r="M32" s="246">
        <f>M30-L30</f>
        <v>10.919118339358192</v>
      </c>
    </row>
    <row r="33" ht="13.5">
      <c r="H33" s="71"/>
    </row>
    <row r="34" spans="1:8" ht="13.5">
      <c r="A34" s="9" t="s">
        <v>58</v>
      </c>
      <c r="H34" s="11"/>
    </row>
    <row r="35" spans="1:13" ht="13.5">
      <c r="A35" s="26" t="s">
        <v>59</v>
      </c>
      <c r="G35" s="112">
        <f>G11+G15-G23</f>
        <v>29.178234019743613</v>
      </c>
      <c r="H35" s="247">
        <f>H11+H15-H23</f>
        <v>25.746243682750723</v>
      </c>
      <c r="I35" s="112">
        <f>I11+I15-I23</f>
        <v>27.5</v>
      </c>
      <c r="J35" s="112">
        <f>J11+J15-J23</f>
        <v>27.5</v>
      </c>
      <c r="K35" s="112">
        <f>K11+K15-K23</f>
        <v>27.5</v>
      </c>
      <c r="L35" s="112">
        <f>L11+L15-L23</f>
        <v>27.5</v>
      </c>
      <c r="M35" s="112">
        <f>M11+M15-M23</f>
        <v>27.5</v>
      </c>
    </row>
  </sheetData>
  <sheetProtection/>
  <mergeCells count="3">
    <mergeCell ref="G3:M3"/>
    <mergeCell ref="G4:H4"/>
    <mergeCell ref="I4:M4"/>
  </mergeCells>
  <printOptions/>
  <pageMargins left="0.7" right="0.7" top="0.75" bottom="0.75" header="0.3" footer="0.3"/>
  <pageSetup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3">
      <selection activeCell="F25" sqref="F25"/>
    </sheetView>
  </sheetViews>
  <sheetFormatPr defaultColWidth="11.57421875" defaultRowHeight="15"/>
  <cols>
    <col min="1" max="1" width="12.28125" style="0" customWidth="1"/>
    <col min="2" max="2" width="11.140625" style="0" customWidth="1"/>
    <col min="3" max="4" width="11.421875" style="0" customWidth="1"/>
    <col min="5" max="5" width="11.8515625" style="0" bestFit="1" customWidth="1"/>
    <col min="6" max="7" width="11.421875" style="0" customWidth="1"/>
    <col min="8" max="8" width="12.421875" style="0" bestFit="1" customWidth="1"/>
    <col min="9" max="9" width="11.421875" style="0" customWidth="1"/>
    <col min="10" max="10" width="12.00390625" style="0" customWidth="1"/>
    <col min="11" max="11" width="17.421875" style="0" customWidth="1"/>
    <col min="12" max="16384" width="11.421875" style="0" customWidth="1"/>
  </cols>
  <sheetData>
    <row r="1" spans="1:2" ht="26.25">
      <c r="A1" s="87" t="s">
        <v>74</v>
      </c>
      <c r="B1" s="86"/>
    </row>
    <row r="2" ht="15.75" thickBot="1">
      <c r="A2" t="s">
        <v>6</v>
      </c>
    </row>
    <row r="3" spans="5:10" ht="15.75" thickBot="1">
      <c r="E3" s="328" t="s">
        <v>72</v>
      </c>
      <c r="F3" s="329"/>
      <c r="G3" s="329"/>
      <c r="H3" s="329"/>
      <c r="I3" s="329"/>
      <c r="J3" s="330"/>
    </row>
    <row r="4" spans="5:10" ht="15.75" thickBot="1">
      <c r="E4" s="37" t="s">
        <v>19</v>
      </c>
      <c r="F4" s="333" t="s">
        <v>20</v>
      </c>
      <c r="G4" s="334"/>
      <c r="H4" s="334"/>
      <c r="I4" s="334"/>
      <c r="J4" s="335"/>
    </row>
    <row r="5" spans="5:10" ht="15.75" thickBot="1">
      <c r="E5" s="41">
        <v>2015</v>
      </c>
      <c r="F5" s="34">
        <v>2016</v>
      </c>
      <c r="G5" s="35">
        <v>2017</v>
      </c>
      <c r="H5" s="35">
        <v>2018</v>
      </c>
      <c r="I5" s="35">
        <v>2019</v>
      </c>
      <c r="J5" s="36">
        <v>2020</v>
      </c>
    </row>
    <row r="7" spans="1:10" ht="15">
      <c r="A7" s="86" t="s">
        <v>75</v>
      </c>
      <c r="E7" s="196">
        <f>'Balance Sheet'!G12</f>
        <v>9591</v>
      </c>
      <c r="F7" s="196">
        <f>'Balance Sheet'!H12</f>
        <v>10442.425118408348</v>
      </c>
      <c r="G7" s="196">
        <f>'Balance Sheet'!I12</f>
        <v>11369.434089622104</v>
      </c>
      <c r="H7" s="196">
        <f>'Balance Sheet'!J12</f>
        <v>12378.736744818892</v>
      </c>
      <c r="I7" s="196">
        <f>'Balance Sheet'!K12</f>
        <v>13477.638569310937</v>
      </c>
      <c r="J7" s="196">
        <f>'Balance Sheet'!L12</f>
        <v>14674.093580752964</v>
      </c>
    </row>
    <row r="8" ht="15">
      <c r="A8" s="86"/>
    </row>
    <row r="9" spans="1:10" ht="15">
      <c r="A9" s="86" t="s">
        <v>76</v>
      </c>
      <c r="F9" s="166">
        <f>E13</f>
        <v>3783.2</v>
      </c>
      <c r="G9" s="166">
        <f>F13</f>
        <v>4328.472917173463</v>
      </c>
      <c r="H9" s="166">
        <f>G13</f>
        <v>4888.093701533062</v>
      </c>
      <c r="I9" s="166">
        <f>H13</f>
        <v>5463.336061192429</v>
      </c>
      <c r="J9" s="166">
        <f>I13</f>
        <v>6055.586775590552</v>
      </c>
    </row>
    <row r="10" spans="1:10" ht="15">
      <c r="A10" s="183" t="s">
        <v>227</v>
      </c>
      <c r="B10" s="119"/>
      <c r="F10" s="166">
        <f>-'Cash Flow Statement'!F13</f>
        <v>851.4251184083481</v>
      </c>
      <c r="G10" s="166">
        <f>-'Cash Flow Statement'!G13</f>
        <v>927.0089712137562</v>
      </c>
      <c r="H10" s="166">
        <f>-'Cash Flow Statement'!H13</f>
        <v>1009.3026551967895</v>
      </c>
      <c r="I10" s="166">
        <f>-'Cash Flow Statement'!I13</f>
        <v>1098.9018244920442</v>
      </c>
      <c r="J10" s="166">
        <f>-'Cash Flow Statement'!J13</f>
        <v>1196.4550114420272</v>
      </c>
    </row>
    <row r="11" spans="1:11" ht="15">
      <c r="A11" s="183" t="s">
        <v>12</v>
      </c>
      <c r="E11" s="98">
        <f>'Income Statement'!H16</f>
        <v>560</v>
      </c>
      <c r="F11" s="166">
        <f>$E13/$B$17</f>
        <v>249.9091033515099</v>
      </c>
      <c r="G11" s="166">
        <f>$E13/$B$17</f>
        <v>249.9091033515099</v>
      </c>
      <c r="H11" s="166">
        <f>$E13/$B$17</f>
        <v>249.9091033515099</v>
      </c>
      <c r="I11" s="166">
        <f>$E13/$B$17</f>
        <v>249.9091033515099</v>
      </c>
      <c r="J11" s="166">
        <f>$E13/$B$17</f>
        <v>249.9091033515099</v>
      </c>
      <c r="K11" s="300"/>
    </row>
    <row r="12" spans="1:10" ht="15">
      <c r="A12" s="183" t="s">
        <v>228</v>
      </c>
      <c r="F12" s="165">
        <f>F21</f>
        <v>56.24309788337477</v>
      </c>
      <c r="G12" s="165">
        <f>G21</f>
        <v>117.47908350264827</v>
      </c>
      <c r="H12" s="165">
        <f>H21</f>
        <v>184.1511921859132</v>
      </c>
      <c r="I12" s="165">
        <f>I21</f>
        <v>256.7420067424117</v>
      </c>
      <c r="J12" s="165">
        <f>J21</f>
        <v>335.77695046991687</v>
      </c>
    </row>
    <row r="13" spans="1:10" ht="15">
      <c r="A13" s="86" t="s">
        <v>77</v>
      </c>
      <c r="E13" s="99">
        <f>'Balance Sheet'!G14</f>
        <v>3783.2</v>
      </c>
      <c r="F13" s="188">
        <f>F9+F10-F11-F12</f>
        <v>4328.472917173463</v>
      </c>
      <c r="G13" s="188">
        <f>G9+G10-G11-G12</f>
        <v>4888.093701533062</v>
      </c>
      <c r="H13" s="188">
        <f>H9+H10-H11-H12</f>
        <v>5463.336061192429</v>
      </c>
      <c r="I13" s="188">
        <f>I9+I10-I11-I12</f>
        <v>6055.586775590552</v>
      </c>
      <c r="J13" s="188">
        <f>J9+J10-J11-J12</f>
        <v>6666.355733211152</v>
      </c>
    </row>
    <row r="15" ht="15">
      <c r="A15" s="86"/>
    </row>
    <row r="16" spans="1:10" ht="15">
      <c r="A16" s="86" t="s">
        <v>157</v>
      </c>
      <c r="F16" s="250">
        <f>IF(F$5-$A$19&gt;=$B$17,0,$B19/$B$17)</f>
        <v>56.24309788337477</v>
      </c>
      <c r="G16" s="250">
        <f>IF(G$5-$A$19&gt;=$B$17,0,$B19/$B$17)</f>
        <v>56.24309788337477</v>
      </c>
      <c r="H16" s="250">
        <f>IF(H$5-$A$19&gt;=$B$17,0,$B19/$B$17)</f>
        <v>56.24309788337477</v>
      </c>
      <c r="I16" s="250">
        <f>IF(I$5-$A$19&gt;=$B$17,0,$B19/$B$17)</f>
        <v>56.24309788337477</v>
      </c>
      <c r="J16" s="250">
        <f>IF(J$5-$A$19&gt;=$B$17,0,$B19/$B$17)</f>
        <v>56.24309788337477</v>
      </c>
    </row>
    <row r="17" spans="1:10" ht="15">
      <c r="A17" s="187" t="s">
        <v>158</v>
      </c>
      <c r="B17" s="115">
        <f>I43</f>
        <v>15.13830408442039</v>
      </c>
      <c r="F17" s="250"/>
      <c r="G17" s="250">
        <f>IF(G$5-$A$20&gt;=$B$17,0,$B20/$B$17)</f>
        <v>61.23598561927349</v>
      </c>
      <c r="H17" s="250">
        <f>IF(H$5-$A$20&gt;=$B$17,0,$B20/$B$17)</f>
        <v>61.23598561927349</v>
      </c>
      <c r="I17" s="250">
        <f>IF(I$5-$A$20&gt;=$B$17,0,$B20/$B$17)</f>
        <v>61.23598561927349</v>
      </c>
      <c r="J17" s="250">
        <f>IF(J$5-$A$20&gt;=$B$17,0,$B20/$B$17)</f>
        <v>61.23598561927349</v>
      </c>
    </row>
    <row r="18" spans="1:10" ht="15">
      <c r="A18" s="187">
        <v>2015</v>
      </c>
      <c r="B18" s="65"/>
      <c r="F18" s="250"/>
      <c r="G18" s="250"/>
      <c r="H18" s="250">
        <f>IF(H$5-$A$21&gt;=$B$17,0,$B21/$B$17)</f>
        <v>66.67210868326492</v>
      </c>
      <c r="I18" s="250">
        <f>IF(I$5-$A$21&gt;=$B$17,0,$B21/$B$17)</f>
        <v>66.67210868326492</v>
      </c>
      <c r="J18" s="250">
        <f>IF(J$5-$A$21&gt;=$B$17,0,$B21/$B$17)</f>
        <v>66.67210868326492</v>
      </c>
    </row>
    <row r="19" spans="1:10" ht="15">
      <c r="A19" s="187">
        <v>2016</v>
      </c>
      <c r="B19" s="107">
        <f>F10</f>
        <v>851.4251184083481</v>
      </c>
      <c r="F19" s="250"/>
      <c r="G19" s="250"/>
      <c r="H19" s="250"/>
      <c r="I19" s="250">
        <f>IF(I$5-$A$22&gt;=$B$17,0,$B22/$B$17)</f>
        <v>72.59081455649849</v>
      </c>
      <c r="J19" s="250">
        <f>IF(J$5-$A$22&gt;=$B$17,0,$B22/$B$17)</f>
        <v>72.59081455649849</v>
      </c>
    </row>
    <row r="20" spans="1:10" ht="15">
      <c r="A20" s="187">
        <v>2017</v>
      </c>
      <c r="B20" s="107">
        <f>G10</f>
        <v>927.0089712137562</v>
      </c>
      <c r="F20" s="251"/>
      <c r="G20" s="251"/>
      <c r="H20" s="251"/>
      <c r="I20" s="251"/>
      <c r="J20" s="251">
        <f>IF(J$5-$A$23&gt;=$B$17,0,$B23/$B$17)</f>
        <v>79.03494372750517</v>
      </c>
    </row>
    <row r="21" spans="1:10" ht="15">
      <c r="A21" s="187">
        <v>2018</v>
      </c>
      <c r="B21" s="107">
        <f>H10</f>
        <v>1009.3026551967895</v>
      </c>
      <c r="D21" s="100" t="s">
        <v>78</v>
      </c>
      <c r="E21" s="100"/>
      <c r="F21" s="31">
        <f>SUM(F16:F20)</f>
        <v>56.24309788337477</v>
      </c>
      <c r="G21" s="31">
        <f>SUM(G16:G20)</f>
        <v>117.47908350264827</v>
      </c>
      <c r="H21" s="31">
        <f>SUM(H16:H20)</f>
        <v>184.1511921859132</v>
      </c>
      <c r="I21" s="31">
        <f>SUM(I16:I20)</f>
        <v>256.7420067424117</v>
      </c>
      <c r="J21" s="31">
        <f>SUM(J16:J20)</f>
        <v>335.77695046991687</v>
      </c>
    </row>
    <row r="22" spans="1:2" ht="15">
      <c r="A22" s="187">
        <v>2019</v>
      </c>
      <c r="B22" s="107">
        <f>I10</f>
        <v>1098.9018244920442</v>
      </c>
    </row>
    <row r="23" spans="1:10" ht="15">
      <c r="A23" s="187">
        <v>2020</v>
      </c>
      <c r="B23" s="107">
        <f>J10</f>
        <v>1196.4550114420272</v>
      </c>
      <c r="D23" s="39" t="s">
        <v>79</v>
      </c>
      <c r="E23" s="39"/>
      <c r="F23" s="108">
        <f>F21+F11</f>
        <v>306.15220123488467</v>
      </c>
      <c r="G23" s="108">
        <f>G21+G11</f>
        <v>367.38818685415816</v>
      </c>
      <c r="H23" s="108">
        <f>H21+H11</f>
        <v>434.06029553742314</v>
      </c>
      <c r="I23" s="108">
        <f>I21+I11</f>
        <v>506.6511100939216</v>
      </c>
      <c r="J23" s="106">
        <f>J21+J11</f>
        <v>585.6860538214268</v>
      </c>
    </row>
    <row r="26" ht="15">
      <c r="C26" s="1"/>
    </row>
    <row r="27" ht="15">
      <c r="A27" s="256" t="s">
        <v>159</v>
      </c>
    </row>
    <row r="28" spans="1:9" ht="15">
      <c r="A28" s="257"/>
      <c r="B28" s="100"/>
      <c r="C28" s="100"/>
      <c r="D28" s="100"/>
      <c r="E28" s="39">
        <v>2011</v>
      </c>
      <c r="F28" s="39">
        <v>2012</v>
      </c>
      <c r="G28" s="39">
        <v>2013</v>
      </c>
      <c r="H28" s="39">
        <v>2014</v>
      </c>
      <c r="I28" s="84">
        <v>2015</v>
      </c>
    </row>
    <row r="29" spans="1:9" ht="15">
      <c r="A29" s="3" t="s">
        <v>161</v>
      </c>
      <c r="B29" s="1"/>
      <c r="C29" s="1"/>
      <c r="D29" s="252"/>
      <c r="E29" s="203">
        <v>648.8</v>
      </c>
      <c r="F29" s="203">
        <v>675.9</v>
      </c>
      <c r="G29" s="203">
        <v>613</v>
      </c>
      <c r="H29" s="203">
        <v>663.5</v>
      </c>
      <c r="I29" s="178">
        <v>712.4</v>
      </c>
    </row>
    <row r="30" spans="1:9" ht="15">
      <c r="A30" s="3" t="s">
        <v>75</v>
      </c>
      <c r="B30" s="1"/>
      <c r="C30" s="1"/>
      <c r="D30" s="234">
        <v>6950</v>
      </c>
      <c r="E30" s="203">
        <v>7492</v>
      </c>
      <c r="F30" s="203">
        <v>8285</v>
      </c>
      <c r="G30" s="203">
        <v>8933</v>
      </c>
      <c r="H30" s="203">
        <v>9393.1</v>
      </c>
      <c r="I30" s="178">
        <v>9591.1</v>
      </c>
    </row>
    <row r="31" spans="1:9" ht="15">
      <c r="A31" s="3"/>
      <c r="B31" s="1"/>
      <c r="C31" s="1"/>
      <c r="D31" s="1"/>
      <c r="E31" s="1"/>
      <c r="F31" s="1"/>
      <c r="G31" s="1"/>
      <c r="H31" s="1"/>
      <c r="I31" s="11"/>
    </row>
    <row r="32" spans="1:9" ht="15">
      <c r="A32" s="3" t="s">
        <v>160</v>
      </c>
      <c r="B32" s="1"/>
      <c r="C32" s="1"/>
      <c r="D32" s="1"/>
      <c r="E32" s="184">
        <f>E29/D30</f>
        <v>0.0933525179856115</v>
      </c>
      <c r="F32" s="184">
        <f>F29/E30</f>
        <v>0.09021623064602242</v>
      </c>
      <c r="G32" s="184">
        <f>G29/F30</f>
        <v>0.0739891369945685</v>
      </c>
      <c r="H32" s="184">
        <f>H29/G30</f>
        <v>0.07427515952087764</v>
      </c>
      <c r="I32" s="185">
        <f>I29/H30</f>
        <v>0.07584290596288765</v>
      </c>
    </row>
    <row r="33" spans="1:11" ht="15">
      <c r="A33" s="4"/>
      <c r="B33" s="2"/>
      <c r="C33" s="2"/>
      <c r="D33" s="2"/>
      <c r="E33" s="186"/>
      <c r="F33" s="186"/>
      <c r="G33" s="186"/>
      <c r="H33" s="117" t="s">
        <v>174</v>
      </c>
      <c r="I33" s="118">
        <f>AVERAGE(E32:I32)</f>
        <v>0.08153519022199354</v>
      </c>
      <c r="J33" s="1"/>
      <c r="K33" s="119"/>
    </row>
    <row r="36" ht="15">
      <c r="A36" s="86" t="s">
        <v>162</v>
      </c>
    </row>
    <row r="37" spans="1:10" ht="15">
      <c r="A37" s="253" t="s">
        <v>163</v>
      </c>
      <c r="B37" s="254"/>
      <c r="C37" s="254"/>
      <c r="D37" s="254">
        <v>2015</v>
      </c>
      <c r="E37" s="254" t="s">
        <v>170</v>
      </c>
      <c r="F37" s="336" t="s">
        <v>171</v>
      </c>
      <c r="G37" s="336"/>
      <c r="H37" s="254" t="s">
        <v>172</v>
      </c>
      <c r="I37" s="254" t="s">
        <v>173</v>
      </c>
      <c r="J37" s="255"/>
    </row>
    <row r="38" spans="1:10" ht="15">
      <c r="A38" s="1" t="s">
        <v>164</v>
      </c>
      <c r="B38" s="1"/>
      <c r="C38" s="1"/>
      <c r="D38" s="234">
        <v>96</v>
      </c>
      <c r="E38" s="101">
        <f aca="true" t="shared" si="0" ref="E38:E43">D38/$D$43</f>
        <v>0.010010323145744049</v>
      </c>
      <c r="F38" s="1"/>
      <c r="G38" s="1"/>
      <c r="H38" s="1"/>
      <c r="I38" s="1"/>
      <c r="J38" s="71"/>
    </row>
    <row r="39" spans="1:10" ht="15">
      <c r="A39" s="1" t="s">
        <v>165</v>
      </c>
      <c r="B39" s="1"/>
      <c r="C39" s="1"/>
      <c r="D39" s="234">
        <v>2273</v>
      </c>
      <c r="E39" s="101">
        <f t="shared" si="0"/>
        <v>0.23701525531537732</v>
      </c>
      <c r="F39" s="234">
        <v>40</v>
      </c>
      <c r="G39" s="234">
        <v>50</v>
      </c>
      <c r="H39" s="1">
        <f>AVERAGE(F39:G39)</f>
        <v>45</v>
      </c>
      <c r="I39" s="102">
        <f>E39*H39</f>
        <v>10.665686489191978</v>
      </c>
      <c r="J39" s="11"/>
    </row>
    <row r="40" spans="1:10" ht="15">
      <c r="A40" s="1" t="s">
        <v>166</v>
      </c>
      <c r="B40" s="1"/>
      <c r="C40" s="1"/>
      <c r="D40" s="234">
        <v>6099.9</v>
      </c>
      <c r="E40" s="101">
        <f t="shared" si="0"/>
        <v>0.6360621891325429</v>
      </c>
      <c r="F40" s="234">
        <v>3</v>
      </c>
      <c r="G40" s="234">
        <v>10</v>
      </c>
      <c r="H40" s="1">
        <f>AVERAGE(F40:G40)</f>
        <v>6.5</v>
      </c>
      <c r="I40" s="102">
        <f>E40*H40</f>
        <v>4.134404229361529</v>
      </c>
      <c r="J40" s="11"/>
    </row>
    <row r="41" spans="1:10" ht="15">
      <c r="A41" s="1" t="s">
        <v>167</v>
      </c>
      <c r="B41" s="1"/>
      <c r="C41" s="1"/>
      <c r="D41" s="234">
        <v>499</v>
      </c>
      <c r="E41" s="101">
        <f t="shared" si="0"/>
        <v>0.052032825517982086</v>
      </c>
      <c r="F41" s="234">
        <v>3</v>
      </c>
      <c r="G41" s="234">
        <v>10</v>
      </c>
      <c r="H41" s="1">
        <f>AVERAGE(F41:G41)</f>
        <v>6.5</v>
      </c>
      <c r="I41" s="102">
        <f>E41*H41</f>
        <v>0.33821336586688355</v>
      </c>
      <c r="J41" s="11"/>
    </row>
    <row r="42" spans="1:10" ht="15">
      <c r="A42" s="1" t="s">
        <v>168</v>
      </c>
      <c r="B42" s="1"/>
      <c r="C42" s="1"/>
      <c r="D42" s="234">
        <v>622.2</v>
      </c>
      <c r="E42" s="101">
        <f t="shared" si="0"/>
        <v>0.06487940688835361</v>
      </c>
      <c r="F42" s="1"/>
      <c r="G42" s="1"/>
      <c r="H42" s="1"/>
      <c r="I42" s="1"/>
      <c r="J42" s="11"/>
    </row>
    <row r="43" spans="1:10" ht="15">
      <c r="A43" s="105" t="s">
        <v>169</v>
      </c>
      <c r="B43" s="2"/>
      <c r="C43" s="2"/>
      <c r="D43" s="94">
        <f>SUM(D38:D42)</f>
        <v>9590.1</v>
      </c>
      <c r="E43" s="103">
        <f t="shared" si="0"/>
        <v>1</v>
      </c>
      <c r="F43" s="2"/>
      <c r="G43" s="2"/>
      <c r="H43" s="2"/>
      <c r="I43" s="116">
        <f>SUM(I39:I41)</f>
        <v>15.13830408442039</v>
      </c>
      <c r="J43" s="70"/>
    </row>
  </sheetData>
  <sheetProtection/>
  <mergeCells count="3">
    <mergeCell ref="F4:J4"/>
    <mergeCell ref="E3:J3"/>
    <mergeCell ref="F37:G37"/>
  </mergeCells>
  <printOptions/>
  <pageMargins left="0.75" right="0.75" top="1" bottom="1" header="0.5" footer="0.5"/>
  <pageSetup horizontalDpi="600" verticalDpi="6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61">
      <selection activeCell="K92" sqref="K92"/>
    </sheetView>
  </sheetViews>
  <sheetFormatPr defaultColWidth="11.57421875" defaultRowHeight="15"/>
  <cols>
    <col min="1" max="1" width="3.28125" style="0" customWidth="1"/>
    <col min="2" max="16384" width="11.421875" style="0" customWidth="1"/>
  </cols>
  <sheetData>
    <row r="1" ht="27" thickBot="1">
      <c r="A1" s="87" t="s">
        <v>80</v>
      </c>
    </row>
    <row r="2" spans="1:10" ht="15.75" thickBot="1">
      <c r="A2" t="s">
        <v>6</v>
      </c>
      <c r="F2" s="340" t="s">
        <v>72</v>
      </c>
      <c r="G2" s="341"/>
      <c r="H2" s="341"/>
      <c r="I2" s="341"/>
      <c r="J2" s="342"/>
    </row>
    <row r="3" spans="6:10" ht="15.75" thickBot="1">
      <c r="F3" s="337" t="s">
        <v>20</v>
      </c>
      <c r="G3" s="338"/>
      <c r="H3" s="338"/>
      <c r="I3" s="338"/>
      <c r="J3" s="339"/>
    </row>
    <row r="4" spans="6:10" ht="15.75" thickBot="1">
      <c r="F4" s="223">
        <v>2016</v>
      </c>
      <c r="G4" s="224">
        <v>2017</v>
      </c>
      <c r="H4" s="224">
        <v>2018</v>
      </c>
      <c r="I4" s="224">
        <v>2019</v>
      </c>
      <c r="J4" s="237">
        <v>2020</v>
      </c>
    </row>
    <row r="5" spans="1:5" ht="15">
      <c r="A5" s="46" t="s">
        <v>81</v>
      </c>
      <c r="C5" s="42"/>
      <c r="D5" s="42"/>
      <c r="E5" s="42"/>
    </row>
    <row r="6" spans="2:10" ht="15">
      <c r="B6" s="42" t="s">
        <v>82</v>
      </c>
      <c r="C6" s="42"/>
      <c r="E6" s="42"/>
      <c r="F6" s="190">
        <f>'Income Statement'!I27</f>
        <v>1138.0999999999988</v>
      </c>
      <c r="G6" s="190">
        <f>'Income Statement'!J27</f>
        <v>1955.9884857562865</v>
      </c>
      <c r="H6" s="190">
        <f>'Income Statement'!K27</f>
        <v>2099.67005926281</v>
      </c>
      <c r="I6" s="190">
        <f>'Income Statement'!L27</f>
        <v>2229.3549396245694</v>
      </c>
      <c r="J6" s="190">
        <f>'Income Statement'!M27</f>
        <v>2330.6529762994032</v>
      </c>
    </row>
    <row r="7" spans="2:10" ht="15">
      <c r="B7" s="42" t="s">
        <v>12</v>
      </c>
      <c r="C7" s="42"/>
      <c r="E7" s="42"/>
      <c r="F7" s="190">
        <f>'Income Statement'!I16</f>
        <v>306.15220123488467</v>
      </c>
      <c r="G7" s="190">
        <f>'Income Statement'!J16</f>
        <v>367.38818685415816</v>
      </c>
      <c r="H7" s="190">
        <f>'Income Statement'!K16</f>
        <v>434.06029553742314</v>
      </c>
      <c r="I7" s="190">
        <f>'Income Statement'!L16</f>
        <v>506.6511100939216</v>
      </c>
      <c r="J7" s="190">
        <f>'Income Statement'!M16</f>
        <v>585.6860538214268</v>
      </c>
    </row>
    <row r="8" spans="2:10" ht="15">
      <c r="B8" s="42" t="s">
        <v>83</v>
      </c>
      <c r="C8" s="42"/>
      <c r="E8" s="42"/>
      <c r="F8" s="190">
        <f>'Income Statement'!I12</f>
        <v>28</v>
      </c>
      <c r="G8" s="190">
        <f>'Income Statement'!J12</f>
        <v>28</v>
      </c>
      <c r="H8" s="190">
        <f>'Income Statement'!K12</f>
        <v>28</v>
      </c>
      <c r="I8" s="190">
        <f>'Income Statement'!L12</f>
        <v>28</v>
      </c>
      <c r="J8" s="190">
        <f>'Income Statement'!M12</f>
        <v>28</v>
      </c>
    </row>
    <row r="9" spans="2:10" ht="15">
      <c r="B9" s="42" t="s">
        <v>57</v>
      </c>
      <c r="C9" s="42"/>
      <c r="E9" s="42"/>
      <c r="F9" s="190">
        <f>-'Working Capital'!I32</f>
        <v>-155.58466919178</v>
      </c>
      <c r="G9" s="190">
        <f>-'Working Capital'!J32</f>
        <v>-9.992540075753368</v>
      </c>
      <c r="H9" s="190">
        <f>-'Working Capital'!K32</f>
        <v>-10.292316278025737</v>
      </c>
      <c r="I9" s="190">
        <f>-'Working Capital'!L32</f>
        <v>-10.60108576636685</v>
      </c>
      <c r="J9" s="190">
        <f>-'Working Capital'!M32</f>
        <v>-10.919118339358192</v>
      </c>
    </row>
    <row r="10" spans="2:10" ht="15">
      <c r="B10" s="85" t="s">
        <v>84</v>
      </c>
      <c r="C10" s="86"/>
      <c r="D10" s="86"/>
      <c r="E10" s="85"/>
      <c r="F10" s="191">
        <f>SUM(F6:F9)</f>
        <v>1316.6675320431034</v>
      </c>
      <c r="G10" s="191">
        <f>SUM(G6:G9)</f>
        <v>2341.384132534691</v>
      </c>
      <c r="H10" s="191">
        <f>SUM(H6:H9)</f>
        <v>2551.438038522207</v>
      </c>
      <c r="I10" s="191">
        <f>SUM(I6:I9)</f>
        <v>2753.404963952124</v>
      </c>
      <c r="J10" s="191">
        <f>SUM(J6:J9)</f>
        <v>2933.419911781472</v>
      </c>
    </row>
    <row r="11" spans="2:7" ht="15">
      <c r="B11" s="42"/>
      <c r="C11" s="42"/>
      <c r="D11" s="42"/>
      <c r="E11" s="42"/>
      <c r="F11" s="42"/>
      <c r="G11" s="42"/>
    </row>
    <row r="12" spans="1:7" ht="15">
      <c r="A12" s="85" t="s">
        <v>156</v>
      </c>
      <c r="C12" s="42"/>
      <c r="D12" s="42"/>
      <c r="E12" s="42"/>
      <c r="F12" s="42"/>
      <c r="G12" s="42"/>
    </row>
    <row r="13" spans="2:10" ht="15">
      <c r="B13" s="42" t="s">
        <v>85</v>
      </c>
      <c r="C13" s="42"/>
      <c r="D13" s="42"/>
      <c r="F13" s="192">
        <f>'PP&amp;E'!F7*-F14</f>
        <v>-851.4251184083481</v>
      </c>
      <c r="G13" s="192">
        <f>'PP&amp;E'!G7*-G14</f>
        <v>-927.0089712137562</v>
      </c>
      <c r="H13" s="192">
        <f>'PP&amp;E'!H7*-H14</f>
        <v>-1009.3026551967895</v>
      </c>
      <c r="I13" s="192">
        <f>'PP&amp;E'!I7*-I14</f>
        <v>-1098.9018244920442</v>
      </c>
      <c r="J13" s="192">
        <f>'PP&amp;E'!J7*-J14</f>
        <v>-1196.4550114420272</v>
      </c>
    </row>
    <row r="14" spans="2:10" ht="15">
      <c r="B14" s="47" t="s">
        <v>86</v>
      </c>
      <c r="D14" s="42"/>
      <c r="F14" s="306">
        <f>'PP&amp;E'!I33</f>
        <v>0.08153519022199354</v>
      </c>
      <c r="G14" s="306">
        <f>F14</f>
        <v>0.08153519022199354</v>
      </c>
      <c r="H14" s="306">
        <f>G14</f>
        <v>0.08153519022199354</v>
      </c>
      <c r="I14" s="306">
        <f>H14</f>
        <v>0.08153519022199354</v>
      </c>
      <c r="J14" s="306">
        <f>I14</f>
        <v>0.08153519022199354</v>
      </c>
    </row>
    <row r="15" spans="2:10" ht="15">
      <c r="B15" s="42" t="s">
        <v>87</v>
      </c>
      <c r="D15" s="42"/>
      <c r="F15" s="193">
        <f>F13</f>
        <v>-851.4251184083481</v>
      </c>
      <c r="G15" s="193">
        <f>G13</f>
        <v>-927.0089712137562</v>
      </c>
      <c r="H15" s="193">
        <f>H13</f>
        <v>-1009.3026551967895</v>
      </c>
      <c r="I15" s="193">
        <f>I13</f>
        <v>-1098.9018244920442</v>
      </c>
      <c r="J15" s="193">
        <f>J13</f>
        <v>-1196.4550114420272</v>
      </c>
    </row>
    <row r="16" spans="2:7" ht="15">
      <c r="B16" s="42"/>
      <c r="C16" s="42"/>
      <c r="D16" s="42"/>
      <c r="F16" s="42"/>
      <c r="G16" s="42"/>
    </row>
    <row r="17" spans="2:10" ht="15">
      <c r="B17" s="43" t="s">
        <v>175</v>
      </c>
      <c r="C17" s="43"/>
      <c r="D17" s="43"/>
      <c r="E17" s="43"/>
      <c r="F17" s="299">
        <f>F10+F15</f>
        <v>465.2424136347553</v>
      </c>
      <c r="G17" s="194">
        <f>G10+G15</f>
        <v>1414.375161320935</v>
      </c>
      <c r="H17" s="194">
        <f>H10+H15</f>
        <v>1542.1353833254175</v>
      </c>
      <c r="I17" s="194">
        <f>I10+I15</f>
        <v>1654.5031394600799</v>
      </c>
      <c r="J17" s="194">
        <f>J10+J15</f>
        <v>1736.9649003394447</v>
      </c>
    </row>
    <row r="18" spans="2:7" ht="15">
      <c r="B18" s="43" t="s">
        <v>88</v>
      </c>
      <c r="D18" s="44"/>
      <c r="E18" s="297">
        <f>'Income Statement'!H7*0.08</f>
        <v>1410.424</v>
      </c>
      <c r="F18" s="43"/>
      <c r="G18" s="44"/>
    </row>
    <row r="19" spans="2:7" ht="15">
      <c r="B19" s="43"/>
      <c r="C19" s="44"/>
      <c r="D19" s="44"/>
      <c r="E19" s="44"/>
      <c r="F19" s="43"/>
      <c r="G19" s="44"/>
    </row>
    <row r="20" spans="2:10" ht="15">
      <c r="B20" s="43" t="s">
        <v>89</v>
      </c>
      <c r="C20" s="45"/>
      <c r="D20" s="45"/>
      <c r="E20" s="45"/>
      <c r="F20" s="295">
        <f>'Balance Sheet'!H6+F17-$E$18</f>
        <v>-810.423999999999</v>
      </c>
      <c r="G20" s="295">
        <f>'Balance Sheet'!I6+G17-$E$18</f>
        <v>1216.1143340514245</v>
      </c>
      <c r="H20" s="295">
        <f>'Balance Sheet'!J6+H17-$E$18</f>
        <v>1837.0776369255045</v>
      </c>
      <c r="I20" s="295">
        <f>'Balance Sheet'!K6+I17-$E$18</f>
        <v>-1330.083393624457</v>
      </c>
      <c r="J20" s="295">
        <f>'Balance Sheet'!L6+J17-$E$18</f>
        <v>-1025.142493263739</v>
      </c>
    </row>
    <row r="21" spans="2:7" ht="15">
      <c r="B21" s="42"/>
      <c r="C21" s="42"/>
      <c r="D21" s="42"/>
      <c r="E21" s="42"/>
      <c r="F21" s="42"/>
      <c r="G21" s="42"/>
    </row>
    <row r="22" spans="1:7" ht="15">
      <c r="A22" s="46" t="s">
        <v>90</v>
      </c>
      <c r="C22" s="42"/>
      <c r="D22" s="42"/>
      <c r="E22" s="42"/>
      <c r="F22" s="42"/>
      <c r="G22" s="42"/>
    </row>
    <row r="23" spans="2:10" ht="15">
      <c r="B23" s="85" t="s">
        <v>91</v>
      </c>
      <c r="C23" s="42"/>
      <c r="D23" s="42"/>
      <c r="E23" s="42"/>
      <c r="F23" s="143">
        <v>0</v>
      </c>
      <c r="G23" s="120">
        <v>0</v>
      </c>
      <c r="H23" s="121">
        <v>0</v>
      </c>
      <c r="I23" s="121">
        <v>0</v>
      </c>
      <c r="J23" s="121">
        <v>0</v>
      </c>
    </row>
    <row r="24" spans="2:10" ht="15">
      <c r="B24" s="85" t="s">
        <v>92</v>
      </c>
      <c r="C24" s="42"/>
      <c r="D24" s="42"/>
      <c r="E24" s="42"/>
      <c r="F24" s="296">
        <v>1200</v>
      </c>
      <c r="G24" s="120">
        <v>0</v>
      </c>
      <c r="H24" s="121">
        <v>0</v>
      </c>
      <c r="I24" s="121">
        <v>0</v>
      </c>
      <c r="J24" s="121">
        <v>0</v>
      </c>
    </row>
    <row r="25" spans="2:10" ht="15">
      <c r="B25" s="110" t="s">
        <v>179</v>
      </c>
      <c r="C25" s="42"/>
      <c r="D25" s="42"/>
      <c r="E25" s="42"/>
      <c r="F25" s="143"/>
      <c r="G25" s="120"/>
      <c r="H25" s="120"/>
      <c r="I25" s="120"/>
      <c r="J25" s="120"/>
    </row>
    <row r="26" spans="2:10" ht="15">
      <c r="B26" t="s">
        <v>122</v>
      </c>
      <c r="C26" s="42"/>
      <c r="D26" s="42"/>
      <c r="E26" s="42"/>
      <c r="F26" s="143">
        <v>0</v>
      </c>
      <c r="G26" s="143">
        <v>0</v>
      </c>
      <c r="H26" s="143">
        <v>0</v>
      </c>
      <c r="I26" s="143">
        <v>0</v>
      </c>
      <c r="J26" s="143">
        <v>0</v>
      </c>
    </row>
    <row r="27" spans="2:10" ht="15">
      <c r="B27" t="s">
        <v>123</v>
      </c>
      <c r="C27" s="42"/>
      <c r="D27" s="42"/>
      <c r="E27" s="42"/>
      <c r="F27" s="143">
        <v>0</v>
      </c>
      <c r="G27" s="143">
        <v>0</v>
      </c>
      <c r="H27" s="143">
        <v>0</v>
      </c>
      <c r="I27" s="143">
        <v>0</v>
      </c>
      <c r="J27" s="143">
        <v>0</v>
      </c>
    </row>
    <row r="28" spans="2:10" ht="15">
      <c r="B28" t="s">
        <v>124</v>
      </c>
      <c r="C28" s="42"/>
      <c r="D28" s="42"/>
      <c r="E28" s="42"/>
      <c r="F28" s="143">
        <v>0</v>
      </c>
      <c r="G28" s="143">
        <v>0</v>
      </c>
      <c r="H28" s="143">
        <v>0</v>
      </c>
      <c r="I28" s="143">
        <v>0</v>
      </c>
      <c r="J28" s="143">
        <v>0</v>
      </c>
    </row>
    <row r="29" spans="2:10" ht="15">
      <c r="B29" t="s">
        <v>125</v>
      </c>
      <c r="C29" s="42"/>
      <c r="D29" s="42"/>
      <c r="E29" s="42"/>
      <c r="F29" s="143">
        <v>0</v>
      </c>
      <c r="G29" s="143">
        <v>0</v>
      </c>
      <c r="H29" s="143">
        <v>0</v>
      </c>
      <c r="I29" s="143">
        <v>0</v>
      </c>
      <c r="J29" s="143">
        <v>0</v>
      </c>
    </row>
    <row r="30" spans="2:10" ht="15">
      <c r="B30" t="s">
        <v>126</v>
      </c>
      <c r="C30" s="42"/>
      <c r="D30" s="42"/>
      <c r="E30" s="42"/>
      <c r="F30" s="143">
        <v>0</v>
      </c>
      <c r="G30" s="143">
        <v>0</v>
      </c>
      <c r="H30" s="143">
        <v>0</v>
      </c>
      <c r="I30" s="143">
        <v>0</v>
      </c>
      <c r="J30" s="143">
        <v>0</v>
      </c>
    </row>
    <row r="31" spans="2:10" ht="15">
      <c r="B31" t="s">
        <v>127</v>
      </c>
      <c r="C31" s="42"/>
      <c r="D31" s="42"/>
      <c r="E31" s="42"/>
      <c r="F31" s="143">
        <v>0</v>
      </c>
      <c r="G31" s="143">
        <v>0</v>
      </c>
      <c r="H31" s="143">
        <v>0</v>
      </c>
      <c r="I31" s="143">
        <v>0</v>
      </c>
      <c r="J31" s="143">
        <v>0</v>
      </c>
    </row>
    <row r="32" spans="2:10" ht="15">
      <c r="B32" t="s">
        <v>128</v>
      </c>
      <c r="C32" s="42"/>
      <c r="D32" s="42"/>
      <c r="E32" s="42"/>
      <c r="F32" s="143">
        <v>0</v>
      </c>
      <c r="G32" s="143">
        <v>0</v>
      </c>
      <c r="H32" s="143">
        <v>0</v>
      </c>
      <c r="I32" s="143">
        <v>0</v>
      </c>
      <c r="J32" s="143">
        <v>0</v>
      </c>
    </row>
    <row r="33" spans="2:10" ht="15">
      <c r="B33" t="s">
        <v>129</v>
      </c>
      <c r="C33" s="42"/>
      <c r="D33" s="42"/>
      <c r="E33" s="42"/>
      <c r="F33" s="143">
        <v>0</v>
      </c>
      <c r="G33" s="143">
        <v>0</v>
      </c>
      <c r="H33" s="143">
        <v>0</v>
      </c>
      <c r="I33" s="143">
        <v>0</v>
      </c>
      <c r="J33" s="143">
        <v>0</v>
      </c>
    </row>
    <row r="34" spans="2:10" ht="15">
      <c r="B34" t="s">
        <v>130</v>
      </c>
      <c r="C34" s="42"/>
      <c r="D34" s="42"/>
      <c r="E34" s="42"/>
      <c r="F34" s="143">
        <v>0</v>
      </c>
      <c r="G34" s="143">
        <v>0</v>
      </c>
      <c r="H34" s="143">
        <v>0</v>
      </c>
      <c r="I34" s="143">
        <v>0</v>
      </c>
      <c r="J34" s="143">
        <v>0</v>
      </c>
    </row>
    <row r="35" spans="2:10" ht="15">
      <c r="B35" t="s">
        <v>131</v>
      </c>
      <c r="C35" s="42"/>
      <c r="D35" s="42"/>
      <c r="E35" s="42"/>
      <c r="F35" s="143">
        <v>0</v>
      </c>
      <c r="G35" s="143">
        <v>0</v>
      </c>
      <c r="H35" s="143">
        <v>0</v>
      </c>
      <c r="I35" s="143">
        <v>0</v>
      </c>
      <c r="J35" s="143">
        <v>0</v>
      </c>
    </row>
    <row r="36" spans="2:10" ht="15">
      <c r="B36" t="s">
        <v>132</v>
      </c>
      <c r="C36" s="42"/>
      <c r="D36" s="42"/>
      <c r="E36" s="42"/>
      <c r="F36" s="143">
        <v>0</v>
      </c>
      <c r="G36" s="143">
        <v>0</v>
      </c>
      <c r="H36" s="143">
        <v>0</v>
      </c>
      <c r="I36" s="143">
        <v>0</v>
      </c>
      <c r="J36" s="143">
        <v>0</v>
      </c>
    </row>
    <row r="37" spans="2:10" ht="15">
      <c r="B37" t="s">
        <v>133</v>
      </c>
      <c r="C37" s="42"/>
      <c r="D37" s="42"/>
      <c r="E37" s="42"/>
      <c r="F37" s="143">
        <v>0</v>
      </c>
      <c r="G37" s="143">
        <v>0</v>
      </c>
      <c r="H37" s="143">
        <v>0</v>
      </c>
      <c r="I37" s="143">
        <v>0</v>
      </c>
      <c r="J37" s="143">
        <v>0</v>
      </c>
    </row>
    <row r="38" spans="2:10" ht="15">
      <c r="B38" t="s">
        <v>134</v>
      </c>
      <c r="C38" s="42"/>
      <c r="D38" s="42"/>
      <c r="E38" s="42"/>
      <c r="F38" s="143">
        <v>0</v>
      </c>
      <c r="G38" s="143">
        <v>0</v>
      </c>
      <c r="H38" s="143">
        <v>0</v>
      </c>
      <c r="I38" s="143">
        <v>0</v>
      </c>
      <c r="J38" s="143">
        <v>0</v>
      </c>
    </row>
    <row r="39" spans="2:10" ht="15">
      <c r="B39" t="s">
        <v>135</v>
      </c>
      <c r="C39" s="42"/>
      <c r="D39" s="42"/>
      <c r="E39" s="42"/>
      <c r="F39" s="143">
        <v>0</v>
      </c>
      <c r="G39" s="143">
        <v>0</v>
      </c>
      <c r="H39" s="143">
        <v>0</v>
      </c>
      <c r="I39" s="143">
        <v>0</v>
      </c>
      <c r="J39" s="143">
        <v>0</v>
      </c>
    </row>
    <row r="40" spans="2:10" ht="15">
      <c r="B40" t="s">
        <v>133</v>
      </c>
      <c r="C40" s="42"/>
      <c r="D40" s="42"/>
      <c r="E40" s="42"/>
      <c r="F40" s="143">
        <v>0</v>
      </c>
      <c r="G40" s="143">
        <v>0</v>
      </c>
      <c r="H40" s="143">
        <v>0</v>
      </c>
      <c r="I40" s="143">
        <v>0</v>
      </c>
      <c r="J40" s="143">
        <v>0</v>
      </c>
    </row>
    <row r="41" spans="2:10" ht="15">
      <c r="B41" t="s">
        <v>133</v>
      </c>
      <c r="C41" s="42"/>
      <c r="D41" s="42"/>
      <c r="E41" s="42"/>
      <c r="F41" s="143">
        <v>0</v>
      </c>
      <c r="G41" s="143">
        <v>0</v>
      </c>
      <c r="H41" s="143">
        <v>0</v>
      </c>
      <c r="I41" s="143">
        <v>0</v>
      </c>
      <c r="J41" s="143">
        <v>0</v>
      </c>
    </row>
    <row r="42" spans="2:10" ht="15">
      <c r="B42" t="s">
        <v>136</v>
      </c>
      <c r="C42" s="42"/>
      <c r="D42" s="42"/>
      <c r="E42" s="42"/>
      <c r="F42" s="143">
        <v>0</v>
      </c>
      <c r="G42" s="143">
        <v>0</v>
      </c>
      <c r="H42" s="143">
        <v>0</v>
      </c>
      <c r="I42" s="143">
        <v>0</v>
      </c>
      <c r="J42" s="143">
        <v>0</v>
      </c>
    </row>
    <row r="43" spans="3:10" ht="15">
      <c r="C43" s="42"/>
      <c r="D43" s="42"/>
      <c r="E43" s="42"/>
      <c r="F43" s="42"/>
      <c r="G43" s="42"/>
      <c r="H43" s="42"/>
      <c r="I43" s="42"/>
      <c r="J43" s="42"/>
    </row>
    <row r="44" spans="1:10" ht="15">
      <c r="A44" s="86" t="s">
        <v>177</v>
      </c>
      <c r="C44" s="42"/>
      <c r="D44" s="42"/>
      <c r="E44" s="42"/>
      <c r="F44" s="42"/>
      <c r="G44" s="42"/>
      <c r="H44" s="42"/>
      <c r="I44" s="42"/>
      <c r="J44" s="42"/>
    </row>
    <row r="45" spans="2:6" ht="15">
      <c r="B45" s="110" t="s">
        <v>179</v>
      </c>
      <c r="D45" s="42"/>
      <c r="E45" s="42"/>
      <c r="F45" s="42"/>
    </row>
    <row r="46" spans="2:10" ht="15">
      <c r="B46" t="s">
        <v>122</v>
      </c>
      <c r="C46" s="43"/>
      <c r="D46" s="42"/>
      <c r="E46" s="42"/>
      <c r="F46" s="143">
        <v>0</v>
      </c>
      <c r="G46" s="120">
        <v>0</v>
      </c>
      <c r="H46" s="121">
        <v>0</v>
      </c>
      <c r="I46" s="195">
        <f>'Debt Schedule'!J20</f>
        <v>-1150</v>
      </c>
      <c r="J46" s="121">
        <v>0</v>
      </c>
    </row>
    <row r="47" spans="2:10" ht="15">
      <c r="B47" t="s">
        <v>123</v>
      </c>
      <c r="C47" s="109"/>
      <c r="D47" s="109"/>
      <c r="E47" s="109"/>
      <c r="F47" s="144">
        <v>0</v>
      </c>
      <c r="G47" s="196">
        <f>'Debt Schedule'!H28</f>
        <v>-1000</v>
      </c>
      <c r="H47" s="145">
        <v>0</v>
      </c>
      <c r="I47" s="145">
        <v>0</v>
      </c>
      <c r="J47" s="145">
        <v>0</v>
      </c>
    </row>
    <row r="48" spans="2:10" ht="15">
      <c r="B48" t="s">
        <v>124</v>
      </c>
      <c r="C48" s="42"/>
      <c r="D48" s="42"/>
      <c r="E48" s="42"/>
      <c r="F48" s="143">
        <v>0</v>
      </c>
      <c r="G48" s="120">
        <v>0</v>
      </c>
      <c r="H48" s="121">
        <v>0</v>
      </c>
      <c r="I48" s="121">
        <v>0</v>
      </c>
      <c r="J48" s="121">
        <v>0</v>
      </c>
    </row>
    <row r="49" spans="2:10" ht="15">
      <c r="B49" t="s">
        <v>125</v>
      </c>
      <c r="C49" s="42"/>
      <c r="D49" s="42"/>
      <c r="E49" s="42"/>
      <c r="F49" s="143">
        <v>0</v>
      </c>
      <c r="G49" s="120">
        <v>0</v>
      </c>
      <c r="H49" s="121">
        <v>0</v>
      </c>
      <c r="I49" s="121">
        <v>0</v>
      </c>
      <c r="J49" s="121">
        <v>0</v>
      </c>
    </row>
    <row r="50" spans="2:10" ht="15">
      <c r="B50" t="s">
        <v>126</v>
      </c>
      <c r="D50" s="42"/>
      <c r="E50" s="42"/>
      <c r="F50" s="143">
        <v>0</v>
      </c>
      <c r="G50" s="120">
        <v>0</v>
      </c>
      <c r="H50" s="121">
        <v>0</v>
      </c>
      <c r="I50" s="121">
        <v>0</v>
      </c>
      <c r="J50" s="195">
        <f>'Debt Schedule'!K52</f>
        <v>-549.4</v>
      </c>
    </row>
    <row r="51" spans="2:10" ht="15">
      <c r="B51" t="s">
        <v>127</v>
      </c>
      <c r="D51" s="42"/>
      <c r="E51" s="42"/>
      <c r="F51" s="143">
        <v>0</v>
      </c>
      <c r="G51" s="120">
        <v>0</v>
      </c>
      <c r="H51" s="121">
        <v>0</v>
      </c>
      <c r="I51" s="121">
        <v>0</v>
      </c>
      <c r="J51" s="121">
        <v>0</v>
      </c>
    </row>
    <row r="52" spans="2:10" ht="15">
      <c r="B52" t="s">
        <v>128</v>
      </c>
      <c r="D52" s="42"/>
      <c r="E52" s="42"/>
      <c r="F52" s="143">
        <v>0</v>
      </c>
      <c r="G52" s="196">
        <f>'Debt Schedule'!H68</f>
        <v>-500</v>
      </c>
      <c r="H52" s="121">
        <v>0</v>
      </c>
      <c r="I52" s="121">
        <v>0</v>
      </c>
      <c r="J52" s="121">
        <v>0</v>
      </c>
    </row>
    <row r="53" spans="2:10" ht="15">
      <c r="B53" t="s">
        <v>129</v>
      </c>
      <c r="C53" s="42"/>
      <c r="D53" s="42"/>
      <c r="E53" s="42"/>
      <c r="F53" s="143">
        <v>0</v>
      </c>
      <c r="G53" s="120">
        <v>0</v>
      </c>
      <c r="H53" s="121">
        <v>0</v>
      </c>
      <c r="I53" s="121">
        <v>0</v>
      </c>
      <c r="J53" s="121">
        <v>0</v>
      </c>
    </row>
    <row r="54" spans="2:10" ht="15">
      <c r="B54" t="s">
        <v>130</v>
      </c>
      <c r="C54" s="42"/>
      <c r="D54" s="42"/>
      <c r="E54" s="42"/>
      <c r="F54" s="143">
        <v>0</v>
      </c>
      <c r="G54" s="120">
        <v>0</v>
      </c>
      <c r="H54" s="121">
        <v>0</v>
      </c>
      <c r="I54" s="121">
        <v>0</v>
      </c>
      <c r="J54" s="121">
        <v>0</v>
      </c>
    </row>
    <row r="55" spans="2:10" ht="15">
      <c r="B55" t="s">
        <v>131</v>
      </c>
      <c r="C55" s="42"/>
      <c r="D55" s="42"/>
      <c r="E55" s="42"/>
      <c r="F55" s="143">
        <v>0</v>
      </c>
      <c r="G55" s="120">
        <v>0</v>
      </c>
      <c r="H55" s="121">
        <v>0</v>
      </c>
      <c r="I55" s="121">
        <v>0</v>
      </c>
      <c r="J55" s="121">
        <v>0</v>
      </c>
    </row>
    <row r="56" spans="2:11" ht="15">
      <c r="B56" t="s">
        <v>132</v>
      </c>
      <c r="C56" s="42"/>
      <c r="D56" s="42"/>
      <c r="E56" s="42"/>
      <c r="F56" s="143">
        <v>0</v>
      </c>
      <c r="G56" s="143">
        <v>0</v>
      </c>
      <c r="H56" s="121">
        <v>0</v>
      </c>
      <c r="I56" s="195">
        <f>'Debt Schedule'!J100</f>
        <v>-500</v>
      </c>
      <c r="J56" s="121">
        <v>0</v>
      </c>
      <c r="K56" s="43"/>
    </row>
    <row r="57" spans="2:11" ht="15">
      <c r="B57" t="s">
        <v>133</v>
      </c>
      <c r="C57" s="42"/>
      <c r="E57" s="42"/>
      <c r="F57" s="197">
        <f>'Debt Schedule'!G108</f>
        <v>-500</v>
      </c>
      <c r="G57" s="143">
        <v>0</v>
      </c>
      <c r="H57" s="121">
        <v>0</v>
      </c>
      <c r="I57" s="121">
        <v>0</v>
      </c>
      <c r="J57" s="121">
        <v>0</v>
      </c>
      <c r="K57" s="43"/>
    </row>
    <row r="58" spans="2:10" ht="15">
      <c r="B58" t="s">
        <v>134</v>
      </c>
      <c r="D58" s="43"/>
      <c r="E58" s="43"/>
      <c r="F58" s="143">
        <v>0</v>
      </c>
      <c r="G58" s="120">
        <v>0</v>
      </c>
      <c r="H58" s="121">
        <v>0</v>
      </c>
      <c r="I58" s="121">
        <v>0</v>
      </c>
      <c r="J58" s="121">
        <v>0</v>
      </c>
    </row>
    <row r="59" spans="2:10" ht="15">
      <c r="B59" t="s">
        <v>135</v>
      </c>
      <c r="D59" s="43"/>
      <c r="E59" s="43"/>
      <c r="F59" s="143">
        <v>0</v>
      </c>
      <c r="G59" s="120">
        <v>0</v>
      </c>
      <c r="H59" s="121">
        <v>0</v>
      </c>
      <c r="I59" s="121">
        <v>0</v>
      </c>
      <c r="J59" s="121">
        <v>0</v>
      </c>
    </row>
    <row r="60" spans="2:10" ht="15">
      <c r="B60" t="s">
        <v>133</v>
      </c>
      <c r="D60" s="43"/>
      <c r="E60" s="43"/>
      <c r="F60" s="195">
        <f>'Debt Schedule'!G132</f>
        <v>-250</v>
      </c>
      <c r="G60" s="121">
        <v>0</v>
      </c>
      <c r="H60" s="121">
        <v>0</v>
      </c>
      <c r="I60" s="121">
        <v>0</v>
      </c>
      <c r="J60" s="121">
        <v>0</v>
      </c>
    </row>
    <row r="61" spans="2:10" ht="15">
      <c r="B61" t="s">
        <v>133</v>
      </c>
      <c r="D61" s="43"/>
      <c r="E61" s="43"/>
      <c r="F61" s="195">
        <f>'Debt Schedule'!G140</f>
        <v>-250</v>
      </c>
      <c r="G61" s="121">
        <v>0</v>
      </c>
      <c r="H61" s="121">
        <v>0</v>
      </c>
      <c r="I61" s="121">
        <v>0</v>
      </c>
      <c r="J61" s="121">
        <v>0</v>
      </c>
    </row>
    <row r="62" spans="2:10" ht="15">
      <c r="B62" t="s">
        <v>136</v>
      </c>
      <c r="C62" s="42"/>
      <c r="D62" s="42"/>
      <c r="E62" s="42"/>
      <c r="F62" s="146">
        <v>0</v>
      </c>
      <c r="G62" s="147">
        <v>0</v>
      </c>
      <c r="H62" s="148">
        <v>0</v>
      </c>
      <c r="I62" s="148">
        <v>0</v>
      </c>
      <c r="J62" s="148">
        <v>0</v>
      </c>
    </row>
    <row r="63" spans="1:10" ht="15">
      <c r="A63" s="86" t="s">
        <v>176</v>
      </c>
      <c r="C63" s="42"/>
      <c r="D63" s="42"/>
      <c r="E63" s="42"/>
      <c r="F63" s="198">
        <f>F17+F23+F24+SUM(F26:F42)+SUM(F46:F62)</f>
        <v>665.2424136347554</v>
      </c>
      <c r="G63" s="198">
        <f>G17+G23+G24+SUM(G26:G42)+SUM(G46:G62)</f>
        <v>-85.62483867906508</v>
      </c>
      <c r="H63" s="198">
        <f>H17+H23+H24+SUM(H26:H42)+SUM(H46:H62)</f>
        <v>1542.1353833254175</v>
      </c>
      <c r="I63" s="198">
        <f>I17+I23+I24+SUM(I26:I42)+SUM(I46:I62)</f>
        <v>4.503139460079865</v>
      </c>
      <c r="J63" s="198">
        <f>J17+J23+J24+SUM(J26:J42)+SUM(J46:J62)</f>
        <v>1187.5649003394446</v>
      </c>
    </row>
    <row r="64" spans="1:10" ht="15">
      <c r="A64" s="86"/>
      <c r="C64" s="42"/>
      <c r="D64" s="42"/>
      <c r="E64" s="42"/>
      <c r="F64" s="111"/>
      <c r="G64" s="111"/>
      <c r="H64" s="111"/>
      <c r="I64" s="111"/>
      <c r="J64" s="111"/>
    </row>
    <row r="65" spans="1:10" ht="15">
      <c r="A65" s="86" t="s">
        <v>178</v>
      </c>
      <c r="C65" s="42"/>
      <c r="D65" s="42"/>
      <c r="E65" s="42"/>
      <c r="F65" s="111"/>
      <c r="G65" s="111"/>
      <c r="H65" s="111"/>
      <c r="I65" s="111"/>
      <c r="J65" s="111"/>
    </row>
    <row r="66" spans="1:10" ht="15">
      <c r="A66" s="86"/>
      <c r="B66" t="s">
        <v>93</v>
      </c>
      <c r="C66" s="42"/>
      <c r="D66" s="42"/>
      <c r="E66" s="42"/>
      <c r="F66" s="199">
        <f>'Debt Schedule'!G8</f>
        <v>-200</v>
      </c>
      <c r="G66" s="199">
        <f>'Debt Schedule'!H8</f>
        <v>85.62483867906508</v>
      </c>
      <c r="H66" s="199">
        <f>'Debt Schedule'!I8</f>
        <v>484.0498345803735</v>
      </c>
      <c r="I66" s="199">
        <f>'Debt Schedule'!J8</f>
        <v>1357.9343297038122</v>
      </c>
      <c r="J66" s="199">
        <f>'Debt Schedule'!K8</f>
        <v>-11.43214427990165</v>
      </c>
    </row>
    <row r="67" spans="1:10" ht="15">
      <c r="A67" s="86"/>
      <c r="B67" s="86" t="s">
        <v>179</v>
      </c>
      <c r="C67" s="42"/>
      <c r="D67" s="42"/>
      <c r="E67" s="42"/>
      <c r="F67" s="111"/>
      <c r="G67" s="111"/>
      <c r="H67" s="111"/>
      <c r="I67" s="111"/>
      <c r="J67" s="111"/>
    </row>
    <row r="68" spans="2:10" ht="15">
      <c r="B68" t="s">
        <v>122</v>
      </c>
      <c r="C68" s="42"/>
      <c r="D68" s="42"/>
      <c r="E68" s="42"/>
      <c r="F68" s="42">
        <v>0</v>
      </c>
      <c r="G68" s="42">
        <v>0</v>
      </c>
      <c r="H68" s="42">
        <v>0</v>
      </c>
      <c r="I68" s="42">
        <v>0</v>
      </c>
      <c r="J68" s="42">
        <v>0</v>
      </c>
    </row>
    <row r="69" spans="2:10" ht="15">
      <c r="B69" t="s">
        <v>123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</row>
    <row r="70" spans="2:10" ht="15">
      <c r="B70" t="s">
        <v>124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</row>
    <row r="71" spans="2:10" ht="15">
      <c r="B71" t="s">
        <v>125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</row>
    <row r="72" spans="2:10" ht="15">
      <c r="B72" t="s">
        <v>126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</row>
    <row r="73" spans="2:10" ht="15">
      <c r="B73" t="s">
        <v>127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</row>
    <row r="74" spans="2:10" ht="15">
      <c r="B74" t="s">
        <v>128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</row>
    <row r="75" spans="2:10" ht="15">
      <c r="B75" t="s">
        <v>129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</row>
    <row r="76" spans="2:10" ht="15">
      <c r="B76" t="s">
        <v>130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</row>
    <row r="77" spans="2:10" ht="15">
      <c r="B77" t="s">
        <v>131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</row>
    <row r="78" spans="2:10" ht="15">
      <c r="B78" t="s">
        <v>132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</row>
    <row r="79" spans="2:10" ht="15">
      <c r="B79" t="s">
        <v>133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</row>
    <row r="80" spans="2:10" ht="15">
      <c r="B80" t="s">
        <v>134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</row>
    <row r="81" spans="2:10" ht="15">
      <c r="B81" t="s">
        <v>135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</row>
    <row r="82" spans="2:10" ht="15">
      <c r="B82" t="s">
        <v>133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</row>
    <row r="83" spans="2:10" ht="15">
      <c r="B83" t="s">
        <v>133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</row>
    <row r="84" spans="2:10" ht="15">
      <c r="B84" t="s">
        <v>136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</row>
    <row r="85" spans="2:10" ht="15">
      <c r="B85" t="s">
        <v>180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</row>
    <row r="86" spans="2:10" ht="15">
      <c r="B86" t="s">
        <v>181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</row>
    <row r="87" spans="2:10" ht="15">
      <c r="B87" s="109" t="s">
        <v>182</v>
      </c>
      <c r="C87" s="1"/>
      <c r="D87" s="1"/>
      <c r="E87" s="1"/>
      <c r="F87" s="200">
        <f>F63+SUM(F66:F86)</f>
        <v>465.2424136347554</v>
      </c>
      <c r="G87" s="200">
        <f>G63+SUM(G66:G86)</f>
        <v>0</v>
      </c>
      <c r="H87" s="200">
        <f>H63+SUM(H66:H86)</f>
        <v>2026.185217905791</v>
      </c>
      <c r="I87" s="200">
        <f>I63+SUM(I66:I86)</f>
        <v>1362.437469163892</v>
      </c>
      <c r="J87" s="200">
        <f>J63+SUM(J66:J86)</f>
        <v>1176.132756059543</v>
      </c>
    </row>
    <row r="88" ht="15">
      <c r="B88" s="42"/>
    </row>
    <row r="89" spans="2:10" ht="15">
      <c r="B89" s="42" t="s">
        <v>95</v>
      </c>
      <c r="F89" s="298">
        <v>-956</v>
      </c>
      <c r="G89" s="298">
        <v>-956</v>
      </c>
      <c r="H89" s="298">
        <v>-956</v>
      </c>
      <c r="I89" s="298">
        <v>-956</v>
      </c>
      <c r="J89" s="298">
        <v>-956</v>
      </c>
    </row>
    <row r="90" ht="15">
      <c r="B90" s="42"/>
    </row>
    <row r="91" ht="15">
      <c r="A91" s="46" t="s">
        <v>96</v>
      </c>
    </row>
    <row r="92" spans="2:10" ht="15">
      <c r="B92" s="43" t="s">
        <v>97</v>
      </c>
      <c r="F92" s="80">
        <f>'Balance Sheet'!G6</f>
        <v>334.2</v>
      </c>
      <c r="G92" s="166">
        <f>F95</f>
        <v>134.75758636524574</v>
      </c>
      <c r="H92" s="166">
        <f>G95</f>
        <v>1212.1631727304894</v>
      </c>
      <c r="I92" s="166">
        <f>H95</f>
        <v>1705.366253600087</v>
      </c>
      <c r="J92" s="166">
        <f>I95</f>
        <v>-1574.1625330845368</v>
      </c>
    </row>
    <row r="93" spans="2:10" ht="13.5">
      <c r="B93" s="43" t="s">
        <v>94</v>
      </c>
      <c r="F93" s="166">
        <f>F87</f>
        <v>465.2424136347554</v>
      </c>
      <c r="G93" s="166">
        <f>G87</f>
        <v>0</v>
      </c>
      <c r="H93" s="166">
        <f>H87</f>
        <v>2026.185217905791</v>
      </c>
      <c r="I93" s="166">
        <f>I87</f>
        <v>1362.437469163892</v>
      </c>
      <c r="J93" s="166">
        <f>J87</f>
        <v>1176.132756059543</v>
      </c>
    </row>
    <row r="94" spans="2:10" ht="13.5">
      <c r="B94" s="43" t="s">
        <v>98</v>
      </c>
      <c r="F94" s="166">
        <f>F89</f>
        <v>-956</v>
      </c>
      <c r="G94" s="166">
        <f>G89</f>
        <v>-956</v>
      </c>
      <c r="H94" s="166">
        <f>H89</f>
        <v>-956</v>
      </c>
      <c r="I94" s="166">
        <f>I89</f>
        <v>-956</v>
      </c>
      <c r="J94" s="166">
        <f>J89</f>
        <v>-956</v>
      </c>
    </row>
    <row r="95" spans="2:10" ht="13.5">
      <c r="B95" s="43" t="s">
        <v>99</v>
      </c>
      <c r="F95" s="200">
        <f>SUM(F92:F94)</f>
        <v>-156.55758636524456</v>
      </c>
      <c r="G95" s="200">
        <f>SUM(G92:G94)</f>
        <v>-821.2424136347543</v>
      </c>
      <c r="H95" s="200">
        <f>SUM(H92:H94)</f>
        <v>2282.3483906362803</v>
      </c>
      <c r="I95" s="200">
        <f>SUM(I92:I94)</f>
        <v>2111.803722763979</v>
      </c>
      <c r="J95" s="200">
        <f>SUM(J92:J94)</f>
        <v>-1354.0297770249938</v>
      </c>
    </row>
    <row r="96" ht="13.5">
      <c r="B96" s="42"/>
    </row>
  </sheetData>
  <sheetProtection/>
  <mergeCells count="2">
    <mergeCell ref="F3:J3"/>
    <mergeCell ref="F2:J2"/>
  </mergeCells>
  <printOptions/>
  <pageMargins left="0.75" right="0.75" top="1" bottom="1" header="0.5" footer="0.5"/>
  <pageSetup orientation="portrait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31">
      <selection activeCell="H15" sqref="H15"/>
    </sheetView>
  </sheetViews>
  <sheetFormatPr defaultColWidth="11.57421875" defaultRowHeight="15"/>
  <cols>
    <col min="1" max="1" width="2.8515625" style="9" customWidth="1"/>
    <col min="2" max="2" width="3.7109375" style="0" customWidth="1"/>
    <col min="3" max="16384" width="11.421875" style="0" customWidth="1"/>
  </cols>
  <sheetData>
    <row r="1" ht="27" thickBot="1">
      <c r="A1" s="22" t="s">
        <v>60</v>
      </c>
    </row>
    <row r="2" spans="1:12" ht="15.75" thickBot="1">
      <c r="A2" s="9" t="s">
        <v>6</v>
      </c>
      <c r="F2" s="328" t="s">
        <v>72</v>
      </c>
      <c r="G2" s="329"/>
      <c r="H2" s="329"/>
      <c r="I2" s="329"/>
      <c r="J2" s="329"/>
      <c r="K2" s="329"/>
      <c r="L2" s="330"/>
    </row>
    <row r="3" spans="6:12" ht="15.75" thickBot="1">
      <c r="F3" s="343" t="s">
        <v>19</v>
      </c>
      <c r="G3" s="344"/>
      <c r="H3" s="333" t="s">
        <v>20</v>
      </c>
      <c r="I3" s="334"/>
      <c r="J3" s="334"/>
      <c r="K3" s="334"/>
      <c r="L3" s="335"/>
    </row>
    <row r="4" spans="6:12" ht="15.75" thickBot="1">
      <c r="F4" s="23">
        <v>2014</v>
      </c>
      <c r="G4" s="25">
        <v>2015</v>
      </c>
      <c r="H4" s="23">
        <v>2016</v>
      </c>
      <c r="I4" s="24">
        <v>2017</v>
      </c>
      <c r="J4" s="24">
        <v>2018</v>
      </c>
      <c r="K4" s="24">
        <v>2019</v>
      </c>
      <c r="L4" s="25">
        <v>2020</v>
      </c>
    </row>
    <row r="5" spans="1:7" ht="15">
      <c r="A5" s="9" t="s">
        <v>44</v>
      </c>
      <c r="G5" s="56"/>
    </row>
    <row r="6" spans="2:13" ht="15">
      <c r="B6" t="s">
        <v>63</v>
      </c>
      <c r="F6" s="204">
        <v>867.3</v>
      </c>
      <c r="G6" s="205">
        <v>334.2</v>
      </c>
      <c r="H6" s="259">
        <f>'Cash Flow Statement'!F95</f>
        <v>134.75758636524574</v>
      </c>
      <c r="I6" s="259">
        <f>'Cash Flow Statement'!G95</f>
        <v>1212.1631727304894</v>
      </c>
      <c r="J6" s="259">
        <f>'Cash Flow Statement'!H95</f>
        <v>1705.366253600087</v>
      </c>
      <c r="K6" s="259">
        <f>'Cash Flow Statement'!I95</f>
        <v>-1574.1625330845368</v>
      </c>
      <c r="L6" s="259">
        <f>'Cash Flow Statement'!J95</f>
        <v>-1351.6833936031837</v>
      </c>
      <c r="M6" s="300"/>
    </row>
    <row r="7" spans="2:12" ht="15">
      <c r="B7" t="s">
        <v>45</v>
      </c>
      <c r="F7" s="204">
        <v>1483.6</v>
      </c>
      <c r="G7" s="205">
        <v>1386.7</v>
      </c>
      <c r="H7" s="259">
        <f>'Working Capital'!I10</f>
        <v>1467.6620972602739</v>
      </c>
      <c r="I7" s="259">
        <f>'Working Capital'!J10</f>
        <v>1511.6919601780821</v>
      </c>
      <c r="J7" s="259">
        <f>'Working Capital'!K10</f>
        <v>1557.0427189834245</v>
      </c>
      <c r="K7" s="259">
        <f>'Working Capital'!L10</f>
        <v>1603.7540005529272</v>
      </c>
      <c r="L7" s="259">
        <f>'Working Capital'!M10</f>
        <v>1651.8666205695151</v>
      </c>
    </row>
    <row r="8" spans="2:12" ht="15">
      <c r="B8" t="s">
        <v>48</v>
      </c>
      <c r="F8" s="204">
        <v>1559.4</v>
      </c>
      <c r="G8" s="205">
        <v>1540.9</v>
      </c>
      <c r="H8" s="259">
        <f>'Working Capital'!I14</f>
        <v>1592.0402410958902</v>
      </c>
      <c r="I8" s="259">
        <f>'Working Capital'!J14</f>
        <v>1639.8014483287673</v>
      </c>
      <c r="J8" s="259">
        <f>'Working Capital'!K14</f>
        <v>1688.9954917786301</v>
      </c>
      <c r="K8" s="259">
        <f>'Working Capital'!L14</f>
        <v>1739.665356531989</v>
      </c>
      <c r="L8" s="259">
        <f>'Working Capital'!M14</f>
        <v>1791.8553172279487</v>
      </c>
    </row>
    <row r="9" spans="2:12" ht="15">
      <c r="B9" t="s">
        <v>114</v>
      </c>
      <c r="F9" s="206">
        <f>74.1+409.1</f>
        <v>483.20000000000005</v>
      </c>
      <c r="G9" s="207">
        <f>100.1+423.8</f>
        <v>523.9</v>
      </c>
      <c r="H9" s="259">
        <f>'Working Capital'!I18</f>
        <v>517.5374565</v>
      </c>
      <c r="I9" s="259">
        <f>'Working Capital'!J18</f>
        <v>533.0635801950001</v>
      </c>
      <c r="J9" s="259">
        <f>'Working Capital'!K18</f>
        <v>549.05548760085</v>
      </c>
      <c r="K9" s="259">
        <f>'Working Capital'!L18</f>
        <v>565.5271522288755</v>
      </c>
      <c r="L9" s="259">
        <f>'Working Capital'!M18</f>
        <v>582.4929667957418</v>
      </c>
    </row>
    <row r="10" spans="2:12" ht="15">
      <c r="B10" s="9" t="s">
        <v>61</v>
      </c>
      <c r="F10" s="166">
        <f>SUM(F6:F9)</f>
        <v>4393.5</v>
      </c>
      <c r="G10" s="166">
        <f>SUM(G6:G9)</f>
        <v>3785.7000000000003</v>
      </c>
      <c r="H10" s="208">
        <f>SUM(H6:H9)</f>
        <v>3711.9973812214103</v>
      </c>
      <c r="I10" s="200">
        <f>SUM(I6:I9)</f>
        <v>4896.7201614323385</v>
      </c>
      <c r="J10" s="200">
        <f>SUM(J6:J9)</f>
        <v>5500.459951962992</v>
      </c>
      <c r="K10" s="200">
        <f>SUM(K6:K9)</f>
        <v>2334.7839762292547</v>
      </c>
      <c r="L10" s="200">
        <f>SUM(L6:L9)</f>
        <v>2674.5315109900216</v>
      </c>
    </row>
    <row r="11" spans="2:7" ht="15">
      <c r="B11" s="26"/>
      <c r="G11" s="11"/>
    </row>
    <row r="12" spans="2:12" ht="15">
      <c r="B12" t="s">
        <v>75</v>
      </c>
      <c r="F12" s="267">
        <v>9393</v>
      </c>
      <c r="G12" s="201">
        <v>9591</v>
      </c>
      <c r="H12" s="112">
        <f>G12-'Cash Flow Statement'!F13</f>
        <v>10442.425118408348</v>
      </c>
      <c r="I12" s="112">
        <f>H12-'Cash Flow Statement'!G13</f>
        <v>11369.434089622104</v>
      </c>
      <c r="J12" s="112">
        <f>I12-'Cash Flow Statement'!H13</f>
        <v>12378.736744818892</v>
      </c>
      <c r="K12" s="112">
        <f>J12-'Cash Flow Statement'!I13</f>
        <v>13477.638569310937</v>
      </c>
      <c r="L12" s="112">
        <f>K12-'Cash Flow Statement'!J13</f>
        <v>14674.093580752964</v>
      </c>
    </row>
    <row r="13" spans="2:12" ht="15">
      <c r="B13" s="26" t="s">
        <v>116</v>
      </c>
      <c r="F13" s="201">
        <v>-5451.1</v>
      </c>
      <c r="G13" s="202">
        <v>-5807.8</v>
      </c>
      <c r="H13" s="112">
        <f>G13-'PP&amp;E'!F23</f>
        <v>-6113.952201234885</v>
      </c>
      <c r="I13" s="112">
        <f>H13-'PP&amp;E'!G23</f>
        <v>-6481.340388089044</v>
      </c>
      <c r="J13" s="112">
        <f>I13-'PP&amp;E'!H23</f>
        <v>-6915.400683626467</v>
      </c>
      <c r="K13" s="112">
        <f>J13-'PP&amp;E'!I23</f>
        <v>-7422.051793720389</v>
      </c>
      <c r="L13" s="112">
        <f>K13-'PP&amp;E'!J23</f>
        <v>-8007.737847541815</v>
      </c>
    </row>
    <row r="14" spans="2:12" ht="15">
      <c r="B14" s="26" t="s">
        <v>115</v>
      </c>
      <c r="F14" s="74">
        <f aca="true" t="shared" si="0" ref="F14:L14">F12+F13</f>
        <v>3941.8999999999996</v>
      </c>
      <c r="G14" s="75">
        <f t="shared" si="0"/>
        <v>3783.2</v>
      </c>
      <c r="H14" s="74">
        <f t="shared" si="0"/>
        <v>4328.4729171734625</v>
      </c>
      <c r="I14" s="74">
        <f t="shared" si="0"/>
        <v>4888.09370153306</v>
      </c>
      <c r="J14" s="74">
        <f t="shared" si="0"/>
        <v>5463.336061192425</v>
      </c>
      <c r="K14" s="74">
        <f t="shared" si="0"/>
        <v>6055.586775590548</v>
      </c>
      <c r="L14" s="74">
        <f t="shared" si="0"/>
        <v>6666.355733211149</v>
      </c>
    </row>
    <row r="15" spans="2:12" ht="15">
      <c r="B15" s="26" t="s">
        <v>117</v>
      </c>
      <c r="F15" s="267">
        <v>13664.8</v>
      </c>
      <c r="G15" s="201">
        <v>13551.9</v>
      </c>
      <c r="H15" s="291">
        <v>13551.9</v>
      </c>
      <c r="I15" s="291">
        <v>13551.9</v>
      </c>
      <c r="J15" s="291">
        <v>13551.9</v>
      </c>
      <c r="K15" s="291">
        <v>13551.9</v>
      </c>
      <c r="L15" s="291">
        <v>13551.9</v>
      </c>
    </row>
    <row r="16" spans="2:12" ht="15">
      <c r="B16" t="s">
        <v>118</v>
      </c>
      <c r="F16" s="292">
        <v>1145.5</v>
      </c>
      <c r="G16" s="293">
        <v>844</v>
      </c>
      <c r="H16" s="294">
        <f>G16-'Income Statement'!I12</f>
        <v>816</v>
      </c>
      <c r="I16" s="249">
        <f>H16-'Income Statement'!J12</f>
        <v>788</v>
      </c>
      <c r="J16" s="249">
        <f>I16-'Income Statement'!K12</f>
        <v>760</v>
      </c>
      <c r="K16" s="249">
        <f>J16-'Income Statement'!L12</f>
        <v>732</v>
      </c>
      <c r="L16" s="249">
        <f>K16-'Income Statement'!M12</f>
        <v>704</v>
      </c>
    </row>
    <row r="17" spans="2:12" ht="15.75" thickBot="1">
      <c r="B17" s="9" t="s">
        <v>64</v>
      </c>
      <c r="F17" s="76">
        <f>F10+F14+F15+F16</f>
        <v>23145.699999999997</v>
      </c>
      <c r="G17" s="77">
        <f>G10+G14+G15+G16</f>
        <v>21964.8</v>
      </c>
      <c r="H17" s="76">
        <f>H10+H14+H15+H16</f>
        <v>22408.37029839487</v>
      </c>
      <c r="I17" s="76">
        <f>I10+I14+I15+I16</f>
        <v>24124.7138629654</v>
      </c>
      <c r="J17" s="319">
        <f>J10+J14+J15+J16</f>
        <v>25275.696013155415</v>
      </c>
      <c r="K17" s="319">
        <f>K10+K14+K15+K16</f>
        <v>22674.2707518198</v>
      </c>
      <c r="L17" s="76">
        <f>L10+L14+L15+L16</f>
        <v>23596.787244201172</v>
      </c>
    </row>
    <row r="18" ht="15.75" thickTop="1">
      <c r="G18" s="11"/>
    </row>
    <row r="19" spans="1:7" ht="15">
      <c r="A19" s="9" t="s">
        <v>65</v>
      </c>
      <c r="G19" s="11"/>
    </row>
    <row r="20" spans="2:12" ht="15">
      <c r="B20" t="s">
        <v>69</v>
      </c>
      <c r="F20" s="260">
        <v>1111.7</v>
      </c>
      <c r="G20" s="261">
        <v>416</v>
      </c>
      <c r="H20" s="318" t="s">
        <v>21</v>
      </c>
      <c r="I20" s="318" t="s">
        <v>21</v>
      </c>
      <c r="J20" s="318" t="s">
        <v>21</v>
      </c>
      <c r="K20" s="318" t="s">
        <v>21</v>
      </c>
      <c r="L20" s="318" t="s">
        <v>21</v>
      </c>
    </row>
    <row r="21" spans="2:12" ht="15">
      <c r="B21" t="s">
        <v>53</v>
      </c>
      <c r="F21" s="260">
        <v>1611.3</v>
      </c>
      <c r="G21" s="261">
        <v>1684</v>
      </c>
      <c r="H21" s="259">
        <f>'Working Capital'!I22</f>
        <v>1691.5427561643835</v>
      </c>
      <c r="I21" s="259">
        <f>'Working Capital'!J22</f>
        <v>1742.2890388493154</v>
      </c>
      <c r="J21" s="259">
        <f>'Working Capital'!K22</f>
        <v>1794.5577100147948</v>
      </c>
      <c r="K21" s="259">
        <f>'Working Capital'!L22</f>
        <v>1848.3944413152385</v>
      </c>
      <c r="L21" s="259">
        <f>'Working Capital'!M22</f>
        <v>1903.8462745546956</v>
      </c>
    </row>
    <row r="22" spans="2:12" ht="15">
      <c r="B22" t="s">
        <v>68</v>
      </c>
      <c r="F22" s="260">
        <v>1250.6</v>
      </c>
      <c r="G22" s="261">
        <v>1000.4</v>
      </c>
      <c r="H22" s="274">
        <f>G22</f>
        <v>1000.4</v>
      </c>
      <c r="I22" s="274">
        <f>H22</f>
        <v>1000.4</v>
      </c>
      <c r="J22" s="274">
        <f>I22</f>
        <v>1000.4</v>
      </c>
      <c r="K22" s="274">
        <f>J22</f>
        <v>1000.4</v>
      </c>
      <c r="L22" s="274">
        <f>K22</f>
        <v>1000.4</v>
      </c>
    </row>
    <row r="23" spans="2:12" ht="15">
      <c r="B23" t="s">
        <v>56</v>
      </c>
      <c r="F23" s="262">
        <v>1449.9</v>
      </c>
      <c r="G23" s="263">
        <v>1590</v>
      </c>
      <c r="H23" s="259">
        <f>'Working Capital'!I26</f>
        <v>1552.6123695</v>
      </c>
      <c r="I23" s="259">
        <f>'Working Capital'!J26</f>
        <v>1599.1907405850002</v>
      </c>
      <c r="J23" s="259">
        <f>'Working Capital'!K26</f>
        <v>1647.16646280255</v>
      </c>
      <c r="K23" s="259">
        <f>'Working Capital'!L26</f>
        <v>1696.5814566866266</v>
      </c>
      <c r="L23" s="259">
        <f>'Working Capital'!M26</f>
        <v>1747.4789003872254</v>
      </c>
    </row>
    <row r="24" spans="2:12" ht="15">
      <c r="B24" t="s">
        <v>66</v>
      </c>
      <c r="F24" s="258">
        <f aca="true" t="shared" si="1" ref="F24:L24">SUM(F20:F23)</f>
        <v>5423.5</v>
      </c>
      <c r="G24" s="264">
        <f t="shared" si="1"/>
        <v>4690.4</v>
      </c>
      <c r="H24" s="317">
        <f t="shared" si="1"/>
        <v>4244.555125664383</v>
      </c>
      <c r="I24" s="317">
        <f t="shared" si="1"/>
        <v>4341.879779434315</v>
      </c>
      <c r="J24" s="317">
        <f t="shared" si="1"/>
        <v>4442.1241728173445</v>
      </c>
      <c r="K24" s="317">
        <f t="shared" si="1"/>
        <v>4545.375898001865</v>
      </c>
      <c r="L24" s="317">
        <f t="shared" si="1"/>
        <v>4651.725174941921</v>
      </c>
    </row>
    <row r="25" spans="6:12" ht="15">
      <c r="F25" s="20"/>
      <c r="G25" s="57"/>
      <c r="H25" s="21"/>
      <c r="I25" s="21"/>
      <c r="J25" s="21"/>
      <c r="K25" s="21"/>
      <c r="L25" s="21"/>
    </row>
    <row r="26" spans="2:12" ht="15">
      <c r="B26" t="s">
        <v>121</v>
      </c>
      <c r="F26" s="20"/>
      <c r="G26" s="57"/>
      <c r="H26" s="21"/>
      <c r="I26" s="21"/>
      <c r="J26" s="21"/>
      <c r="K26" s="21"/>
      <c r="L26" s="21"/>
    </row>
    <row r="27" spans="3:13" ht="15">
      <c r="C27" t="s">
        <v>93</v>
      </c>
      <c r="F27" s="260">
        <v>0</v>
      </c>
      <c r="G27" s="261">
        <v>200</v>
      </c>
      <c r="H27" s="259">
        <f>'Debt Schedule'!G9</f>
        <v>0</v>
      </c>
      <c r="I27" s="259">
        <f>'Debt Schedule'!H9</f>
        <v>376.9400114095554</v>
      </c>
      <c r="J27" s="259">
        <f>'Debt Schedule'!I9</f>
        <v>2894.3954323551725</v>
      </c>
      <c r="K27" s="259">
        <f>'Debt Schedule'!J9</f>
        <v>3674.8641169633192</v>
      </c>
      <c r="L27" s="259">
        <f>'Debt Schedule'!K9</f>
        <v>0</v>
      </c>
      <c r="M27" s="300"/>
    </row>
    <row r="28" spans="3:12" ht="15">
      <c r="C28" t="s">
        <v>122</v>
      </c>
      <c r="F28" s="267">
        <v>1150</v>
      </c>
      <c r="G28" s="201">
        <v>1150</v>
      </c>
      <c r="H28" s="272">
        <f>'Debt Schedule'!G23</f>
        <v>1150</v>
      </c>
      <c r="I28" s="272">
        <f>'Debt Schedule'!H23</f>
        <v>1150</v>
      </c>
      <c r="J28" s="272">
        <f>'Debt Schedule'!I23</f>
        <v>1150</v>
      </c>
      <c r="K28" s="272">
        <f>'Debt Schedule'!J23</f>
        <v>0</v>
      </c>
      <c r="L28" s="272">
        <f>'Debt Schedule'!K23</f>
        <v>0</v>
      </c>
    </row>
    <row r="29" spans="3:12" ht="15">
      <c r="C29" t="s">
        <v>123</v>
      </c>
      <c r="F29" s="267">
        <v>1000</v>
      </c>
      <c r="G29" s="201">
        <v>1000</v>
      </c>
      <c r="H29" s="272">
        <f>'Debt Schedule'!G31</f>
        <v>1000</v>
      </c>
      <c r="I29" s="272">
        <f>'Debt Schedule'!H31</f>
        <v>0</v>
      </c>
      <c r="J29" s="272">
        <f>'Debt Schedule'!I31</f>
        <v>0</v>
      </c>
      <c r="K29" s="272">
        <f>'Debt Schedule'!J31</f>
        <v>0</v>
      </c>
      <c r="L29" s="272">
        <f>'Debt Schedule'!K31</f>
        <v>0</v>
      </c>
    </row>
    <row r="30" spans="3:12" ht="15">
      <c r="C30" t="s">
        <v>124</v>
      </c>
      <c r="F30" s="267">
        <v>1000</v>
      </c>
      <c r="G30" s="201">
        <v>1000</v>
      </c>
      <c r="H30" s="272">
        <f>'Debt Schedule'!G39</f>
        <v>1000</v>
      </c>
      <c r="I30" s="272">
        <f>'Debt Schedule'!H39</f>
        <v>1000</v>
      </c>
      <c r="J30" s="272">
        <f>'Debt Schedule'!I39</f>
        <v>1000</v>
      </c>
      <c r="K30" s="272">
        <f>'Debt Schedule'!J39</f>
        <v>1000</v>
      </c>
      <c r="L30" s="272">
        <f>'Debt Schedule'!K39</f>
        <v>1000</v>
      </c>
    </row>
    <row r="31" spans="3:12" ht="15">
      <c r="C31" t="s">
        <v>125</v>
      </c>
      <c r="F31" s="267">
        <v>750</v>
      </c>
      <c r="G31" s="268">
        <v>0</v>
      </c>
      <c r="H31" s="272">
        <f>'Debt Schedule'!G47</f>
        <v>0</v>
      </c>
      <c r="I31" s="272">
        <f>'Debt Schedule'!H47</f>
        <v>0</v>
      </c>
      <c r="J31" s="272">
        <f>'Debt Schedule'!I47</f>
        <v>0</v>
      </c>
      <c r="K31" s="272">
        <f>'Debt Schedule'!J47</f>
        <v>0</v>
      </c>
      <c r="L31" s="272">
        <f>'Debt Schedule'!K47</f>
        <v>0</v>
      </c>
    </row>
    <row r="32" spans="3:12" ht="15">
      <c r="C32" t="s">
        <v>126</v>
      </c>
      <c r="F32" s="267">
        <v>681.5</v>
      </c>
      <c r="G32" s="201">
        <v>549.4</v>
      </c>
      <c r="H32" s="272">
        <f>'Debt Schedule'!G55</f>
        <v>549.4</v>
      </c>
      <c r="I32" s="272">
        <f>'Debt Schedule'!H55</f>
        <v>549.4</v>
      </c>
      <c r="J32" s="272">
        <f>'Debt Schedule'!I55</f>
        <v>549.4</v>
      </c>
      <c r="K32" s="272">
        <f>'Debt Schedule'!J55</f>
        <v>549.4</v>
      </c>
      <c r="L32" s="272">
        <f>'Debt Schedule'!K55</f>
        <v>0</v>
      </c>
    </row>
    <row r="33" spans="3:12" ht="15">
      <c r="C33" t="s">
        <v>127</v>
      </c>
      <c r="F33" s="269">
        <v>0</v>
      </c>
      <c r="G33" s="268">
        <v>549.4</v>
      </c>
      <c r="H33" s="272">
        <f>'Debt Schedule'!G63</f>
        <v>549.4</v>
      </c>
      <c r="I33" s="272">
        <f>'Debt Schedule'!H63</f>
        <v>549.4</v>
      </c>
      <c r="J33" s="272">
        <f>'Debt Schedule'!I63</f>
        <v>549.4</v>
      </c>
      <c r="K33" s="272">
        <f>'Debt Schedule'!J63</f>
        <v>549.4</v>
      </c>
      <c r="L33" s="272">
        <f>'Debt Schedule'!K63</f>
        <v>549.4</v>
      </c>
    </row>
    <row r="34" spans="3:12" ht="15">
      <c r="C34" t="s">
        <v>128</v>
      </c>
      <c r="F34" s="269">
        <v>0</v>
      </c>
      <c r="G34" s="268">
        <v>500</v>
      </c>
      <c r="H34" s="272">
        <f>'Debt Schedule'!G71</f>
        <v>500</v>
      </c>
      <c r="I34" s="272">
        <f>'Debt Schedule'!H71</f>
        <v>0</v>
      </c>
      <c r="J34" s="272">
        <f>'Debt Schedule'!I71</f>
        <v>0</v>
      </c>
      <c r="K34" s="272">
        <f>'Debt Schedule'!J71</f>
        <v>0</v>
      </c>
      <c r="L34" s="272">
        <f>'Debt Schedule'!K71</f>
        <v>0</v>
      </c>
    </row>
    <row r="35" spans="3:12" ht="15">
      <c r="C35" t="s">
        <v>129</v>
      </c>
      <c r="F35" s="269">
        <v>500</v>
      </c>
      <c r="G35" s="268">
        <v>500</v>
      </c>
      <c r="H35" s="272">
        <f>'Debt Schedule'!G79</f>
        <v>500</v>
      </c>
      <c r="I35" s="272">
        <f>'Debt Schedule'!H79</f>
        <v>500</v>
      </c>
      <c r="J35" s="272">
        <f>'Debt Schedule'!I79</f>
        <v>500</v>
      </c>
      <c r="K35" s="272">
        <f>'Debt Schedule'!J79</f>
        <v>500</v>
      </c>
      <c r="L35" s="272">
        <f>'Debt Schedule'!K79</f>
        <v>500</v>
      </c>
    </row>
    <row r="36" spans="3:12" ht="15">
      <c r="C36" t="s">
        <v>130</v>
      </c>
      <c r="F36" s="269">
        <v>500</v>
      </c>
      <c r="G36" s="268">
        <v>500</v>
      </c>
      <c r="H36" s="272">
        <f>'Debt Schedule'!G87</f>
        <v>500</v>
      </c>
      <c r="I36" s="272">
        <f>'Debt Schedule'!H87</f>
        <v>500</v>
      </c>
      <c r="J36" s="272">
        <f>'Debt Schedule'!I87</f>
        <v>500</v>
      </c>
      <c r="K36" s="272">
        <f>'Debt Schedule'!J87</f>
        <v>500</v>
      </c>
      <c r="L36" s="272">
        <f>'Debt Schedule'!K87</f>
        <v>500</v>
      </c>
    </row>
    <row r="37" spans="3:12" ht="15">
      <c r="C37" t="s">
        <v>131</v>
      </c>
      <c r="F37" s="269">
        <v>500</v>
      </c>
      <c r="G37" s="268">
        <v>500</v>
      </c>
      <c r="H37" s="272">
        <f>'Debt Schedule'!G95</f>
        <v>500</v>
      </c>
      <c r="I37" s="272">
        <f>'Debt Schedule'!H95</f>
        <v>500</v>
      </c>
      <c r="J37" s="272">
        <f>'Debt Schedule'!I95</f>
        <v>500</v>
      </c>
      <c r="K37" s="272">
        <f>'Debt Schedule'!J95</f>
        <v>500</v>
      </c>
      <c r="L37" s="272">
        <f>'Debt Schedule'!K95</f>
        <v>500</v>
      </c>
    </row>
    <row r="38" spans="3:12" ht="15">
      <c r="C38" t="s">
        <v>132</v>
      </c>
      <c r="F38" s="269">
        <v>0</v>
      </c>
      <c r="G38" s="268">
        <v>500</v>
      </c>
      <c r="H38" s="272">
        <f>'Debt Schedule'!G103</f>
        <v>500</v>
      </c>
      <c r="I38" s="272">
        <f>'Debt Schedule'!H103</f>
        <v>500</v>
      </c>
      <c r="J38" s="272">
        <f>'Debt Schedule'!I103</f>
        <v>500</v>
      </c>
      <c r="K38" s="272">
        <f>'Debt Schedule'!J103</f>
        <v>0</v>
      </c>
      <c r="L38" s="272">
        <f>'Debt Schedule'!K103</f>
        <v>0</v>
      </c>
    </row>
    <row r="39" spans="3:12" ht="15">
      <c r="C39" t="s">
        <v>133</v>
      </c>
      <c r="F39" s="269">
        <v>500</v>
      </c>
      <c r="G39" s="268">
        <v>500</v>
      </c>
      <c r="H39" s="272">
        <f>'Debt Schedule'!G111</f>
        <v>0</v>
      </c>
      <c r="I39" s="272">
        <f>'Debt Schedule'!H111</f>
        <v>0</v>
      </c>
      <c r="J39" s="272">
        <f>'Debt Schedule'!I111</f>
        <v>0</v>
      </c>
      <c r="K39" s="272">
        <f>'Debt Schedule'!J111</f>
        <v>0</v>
      </c>
      <c r="L39" s="272">
        <f>'Debt Schedule'!K111</f>
        <v>0</v>
      </c>
    </row>
    <row r="40" spans="3:12" ht="15">
      <c r="C40" t="s">
        <v>134</v>
      </c>
      <c r="F40" s="269">
        <v>0</v>
      </c>
      <c r="G40" s="268">
        <v>439.5</v>
      </c>
      <c r="H40" s="272">
        <f>'Debt Schedule'!G119</f>
        <v>439.5</v>
      </c>
      <c r="I40" s="272">
        <f>'Debt Schedule'!H119</f>
        <v>439.5</v>
      </c>
      <c r="J40" s="272">
        <f>'Debt Schedule'!I119</f>
        <v>439.5</v>
      </c>
      <c r="K40" s="272">
        <f>'Debt Schedule'!J119</f>
        <v>439.5</v>
      </c>
      <c r="L40" s="272">
        <f>'Debt Schedule'!K119</f>
        <v>439.5</v>
      </c>
    </row>
    <row r="41" spans="3:12" ht="15">
      <c r="C41" t="s">
        <v>135</v>
      </c>
      <c r="F41" s="269">
        <v>395.3</v>
      </c>
      <c r="G41" s="268">
        <v>0</v>
      </c>
      <c r="H41" s="272">
        <f>'Debt Schedule'!G127</f>
        <v>0</v>
      </c>
      <c r="I41" s="272">
        <f>'Debt Schedule'!H127</f>
        <v>0</v>
      </c>
      <c r="J41" s="272">
        <f>'Debt Schedule'!I127</f>
        <v>0</v>
      </c>
      <c r="K41" s="272">
        <f>'Debt Schedule'!J127</f>
        <v>0</v>
      </c>
      <c r="L41" s="272">
        <f>'Debt Schedule'!K127</f>
        <v>0</v>
      </c>
    </row>
    <row r="42" spans="3:12" ht="15">
      <c r="C42" t="s">
        <v>133</v>
      </c>
      <c r="F42" s="269">
        <v>250</v>
      </c>
      <c r="G42" s="268">
        <v>250</v>
      </c>
      <c r="H42" s="272">
        <f>'Debt Schedule'!G135</f>
        <v>0</v>
      </c>
      <c r="I42" s="272">
        <f>'Debt Schedule'!H135</f>
        <v>0</v>
      </c>
      <c r="J42" s="272">
        <f>'Debt Schedule'!I135</f>
        <v>0</v>
      </c>
      <c r="K42" s="272">
        <f>'Debt Schedule'!J135</f>
        <v>0</v>
      </c>
      <c r="L42" s="272">
        <f>'Debt Schedule'!K135</f>
        <v>0</v>
      </c>
    </row>
    <row r="43" spans="3:12" ht="15">
      <c r="C43" t="s">
        <v>133</v>
      </c>
      <c r="F43" s="269">
        <v>250</v>
      </c>
      <c r="G43" s="268">
        <v>250</v>
      </c>
      <c r="H43" s="272">
        <f>'Debt Schedule'!G143</f>
        <v>0</v>
      </c>
      <c r="I43" s="272">
        <f>'Debt Schedule'!H143</f>
        <v>0</v>
      </c>
      <c r="J43" s="272">
        <f>'Debt Schedule'!I143</f>
        <v>0</v>
      </c>
      <c r="K43" s="272">
        <f>'Debt Schedule'!J143</f>
        <v>0</v>
      </c>
      <c r="L43" s="272">
        <f>'Debt Schedule'!K143</f>
        <v>0</v>
      </c>
    </row>
    <row r="44" spans="3:12" ht="15">
      <c r="C44" t="s">
        <v>136</v>
      </c>
      <c r="F44" s="269">
        <v>0</v>
      </c>
      <c r="G44" s="268">
        <v>219.7</v>
      </c>
      <c r="H44" s="272">
        <f>'Debt Schedule'!G151</f>
        <v>219.7</v>
      </c>
      <c r="I44" s="272">
        <f>'Debt Schedule'!H151</f>
        <v>219.7</v>
      </c>
      <c r="J44" s="272">
        <f>'Debt Schedule'!I151</f>
        <v>219.7</v>
      </c>
      <c r="K44" s="272">
        <f>'Debt Schedule'!J151</f>
        <v>219.7</v>
      </c>
      <c r="L44" s="272">
        <f>'Debt Schedule'!K151</f>
        <v>219.7</v>
      </c>
    </row>
    <row r="45" spans="3:12" ht="15">
      <c r="C45" t="s">
        <v>189</v>
      </c>
      <c r="F45" s="269">
        <v>204.2</v>
      </c>
      <c r="G45" s="268">
        <v>204.2</v>
      </c>
      <c r="H45" s="273">
        <v>204.2</v>
      </c>
      <c r="I45" s="273">
        <v>204.2</v>
      </c>
      <c r="J45" s="273">
        <v>204.2</v>
      </c>
      <c r="K45" s="273">
        <v>204.2</v>
      </c>
      <c r="L45" s="273">
        <v>204.2</v>
      </c>
    </row>
    <row r="46" spans="3:12" ht="15">
      <c r="C46" t="s">
        <v>137</v>
      </c>
      <c r="F46" s="269">
        <v>-6.9</v>
      </c>
      <c r="G46" s="268">
        <v>-4.1</v>
      </c>
      <c r="H46" s="273">
        <v>-4.1</v>
      </c>
      <c r="I46" s="273">
        <v>-4.1</v>
      </c>
      <c r="J46" s="273">
        <v>-4.1</v>
      </c>
      <c r="K46" s="273">
        <v>-4.1</v>
      </c>
      <c r="L46" s="273">
        <v>-4.1</v>
      </c>
    </row>
    <row r="47" spans="3:12" ht="15">
      <c r="C47" t="s">
        <v>138</v>
      </c>
      <c r="F47" s="269">
        <v>-1250.6</v>
      </c>
      <c r="G47" s="270">
        <v>-1000.4</v>
      </c>
      <c r="H47" s="273">
        <v>-1000.4</v>
      </c>
      <c r="I47" s="273">
        <v>-1000.4</v>
      </c>
      <c r="J47" s="273">
        <v>-1000.4</v>
      </c>
      <c r="K47" s="273">
        <v>-1000.4</v>
      </c>
      <c r="L47" s="273">
        <v>-1000.4</v>
      </c>
    </row>
    <row r="48" spans="2:13" ht="15">
      <c r="B48" s="26" t="s">
        <v>142</v>
      </c>
      <c r="F48" s="188">
        <f>SUM(F27:F47)</f>
        <v>6423.5</v>
      </c>
      <c r="G48" s="271">
        <f>SUM(G27:G47)</f>
        <v>7807.700000000001</v>
      </c>
      <c r="H48" s="188">
        <f>SUM(H27:H47)</f>
        <v>6607.7</v>
      </c>
      <c r="I48" s="188">
        <f>SUM(I27:I47)</f>
        <v>5484.640011409555</v>
      </c>
      <c r="J48" s="188">
        <f>SUM(J27:J47)</f>
        <v>8002.095432355174</v>
      </c>
      <c r="K48" s="188">
        <f>SUM(K27:K47)</f>
        <v>7132.564116963318</v>
      </c>
      <c r="L48" s="188">
        <f>SUM(L27:L47)</f>
        <v>2908.2999999999997</v>
      </c>
      <c r="M48" s="1"/>
    </row>
    <row r="49" spans="2:12" ht="15">
      <c r="B49" t="s">
        <v>141</v>
      </c>
      <c r="F49" s="267">
        <f>1643.2+1666</f>
        <v>3309.2</v>
      </c>
      <c r="G49" s="78">
        <f>1744.8+1550.3</f>
        <v>3295.1</v>
      </c>
      <c r="H49" s="274">
        <v>3295</v>
      </c>
      <c r="I49" s="274">
        <v>3295</v>
      </c>
      <c r="J49" s="274">
        <v>3295</v>
      </c>
      <c r="K49" s="274">
        <v>3295</v>
      </c>
      <c r="L49" s="274">
        <v>3295</v>
      </c>
    </row>
    <row r="50" spans="6:12" ht="15">
      <c r="F50" s="93"/>
      <c r="G50" s="60"/>
      <c r="H50" s="82"/>
      <c r="I50" s="82"/>
      <c r="J50" s="82"/>
      <c r="K50" s="82"/>
      <c r="L50" s="82"/>
    </row>
    <row r="51" spans="2:12" ht="15">
      <c r="B51" s="86" t="s">
        <v>71</v>
      </c>
      <c r="F51" s="188">
        <f aca="true" t="shared" si="2" ref="F51:L51">F24+F48+F49</f>
        <v>15156.2</v>
      </c>
      <c r="G51" s="271">
        <f t="shared" si="2"/>
        <v>15793.2</v>
      </c>
      <c r="H51" s="188">
        <f t="shared" si="2"/>
        <v>14147.255125664382</v>
      </c>
      <c r="I51" s="188">
        <f t="shared" si="2"/>
        <v>13121.519790843871</v>
      </c>
      <c r="J51" s="188">
        <f t="shared" si="2"/>
        <v>15739.219605172519</v>
      </c>
      <c r="K51" s="188">
        <f t="shared" si="2"/>
        <v>14972.940014965183</v>
      </c>
      <c r="L51" s="188">
        <f t="shared" si="2"/>
        <v>10855.02517494192</v>
      </c>
    </row>
    <row r="52" spans="2:13" ht="15">
      <c r="B52" t="s">
        <v>70</v>
      </c>
      <c r="F52" s="267">
        <v>984.1</v>
      </c>
      <c r="G52" s="201">
        <v>778.9</v>
      </c>
      <c r="H52" s="275">
        <v>779</v>
      </c>
      <c r="I52" s="275">
        <v>779</v>
      </c>
      <c r="J52" s="275">
        <v>779</v>
      </c>
      <c r="K52" s="275">
        <v>779</v>
      </c>
      <c r="L52" s="275">
        <v>779</v>
      </c>
      <c r="M52" s="300"/>
    </row>
    <row r="53" spans="2:12" ht="15">
      <c r="B53" t="s">
        <v>119</v>
      </c>
      <c r="F53" s="267">
        <v>7005.4</v>
      </c>
      <c r="G53" s="201">
        <v>5392.7</v>
      </c>
      <c r="H53" s="112">
        <f>G53+'Cash Flow Statement'!F6+'Cash Flow Statement'!F23+'Cash Flow Statement'!F24+'Cash Flow Statement'!F89</f>
        <v>6774.799999999998</v>
      </c>
      <c r="I53" s="112">
        <f>H53+'Cash Flow Statement'!G6+'Cash Flow Statement'!G23+'Cash Flow Statement'!G24+'Cash Flow Statement'!G89</f>
        <v>7774.788485756286</v>
      </c>
      <c r="J53" s="112">
        <f>I53+'Cash Flow Statement'!H6+'Cash Flow Statement'!H23+'Cash Flow Statement'!H24+'Cash Flow Statement'!H89</f>
        <v>8918.942053078568</v>
      </c>
      <c r="K53" s="112">
        <f>J53+'Cash Flow Statement'!I6+'Cash Flow Statement'!I23+'Cash Flow Statement'!I24+'Cash Flow Statement'!I89</f>
        <v>10174.443901843882</v>
      </c>
      <c r="L53" s="112">
        <f>K53+'Cash Flow Statement'!J6+'Cash Flow Statement'!J23+'Cash Flow Statement'!J24+'Cash Flow Statement'!J89</f>
        <v>11550.008962505293</v>
      </c>
    </row>
    <row r="54" spans="2:12" ht="15.75" thickBot="1">
      <c r="B54" t="s">
        <v>120</v>
      </c>
      <c r="F54" s="276">
        <f aca="true" t="shared" si="3" ref="F54:L54">F51+F52+F53</f>
        <v>23145.7</v>
      </c>
      <c r="G54" s="277">
        <f>G51+G52+G53</f>
        <v>21964.800000000003</v>
      </c>
      <c r="H54" s="276">
        <f t="shared" si="3"/>
        <v>21701.05512566438</v>
      </c>
      <c r="I54" s="276">
        <f t="shared" si="3"/>
        <v>21675.308276600157</v>
      </c>
      <c r="J54" s="276">
        <f t="shared" si="3"/>
        <v>25437.161658251087</v>
      </c>
      <c r="K54" s="276">
        <f>K51+K52+K53</f>
        <v>25926.383916809064</v>
      </c>
      <c r="L54" s="276">
        <f t="shared" si="3"/>
        <v>23184.034137447212</v>
      </c>
    </row>
    <row r="55" ht="15.75" thickTop="1">
      <c r="G55" s="11"/>
    </row>
    <row r="56" spans="2:12" ht="13.5">
      <c r="B56" t="s">
        <v>67</v>
      </c>
      <c r="F56" s="258">
        <f aca="true" t="shared" si="4" ref="F56:L56">F17-F54</f>
        <v>0</v>
      </c>
      <c r="G56" s="258">
        <f t="shared" si="4"/>
        <v>0</v>
      </c>
      <c r="H56" s="258">
        <f t="shared" si="4"/>
        <v>707.3151727304903</v>
      </c>
      <c r="I56" s="258">
        <f t="shared" si="4"/>
        <v>2449.405586365243</v>
      </c>
      <c r="J56" s="258">
        <f t="shared" si="4"/>
        <v>-161.4656450956718</v>
      </c>
      <c r="K56" s="258">
        <f t="shared" si="4"/>
        <v>-3252.113164989263</v>
      </c>
      <c r="L56" s="258">
        <f t="shared" si="4"/>
        <v>412.7531067539603</v>
      </c>
    </row>
  </sheetData>
  <sheetProtection/>
  <mergeCells count="3">
    <mergeCell ref="F3:G3"/>
    <mergeCell ref="H3:L3"/>
    <mergeCell ref="F2:L2"/>
  </mergeCells>
  <printOptions/>
  <pageMargins left="0.75" right="0.75" top="1" bottom="1" header="0.5" footer="0.5"/>
  <pageSetup orientation="portrait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3"/>
  <sheetViews>
    <sheetView workbookViewId="0" topLeftCell="A1">
      <selection activeCell="F10" sqref="F10"/>
    </sheetView>
  </sheetViews>
  <sheetFormatPr defaultColWidth="11.57421875" defaultRowHeight="15"/>
  <cols>
    <col min="1" max="1" width="3.00390625" style="0" customWidth="1"/>
    <col min="2" max="2" width="10.421875" style="0" customWidth="1"/>
    <col min="3" max="4" width="11.421875" style="0" customWidth="1"/>
    <col min="5" max="5" width="11.421875" style="86" customWidth="1"/>
    <col min="6" max="16384" width="11.421875" style="0" customWidth="1"/>
  </cols>
  <sheetData>
    <row r="1" spans="1:8" ht="26.25">
      <c r="A1" s="88" t="s">
        <v>100</v>
      </c>
      <c r="B1" s="48"/>
      <c r="C1" s="48"/>
      <c r="D1" s="48"/>
      <c r="E1" s="131"/>
      <c r="F1" s="48"/>
      <c r="G1" s="48"/>
      <c r="H1" s="7"/>
    </row>
    <row r="2" spans="1:8" ht="15.75" thickBot="1">
      <c r="A2" s="89" t="s">
        <v>6</v>
      </c>
      <c r="B2" s="48"/>
      <c r="C2" s="48"/>
      <c r="D2" s="48"/>
      <c r="E2" s="131"/>
      <c r="F2" s="48"/>
      <c r="G2" s="48"/>
      <c r="H2" s="7"/>
    </row>
    <row r="3" spans="1:11" ht="15.75" thickBot="1">
      <c r="A3" s="49"/>
      <c r="B3" s="49"/>
      <c r="C3" s="49"/>
      <c r="D3" s="49"/>
      <c r="F3" s="340" t="s">
        <v>72</v>
      </c>
      <c r="G3" s="341"/>
      <c r="H3" s="341"/>
      <c r="I3" s="341"/>
      <c r="J3" s="341"/>
      <c r="K3" s="342"/>
    </row>
    <row r="4" spans="1:11" ht="15.75" thickBot="1">
      <c r="A4" s="49"/>
      <c r="B4" s="49"/>
      <c r="C4" s="49"/>
      <c r="D4" s="49"/>
      <c r="F4" s="288" t="s">
        <v>19</v>
      </c>
      <c r="G4" s="337" t="s">
        <v>20</v>
      </c>
      <c r="H4" s="338"/>
      <c r="I4" s="338"/>
      <c r="J4" s="338"/>
      <c r="K4" s="339"/>
    </row>
    <row r="5" spans="1:11" ht="15.75" thickBot="1">
      <c r="A5" s="49"/>
      <c r="B5" s="49"/>
      <c r="C5" s="49"/>
      <c r="D5" s="49"/>
      <c r="F5" s="287">
        <v>2015</v>
      </c>
      <c r="G5" s="224">
        <v>2016</v>
      </c>
      <c r="H5" s="224">
        <v>2017</v>
      </c>
      <c r="I5" s="224">
        <v>2018</v>
      </c>
      <c r="J5" s="224">
        <v>2019</v>
      </c>
      <c r="K5" s="237">
        <v>2020</v>
      </c>
    </row>
    <row r="6" spans="1:5" ht="15">
      <c r="A6" s="90" t="s">
        <v>101</v>
      </c>
      <c r="B6" s="49"/>
      <c r="C6" s="49"/>
      <c r="D6" s="49"/>
      <c r="E6" s="130"/>
    </row>
    <row r="7" spans="2:11" ht="15">
      <c r="B7" s="49" t="s">
        <v>102</v>
      </c>
      <c r="C7" s="49"/>
      <c r="E7" s="130"/>
      <c r="F7" s="281"/>
      <c r="G7" s="112">
        <f>F9</f>
        <v>200</v>
      </c>
      <c r="H7" s="112">
        <f>G9</f>
        <v>0</v>
      </c>
      <c r="I7" s="112">
        <f>H9</f>
        <v>376.9400114095554</v>
      </c>
      <c r="J7" s="112">
        <f>I9</f>
        <v>2894.3954323551725</v>
      </c>
      <c r="K7" s="112">
        <f>J9</f>
        <v>3674.8641169633192</v>
      </c>
    </row>
    <row r="8" spans="2:11" ht="15">
      <c r="B8" s="49" t="s">
        <v>103</v>
      </c>
      <c r="C8" s="49"/>
      <c r="E8" s="130"/>
      <c r="F8" s="281"/>
      <c r="G8" s="281">
        <f>IF('Cash Flow Statement'!F20&lt;0,-'Cash Flow Statement'!F20,(-MIN('Cash Flow Statement'!F63,'Debt Schedule'!G7)))</f>
        <v>810.423999999999</v>
      </c>
      <c r="H8" s="281">
        <f>IF('Cash Flow Statement'!G20&lt;0,-'Cash Flow Statement'!G20,(-MIN('Cash Flow Statement'!G63,'Debt Schedule'!H7)))</f>
        <v>85.62483867906508</v>
      </c>
      <c r="I8" s="281">
        <f>IF('Cash Flow Statement'!H20&lt;0,-'Cash Flow Statement'!H20,(-MIN('Cash Flow Statement'!H63,'Debt Schedule'!I7)))</f>
        <v>-376.9400114095554</v>
      </c>
      <c r="J8" s="281">
        <f>IF('Cash Flow Statement'!I20&lt;0,-'Cash Flow Statement'!I20,(-MIN('Cash Flow Statement'!I63,'Debt Schedule'!J7)))</f>
        <v>1330.083393624457</v>
      </c>
      <c r="K8" s="281">
        <f>IF('Cash Flow Statement'!J20&lt;0,-'Cash Flow Statement'!J20,(-MIN('Cash Flow Statement'!J63,'Debt Schedule'!K7)))</f>
        <v>1025.142493263739</v>
      </c>
    </row>
    <row r="9" spans="2:11" ht="15">
      <c r="B9" s="49" t="s">
        <v>104</v>
      </c>
      <c r="C9" s="49"/>
      <c r="D9" s="49"/>
      <c r="F9" s="303">
        <v>200</v>
      </c>
      <c r="G9" s="249">
        <f>G7+G8</f>
        <v>1010.423999999999</v>
      </c>
      <c r="H9" s="249">
        <f>H7+H8</f>
        <v>85.62483867906508</v>
      </c>
      <c r="I9" s="249">
        <f>I7+I8</f>
        <v>0</v>
      </c>
      <c r="J9" s="249">
        <f>J7+J8</f>
        <v>4224.47882597963</v>
      </c>
      <c r="K9" s="249">
        <f>K7+K8</f>
        <v>4700.006610227058</v>
      </c>
    </row>
    <row r="10" spans="1:11" ht="15">
      <c r="A10" s="49"/>
      <c r="C10" s="129" t="s">
        <v>105</v>
      </c>
      <c r="D10" s="50"/>
      <c r="E10" s="278">
        <v>0.012388</v>
      </c>
      <c r="F10" s="313">
        <f>F9*$E$10</f>
        <v>2.4776</v>
      </c>
      <c r="G10" s="313">
        <f>AVERAGE(G7,G9)*$E$10</f>
        <v>7.497366255999994</v>
      </c>
      <c r="H10" s="313">
        <f>H9*$E$10</f>
        <v>1.0607205015562582</v>
      </c>
      <c r="I10" s="313">
        <f>I9*$E$10</f>
        <v>0</v>
      </c>
      <c r="J10" s="313">
        <f>J9*$E$10</f>
        <v>52.33284369623565</v>
      </c>
      <c r="K10" s="313">
        <f>K9*$E$10</f>
        <v>58.2236818874928</v>
      </c>
    </row>
    <row r="11" spans="1:11" ht="15">
      <c r="A11" s="49"/>
      <c r="B11" s="49"/>
      <c r="C11" s="49"/>
      <c r="D11" s="49"/>
      <c r="E11" s="130"/>
      <c r="F11" s="281"/>
      <c r="G11" s="112"/>
      <c r="H11" s="265"/>
      <c r="I11" s="112"/>
      <c r="J11" s="112"/>
      <c r="K11" s="112"/>
    </row>
    <row r="12" spans="1:11" ht="15">
      <c r="A12" s="90" t="s">
        <v>106</v>
      </c>
      <c r="B12" s="51"/>
      <c r="C12" s="51"/>
      <c r="D12" s="52"/>
      <c r="E12" s="132"/>
      <c r="F12" s="282"/>
      <c r="G12" s="112"/>
      <c r="H12" s="112"/>
      <c r="I12" s="112"/>
      <c r="J12" s="112"/>
      <c r="K12" s="112"/>
    </row>
    <row r="13" spans="2:11" ht="15">
      <c r="B13" s="49" t="s">
        <v>107</v>
      </c>
      <c r="C13" s="51"/>
      <c r="D13" s="52"/>
      <c r="E13" s="133"/>
      <c r="F13" s="304">
        <v>2900</v>
      </c>
      <c r="G13" s="304">
        <v>2900</v>
      </c>
      <c r="H13" s="304">
        <v>2900</v>
      </c>
      <c r="I13" s="304">
        <v>2900</v>
      </c>
      <c r="J13" s="304">
        <v>2900</v>
      </c>
      <c r="K13" s="304">
        <v>2900</v>
      </c>
    </row>
    <row r="14" spans="2:11" ht="13.5">
      <c r="B14" s="49" t="s">
        <v>108</v>
      </c>
      <c r="C14" s="49"/>
      <c r="D14" s="49"/>
      <c r="E14" s="132"/>
      <c r="F14" s="259">
        <f>'Balance Sheet'!G27</f>
        <v>200</v>
      </c>
      <c r="G14" s="259">
        <f>'Balance Sheet'!H27</f>
        <v>0</v>
      </c>
      <c r="H14" s="259">
        <f>'Balance Sheet'!I27</f>
        <v>376.9400114095554</v>
      </c>
      <c r="I14" s="259">
        <f>'Balance Sheet'!J27</f>
        <v>2894.3954323551725</v>
      </c>
      <c r="J14" s="259">
        <f>'Balance Sheet'!K27</f>
        <v>3674.8641169633192</v>
      </c>
      <c r="K14" s="259">
        <f>'Balance Sheet'!L27</f>
        <v>0</v>
      </c>
    </row>
    <row r="15" spans="1:11" ht="13.5">
      <c r="A15" s="49"/>
      <c r="C15" s="129" t="s">
        <v>105</v>
      </c>
      <c r="D15" s="53"/>
      <c r="E15" s="279">
        <v>0.0025</v>
      </c>
      <c r="F15" s="314">
        <f>(F13-F14)*$E$15</f>
        <v>6.75</v>
      </c>
      <c r="G15" s="314">
        <f>(G13-G14)*$E$15</f>
        <v>7.25</v>
      </c>
      <c r="H15" s="314">
        <f>(H13-H14)*$E$15</f>
        <v>6.3076499714761125</v>
      </c>
      <c r="I15" s="314">
        <f>(I13-I14)*$E$15</f>
        <v>0.01401141911206878</v>
      </c>
      <c r="J15" s="314">
        <f>(J13-J14)*$E$15</f>
        <v>-1.9371602924082982</v>
      </c>
      <c r="K15" s="314">
        <f>(K13-K14)*$E$15</f>
        <v>7.25</v>
      </c>
    </row>
    <row r="16" spans="1:8" ht="13.5">
      <c r="A16" s="49"/>
      <c r="B16" s="49"/>
      <c r="C16" s="49"/>
      <c r="E16" s="130"/>
      <c r="F16" s="49"/>
      <c r="G16" s="49"/>
      <c r="H16" s="7"/>
    </row>
    <row r="17" spans="1:8" ht="13.5">
      <c r="A17" s="49"/>
      <c r="B17" s="49"/>
      <c r="C17" s="49"/>
      <c r="D17" s="49"/>
      <c r="E17" s="130"/>
      <c r="F17" s="49"/>
      <c r="G17" s="49"/>
      <c r="H17" s="7"/>
    </row>
    <row r="18" spans="1:8" ht="13.5">
      <c r="A18" s="90" t="s">
        <v>139</v>
      </c>
      <c r="B18" s="49"/>
      <c r="C18" s="49"/>
      <c r="D18" s="49"/>
      <c r="E18" s="130"/>
      <c r="F18" s="49"/>
      <c r="G18" s="49"/>
      <c r="H18" s="7"/>
    </row>
    <row r="19" spans="2:11" ht="13.5">
      <c r="B19" s="49" t="s">
        <v>102</v>
      </c>
      <c r="C19" s="49"/>
      <c r="D19" s="49"/>
      <c r="E19" s="130"/>
      <c r="F19" s="49"/>
      <c r="G19" s="189">
        <f>F23</f>
        <v>1150</v>
      </c>
      <c r="H19" s="189">
        <f>G23</f>
        <v>1150</v>
      </c>
      <c r="I19" s="189">
        <f>H23</f>
        <v>1150</v>
      </c>
      <c r="J19" s="189">
        <f>I23</f>
        <v>1150</v>
      </c>
      <c r="K19" s="189">
        <f>J23</f>
        <v>0</v>
      </c>
    </row>
    <row r="20" spans="2:11" ht="13.5">
      <c r="B20" s="49" t="s">
        <v>109</v>
      </c>
      <c r="C20" s="49"/>
      <c r="D20" s="49"/>
      <c r="E20" s="130"/>
      <c r="F20" s="49"/>
      <c r="G20" s="189">
        <f>-MIN(G19,G21*$G$19)</f>
        <v>0</v>
      </c>
      <c r="H20" s="189">
        <f>-MIN(H19,H21*$G$19)</f>
        <v>0</v>
      </c>
      <c r="I20" s="189">
        <f>-MIN(I19,I21*$G$19)</f>
        <v>0</v>
      </c>
      <c r="J20" s="189">
        <f>-MIN(J19,J21*$G$19)</f>
        <v>-1150</v>
      </c>
      <c r="K20" s="189">
        <f>-MIN(K19,K21*$G$19)</f>
        <v>0</v>
      </c>
    </row>
    <row r="21" spans="2:11" ht="13.5">
      <c r="B21" s="49" t="s">
        <v>110</v>
      </c>
      <c r="C21" s="49"/>
      <c r="D21" s="49"/>
      <c r="E21" s="130"/>
      <c r="F21" s="49"/>
      <c r="G21" s="124">
        <v>0</v>
      </c>
      <c r="H21" s="125">
        <v>0</v>
      </c>
      <c r="I21" s="124">
        <v>0</v>
      </c>
      <c r="J21" s="124">
        <v>1</v>
      </c>
      <c r="K21" s="124">
        <v>0</v>
      </c>
    </row>
    <row r="22" spans="2:11" ht="13.5">
      <c r="B22" s="49" t="s">
        <v>103</v>
      </c>
      <c r="C22" s="49"/>
      <c r="D22" s="49"/>
      <c r="E22" s="130"/>
      <c r="F22" s="49"/>
      <c r="G22">
        <v>0</v>
      </c>
      <c r="H22" s="7">
        <v>0</v>
      </c>
      <c r="I22">
        <v>0</v>
      </c>
      <c r="J22">
        <v>0</v>
      </c>
      <c r="K22">
        <v>0</v>
      </c>
    </row>
    <row r="23" spans="2:11" ht="13.5">
      <c r="B23" s="49" t="s">
        <v>104</v>
      </c>
      <c r="C23" s="49"/>
      <c r="D23" s="49"/>
      <c r="E23" s="130"/>
      <c r="F23" s="283">
        <f>'Balance Sheet'!G28</f>
        <v>1150</v>
      </c>
      <c r="G23" s="280">
        <f>G19+G20+G22</f>
        <v>1150</v>
      </c>
      <c r="H23" s="280">
        <f>H19+H20+H22</f>
        <v>1150</v>
      </c>
      <c r="I23" s="280">
        <f>I19+I20+I22</f>
        <v>1150</v>
      </c>
      <c r="J23" s="280">
        <f>J19+J20+J22</f>
        <v>0</v>
      </c>
      <c r="K23" s="280">
        <f>K19+K20+K22</f>
        <v>0</v>
      </c>
    </row>
    <row r="24" spans="1:11" ht="13.5">
      <c r="A24" s="49"/>
      <c r="C24" s="129" t="s">
        <v>105</v>
      </c>
      <c r="D24" s="50"/>
      <c r="E24" s="279">
        <v>0.0565</v>
      </c>
      <c r="F24" s="284">
        <f>AVERAGE(F19,F23)*$E$24</f>
        <v>64.97500000000001</v>
      </c>
      <c r="G24" s="284">
        <f>AVERAGE(G19,G23)*$E$24</f>
        <v>64.97500000000001</v>
      </c>
      <c r="H24" s="284">
        <f>AVERAGE(H19,H23)*$E$24</f>
        <v>64.97500000000001</v>
      </c>
      <c r="I24" s="284">
        <f>AVERAGE(I19,I23)*$E$24</f>
        <v>64.97500000000001</v>
      </c>
      <c r="J24" s="284">
        <f>AVERAGE(J19,J23)*$E$24</f>
        <v>32.487500000000004</v>
      </c>
      <c r="K24" s="284">
        <f>AVERAGE(K19,K23)*$E$24</f>
        <v>0</v>
      </c>
    </row>
    <row r="25" spans="1:8" ht="13.5">
      <c r="A25" s="49"/>
      <c r="B25" s="54"/>
      <c r="C25" s="54"/>
      <c r="D25" s="54"/>
      <c r="E25" s="133"/>
      <c r="F25" s="91"/>
      <c r="H25" s="7"/>
    </row>
    <row r="26" spans="1:8" ht="13.5">
      <c r="A26" s="90" t="s">
        <v>140</v>
      </c>
      <c r="B26" s="49"/>
      <c r="C26" s="49"/>
      <c r="D26" s="49"/>
      <c r="E26" s="130"/>
      <c r="F26" s="49"/>
      <c r="G26" s="49"/>
      <c r="H26" s="7"/>
    </row>
    <row r="27" spans="2:11" ht="13.5">
      <c r="B27" s="49" t="s">
        <v>102</v>
      </c>
      <c r="C27" s="49"/>
      <c r="D27" s="49"/>
      <c r="E27" s="130"/>
      <c r="F27" s="49"/>
      <c r="G27" s="112">
        <f>F31</f>
        <v>1000</v>
      </c>
      <c r="H27" s="112">
        <f>G31</f>
        <v>1000</v>
      </c>
      <c r="I27" s="112">
        <f>H31</f>
        <v>0</v>
      </c>
      <c r="J27" s="112">
        <f>I31</f>
        <v>0</v>
      </c>
      <c r="K27" s="112">
        <f>J31</f>
        <v>0</v>
      </c>
    </row>
    <row r="28" spans="2:11" ht="13.5">
      <c r="B28" s="49" t="s">
        <v>109</v>
      </c>
      <c r="C28" s="49"/>
      <c r="D28" s="49"/>
      <c r="E28" s="130"/>
      <c r="F28" s="49"/>
      <c r="G28" s="112">
        <f>-MIN(G27,G29*$G$19)</f>
        <v>0</v>
      </c>
      <c r="H28" s="112">
        <f>-MIN(H27,H29*$G$19)</f>
        <v>-1000</v>
      </c>
      <c r="I28" s="112">
        <f>-MIN(I27,I29*$G$19)</f>
        <v>0</v>
      </c>
      <c r="J28" s="112">
        <f>-MIN(J27,J29*$G$19)</f>
        <v>0</v>
      </c>
      <c r="K28" s="112">
        <f>-MIN(K27,K29*$G$19)</f>
        <v>0</v>
      </c>
    </row>
    <row r="29" spans="2:11" ht="13.5">
      <c r="B29" s="49" t="s">
        <v>110</v>
      </c>
      <c r="C29" s="49"/>
      <c r="D29" s="49"/>
      <c r="E29" s="130"/>
      <c r="F29" s="49"/>
      <c r="G29" s="124">
        <v>0</v>
      </c>
      <c r="H29" s="125">
        <v>1</v>
      </c>
      <c r="I29" s="124">
        <v>0</v>
      </c>
      <c r="J29" s="124">
        <v>0</v>
      </c>
      <c r="K29" s="124">
        <v>0</v>
      </c>
    </row>
    <row r="30" spans="2:11" ht="13.5">
      <c r="B30" s="49" t="s">
        <v>103</v>
      </c>
      <c r="C30" s="49"/>
      <c r="D30" s="49"/>
      <c r="E30" s="130"/>
      <c r="F30" s="49"/>
      <c r="G30">
        <v>0</v>
      </c>
      <c r="H30" s="7">
        <v>0</v>
      </c>
      <c r="I30">
        <v>0</v>
      </c>
      <c r="J30">
        <v>0</v>
      </c>
      <c r="K30">
        <v>0</v>
      </c>
    </row>
    <row r="31" spans="2:11" ht="13.5">
      <c r="B31" s="49" t="s">
        <v>104</v>
      </c>
      <c r="C31" s="49"/>
      <c r="D31" s="49"/>
      <c r="E31" s="130"/>
      <c r="F31" s="283">
        <f>'Balance Sheet'!G29</f>
        <v>1000</v>
      </c>
      <c r="G31" s="280">
        <f>G27+G28+G30</f>
        <v>1000</v>
      </c>
      <c r="H31" s="280">
        <f>H27+H28+H30</f>
        <v>0</v>
      </c>
      <c r="I31" s="280">
        <f>I27+I28+I30</f>
        <v>0</v>
      </c>
      <c r="J31" s="280">
        <f>J27+J28+J30</f>
        <v>0</v>
      </c>
      <c r="K31" s="280">
        <f>K27+K28+K30</f>
        <v>0</v>
      </c>
    </row>
    <row r="32" spans="2:11" ht="13.5">
      <c r="B32" s="49"/>
      <c r="C32" s="129" t="s">
        <v>105</v>
      </c>
      <c r="D32" s="50"/>
      <c r="E32" s="279">
        <v>0.057</v>
      </c>
      <c r="F32" s="284">
        <f>AVERAGE(F27,F31)*$E$32</f>
        <v>57</v>
      </c>
      <c r="G32" s="284">
        <f>AVERAGE(G27,G31)*$E$24</f>
        <v>56.5</v>
      </c>
      <c r="H32" s="284">
        <f>AVERAGE(H27,H31)*$E$24</f>
        <v>28.25</v>
      </c>
      <c r="I32" s="284">
        <f>AVERAGE(I27,I31)*$E$24</f>
        <v>0</v>
      </c>
      <c r="J32" s="284">
        <f>AVERAGE(J27,J31)*$E$24</f>
        <v>0</v>
      </c>
      <c r="K32" s="284">
        <f>AVERAGE(K27,K31)*$E$24</f>
        <v>0</v>
      </c>
    </row>
    <row r="33" spans="2:11" ht="13.5">
      <c r="B33" s="49"/>
      <c r="C33" s="135"/>
      <c r="D33" s="54"/>
      <c r="E33" s="133"/>
      <c r="F33" s="123"/>
      <c r="G33" s="123"/>
      <c r="H33" s="123"/>
      <c r="I33" s="123"/>
      <c r="J33" s="123"/>
      <c r="K33" s="123"/>
    </row>
    <row r="34" spans="1:8" ht="13.5">
      <c r="A34" s="90" t="s">
        <v>143</v>
      </c>
      <c r="B34" s="49"/>
      <c r="C34" s="49"/>
      <c r="D34" s="49"/>
      <c r="E34" s="130"/>
      <c r="F34" s="91"/>
      <c r="H34" s="7"/>
    </row>
    <row r="35" spans="2:11" ht="13.5">
      <c r="B35" s="49" t="s">
        <v>102</v>
      </c>
      <c r="C35" s="49"/>
      <c r="D35" s="130"/>
      <c r="E35" s="130"/>
      <c r="F35" s="49"/>
      <c r="G35" s="166">
        <f>F39</f>
        <v>1000</v>
      </c>
      <c r="H35" s="166">
        <f>G39</f>
        <v>1000</v>
      </c>
      <c r="I35" s="166">
        <f>H39</f>
        <v>1000</v>
      </c>
      <c r="J35" s="166">
        <f>I39</f>
        <v>1000</v>
      </c>
      <c r="K35" s="166">
        <f>J39</f>
        <v>1000</v>
      </c>
    </row>
    <row r="36" spans="2:11" ht="13.5">
      <c r="B36" s="49" t="s">
        <v>109</v>
      </c>
      <c r="C36" s="49"/>
      <c r="D36" s="49"/>
      <c r="E36" s="130"/>
      <c r="F36" s="49"/>
      <c r="G36">
        <f>-MIN(G35,G37*$G$19)</f>
        <v>0</v>
      </c>
      <c r="H36">
        <f>-MIN(H35,H37*$G$19)</f>
        <v>0</v>
      </c>
      <c r="I36">
        <f>-MIN(I35,I37*$G$19)</f>
        <v>0</v>
      </c>
      <c r="J36">
        <f>-MIN(J35,J37*$G$19)</f>
        <v>0</v>
      </c>
      <c r="K36">
        <f>-MIN(K35,K37*$G$19)</f>
        <v>0</v>
      </c>
    </row>
    <row r="37" spans="2:11" ht="13.5">
      <c r="B37" s="49" t="s">
        <v>110</v>
      </c>
      <c r="C37" s="49"/>
      <c r="D37" s="49"/>
      <c r="E37" s="130"/>
      <c r="F37" s="49"/>
      <c r="G37" s="124">
        <v>0</v>
      </c>
      <c r="H37" s="125">
        <v>0</v>
      </c>
      <c r="I37" s="124">
        <v>0</v>
      </c>
      <c r="J37" s="124">
        <v>0</v>
      </c>
      <c r="K37" s="124">
        <v>0</v>
      </c>
    </row>
    <row r="38" spans="2:11" ht="13.5">
      <c r="B38" s="49" t="s">
        <v>103</v>
      </c>
      <c r="C38" s="49"/>
      <c r="D38" s="49"/>
      <c r="E38" s="130"/>
      <c r="F38" s="49"/>
      <c r="G38">
        <v>0</v>
      </c>
      <c r="H38" s="7">
        <v>0</v>
      </c>
      <c r="I38">
        <v>0</v>
      </c>
      <c r="J38">
        <v>0</v>
      </c>
      <c r="K38">
        <v>0</v>
      </c>
    </row>
    <row r="39" spans="2:11" ht="13.5">
      <c r="B39" s="49" t="s">
        <v>104</v>
      </c>
      <c r="C39" s="49"/>
      <c r="D39" s="49"/>
      <c r="E39" s="130"/>
      <c r="F39" s="197">
        <f>'Balance Sheet'!G30</f>
        <v>1000</v>
      </c>
      <c r="G39" s="192">
        <f>G35+G36+G38</f>
        <v>1000</v>
      </c>
      <c r="H39" s="192">
        <f>H35+H36+H38</f>
        <v>1000</v>
      </c>
      <c r="I39" s="192">
        <f>I35+I36+I38</f>
        <v>1000</v>
      </c>
      <c r="J39" s="192">
        <f>J35+J36+J38</f>
        <v>1000</v>
      </c>
      <c r="K39" s="192">
        <f>K35+K36+K38</f>
        <v>1000</v>
      </c>
    </row>
    <row r="40" spans="2:11" ht="13.5">
      <c r="B40" s="49"/>
      <c r="C40" s="129" t="s">
        <v>105</v>
      </c>
      <c r="D40" s="50"/>
      <c r="E40" s="279">
        <v>0.0315</v>
      </c>
      <c r="F40" s="126">
        <f>AVERAGE(F35,F39)*$E$40</f>
        <v>31.5</v>
      </c>
      <c r="G40" s="126">
        <f>AVERAGE(G35,G39)*$E$40</f>
        <v>31.5</v>
      </c>
      <c r="H40" s="126">
        <f>AVERAGE(H35,H39)*$E$40</f>
        <v>31.5</v>
      </c>
      <c r="I40" s="126">
        <f>AVERAGE(I35,I39)*$E$40</f>
        <v>31.5</v>
      </c>
      <c r="J40" s="126">
        <f>AVERAGE(J35,J39)*$E$40</f>
        <v>31.5</v>
      </c>
      <c r="K40" s="126">
        <f>AVERAGE(K35,K39)*$E$40</f>
        <v>31.5</v>
      </c>
    </row>
    <row r="41" spans="2:11" ht="13.5">
      <c r="B41" s="49"/>
      <c r="C41" s="135"/>
      <c r="D41" s="54"/>
      <c r="E41" s="133"/>
      <c r="F41" s="123"/>
      <c r="G41" s="123"/>
      <c r="H41" s="123"/>
      <c r="I41" s="123"/>
      <c r="J41" s="123"/>
      <c r="K41" s="123"/>
    </row>
    <row r="42" spans="1:8" ht="13.5">
      <c r="A42" s="90" t="s">
        <v>144</v>
      </c>
      <c r="B42" s="49"/>
      <c r="C42" s="49"/>
      <c r="D42" s="49"/>
      <c r="E42" s="130"/>
      <c r="F42" s="91"/>
      <c r="G42" s="52"/>
      <c r="H42" s="7"/>
    </row>
    <row r="43" spans="2:11" ht="13.5">
      <c r="B43" s="49" t="s">
        <v>102</v>
      </c>
      <c r="C43" s="49"/>
      <c r="D43" s="49"/>
      <c r="E43" s="130"/>
      <c r="F43" s="49"/>
      <c r="G43" s="20">
        <f>F47</f>
        <v>0</v>
      </c>
      <c r="H43" s="20">
        <f>G47</f>
        <v>0</v>
      </c>
      <c r="I43" s="20">
        <f>H47</f>
        <v>0</v>
      </c>
      <c r="J43" s="20">
        <f>I47</f>
        <v>0</v>
      </c>
      <c r="K43" s="20">
        <f>J47</f>
        <v>0</v>
      </c>
    </row>
    <row r="44" spans="2:11" ht="13.5">
      <c r="B44" s="49" t="s">
        <v>109</v>
      </c>
      <c r="C44" s="49"/>
      <c r="D44" s="49"/>
      <c r="E44" s="130"/>
      <c r="F44" s="49"/>
      <c r="G44">
        <f>-MIN(G43,G45*$G$19)</f>
        <v>0</v>
      </c>
      <c r="H44">
        <f>-MIN(H43,H45*$G$19)</f>
        <v>0</v>
      </c>
      <c r="I44">
        <f>-MIN(I43,I45*$G$19)</f>
        <v>0</v>
      </c>
      <c r="J44">
        <f>-MIN(J43,J45*$G$19)</f>
        <v>0</v>
      </c>
      <c r="K44">
        <f>-MIN(K43,K45*$G$19)</f>
        <v>0</v>
      </c>
    </row>
    <row r="45" spans="2:11" ht="13.5">
      <c r="B45" s="49" t="s">
        <v>110</v>
      </c>
      <c r="C45" s="49"/>
      <c r="D45" s="49"/>
      <c r="E45" s="130"/>
      <c r="F45" s="49"/>
      <c r="G45" s="124">
        <v>0</v>
      </c>
      <c r="H45" s="125">
        <v>0</v>
      </c>
      <c r="I45" s="124">
        <v>0</v>
      </c>
      <c r="J45" s="124">
        <v>0</v>
      </c>
      <c r="K45" s="124">
        <v>0</v>
      </c>
    </row>
    <row r="46" spans="2:11" ht="13.5">
      <c r="B46" s="49" t="s">
        <v>103</v>
      </c>
      <c r="C46" s="49"/>
      <c r="D46" s="49"/>
      <c r="E46" s="130"/>
      <c r="F46" s="49"/>
      <c r="G46">
        <v>0</v>
      </c>
      <c r="H46" s="7">
        <v>0</v>
      </c>
      <c r="I46">
        <v>0</v>
      </c>
      <c r="J46">
        <v>0</v>
      </c>
      <c r="K46">
        <v>0</v>
      </c>
    </row>
    <row r="47" spans="2:11" ht="13.5">
      <c r="B47" s="49" t="s">
        <v>104</v>
      </c>
      <c r="C47" s="49"/>
      <c r="D47" s="49"/>
      <c r="E47" s="130"/>
      <c r="F47" s="127">
        <f>'Balance Sheet'!G31</f>
        <v>0</v>
      </c>
      <c r="G47" s="122">
        <f>G43+G44+G46</f>
        <v>0</v>
      </c>
      <c r="H47" s="122">
        <f>H43+H44+H46</f>
        <v>0</v>
      </c>
      <c r="I47" s="122">
        <f>I43+I44+I46</f>
        <v>0</v>
      </c>
      <c r="J47" s="122">
        <f>J43+J44+J46</f>
        <v>0</v>
      </c>
      <c r="K47" s="122">
        <f>K43+K44+K46</f>
        <v>0</v>
      </c>
    </row>
    <row r="48" spans="2:11" ht="13.5">
      <c r="B48" s="49"/>
      <c r="C48" s="129" t="s">
        <v>105</v>
      </c>
      <c r="D48" s="50"/>
      <c r="E48" s="279">
        <v>0.052</v>
      </c>
      <c r="F48" s="126">
        <f>AVERAGE(F43,F47)*$E$48</f>
        <v>0</v>
      </c>
      <c r="G48" s="126">
        <f>AVERAGE(G43,G47)*$E$48</f>
        <v>0</v>
      </c>
      <c r="H48" s="126">
        <f>AVERAGE(H43,H47)*$E$48</f>
        <v>0</v>
      </c>
      <c r="I48" s="126">
        <f>AVERAGE(I43,I47)*$E$48</f>
        <v>0</v>
      </c>
      <c r="J48" s="126">
        <f>AVERAGE(J43,J47)*$E$48</f>
        <v>0</v>
      </c>
      <c r="K48" s="126">
        <f>AVERAGE(K43,K47)*$E$48</f>
        <v>0</v>
      </c>
    </row>
    <row r="49" spans="2:11" ht="13.5">
      <c r="B49" s="49"/>
      <c r="C49" s="135"/>
      <c r="D49" s="54"/>
      <c r="E49" s="133"/>
      <c r="F49" s="123"/>
      <c r="G49" s="123"/>
      <c r="H49" s="123"/>
      <c r="I49" s="123"/>
      <c r="J49" s="123"/>
      <c r="K49" s="123"/>
    </row>
    <row r="50" spans="1:8" ht="13.5">
      <c r="A50" s="90" t="s">
        <v>145</v>
      </c>
      <c r="B50" s="49"/>
      <c r="C50" s="49"/>
      <c r="D50" s="49"/>
      <c r="E50" s="130"/>
      <c r="F50" s="52"/>
      <c r="H50" s="7"/>
    </row>
    <row r="51" spans="2:11" ht="13.5">
      <c r="B51" s="49" t="s">
        <v>102</v>
      </c>
      <c r="C51" s="49"/>
      <c r="D51" s="49"/>
      <c r="E51" s="130"/>
      <c r="F51" s="49"/>
      <c r="G51" s="20">
        <f>F55</f>
        <v>549.4</v>
      </c>
      <c r="H51" s="20">
        <f>G55</f>
        <v>549.4</v>
      </c>
      <c r="I51" s="20">
        <f>H55</f>
        <v>549.4</v>
      </c>
      <c r="J51" s="20">
        <f>I55</f>
        <v>549.4</v>
      </c>
      <c r="K51" s="20">
        <f>J55</f>
        <v>549.4</v>
      </c>
    </row>
    <row r="52" spans="2:11" ht="13.5">
      <c r="B52" s="49" t="s">
        <v>109</v>
      </c>
      <c r="C52" s="49"/>
      <c r="D52" s="49"/>
      <c r="E52" s="130"/>
      <c r="F52" s="49"/>
      <c r="G52">
        <f>-MIN(G51,G53*$G$19)</f>
        <v>0</v>
      </c>
      <c r="H52">
        <f>-MIN(H51,H53*$G$19)</f>
        <v>0</v>
      </c>
      <c r="I52">
        <f>-MIN(I51,I53*$G$19)</f>
        <v>0</v>
      </c>
      <c r="J52">
        <f>-MIN(J51,J53*$G$19)</f>
        <v>0</v>
      </c>
      <c r="K52" s="120">
        <f>-MIN(K51,K53*$G$19)</f>
        <v>-549.4</v>
      </c>
    </row>
    <row r="53" spans="2:11" ht="13.5">
      <c r="B53" s="49" t="s">
        <v>110</v>
      </c>
      <c r="C53" s="49"/>
      <c r="D53" s="49"/>
      <c r="E53" s="130"/>
      <c r="F53" s="49"/>
      <c r="G53" s="124">
        <v>0</v>
      </c>
      <c r="H53" s="125">
        <v>0</v>
      </c>
      <c r="I53" s="124">
        <v>0</v>
      </c>
      <c r="J53" s="124">
        <v>0</v>
      </c>
      <c r="K53" s="124">
        <v>1</v>
      </c>
    </row>
    <row r="54" spans="2:11" ht="13.5">
      <c r="B54" s="49" t="s">
        <v>103</v>
      </c>
      <c r="C54" s="49"/>
      <c r="D54" s="49"/>
      <c r="E54" s="130"/>
      <c r="F54" s="49"/>
      <c r="G54">
        <v>0</v>
      </c>
      <c r="H54" s="7">
        <v>0</v>
      </c>
      <c r="I54">
        <v>0</v>
      </c>
      <c r="J54">
        <v>0</v>
      </c>
      <c r="K54">
        <v>0</v>
      </c>
    </row>
    <row r="55" spans="2:11" ht="13.5">
      <c r="B55" s="49" t="s">
        <v>104</v>
      </c>
      <c r="C55" s="49"/>
      <c r="D55" s="49"/>
      <c r="E55" s="130"/>
      <c r="F55" s="127">
        <f>'Balance Sheet'!G32</f>
        <v>549.4</v>
      </c>
      <c r="G55" s="122">
        <f>G51+G52+G54</f>
        <v>549.4</v>
      </c>
      <c r="H55" s="122">
        <f>H51+H52+H54</f>
        <v>549.4</v>
      </c>
      <c r="I55" s="122">
        <f>I51+I52+I54</f>
        <v>549.4</v>
      </c>
      <c r="J55" s="122">
        <f>J51+J52+J54</f>
        <v>549.4</v>
      </c>
      <c r="K55" s="122">
        <f>K51+K52+K54</f>
        <v>0</v>
      </c>
    </row>
    <row r="56" spans="2:11" ht="13.5">
      <c r="B56" s="49"/>
      <c r="C56" s="129" t="s">
        <v>105</v>
      </c>
      <c r="D56" s="50"/>
      <c r="E56" s="279">
        <v>0.021</v>
      </c>
      <c r="F56" s="126">
        <f>AVERAGE(F51,F55)*$E$56</f>
        <v>11.5374</v>
      </c>
      <c r="G56" s="126">
        <f>AVERAGE(G51,G55)*$E$56</f>
        <v>11.5374</v>
      </c>
      <c r="H56" s="126">
        <f>AVERAGE(H51,H55)*$E$56</f>
        <v>11.5374</v>
      </c>
      <c r="I56" s="126">
        <f>AVERAGE(I51,I55)*$E$56</f>
        <v>11.5374</v>
      </c>
      <c r="J56" s="126">
        <f>AVERAGE(J51,J55)*$E$56</f>
        <v>11.5374</v>
      </c>
      <c r="K56" s="126">
        <f>AVERAGE(K51,K55)*$E$56</f>
        <v>5.7687</v>
      </c>
    </row>
    <row r="57" spans="2:11" ht="13.5">
      <c r="B57" s="49"/>
      <c r="C57" s="135"/>
      <c r="D57" s="54"/>
      <c r="E57" s="133"/>
      <c r="F57" s="123"/>
      <c r="G57" s="123"/>
      <c r="H57" s="123"/>
      <c r="I57" s="123"/>
      <c r="J57" s="123"/>
      <c r="K57" s="123"/>
    </row>
    <row r="58" spans="1:8" ht="13.5">
      <c r="A58" s="90" t="s">
        <v>146</v>
      </c>
      <c r="B58" s="49"/>
      <c r="C58" s="49"/>
      <c r="D58" s="49"/>
      <c r="E58" s="130"/>
      <c r="F58" s="52"/>
      <c r="H58" s="7"/>
    </row>
    <row r="59" spans="2:11" ht="13.5">
      <c r="B59" s="49" t="s">
        <v>102</v>
      </c>
      <c r="C59" s="49"/>
      <c r="D59" s="49"/>
      <c r="E59" s="130"/>
      <c r="F59" s="49"/>
      <c r="G59" s="20">
        <f>F63</f>
        <v>549.4</v>
      </c>
      <c r="H59" s="20">
        <f>G63</f>
        <v>549.4</v>
      </c>
      <c r="I59" s="20">
        <f>H63</f>
        <v>549.4</v>
      </c>
      <c r="J59" s="20">
        <f>I63</f>
        <v>549.4</v>
      </c>
      <c r="K59" s="20">
        <f>J63</f>
        <v>549.4</v>
      </c>
    </row>
    <row r="60" spans="2:11" ht="13.5">
      <c r="B60" s="49" t="s">
        <v>109</v>
      </c>
      <c r="C60" s="49"/>
      <c r="D60" s="49"/>
      <c r="E60" s="130"/>
      <c r="F60" s="49"/>
      <c r="G60">
        <f>-MIN(G59,G61*$G$19)</f>
        <v>0</v>
      </c>
      <c r="H60">
        <f>-MIN(H59,H61*$G$19)</f>
        <v>0</v>
      </c>
      <c r="I60">
        <f>-MIN(I59,I61*$G$19)</f>
        <v>0</v>
      </c>
      <c r="J60">
        <f>-MIN(J59,J61*$G$19)</f>
        <v>0</v>
      </c>
      <c r="K60">
        <f>-MIN(K59,K61*$G$19)</f>
        <v>0</v>
      </c>
    </row>
    <row r="61" spans="2:11" ht="13.5">
      <c r="B61" s="49" t="s">
        <v>110</v>
      </c>
      <c r="C61" s="49"/>
      <c r="D61" s="49"/>
      <c r="E61" s="130"/>
      <c r="F61" s="49"/>
      <c r="G61" s="124">
        <v>0</v>
      </c>
      <c r="H61" s="125">
        <v>0</v>
      </c>
      <c r="I61" s="124">
        <v>0</v>
      </c>
      <c r="J61" s="124">
        <v>0</v>
      </c>
      <c r="K61" s="124">
        <v>0</v>
      </c>
    </row>
    <row r="62" spans="2:11" ht="13.5">
      <c r="B62" s="49" t="s">
        <v>103</v>
      </c>
      <c r="C62" s="49"/>
      <c r="D62" s="130"/>
      <c r="E62" s="130"/>
      <c r="F62" s="49"/>
      <c r="G62">
        <v>0</v>
      </c>
      <c r="H62" s="7">
        <v>0</v>
      </c>
      <c r="I62">
        <v>0</v>
      </c>
      <c r="J62">
        <v>0</v>
      </c>
      <c r="K62">
        <v>0</v>
      </c>
    </row>
    <row r="63" spans="2:11" ht="13.5">
      <c r="B63" s="49" t="s">
        <v>104</v>
      </c>
      <c r="C63" s="49"/>
      <c r="D63" s="49"/>
      <c r="E63" s="130"/>
      <c r="F63" s="127">
        <f>'Balance Sheet'!G33</f>
        <v>549.4</v>
      </c>
      <c r="G63" s="122">
        <f>G59+G60+G62</f>
        <v>549.4</v>
      </c>
      <c r="H63" s="122">
        <f>H59+H60+H62</f>
        <v>549.4</v>
      </c>
      <c r="I63" s="122">
        <f>I59+I60+I62</f>
        <v>549.4</v>
      </c>
      <c r="J63" s="122">
        <f>J59+J60+J62</f>
        <v>549.4</v>
      </c>
      <c r="K63" s="122">
        <f>K59+K60+K62</f>
        <v>549.4</v>
      </c>
    </row>
    <row r="64" spans="2:11" ht="13.5">
      <c r="B64" s="49"/>
      <c r="C64" s="129" t="s">
        <v>105</v>
      </c>
      <c r="D64" s="50"/>
      <c r="E64" s="279">
        <v>0.01</v>
      </c>
      <c r="F64" s="126">
        <f>AVERAGE(F59,F63)*$E$64</f>
        <v>5.494</v>
      </c>
      <c r="G64" s="126">
        <f>AVERAGE(G59,G63)*$E$64</f>
        <v>5.494</v>
      </c>
      <c r="H64" s="126">
        <f>AVERAGE(H59,H63)*$E$64</f>
        <v>5.494</v>
      </c>
      <c r="I64" s="126">
        <f>AVERAGE(I59,I63)*$E$64</f>
        <v>5.494</v>
      </c>
      <c r="J64" s="126">
        <f>AVERAGE(J59,J63)*$E$64</f>
        <v>5.494</v>
      </c>
      <c r="K64" s="126">
        <f>AVERAGE(K59,K63)*$E$64</f>
        <v>5.494</v>
      </c>
    </row>
    <row r="65" spans="2:11" ht="13.5">
      <c r="B65" s="49"/>
      <c r="C65" s="135"/>
      <c r="D65" s="54"/>
      <c r="E65" s="133"/>
      <c r="F65" s="123"/>
      <c r="G65" s="123"/>
      <c r="H65" s="123"/>
      <c r="I65" s="123"/>
      <c r="J65" s="123"/>
      <c r="K65" s="123"/>
    </row>
    <row r="66" spans="1:5" ht="13.5">
      <c r="A66" s="90" t="s">
        <v>147</v>
      </c>
      <c r="B66" s="49"/>
      <c r="C66" s="49"/>
      <c r="D66" s="49"/>
      <c r="E66" s="130"/>
    </row>
    <row r="67" spans="2:11" ht="13.5">
      <c r="B67" s="49" t="s">
        <v>102</v>
      </c>
      <c r="C67" s="49"/>
      <c r="D67" s="49"/>
      <c r="E67" s="130"/>
      <c r="F67" s="49"/>
      <c r="G67" s="20">
        <f>F71</f>
        <v>500</v>
      </c>
      <c r="H67" s="20">
        <f>G71</f>
        <v>500</v>
      </c>
      <c r="I67" s="20">
        <f>H71</f>
        <v>0</v>
      </c>
      <c r="J67" s="20">
        <f>I71</f>
        <v>0</v>
      </c>
      <c r="K67" s="20">
        <f>J71</f>
        <v>0</v>
      </c>
    </row>
    <row r="68" spans="2:11" ht="13.5">
      <c r="B68" s="49" t="s">
        <v>109</v>
      </c>
      <c r="C68" s="49"/>
      <c r="D68" s="49"/>
      <c r="E68" s="130"/>
      <c r="F68" s="49"/>
      <c r="G68">
        <f>-MIN(G67,G69*$G$19)</f>
        <v>0</v>
      </c>
      <c r="H68" s="120">
        <f>-MIN(H67,H69*$G$19)</f>
        <v>-500</v>
      </c>
      <c r="I68">
        <f>-MIN(I67,I69*$G$19)</f>
        <v>0</v>
      </c>
      <c r="J68">
        <f>-MIN(J67,J69*$G$19)</f>
        <v>0</v>
      </c>
      <c r="K68">
        <f>-MIN(K67,K69*$G$19)</f>
        <v>0</v>
      </c>
    </row>
    <row r="69" spans="2:11" ht="13.5">
      <c r="B69" s="49" t="s">
        <v>110</v>
      </c>
      <c r="C69" s="49"/>
      <c r="D69" s="49"/>
      <c r="E69" s="130"/>
      <c r="F69" s="49"/>
      <c r="G69" s="124">
        <v>0</v>
      </c>
      <c r="H69" s="125">
        <v>1</v>
      </c>
      <c r="I69" s="124">
        <v>0</v>
      </c>
      <c r="J69" s="124">
        <v>0</v>
      </c>
      <c r="K69" s="124">
        <v>0</v>
      </c>
    </row>
    <row r="70" spans="2:11" ht="13.5">
      <c r="B70" s="49" t="s">
        <v>103</v>
      </c>
      <c r="C70" s="49"/>
      <c r="D70" s="49"/>
      <c r="E70" s="130"/>
      <c r="F70" s="49"/>
      <c r="G70">
        <v>0</v>
      </c>
      <c r="H70" s="7">
        <v>0</v>
      </c>
      <c r="I70">
        <v>0</v>
      </c>
      <c r="J70">
        <v>0</v>
      </c>
      <c r="K70">
        <v>0</v>
      </c>
    </row>
    <row r="71" spans="2:11" ht="13.5">
      <c r="B71" s="49" t="s">
        <v>104</v>
      </c>
      <c r="C71" s="49"/>
      <c r="D71" s="49"/>
      <c r="E71" s="130"/>
      <c r="F71" s="127">
        <f>'Balance Sheet'!G34</f>
        <v>500</v>
      </c>
      <c r="G71" s="122">
        <f>G67+G68+G70</f>
        <v>500</v>
      </c>
      <c r="H71" s="122">
        <f>H67+H68+H70</f>
        <v>0</v>
      </c>
      <c r="I71" s="122">
        <f>I67+I68+I70</f>
        <v>0</v>
      </c>
      <c r="J71" s="122">
        <f>J67+J68+J70</f>
        <v>0</v>
      </c>
      <c r="K71" s="122">
        <f>K67+K68+K70</f>
        <v>0</v>
      </c>
    </row>
    <row r="72" spans="2:11" ht="13.5">
      <c r="B72" s="49"/>
      <c r="C72" s="129" t="s">
        <v>105</v>
      </c>
      <c r="D72" s="50"/>
      <c r="E72" s="279">
        <v>0.014</v>
      </c>
      <c r="F72" s="126">
        <f>AVERAGE(F67,F71)*$E$72</f>
        <v>7</v>
      </c>
      <c r="G72" s="126">
        <f>AVERAGE(G67,G71)*$E$72</f>
        <v>7</v>
      </c>
      <c r="H72" s="126">
        <f>AVERAGE(H67,H71)*$E$72</f>
        <v>3.5</v>
      </c>
      <c r="I72" s="126">
        <f>AVERAGE(I67,I71)*$E$72</f>
        <v>0</v>
      </c>
      <c r="J72" s="126">
        <f>AVERAGE(J67,J71)*$E$72</f>
        <v>0</v>
      </c>
      <c r="K72" s="126">
        <f>AVERAGE(K67,K71)*$E$72</f>
        <v>0</v>
      </c>
    </row>
    <row r="73" spans="2:11" ht="13.5">
      <c r="B73" s="49"/>
      <c r="C73" s="135"/>
      <c r="D73" s="54"/>
      <c r="E73" s="133"/>
      <c r="F73" s="123"/>
      <c r="G73" s="123"/>
      <c r="H73" s="123"/>
      <c r="I73" s="123"/>
      <c r="J73" s="123"/>
      <c r="K73" s="123"/>
    </row>
    <row r="74" spans="1:7" ht="13.5">
      <c r="A74" s="90" t="s">
        <v>148</v>
      </c>
      <c r="B74" s="49"/>
      <c r="C74" s="49"/>
      <c r="D74" s="49"/>
      <c r="E74" s="130"/>
      <c r="G74" s="52"/>
    </row>
    <row r="75" spans="2:11" ht="13.5">
      <c r="B75" s="49" t="s">
        <v>102</v>
      </c>
      <c r="C75" s="49"/>
      <c r="D75" s="49"/>
      <c r="E75" s="130"/>
      <c r="F75" s="49"/>
      <c r="G75" s="20">
        <f>F79</f>
        <v>500</v>
      </c>
      <c r="H75" s="20">
        <f>G79</f>
        <v>500</v>
      </c>
      <c r="I75" s="20">
        <f>H79</f>
        <v>500</v>
      </c>
      <c r="J75" s="20">
        <f>I79</f>
        <v>500</v>
      </c>
      <c r="K75" s="20">
        <f>J79</f>
        <v>500</v>
      </c>
    </row>
    <row r="76" spans="2:11" ht="13.5">
      <c r="B76" s="49" t="s">
        <v>109</v>
      </c>
      <c r="C76" s="49"/>
      <c r="D76" s="49"/>
      <c r="E76" s="130"/>
      <c r="F76" s="49"/>
      <c r="G76">
        <f>-MIN(G75,G77*$G$19)</f>
        <v>0</v>
      </c>
      <c r="H76">
        <f>-MIN(H75,H77*$G$19)</f>
        <v>0</v>
      </c>
      <c r="I76">
        <f>-MIN(I75,I77*$G$19)</f>
        <v>0</v>
      </c>
      <c r="J76">
        <f>-MIN(J75,J77*$G$19)</f>
        <v>0</v>
      </c>
      <c r="K76">
        <f>-MIN(K75,K77*$G$19)</f>
        <v>0</v>
      </c>
    </row>
    <row r="77" spans="2:11" ht="13.5">
      <c r="B77" s="49" t="s">
        <v>110</v>
      </c>
      <c r="C77" s="49"/>
      <c r="D77" s="49"/>
      <c r="E77" s="130"/>
      <c r="F77" s="49"/>
      <c r="G77" s="124">
        <v>0</v>
      </c>
      <c r="H77" s="125">
        <v>0</v>
      </c>
      <c r="I77" s="124">
        <v>0</v>
      </c>
      <c r="J77" s="124">
        <v>0</v>
      </c>
      <c r="K77" s="124">
        <v>0</v>
      </c>
    </row>
    <row r="78" spans="2:11" ht="13.5">
      <c r="B78" s="49" t="s">
        <v>103</v>
      </c>
      <c r="C78" s="49"/>
      <c r="D78" s="49"/>
      <c r="E78" s="130"/>
      <c r="F78" s="49"/>
      <c r="G78">
        <v>0</v>
      </c>
      <c r="H78" s="7">
        <v>0</v>
      </c>
      <c r="I78">
        <v>0</v>
      </c>
      <c r="J78">
        <v>0</v>
      </c>
      <c r="K78">
        <v>0</v>
      </c>
    </row>
    <row r="79" spans="2:11" ht="13.5">
      <c r="B79" s="49" t="s">
        <v>104</v>
      </c>
      <c r="C79" s="49"/>
      <c r="D79" s="49"/>
      <c r="E79" s="130"/>
      <c r="F79" s="127">
        <f>'Balance Sheet'!G35</f>
        <v>500</v>
      </c>
      <c r="G79" s="122">
        <f>G75+G76+G78</f>
        <v>500</v>
      </c>
      <c r="H79" s="122">
        <f>H75+H76+H78</f>
        <v>500</v>
      </c>
      <c r="I79" s="122">
        <f>I75+I76+I78</f>
        <v>500</v>
      </c>
      <c r="J79" s="122">
        <f>J75+J76+J78</f>
        <v>500</v>
      </c>
      <c r="K79" s="122">
        <f>K75+K76+K78</f>
        <v>500</v>
      </c>
    </row>
    <row r="80" spans="2:11" ht="13.5">
      <c r="B80" s="49"/>
      <c r="C80" s="129" t="s">
        <v>105</v>
      </c>
      <c r="D80" s="50"/>
      <c r="E80" s="279">
        <v>0.054</v>
      </c>
      <c r="F80" s="126">
        <f>AVERAGE(F75,F79)*$E$80</f>
        <v>27</v>
      </c>
      <c r="G80" s="126">
        <f>AVERAGE(G75,G79)*$E$80</f>
        <v>27</v>
      </c>
      <c r="H80" s="126">
        <f>AVERAGE(H75,H79)*$E$80</f>
        <v>27</v>
      </c>
      <c r="I80" s="126">
        <f>AVERAGE(I75,I79)*$E$80</f>
        <v>27</v>
      </c>
      <c r="J80" s="126">
        <f>AVERAGE(J75,J79)*$E$80</f>
        <v>27</v>
      </c>
      <c r="K80" s="126">
        <f>AVERAGE(K75,K79)*$E$80</f>
        <v>27</v>
      </c>
    </row>
    <row r="81" spans="2:11" ht="13.5">
      <c r="B81" s="49"/>
      <c r="C81" s="135"/>
      <c r="D81" s="54"/>
      <c r="E81" s="133"/>
      <c r="F81" s="123"/>
      <c r="G81" s="123"/>
      <c r="H81" s="123"/>
      <c r="I81" s="123"/>
      <c r="J81" s="123"/>
      <c r="K81" s="123"/>
    </row>
    <row r="82" spans="1:7" ht="13.5">
      <c r="A82" s="90" t="s">
        <v>149</v>
      </c>
      <c r="B82" s="49"/>
      <c r="C82" s="49"/>
      <c r="D82" s="49"/>
      <c r="E82" s="130"/>
      <c r="G82" s="52"/>
    </row>
    <row r="83" spans="2:11" ht="13.5">
      <c r="B83" s="49" t="s">
        <v>102</v>
      </c>
      <c r="C83" s="49"/>
      <c r="D83" s="49"/>
      <c r="E83" s="130"/>
      <c r="F83" s="49"/>
      <c r="G83" s="20">
        <f>F87</f>
        <v>500</v>
      </c>
      <c r="H83" s="20">
        <f>G87</f>
        <v>500</v>
      </c>
      <c r="I83" s="20">
        <f>H87</f>
        <v>500</v>
      </c>
      <c r="J83" s="20">
        <f>I87</f>
        <v>500</v>
      </c>
      <c r="K83" s="20">
        <f>J87</f>
        <v>500</v>
      </c>
    </row>
    <row r="84" spans="2:11" ht="13.5">
      <c r="B84" s="49" t="s">
        <v>109</v>
      </c>
      <c r="C84" s="49"/>
      <c r="D84" s="49"/>
      <c r="E84" s="130"/>
      <c r="F84" s="49"/>
      <c r="G84">
        <f>-MIN(G83,G85*$G$19)</f>
        <v>0</v>
      </c>
      <c r="H84">
        <f>-MIN(H83,H85*$G$19)</f>
        <v>0</v>
      </c>
      <c r="I84">
        <f>-MIN(I83,I85*$G$19)</f>
        <v>0</v>
      </c>
      <c r="J84">
        <f>-MIN(J83,J85*$G$19)</f>
        <v>0</v>
      </c>
      <c r="K84">
        <f>-MIN(K83,K85*$G$19)</f>
        <v>0</v>
      </c>
    </row>
    <row r="85" spans="2:11" ht="13.5">
      <c r="B85" s="49" t="s">
        <v>110</v>
      </c>
      <c r="C85" s="49"/>
      <c r="D85" s="49"/>
      <c r="E85" s="130"/>
      <c r="F85" s="49"/>
      <c r="G85" s="124">
        <v>0</v>
      </c>
      <c r="H85" s="125">
        <v>0</v>
      </c>
      <c r="I85" s="124">
        <v>0</v>
      </c>
      <c r="J85" s="124">
        <v>0</v>
      </c>
      <c r="K85" s="124">
        <v>0</v>
      </c>
    </row>
    <row r="86" spans="2:11" ht="13.5">
      <c r="B86" s="49" t="s">
        <v>103</v>
      </c>
      <c r="C86" s="49"/>
      <c r="D86" s="49"/>
      <c r="E86" s="130"/>
      <c r="F86" s="49"/>
      <c r="G86">
        <v>0</v>
      </c>
      <c r="H86" s="7">
        <v>0</v>
      </c>
      <c r="I86">
        <v>0</v>
      </c>
      <c r="J86">
        <v>0</v>
      </c>
      <c r="K86">
        <v>0</v>
      </c>
    </row>
    <row r="87" spans="2:11" ht="13.5">
      <c r="B87" s="49" t="s">
        <v>104</v>
      </c>
      <c r="C87" s="49"/>
      <c r="D87" s="49"/>
      <c r="E87" s="130"/>
      <c r="F87" s="127">
        <f>'Balance Sheet'!G36</f>
        <v>500</v>
      </c>
      <c r="G87" s="122">
        <f>G83+G84+G86</f>
        <v>500</v>
      </c>
      <c r="H87" s="122">
        <f>H83+H84+H86</f>
        <v>500</v>
      </c>
      <c r="I87" s="122">
        <f>I83+I84+I86</f>
        <v>500</v>
      </c>
      <c r="J87" s="122">
        <f>J83+J84+J86</f>
        <v>500</v>
      </c>
      <c r="K87" s="122">
        <f>K83+K84+K86</f>
        <v>500</v>
      </c>
    </row>
    <row r="88" spans="2:11" ht="13.5">
      <c r="B88" s="49"/>
      <c r="C88" s="129" t="s">
        <v>105</v>
      </c>
      <c r="D88" s="50"/>
      <c r="E88" s="279">
        <v>0.0415</v>
      </c>
      <c r="F88" s="126">
        <f>AVERAGE(F83,F87)*$E$88</f>
        <v>20.75</v>
      </c>
      <c r="G88" s="126">
        <f>AVERAGE(G83,G87)*$E$88</f>
        <v>20.75</v>
      </c>
      <c r="H88" s="126">
        <f>AVERAGE(H83,H87)*$E$88</f>
        <v>20.75</v>
      </c>
      <c r="I88" s="126">
        <f>AVERAGE(I83,I87)*$E$88</f>
        <v>20.75</v>
      </c>
      <c r="J88" s="126">
        <f>AVERAGE(J83,J87)*$E$88</f>
        <v>20.75</v>
      </c>
      <c r="K88" s="126">
        <f>AVERAGE(K83,K87)*$E$88</f>
        <v>20.75</v>
      </c>
    </row>
    <row r="89" spans="2:11" ht="13.5">
      <c r="B89" s="49"/>
      <c r="C89" s="135"/>
      <c r="D89" s="54"/>
      <c r="E89" s="133"/>
      <c r="F89" s="123"/>
      <c r="G89" s="123"/>
      <c r="H89" s="123"/>
      <c r="I89" s="123"/>
      <c r="J89" s="123"/>
      <c r="K89" s="123"/>
    </row>
    <row r="90" spans="1:7" ht="13.5">
      <c r="A90" s="90" t="s">
        <v>150</v>
      </c>
      <c r="B90" s="49"/>
      <c r="C90" s="49"/>
      <c r="D90" s="49"/>
      <c r="E90" s="130"/>
      <c r="G90" s="92"/>
    </row>
    <row r="91" spans="2:11" ht="13.5">
      <c r="B91" s="49" t="s">
        <v>102</v>
      </c>
      <c r="C91" s="49"/>
      <c r="D91" s="49"/>
      <c r="E91" s="130"/>
      <c r="F91" s="49"/>
      <c r="G91" s="20">
        <f>F95</f>
        <v>500</v>
      </c>
      <c r="H91" s="20">
        <f>G95</f>
        <v>500</v>
      </c>
      <c r="I91" s="20">
        <f>H95</f>
        <v>500</v>
      </c>
      <c r="J91" s="20">
        <f>I95</f>
        <v>500</v>
      </c>
      <c r="K91" s="20">
        <f>J95</f>
        <v>500</v>
      </c>
    </row>
    <row r="92" spans="2:11" ht="13.5">
      <c r="B92" s="49" t="s">
        <v>109</v>
      </c>
      <c r="C92" s="49"/>
      <c r="D92" s="49"/>
      <c r="E92" s="130"/>
      <c r="F92" s="49"/>
      <c r="G92">
        <f>-MIN(G91,G93*$G$19)</f>
        <v>0</v>
      </c>
      <c r="H92">
        <f>-MIN(H91,H93*$G$19)</f>
        <v>0</v>
      </c>
      <c r="I92">
        <f>-MIN(I91,I93*$G$19)</f>
        <v>0</v>
      </c>
      <c r="J92">
        <f>-MIN(J91,J93*$G$19)</f>
        <v>0</v>
      </c>
      <c r="K92">
        <f>-MIN(K91,K93*$G$19)</f>
        <v>0</v>
      </c>
    </row>
    <row r="93" spans="2:11" ht="13.5">
      <c r="B93" s="49" t="s">
        <v>110</v>
      </c>
      <c r="C93" s="49"/>
      <c r="D93" s="49"/>
      <c r="E93" s="130"/>
      <c r="F93" s="49"/>
      <c r="G93" s="124">
        <v>0</v>
      </c>
      <c r="H93" s="125">
        <v>0</v>
      </c>
      <c r="I93" s="124">
        <v>0</v>
      </c>
      <c r="J93" s="124">
        <v>0</v>
      </c>
      <c r="K93" s="124">
        <v>0</v>
      </c>
    </row>
    <row r="94" spans="2:11" ht="13.5">
      <c r="B94" s="49" t="s">
        <v>103</v>
      </c>
      <c r="C94" s="49"/>
      <c r="D94" s="130"/>
      <c r="E94" s="130"/>
      <c r="F94" s="49"/>
      <c r="G94">
        <v>0</v>
      </c>
      <c r="H94" s="7">
        <v>0</v>
      </c>
      <c r="I94">
        <v>0</v>
      </c>
      <c r="J94">
        <v>0</v>
      </c>
      <c r="K94">
        <v>0</v>
      </c>
    </row>
    <row r="95" spans="2:11" ht="13.5">
      <c r="B95" s="49" t="s">
        <v>104</v>
      </c>
      <c r="C95" s="49"/>
      <c r="D95" s="49"/>
      <c r="E95" s="130"/>
      <c r="F95" s="127">
        <f>'Balance Sheet'!G37</f>
        <v>500</v>
      </c>
      <c r="G95" s="122">
        <f>G91+G92+G94</f>
        <v>500</v>
      </c>
      <c r="H95" s="122">
        <f>H91+H92+H94</f>
        <v>500</v>
      </c>
      <c r="I95" s="122">
        <f>I91+I92+I94</f>
        <v>500</v>
      </c>
      <c r="J95" s="122">
        <f>J91+J92+J94</f>
        <v>500</v>
      </c>
      <c r="K95" s="122">
        <f>K91+K92+K94</f>
        <v>500</v>
      </c>
    </row>
    <row r="96" spans="2:11" ht="13.5">
      <c r="B96" s="49"/>
      <c r="C96" s="129" t="s">
        <v>105</v>
      </c>
      <c r="D96" s="50"/>
      <c r="E96" s="279">
        <v>0.0365</v>
      </c>
      <c r="F96" s="126">
        <f>AVERAGE(F91,F95)*$E$96</f>
        <v>18.25</v>
      </c>
      <c r="G96" s="126">
        <f>AVERAGE(G91,G95)*$E$96</f>
        <v>18.25</v>
      </c>
      <c r="H96" s="126">
        <f>AVERAGE(H91,H95)*$E$96</f>
        <v>18.25</v>
      </c>
      <c r="I96" s="126">
        <f>AVERAGE(I91,I95)*$E$96</f>
        <v>18.25</v>
      </c>
      <c r="J96" s="126">
        <f>AVERAGE(J91,J95)*$E$96</f>
        <v>18.25</v>
      </c>
      <c r="K96" s="126">
        <f>AVERAGE(K91,K95)*$E$96</f>
        <v>18.25</v>
      </c>
    </row>
    <row r="97" spans="2:11" ht="13.5">
      <c r="B97" s="49"/>
      <c r="C97" s="135"/>
      <c r="D97" s="54"/>
      <c r="E97" s="133"/>
      <c r="F97" s="123"/>
      <c r="G97" s="123"/>
      <c r="H97" s="123"/>
      <c r="I97" s="123"/>
      <c r="J97" s="123"/>
      <c r="K97" s="123"/>
    </row>
    <row r="98" spans="1:5" ht="13.5">
      <c r="A98" s="90" t="s">
        <v>151</v>
      </c>
      <c r="B98" s="49"/>
      <c r="C98" s="49"/>
      <c r="D98" s="49"/>
      <c r="E98" s="130"/>
    </row>
    <row r="99" spans="2:11" ht="13.5">
      <c r="B99" s="49" t="s">
        <v>102</v>
      </c>
      <c r="C99" s="49"/>
      <c r="D99" s="49"/>
      <c r="E99" s="130"/>
      <c r="F99" s="49"/>
      <c r="G99" s="20">
        <f>F103</f>
        <v>500</v>
      </c>
      <c r="H99" s="20">
        <f>G103</f>
        <v>500</v>
      </c>
      <c r="I99" s="20">
        <f>H103</f>
        <v>500</v>
      </c>
      <c r="J99" s="20">
        <f>I103</f>
        <v>500</v>
      </c>
      <c r="K99" s="20">
        <f>J103</f>
        <v>0</v>
      </c>
    </row>
    <row r="100" spans="2:11" ht="13.5">
      <c r="B100" s="49" t="s">
        <v>109</v>
      </c>
      <c r="C100" s="49"/>
      <c r="D100" s="49"/>
      <c r="E100" s="130"/>
      <c r="F100" s="49"/>
      <c r="G100">
        <f>-MIN(G99,G101*$G$19)</f>
        <v>0</v>
      </c>
      <c r="H100">
        <f>-MIN(H99,H101*$G$19)</f>
        <v>0</v>
      </c>
      <c r="I100">
        <f>-MIN(I99,I101*$G$19)</f>
        <v>0</v>
      </c>
      <c r="J100" s="120">
        <f>-MIN(J99,J101*$G$19)</f>
        <v>-500</v>
      </c>
      <c r="K100">
        <f>-MIN(K99,K101*$G$19)</f>
        <v>0</v>
      </c>
    </row>
    <row r="101" spans="2:11" ht="13.5">
      <c r="B101" s="49" t="s">
        <v>110</v>
      </c>
      <c r="C101" s="49"/>
      <c r="D101" s="49"/>
      <c r="E101" s="130"/>
      <c r="F101" s="49"/>
      <c r="G101" s="124">
        <v>0</v>
      </c>
      <c r="H101" s="125">
        <v>0</v>
      </c>
      <c r="I101" s="124">
        <v>0</v>
      </c>
      <c r="J101" s="124">
        <v>1</v>
      </c>
      <c r="K101" s="124">
        <v>0</v>
      </c>
    </row>
    <row r="102" spans="2:11" ht="13.5">
      <c r="B102" s="49" t="s">
        <v>103</v>
      </c>
      <c r="C102" s="49"/>
      <c r="D102" s="49"/>
      <c r="E102" s="130"/>
      <c r="F102" s="49"/>
      <c r="G102">
        <v>0</v>
      </c>
      <c r="H102" s="7">
        <v>0</v>
      </c>
      <c r="I102">
        <v>0</v>
      </c>
      <c r="J102">
        <v>0</v>
      </c>
      <c r="K102">
        <v>0</v>
      </c>
    </row>
    <row r="103" spans="2:11" ht="13.5">
      <c r="B103" s="49" t="s">
        <v>104</v>
      </c>
      <c r="C103" s="49"/>
      <c r="D103" s="49"/>
      <c r="E103" s="130"/>
      <c r="F103" s="127">
        <f>'Balance Sheet'!G38</f>
        <v>500</v>
      </c>
      <c r="G103" s="122">
        <f>G99+G100+G102</f>
        <v>500</v>
      </c>
      <c r="H103" s="122">
        <f>H99+H100+H102</f>
        <v>500</v>
      </c>
      <c r="I103" s="122">
        <f>I99+I100+I102</f>
        <v>500</v>
      </c>
      <c r="J103" s="122">
        <f>J99+J100+J102</f>
        <v>0</v>
      </c>
      <c r="K103" s="122">
        <f>K99+K100+K102</f>
        <v>0</v>
      </c>
    </row>
    <row r="104" spans="2:11" ht="13.5">
      <c r="B104" s="49"/>
      <c r="C104" s="129" t="s">
        <v>105</v>
      </c>
      <c r="D104" s="50"/>
      <c r="E104" s="279">
        <v>0.022</v>
      </c>
      <c r="F104" s="126">
        <f>AVERAGE(F99,F103)*$E$104</f>
        <v>11</v>
      </c>
      <c r="G104" s="126">
        <f>AVERAGE(G99,G103)*$E$104</f>
        <v>11</v>
      </c>
      <c r="H104" s="126">
        <f>AVERAGE(H99,H103)*$E$104</f>
        <v>11</v>
      </c>
      <c r="I104" s="126">
        <f>AVERAGE(I99,I103)*$E$104</f>
        <v>11</v>
      </c>
      <c r="J104" s="126">
        <f>AVERAGE(J99,J103)*$E$104</f>
        <v>5.5</v>
      </c>
      <c r="K104" s="126">
        <f>AVERAGE(K99,K103)*$E$104</f>
        <v>0</v>
      </c>
    </row>
    <row r="105" spans="2:11" ht="13.5">
      <c r="B105" s="49"/>
      <c r="C105" s="135"/>
      <c r="D105" s="54"/>
      <c r="E105" s="133"/>
      <c r="F105" s="123"/>
      <c r="G105" s="123"/>
      <c r="H105" s="123"/>
      <c r="I105" s="123"/>
      <c r="J105" s="123"/>
      <c r="K105" s="123"/>
    </row>
    <row r="106" spans="1:5" ht="13.5">
      <c r="A106" s="90" t="s">
        <v>152</v>
      </c>
      <c r="B106" s="49"/>
      <c r="C106" s="49"/>
      <c r="D106" s="49"/>
      <c r="E106" s="130"/>
    </row>
    <row r="107" spans="2:11" ht="13.5">
      <c r="B107" s="49" t="s">
        <v>102</v>
      </c>
      <c r="C107" s="49"/>
      <c r="D107" s="49"/>
      <c r="E107" s="130"/>
      <c r="F107" s="49"/>
      <c r="G107" s="20">
        <f>F111</f>
        <v>500</v>
      </c>
      <c r="H107" s="20">
        <f>G111</f>
        <v>0</v>
      </c>
      <c r="I107" s="20">
        <f>H111</f>
        <v>0</v>
      </c>
      <c r="J107" s="20">
        <f>I111</f>
        <v>0</v>
      </c>
      <c r="K107" s="20">
        <f>J111</f>
        <v>0</v>
      </c>
    </row>
    <row r="108" spans="2:11" ht="13.5">
      <c r="B108" s="49" t="s">
        <v>109</v>
      </c>
      <c r="C108" s="49"/>
      <c r="D108" s="49"/>
      <c r="E108" s="130"/>
      <c r="F108" s="49"/>
      <c r="G108" s="120">
        <f>-MIN(G107,G109*$G$19)</f>
        <v>-500</v>
      </c>
      <c r="H108">
        <f>-MIN(H107,H109*$G$19)</f>
        <v>0</v>
      </c>
      <c r="I108">
        <f>-MIN(I107,I109*$G$19)</f>
        <v>0</v>
      </c>
      <c r="J108">
        <f>-MIN(J107,J109*$G$19)</f>
        <v>0</v>
      </c>
      <c r="K108">
        <f>-MIN(K107,K109*$G$19)</f>
        <v>0</v>
      </c>
    </row>
    <row r="109" spans="2:11" ht="13.5">
      <c r="B109" s="49" t="s">
        <v>110</v>
      </c>
      <c r="C109" s="49"/>
      <c r="D109" s="49"/>
      <c r="E109" s="130"/>
      <c r="F109" s="49"/>
      <c r="G109" s="124">
        <v>1</v>
      </c>
      <c r="H109" s="125">
        <v>0</v>
      </c>
      <c r="I109" s="124">
        <v>0</v>
      </c>
      <c r="J109" s="124">
        <v>0</v>
      </c>
      <c r="K109" s="124">
        <v>0</v>
      </c>
    </row>
    <row r="110" spans="2:11" ht="13.5">
      <c r="B110" s="49" t="s">
        <v>103</v>
      </c>
      <c r="C110" s="49"/>
      <c r="D110" s="49"/>
      <c r="E110" s="130"/>
      <c r="F110" s="49"/>
      <c r="G110">
        <v>0</v>
      </c>
      <c r="H110" s="7">
        <v>0</v>
      </c>
      <c r="I110">
        <v>0</v>
      </c>
      <c r="J110">
        <v>0</v>
      </c>
      <c r="K110">
        <v>0</v>
      </c>
    </row>
    <row r="111" spans="2:11" ht="13.5">
      <c r="B111" s="49" t="s">
        <v>104</v>
      </c>
      <c r="C111" s="49"/>
      <c r="D111" s="49"/>
      <c r="E111" s="130"/>
      <c r="F111" s="127">
        <f>'Balance Sheet'!G39</f>
        <v>500</v>
      </c>
      <c r="G111" s="122">
        <f>G107+G108+G110</f>
        <v>0</v>
      </c>
      <c r="H111" s="122">
        <f>H107+H108+H110</f>
        <v>0</v>
      </c>
      <c r="I111" s="122">
        <f>I107+I108+I110</f>
        <v>0</v>
      </c>
      <c r="J111" s="122">
        <f>J107+J108+J110</f>
        <v>0</v>
      </c>
      <c r="K111" s="122">
        <f>K107+K108+K110</f>
        <v>0</v>
      </c>
    </row>
    <row r="112" spans="2:11" ht="13.5">
      <c r="B112" s="49"/>
      <c r="C112" s="129" t="s">
        <v>105</v>
      </c>
      <c r="D112" s="50"/>
      <c r="E112" s="279">
        <v>0.006</v>
      </c>
      <c r="F112" s="126">
        <f>AVERAGE(F107,F111)*$E$112</f>
        <v>3</v>
      </c>
      <c r="G112" s="126">
        <f>AVERAGE(G107,G111)*$E$112</f>
        <v>1.5</v>
      </c>
      <c r="H112" s="126">
        <f>AVERAGE(H107,H111)*$E$112</f>
        <v>0</v>
      </c>
      <c r="I112" s="126">
        <f>AVERAGE(I107,I111)*$E$112</f>
        <v>0</v>
      </c>
      <c r="J112" s="126">
        <f>AVERAGE(J107,J111)*$E$112</f>
        <v>0</v>
      </c>
      <c r="K112" s="126">
        <f>AVERAGE(K107,K111)*$E$112</f>
        <v>0</v>
      </c>
    </row>
    <row r="113" spans="2:11" ht="13.5">
      <c r="B113" s="49"/>
      <c r="C113" s="135"/>
      <c r="D113" s="54"/>
      <c r="E113" s="133"/>
      <c r="F113" s="123"/>
      <c r="G113" s="123"/>
      <c r="H113" s="123"/>
      <c r="I113" s="123"/>
      <c r="J113" s="123"/>
      <c r="K113" s="123"/>
    </row>
    <row r="114" spans="1:5" ht="13.5">
      <c r="A114" s="90" t="s">
        <v>153</v>
      </c>
      <c r="B114" s="49"/>
      <c r="C114" s="49"/>
      <c r="D114" s="49"/>
      <c r="E114" s="130"/>
    </row>
    <row r="115" spans="2:11" ht="13.5">
      <c r="B115" s="49" t="s">
        <v>102</v>
      </c>
      <c r="C115" s="49"/>
      <c r="D115" s="49"/>
      <c r="E115" s="130"/>
      <c r="F115" s="49"/>
      <c r="G115" s="20">
        <f>F119</f>
        <v>439.5</v>
      </c>
      <c r="H115" s="20">
        <f>G119</f>
        <v>439.5</v>
      </c>
      <c r="I115" s="20">
        <f>H119</f>
        <v>439.5</v>
      </c>
      <c r="J115" s="20">
        <f>I119</f>
        <v>439.5</v>
      </c>
      <c r="K115" s="20">
        <f>J119</f>
        <v>439.5</v>
      </c>
    </row>
    <row r="116" spans="2:11" ht="13.5">
      <c r="B116" s="49" t="s">
        <v>109</v>
      </c>
      <c r="C116" s="49"/>
      <c r="D116" s="49"/>
      <c r="E116" s="130"/>
      <c r="F116" s="49"/>
      <c r="G116">
        <f>-MIN(G115,G117*$G$19)</f>
        <v>0</v>
      </c>
      <c r="H116">
        <f>-MIN(H115,H117*$G$19)</f>
        <v>0</v>
      </c>
      <c r="I116">
        <f>-MIN(I115,I117*$G$19)</f>
        <v>0</v>
      </c>
      <c r="J116">
        <f>-MIN(J115,J117*$G$19)</f>
        <v>0</v>
      </c>
      <c r="K116">
        <f>-MIN(K115,K117*$G$19)</f>
        <v>0</v>
      </c>
    </row>
    <row r="117" spans="2:11" ht="13.5">
      <c r="B117" s="49" t="s">
        <v>110</v>
      </c>
      <c r="C117" s="49"/>
      <c r="D117" s="49"/>
      <c r="E117" s="130"/>
      <c r="F117" s="49"/>
      <c r="G117" s="124">
        <v>0</v>
      </c>
      <c r="H117" s="125">
        <v>0</v>
      </c>
      <c r="I117" s="124">
        <v>0</v>
      </c>
      <c r="J117" s="124">
        <v>0</v>
      </c>
      <c r="K117" s="124">
        <v>0</v>
      </c>
    </row>
    <row r="118" spans="2:11" ht="13.5">
      <c r="B118" s="49" t="s">
        <v>103</v>
      </c>
      <c r="C118" s="49"/>
      <c r="D118" s="49"/>
      <c r="E118" s="130"/>
      <c r="F118" s="49"/>
      <c r="G118">
        <v>0</v>
      </c>
      <c r="H118" s="7">
        <v>0</v>
      </c>
      <c r="I118">
        <v>0</v>
      </c>
      <c r="J118">
        <v>0</v>
      </c>
      <c r="K118">
        <v>0</v>
      </c>
    </row>
    <row r="119" spans="2:11" ht="13.5">
      <c r="B119" s="49" t="s">
        <v>104</v>
      </c>
      <c r="C119" s="49"/>
      <c r="D119" s="49"/>
      <c r="E119" s="130"/>
      <c r="F119" s="127">
        <f>'Balance Sheet'!G40</f>
        <v>439.5</v>
      </c>
      <c r="G119" s="122">
        <f>G115+G116+G118</f>
        <v>439.5</v>
      </c>
      <c r="H119" s="122">
        <f>H115+H116+H118</f>
        <v>439.5</v>
      </c>
      <c r="I119" s="122">
        <f>I115+I116+I118</f>
        <v>439.5</v>
      </c>
      <c r="J119" s="122">
        <f>J115+J116+J118</f>
        <v>439.5</v>
      </c>
      <c r="K119" s="122">
        <f>K115+K116+K118</f>
        <v>439.5</v>
      </c>
    </row>
    <row r="120" spans="2:11" ht="13.5">
      <c r="B120" s="49"/>
      <c r="C120" s="129" t="s">
        <v>105</v>
      </c>
      <c r="D120" s="50"/>
      <c r="E120" s="279">
        <v>0.015</v>
      </c>
      <c r="F120" s="126">
        <f>AVERAGE(F115,F119)*$E$120</f>
        <v>6.592499999999999</v>
      </c>
      <c r="G120" s="126">
        <f>AVERAGE(G115,G119)*$E$120</f>
        <v>6.592499999999999</v>
      </c>
      <c r="H120" s="126">
        <f>AVERAGE(H115,H119)*$E$120</f>
        <v>6.592499999999999</v>
      </c>
      <c r="I120" s="126">
        <f>AVERAGE(I115,I119)*$E$120</f>
        <v>6.592499999999999</v>
      </c>
      <c r="J120" s="126">
        <f>AVERAGE(J115,J119)*$E$120</f>
        <v>6.592499999999999</v>
      </c>
      <c r="K120" s="126">
        <f>AVERAGE(K115,K119)*$E$120</f>
        <v>6.592499999999999</v>
      </c>
    </row>
    <row r="121" spans="2:11" ht="13.5">
      <c r="B121" s="49"/>
      <c r="C121" s="135"/>
      <c r="D121" s="54"/>
      <c r="E121" s="133"/>
      <c r="F121" s="123"/>
      <c r="G121" s="123"/>
      <c r="H121" s="123"/>
      <c r="I121" s="123"/>
      <c r="J121" s="123"/>
      <c r="K121" s="123"/>
    </row>
    <row r="122" spans="1:5" ht="13.5">
      <c r="A122" s="90" t="s">
        <v>154</v>
      </c>
      <c r="B122" s="49"/>
      <c r="C122" s="49"/>
      <c r="D122" s="49"/>
      <c r="E122" s="130"/>
    </row>
    <row r="123" spans="2:11" ht="13.5">
      <c r="B123" s="49" t="s">
        <v>102</v>
      </c>
      <c r="C123" s="49"/>
      <c r="D123" s="49"/>
      <c r="E123" s="130"/>
      <c r="F123" s="49"/>
      <c r="G123" s="20">
        <f>F127</f>
        <v>0</v>
      </c>
      <c r="H123" s="20">
        <f>G127</f>
        <v>0</v>
      </c>
      <c r="I123" s="20">
        <f>H127</f>
        <v>0</v>
      </c>
      <c r="J123" s="20">
        <f>I127</f>
        <v>0</v>
      </c>
      <c r="K123" s="20">
        <f>J127</f>
        <v>0</v>
      </c>
    </row>
    <row r="124" spans="2:11" ht="13.5">
      <c r="B124" s="49" t="s">
        <v>109</v>
      </c>
      <c r="C124" s="49"/>
      <c r="D124" s="49"/>
      <c r="E124" s="130"/>
      <c r="F124" s="49"/>
      <c r="G124">
        <f>-MIN(G123,G125*$G$19)</f>
        <v>0</v>
      </c>
      <c r="H124">
        <f>-MIN(H123,H125*$G$19)</f>
        <v>0</v>
      </c>
      <c r="I124">
        <f>-MIN(I123,I125*$G$19)</f>
        <v>0</v>
      </c>
      <c r="J124">
        <f>-MIN(J123,J125*$G$19)</f>
        <v>0</v>
      </c>
      <c r="K124">
        <f>-MIN(K123,K125*$G$19)</f>
        <v>0</v>
      </c>
    </row>
    <row r="125" spans="2:11" ht="13.5">
      <c r="B125" s="49" t="s">
        <v>110</v>
      </c>
      <c r="C125" s="49"/>
      <c r="D125" s="49"/>
      <c r="E125" s="130"/>
      <c r="F125" s="49"/>
      <c r="G125" s="124">
        <v>0</v>
      </c>
      <c r="H125" s="125">
        <v>0</v>
      </c>
      <c r="I125" s="124">
        <v>0</v>
      </c>
      <c r="J125" s="124">
        <v>0</v>
      </c>
      <c r="K125" s="124">
        <v>0</v>
      </c>
    </row>
    <row r="126" spans="2:11" ht="13.5">
      <c r="B126" s="49" t="s">
        <v>103</v>
      </c>
      <c r="C126" s="49"/>
      <c r="D126" s="49"/>
      <c r="E126" s="130"/>
      <c r="F126" s="49"/>
      <c r="G126">
        <v>0</v>
      </c>
      <c r="H126" s="7">
        <v>0</v>
      </c>
      <c r="I126">
        <v>0</v>
      </c>
      <c r="J126">
        <v>0</v>
      </c>
      <c r="K126">
        <v>0</v>
      </c>
    </row>
    <row r="127" spans="2:11" ht="13.5">
      <c r="B127" s="49" t="s">
        <v>104</v>
      </c>
      <c r="C127" s="49"/>
      <c r="D127" s="49"/>
      <c r="E127" s="130"/>
      <c r="F127" s="127">
        <f>'Balance Sheet'!G41</f>
        <v>0</v>
      </c>
      <c r="G127" s="122">
        <f>G123+G124+G126</f>
        <v>0</v>
      </c>
      <c r="H127" s="122">
        <f>H123+H124+H126</f>
        <v>0</v>
      </c>
      <c r="I127" s="122">
        <f>I123+I124+I126</f>
        <v>0</v>
      </c>
      <c r="J127" s="122">
        <f>J123+J124+J126</f>
        <v>0</v>
      </c>
      <c r="K127" s="122">
        <f>K123+K124+K126</f>
        <v>0</v>
      </c>
    </row>
    <row r="128" spans="2:11" ht="13.5">
      <c r="B128" s="49"/>
      <c r="C128" s="129" t="s">
        <v>105</v>
      </c>
      <c r="D128" s="50"/>
      <c r="E128" s="279">
        <v>0.006</v>
      </c>
      <c r="F128" s="126">
        <f>AVERAGE(F123,F127)*$E$128</f>
        <v>0</v>
      </c>
      <c r="G128" s="126">
        <f>AVERAGE(G123,G127)*$E$128</f>
        <v>0</v>
      </c>
      <c r="H128" s="126">
        <f>AVERAGE(H123,H127)*$E$128</f>
        <v>0</v>
      </c>
      <c r="I128" s="126">
        <f>AVERAGE(I123,I127)*$E$128</f>
        <v>0</v>
      </c>
      <c r="J128" s="126">
        <f>AVERAGE(J123,J127)*$E$128</f>
        <v>0</v>
      </c>
      <c r="K128" s="126">
        <f>AVERAGE(K123,K127)*$E$128</f>
        <v>0</v>
      </c>
    </row>
    <row r="129" spans="2:11" ht="13.5">
      <c r="B129" s="49"/>
      <c r="C129" s="135"/>
      <c r="D129" s="54"/>
      <c r="E129" s="133"/>
      <c r="F129" s="123"/>
      <c r="G129" s="123"/>
      <c r="H129" s="123"/>
      <c r="I129" s="123"/>
      <c r="J129" s="123"/>
      <c r="K129" s="123"/>
    </row>
    <row r="130" spans="1:5" ht="13.5">
      <c r="A130" s="90" t="s">
        <v>152</v>
      </c>
      <c r="B130" s="49"/>
      <c r="C130" s="49"/>
      <c r="D130" s="49"/>
      <c r="E130" s="130"/>
    </row>
    <row r="131" spans="2:11" ht="13.5">
      <c r="B131" s="49" t="s">
        <v>102</v>
      </c>
      <c r="C131" s="49"/>
      <c r="D131" s="49"/>
      <c r="E131" s="130"/>
      <c r="F131" s="49"/>
      <c r="G131" s="20">
        <f>F135</f>
        <v>250</v>
      </c>
      <c r="H131" s="20">
        <f>G135</f>
        <v>0</v>
      </c>
      <c r="I131" s="20">
        <f>H135</f>
        <v>0</v>
      </c>
      <c r="J131" s="20">
        <f>I135</f>
        <v>0</v>
      </c>
      <c r="K131" s="20">
        <f>J135</f>
        <v>0</v>
      </c>
    </row>
    <row r="132" spans="2:11" ht="13.5">
      <c r="B132" s="49" t="s">
        <v>109</v>
      </c>
      <c r="C132" s="49"/>
      <c r="D132" s="49"/>
      <c r="E132" s="130"/>
      <c r="F132" s="49"/>
      <c r="G132" s="120">
        <f>-MIN(G131,G133*$G$19)</f>
        <v>-250</v>
      </c>
      <c r="H132">
        <f>-MIN(H131,H133*$G$19)</f>
        <v>0</v>
      </c>
      <c r="I132">
        <f>-MIN(I131,I133*$G$19)</f>
        <v>0</v>
      </c>
      <c r="J132">
        <f>-MIN(J131,J133*$G$19)</f>
        <v>0</v>
      </c>
      <c r="K132">
        <f>-MIN(K131,K133*$G$19)</f>
        <v>0</v>
      </c>
    </row>
    <row r="133" spans="2:11" ht="13.5">
      <c r="B133" s="49" t="s">
        <v>110</v>
      </c>
      <c r="C133" s="49"/>
      <c r="D133" s="49"/>
      <c r="E133" s="130"/>
      <c r="F133" s="49"/>
      <c r="G133" s="124">
        <v>1</v>
      </c>
      <c r="H133" s="125">
        <v>0</v>
      </c>
      <c r="I133" s="124">
        <v>0</v>
      </c>
      <c r="J133" s="124">
        <v>0</v>
      </c>
      <c r="K133" s="124">
        <v>0</v>
      </c>
    </row>
    <row r="134" spans="2:11" ht="13.5">
      <c r="B134" s="49" t="s">
        <v>103</v>
      </c>
      <c r="C134" s="49"/>
      <c r="D134" s="49"/>
      <c r="E134" s="130"/>
      <c r="F134" s="49"/>
      <c r="G134">
        <v>0</v>
      </c>
      <c r="H134" s="7">
        <v>0</v>
      </c>
      <c r="I134">
        <v>0</v>
      </c>
      <c r="J134">
        <v>0</v>
      </c>
      <c r="K134">
        <v>0</v>
      </c>
    </row>
    <row r="135" spans="2:11" ht="13.5">
      <c r="B135" s="49" t="s">
        <v>104</v>
      </c>
      <c r="C135" s="49"/>
      <c r="D135" s="49"/>
      <c r="E135" s="130"/>
      <c r="F135" s="127">
        <f>'Balance Sheet'!G42</f>
        <v>250</v>
      </c>
      <c r="G135" s="122">
        <f>G131+G132+G134</f>
        <v>0</v>
      </c>
      <c r="H135" s="122">
        <f>H131+H132+H134</f>
        <v>0</v>
      </c>
      <c r="I135" s="122">
        <f>I131+I132+I134</f>
        <v>0</v>
      </c>
      <c r="J135" s="122">
        <f>J131+J132+J134</f>
        <v>0</v>
      </c>
      <c r="K135" s="122">
        <f>K131+K132+K134</f>
        <v>0</v>
      </c>
    </row>
    <row r="136" spans="2:11" ht="13.5">
      <c r="B136" s="49"/>
      <c r="C136" s="129" t="s">
        <v>105</v>
      </c>
      <c r="D136" s="50"/>
      <c r="E136" s="279">
        <v>0.00875</v>
      </c>
      <c r="F136" s="126">
        <f>AVERAGE(F131,F135)*$E$136</f>
        <v>2.1875</v>
      </c>
      <c r="G136" s="126">
        <f>AVERAGE(G131,G135)*$E$136</f>
        <v>1.09375</v>
      </c>
      <c r="H136" s="126">
        <f>AVERAGE(H131,H135)*$E$136</f>
        <v>0</v>
      </c>
      <c r="I136" s="126">
        <f>AVERAGE(I131,I135)*$E$136</f>
        <v>0</v>
      </c>
      <c r="J136" s="126">
        <f>AVERAGE(J131,J135)*$E$136</f>
        <v>0</v>
      </c>
      <c r="K136" s="126">
        <f>AVERAGE(K131,K135)*$E$136</f>
        <v>0</v>
      </c>
    </row>
    <row r="137" spans="2:11" ht="13.5">
      <c r="B137" s="49"/>
      <c r="C137" s="135"/>
      <c r="D137" s="54"/>
      <c r="E137" s="133"/>
      <c r="F137" s="123"/>
      <c r="G137" s="123"/>
      <c r="H137" s="123"/>
      <c r="I137" s="123"/>
      <c r="J137" s="123"/>
      <c r="K137" s="123"/>
    </row>
    <row r="138" spans="1:5" ht="13.5">
      <c r="A138" s="90" t="s">
        <v>152</v>
      </c>
      <c r="B138" s="49"/>
      <c r="C138" s="49"/>
      <c r="D138" s="49"/>
      <c r="E138" s="130"/>
    </row>
    <row r="139" spans="2:11" ht="13.5">
      <c r="B139" s="49" t="s">
        <v>102</v>
      </c>
      <c r="C139" s="49"/>
      <c r="D139" s="49"/>
      <c r="E139" s="130"/>
      <c r="F139" s="49"/>
      <c r="G139" s="20">
        <f>F143</f>
        <v>250</v>
      </c>
      <c r="H139" s="20">
        <f>G143</f>
        <v>0</v>
      </c>
      <c r="I139" s="20">
        <f>H143</f>
        <v>0</v>
      </c>
      <c r="J139" s="20">
        <f>I143</f>
        <v>0</v>
      </c>
      <c r="K139" s="20">
        <f>J143</f>
        <v>0</v>
      </c>
    </row>
    <row r="140" spans="2:11" ht="13.5">
      <c r="B140" s="49" t="s">
        <v>109</v>
      </c>
      <c r="C140" s="49"/>
      <c r="D140" s="49"/>
      <c r="E140" s="130"/>
      <c r="F140" s="49"/>
      <c r="G140" s="142">
        <f>-MIN(G139,G141*$G$19)</f>
        <v>-250</v>
      </c>
      <c r="H140">
        <f>-MIN(H139,H141*$G$19)</f>
        <v>0</v>
      </c>
      <c r="I140">
        <f>-MIN(I139,I141*$G$19)</f>
        <v>0</v>
      </c>
      <c r="J140">
        <f>-MIN(J139,J141*$G$19)</f>
        <v>0</v>
      </c>
      <c r="K140">
        <f>-MIN(K139,K141*$G$19)</f>
        <v>0</v>
      </c>
    </row>
    <row r="141" spans="2:11" ht="13.5">
      <c r="B141" s="49" t="s">
        <v>110</v>
      </c>
      <c r="C141" s="49"/>
      <c r="D141" s="49"/>
      <c r="E141" s="130"/>
      <c r="F141" s="49"/>
      <c r="G141" s="124">
        <v>1</v>
      </c>
      <c r="H141" s="125">
        <v>0</v>
      </c>
      <c r="I141" s="124">
        <v>0</v>
      </c>
      <c r="J141" s="124">
        <v>0</v>
      </c>
      <c r="K141" s="124">
        <v>0</v>
      </c>
    </row>
    <row r="142" spans="2:11" ht="13.5">
      <c r="B142" s="49" t="s">
        <v>103</v>
      </c>
      <c r="C142" s="49"/>
      <c r="D142" s="49"/>
      <c r="E142" s="130"/>
      <c r="F142" s="49"/>
      <c r="G142">
        <v>0</v>
      </c>
      <c r="H142" s="7">
        <v>0</v>
      </c>
      <c r="I142">
        <v>0</v>
      </c>
      <c r="J142">
        <v>0</v>
      </c>
      <c r="K142">
        <v>0</v>
      </c>
    </row>
    <row r="143" spans="2:11" ht="13.5">
      <c r="B143" s="49" t="s">
        <v>104</v>
      </c>
      <c r="C143" s="49"/>
      <c r="D143" s="49"/>
      <c r="E143" s="130"/>
      <c r="F143" s="127">
        <f>'Balance Sheet'!G43</f>
        <v>250</v>
      </c>
      <c r="G143" s="122">
        <f>G139+G140+G142</f>
        <v>0</v>
      </c>
      <c r="H143" s="122">
        <f>H139+H140+H142</f>
        <v>0</v>
      </c>
      <c r="I143" s="122">
        <f>I139+I140+I142</f>
        <v>0</v>
      </c>
      <c r="J143" s="122">
        <f>J139+J140+J142</f>
        <v>0</v>
      </c>
      <c r="K143" s="122">
        <f>K139+K140+K142</f>
        <v>0</v>
      </c>
    </row>
    <row r="144" spans="2:11" ht="13.5">
      <c r="B144" s="49"/>
      <c r="C144" s="129" t="s">
        <v>105</v>
      </c>
      <c r="D144" s="50"/>
      <c r="E144" s="279">
        <v>0.006</v>
      </c>
      <c r="F144" s="126">
        <f>AVERAGE(F139,F143)*$E$144</f>
        <v>1.5</v>
      </c>
      <c r="G144" s="126">
        <f>AVERAGE(G139,G143)*$E$144</f>
        <v>0.75</v>
      </c>
      <c r="H144" s="126">
        <f>AVERAGE(H139,H143)*$E$144</f>
        <v>0</v>
      </c>
      <c r="I144" s="126">
        <f>AVERAGE(I139,I143)*$E$144</f>
        <v>0</v>
      </c>
      <c r="J144" s="126">
        <f>AVERAGE(J139,J143)*$E$144</f>
        <v>0</v>
      </c>
      <c r="K144" s="126">
        <f>AVERAGE(K139,K143)*$E$144</f>
        <v>0</v>
      </c>
    </row>
    <row r="145" spans="2:11" ht="13.5">
      <c r="B145" s="49"/>
      <c r="C145" s="135"/>
      <c r="D145" s="54"/>
      <c r="E145" s="133"/>
      <c r="F145" s="123"/>
      <c r="G145" s="123"/>
      <c r="H145" s="123"/>
      <c r="I145" s="123"/>
      <c r="J145" s="123"/>
      <c r="K145" s="123"/>
    </row>
    <row r="146" spans="1:5" ht="13.5">
      <c r="A146" s="90" t="s">
        <v>155</v>
      </c>
      <c r="B146" s="49"/>
      <c r="C146" s="49"/>
      <c r="D146" s="49"/>
      <c r="E146" s="130"/>
    </row>
    <row r="147" spans="2:11" ht="13.5">
      <c r="B147" s="49" t="s">
        <v>102</v>
      </c>
      <c r="C147" s="49"/>
      <c r="D147" s="49"/>
      <c r="E147" s="130"/>
      <c r="F147" s="49"/>
      <c r="G147" s="20">
        <f>F151</f>
        <v>219.7</v>
      </c>
      <c r="H147" s="20">
        <f>G151</f>
        <v>219.7</v>
      </c>
      <c r="I147" s="20">
        <f>H151</f>
        <v>219.7</v>
      </c>
      <c r="J147" s="20">
        <f>I151</f>
        <v>219.7</v>
      </c>
      <c r="K147" s="20">
        <f>J151</f>
        <v>219.7</v>
      </c>
    </row>
    <row r="148" spans="2:11" ht="13.5">
      <c r="B148" s="49" t="s">
        <v>109</v>
      </c>
      <c r="C148" s="49"/>
      <c r="D148" s="49"/>
      <c r="E148" s="130"/>
      <c r="F148" s="49"/>
      <c r="G148">
        <f>-MIN(G147,G149*$G$19)</f>
        <v>0</v>
      </c>
      <c r="H148">
        <f>-MIN(H147,H149*$G$19)</f>
        <v>0</v>
      </c>
      <c r="I148">
        <f>-MIN(I147,I149*$G$19)</f>
        <v>0</v>
      </c>
      <c r="J148">
        <f>-MIN(J147,J149*$G$19)</f>
        <v>0</v>
      </c>
      <c r="K148">
        <f>-MIN(K147,K149*$G$19)</f>
        <v>0</v>
      </c>
    </row>
    <row r="149" spans="2:11" ht="13.5">
      <c r="B149" s="49" t="s">
        <v>110</v>
      </c>
      <c r="C149" s="49"/>
      <c r="D149" s="49"/>
      <c r="E149" s="130"/>
      <c r="F149" s="49"/>
      <c r="G149" s="124">
        <v>0</v>
      </c>
      <c r="H149" s="125">
        <v>0</v>
      </c>
      <c r="I149" s="124">
        <v>0</v>
      </c>
      <c r="J149" s="124">
        <v>0</v>
      </c>
      <c r="K149" s="124">
        <v>0</v>
      </c>
    </row>
    <row r="150" spans="2:11" ht="16.5" customHeight="1">
      <c r="B150" s="49" t="s">
        <v>103</v>
      </c>
      <c r="C150" s="49"/>
      <c r="D150" s="49"/>
      <c r="E150" s="130"/>
      <c r="F150" s="49"/>
      <c r="G150">
        <v>0</v>
      </c>
      <c r="H150" s="7">
        <v>0</v>
      </c>
      <c r="I150">
        <v>0</v>
      </c>
      <c r="J150">
        <v>0</v>
      </c>
      <c r="K150">
        <v>0</v>
      </c>
    </row>
    <row r="151" spans="2:11" ht="13.5">
      <c r="B151" s="49" t="s">
        <v>104</v>
      </c>
      <c r="C151" s="49"/>
      <c r="D151" s="49"/>
      <c r="E151" s="130"/>
      <c r="F151" s="127">
        <f>'Balance Sheet'!G44</f>
        <v>219.7</v>
      </c>
      <c r="G151" s="122">
        <f>G147+G148+G150</f>
        <v>219.7</v>
      </c>
      <c r="H151" s="122">
        <f>H147+H148+H150</f>
        <v>219.7</v>
      </c>
      <c r="I151" s="122">
        <f>I147+I148+I150</f>
        <v>219.7</v>
      </c>
      <c r="J151" s="122">
        <f>J147+J148+J150</f>
        <v>219.7</v>
      </c>
      <c r="K151" s="122">
        <f>K147+K148+K150</f>
        <v>219.7</v>
      </c>
    </row>
    <row r="152" spans="2:11" ht="13.5">
      <c r="B152" s="49"/>
      <c r="C152" s="129" t="s">
        <v>105</v>
      </c>
      <c r="D152" s="50"/>
      <c r="E152" s="279">
        <v>0.022</v>
      </c>
      <c r="F152" s="126">
        <f>AVERAGE(F147,F151)*$E$152</f>
        <v>4.833399999999999</v>
      </c>
      <c r="G152" s="126">
        <f>AVERAGE(G147,G151)*$E$152</f>
        <v>4.833399999999999</v>
      </c>
      <c r="H152" s="126">
        <f>AVERAGE(H147,H151)*$E$152</f>
        <v>4.833399999999999</v>
      </c>
      <c r="I152" s="126">
        <f>AVERAGE(I147,I151)*$E$152</f>
        <v>4.833399999999999</v>
      </c>
      <c r="J152" s="126">
        <f>AVERAGE(J147,J151)*$E$152</f>
        <v>4.833399999999999</v>
      </c>
      <c r="K152" s="126">
        <f>AVERAGE(K147,K151)*$E$152</f>
        <v>4.833399999999999</v>
      </c>
    </row>
    <row r="153" spans="1:5" ht="13.5">
      <c r="A153" s="49"/>
      <c r="B153" s="54"/>
      <c r="C153" s="54"/>
      <c r="D153" s="54"/>
      <c r="E153" s="133"/>
    </row>
    <row r="154" spans="1:5" ht="13.5">
      <c r="A154" s="90" t="s">
        <v>111</v>
      </c>
      <c r="B154" s="49"/>
      <c r="C154" s="49"/>
      <c r="D154" s="49"/>
      <c r="E154" s="130"/>
    </row>
    <row r="155" spans="2:11" ht="13.5">
      <c r="B155" s="49" t="s">
        <v>97</v>
      </c>
      <c r="C155" s="49"/>
      <c r="D155" s="49"/>
      <c r="E155" s="130"/>
      <c r="F155" s="250"/>
      <c r="G155" s="250">
        <f>'Cash Flow Statement'!F92</f>
        <v>334.2</v>
      </c>
      <c r="H155" s="250">
        <f>'Cash Flow Statement'!G92</f>
        <v>134.75758636524574</v>
      </c>
      <c r="I155" s="250">
        <f>'Cash Flow Statement'!H92</f>
        <v>1212.1631727304894</v>
      </c>
      <c r="J155" s="250">
        <f>'Cash Flow Statement'!I92</f>
        <v>1705.366253600087</v>
      </c>
      <c r="K155" s="250">
        <f>'Cash Flow Statement'!J92</f>
        <v>-1574.1625330845368</v>
      </c>
    </row>
    <row r="156" spans="2:11" ht="13.5">
      <c r="B156" s="49" t="s">
        <v>99</v>
      </c>
      <c r="C156" s="49"/>
      <c r="D156" s="49"/>
      <c r="E156" s="130"/>
      <c r="F156" s="250">
        <f>'Balance Sheet'!G6</f>
        <v>334.2</v>
      </c>
      <c r="G156" s="250">
        <f>'Cash Flow Statement'!F95</f>
        <v>-156.55758636524456</v>
      </c>
      <c r="H156" s="250">
        <f>'Cash Flow Statement'!G95</f>
        <v>-821.2424136347543</v>
      </c>
      <c r="I156" s="250">
        <f>'Cash Flow Statement'!H95</f>
        <v>2282.3483906362803</v>
      </c>
      <c r="J156" s="250">
        <f>'Cash Flow Statement'!I95</f>
        <v>2111.803722763979</v>
      </c>
      <c r="K156" s="250">
        <f>'Cash Flow Statement'!J95</f>
        <v>-1354.0297770249938</v>
      </c>
    </row>
    <row r="157" spans="2:11" ht="13.5">
      <c r="B157" s="49"/>
      <c r="C157" s="129" t="s">
        <v>111</v>
      </c>
      <c r="D157" s="50"/>
      <c r="E157" s="279">
        <v>0.01</v>
      </c>
      <c r="F157" s="266">
        <f>F156*$E$157</f>
        <v>3.342</v>
      </c>
      <c r="G157" s="266">
        <f>G156*$E$157</f>
        <v>-1.5655758636524457</v>
      </c>
      <c r="H157" s="266">
        <f>H156*$E$157</f>
        <v>-8.212424136347543</v>
      </c>
      <c r="I157" s="266">
        <f>I156*$E$157</f>
        <v>22.823483906362803</v>
      </c>
      <c r="J157" s="266">
        <f>J156*$E$157</f>
        <v>21.11803722763979</v>
      </c>
      <c r="K157" s="266">
        <f>K156*$E$157</f>
        <v>-13.540297770249937</v>
      </c>
    </row>
    <row r="158" spans="1:5" ht="13.5">
      <c r="A158" s="49"/>
      <c r="B158" s="49"/>
      <c r="C158" s="49"/>
      <c r="D158" s="49"/>
      <c r="E158" s="130"/>
    </row>
    <row r="159" spans="1:11" ht="13.5">
      <c r="A159" s="95" t="s">
        <v>105</v>
      </c>
      <c r="B159" s="55"/>
      <c r="C159" s="55"/>
      <c r="D159" s="55"/>
      <c r="E159" s="95"/>
      <c r="F159" s="100"/>
      <c r="G159" s="100"/>
      <c r="H159" s="100"/>
      <c r="I159" s="100"/>
      <c r="J159" s="100"/>
      <c r="K159" s="100"/>
    </row>
    <row r="160" spans="2:11" ht="13.5">
      <c r="B160" s="96" t="str">
        <f>+A6</f>
        <v>Revolver</v>
      </c>
      <c r="C160" s="52"/>
      <c r="D160" s="52"/>
      <c r="F160" s="136">
        <f>F10</f>
        <v>2.4776</v>
      </c>
      <c r="G160" s="136">
        <f>G10</f>
        <v>7.497366255999994</v>
      </c>
      <c r="H160" s="136">
        <f>H10</f>
        <v>1.0607205015562582</v>
      </c>
      <c r="I160" s="136">
        <f>I10</f>
        <v>0</v>
      </c>
      <c r="J160" s="136">
        <f>J10</f>
        <v>52.33284369623565</v>
      </c>
      <c r="K160" s="136">
        <f>K10</f>
        <v>58.2236818874928</v>
      </c>
    </row>
    <row r="161" spans="2:11" ht="13.5">
      <c r="B161" s="96" t="str">
        <f>A12</f>
        <v>Commitment Fee</v>
      </c>
      <c r="C161" s="52"/>
      <c r="D161" s="52"/>
      <c r="F161" s="136">
        <f>F15</f>
        <v>6.75</v>
      </c>
      <c r="G161" s="136">
        <f>G15</f>
        <v>7.25</v>
      </c>
      <c r="H161" s="136">
        <f>H15</f>
        <v>6.3076499714761125</v>
      </c>
      <c r="I161" s="136">
        <f>I15</f>
        <v>0.01401141911206878</v>
      </c>
      <c r="J161" s="136">
        <f>J15</f>
        <v>-1.9371602924082982</v>
      </c>
      <c r="K161" s="136">
        <f>K15</f>
        <v>7.25</v>
      </c>
    </row>
    <row r="162" spans="2:11" ht="13.5">
      <c r="B162" t="s">
        <v>122</v>
      </c>
      <c r="C162" s="52"/>
      <c r="D162" s="52"/>
      <c r="F162" s="136">
        <f>F24</f>
        <v>64.97500000000001</v>
      </c>
      <c r="G162" s="136">
        <f>G24</f>
        <v>64.97500000000001</v>
      </c>
      <c r="H162" s="136">
        <f>H24</f>
        <v>64.97500000000001</v>
      </c>
      <c r="I162" s="136">
        <f>I24</f>
        <v>64.97500000000001</v>
      </c>
      <c r="J162" s="136">
        <f>J24</f>
        <v>32.487500000000004</v>
      </c>
      <c r="K162" s="136">
        <f>K24</f>
        <v>0</v>
      </c>
    </row>
    <row r="163" spans="2:11" ht="13.5">
      <c r="B163" t="s">
        <v>123</v>
      </c>
      <c r="C163" s="52"/>
      <c r="D163" s="52"/>
      <c r="F163" s="136">
        <f>F32</f>
        <v>57</v>
      </c>
      <c r="G163" s="136">
        <f>G32</f>
        <v>56.5</v>
      </c>
      <c r="H163" s="136">
        <f>H32</f>
        <v>28.25</v>
      </c>
      <c r="I163" s="136">
        <f>I32</f>
        <v>0</v>
      </c>
      <c r="J163" s="136">
        <f>J32</f>
        <v>0</v>
      </c>
      <c r="K163" s="136">
        <f>K32</f>
        <v>0</v>
      </c>
    </row>
    <row r="164" spans="2:11" ht="13.5">
      <c r="B164" t="s">
        <v>124</v>
      </c>
      <c r="C164" s="52"/>
      <c r="D164" s="52"/>
      <c r="F164" s="136">
        <f>F40</f>
        <v>31.5</v>
      </c>
      <c r="G164" s="136">
        <f>G40</f>
        <v>31.5</v>
      </c>
      <c r="H164" s="136">
        <f>H40</f>
        <v>31.5</v>
      </c>
      <c r="I164" s="136">
        <f>I40</f>
        <v>31.5</v>
      </c>
      <c r="J164" s="136">
        <f>J40</f>
        <v>31.5</v>
      </c>
      <c r="K164" s="136">
        <f>K40</f>
        <v>31.5</v>
      </c>
    </row>
    <row r="165" spans="2:11" ht="13.5">
      <c r="B165" t="s">
        <v>125</v>
      </c>
      <c r="C165" s="52"/>
      <c r="D165" s="52"/>
      <c r="F165" s="136">
        <f>F48</f>
        <v>0</v>
      </c>
      <c r="G165" s="136">
        <f>G48</f>
        <v>0</v>
      </c>
      <c r="H165" s="136">
        <f>H48</f>
        <v>0</v>
      </c>
      <c r="I165" s="136">
        <f>I48</f>
        <v>0</v>
      </c>
      <c r="J165" s="136">
        <f>J48</f>
        <v>0</v>
      </c>
      <c r="K165" s="136">
        <f>K48</f>
        <v>0</v>
      </c>
    </row>
    <row r="166" spans="2:11" ht="13.5">
      <c r="B166" t="s">
        <v>126</v>
      </c>
      <c r="C166" s="52"/>
      <c r="D166" s="52"/>
      <c r="F166" s="136">
        <f>F56</f>
        <v>11.5374</v>
      </c>
      <c r="G166" s="136">
        <f>G56</f>
        <v>11.5374</v>
      </c>
      <c r="H166" s="136">
        <f>H56</f>
        <v>11.5374</v>
      </c>
      <c r="I166" s="136">
        <f>I56</f>
        <v>11.5374</v>
      </c>
      <c r="J166" s="136">
        <f>J56</f>
        <v>11.5374</v>
      </c>
      <c r="K166" s="136">
        <f>K56</f>
        <v>5.7687</v>
      </c>
    </row>
    <row r="167" spans="2:11" ht="13.5">
      <c r="B167" t="s">
        <v>127</v>
      </c>
      <c r="C167" s="52"/>
      <c r="D167" s="52"/>
      <c r="F167" s="136">
        <f>F64</f>
        <v>5.494</v>
      </c>
      <c r="G167" s="136">
        <f>G64</f>
        <v>5.494</v>
      </c>
      <c r="H167" s="136">
        <f>H64</f>
        <v>5.494</v>
      </c>
      <c r="I167" s="136">
        <f>I64</f>
        <v>5.494</v>
      </c>
      <c r="J167" s="136">
        <f>J64</f>
        <v>5.494</v>
      </c>
      <c r="K167" s="136">
        <f>K64</f>
        <v>5.494</v>
      </c>
    </row>
    <row r="168" spans="2:11" ht="13.5">
      <c r="B168" t="s">
        <v>128</v>
      </c>
      <c r="C168" s="52"/>
      <c r="D168" s="52"/>
      <c r="F168" s="136">
        <f>F72</f>
        <v>7</v>
      </c>
      <c r="G168" s="136">
        <f>G72</f>
        <v>7</v>
      </c>
      <c r="H168" s="136">
        <f>H72</f>
        <v>3.5</v>
      </c>
      <c r="I168" s="136">
        <f>I72</f>
        <v>0</v>
      </c>
      <c r="J168" s="136">
        <f>J72</f>
        <v>0</v>
      </c>
      <c r="K168" s="136">
        <f>K72</f>
        <v>0</v>
      </c>
    </row>
    <row r="169" spans="2:11" ht="13.5">
      <c r="B169" t="s">
        <v>129</v>
      </c>
      <c r="C169" s="52"/>
      <c r="D169" s="52"/>
      <c r="F169" s="136">
        <f>F80</f>
        <v>27</v>
      </c>
      <c r="G169" s="136">
        <f>G80</f>
        <v>27</v>
      </c>
      <c r="H169" s="136">
        <f>H80</f>
        <v>27</v>
      </c>
      <c r="I169" s="136">
        <f>I80</f>
        <v>27</v>
      </c>
      <c r="J169" s="136">
        <f>J80</f>
        <v>27</v>
      </c>
      <c r="K169" s="136">
        <f>K80</f>
        <v>27</v>
      </c>
    </row>
    <row r="170" spans="2:11" ht="13.5">
      <c r="B170" t="s">
        <v>130</v>
      </c>
      <c r="C170" s="52"/>
      <c r="D170" s="52"/>
      <c r="F170" s="136">
        <f>F88</f>
        <v>20.75</v>
      </c>
      <c r="G170" s="136">
        <f>G88</f>
        <v>20.75</v>
      </c>
      <c r="H170" s="136">
        <f>H88</f>
        <v>20.75</v>
      </c>
      <c r="I170" s="136">
        <f>I88</f>
        <v>20.75</v>
      </c>
      <c r="J170" s="136">
        <f>J88</f>
        <v>20.75</v>
      </c>
      <c r="K170" s="136">
        <f>K88</f>
        <v>20.75</v>
      </c>
    </row>
    <row r="171" spans="2:11" ht="13.5">
      <c r="B171" t="s">
        <v>131</v>
      </c>
      <c r="C171" s="52"/>
      <c r="D171" s="52"/>
      <c r="F171" s="136">
        <f>F96</f>
        <v>18.25</v>
      </c>
      <c r="G171" s="136">
        <f>G96</f>
        <v>18.25</v>
      </c>
      <c r="H171" s="136">
        <f>H96</f>
        <v>18.25</v>
      </c>
      <c r="I171" s="136">
        <f>I96</f>
        <v>18.25</v>
      </c>
      <c r="J171" s="136">
        <f>J96</f>
        <v>18.25</v>
      </c>
      <c r="K171" s="136">
        <f>K96</f>
        <v>18.25</v>
      </c>
    </row>
    <row r="172" spans="2:11" ht="13.5">
      <c r="B172" t="s">
        <v>132</v>
      </c>
      <c r="C172" s="52"/>
      <c r="D172" s="52"/>
      <c r="F172" s="136">
        <f>F104</f>
        <v>11</v>
      </c>
      <c r="G172" s="136">
        <f>G104</f>
        <v>11</v>
      </c>
      <c r="H172" s="136">
        <f>H104</f>
        <v>11</v>
      </c>
      <c r="I172" s="136">
        <f>I104</f>
        <v>11</v>
      </c>
      <c r="J172" s="136">
        <f>J104</f>
        <v>5.5</v>
      </c>
      <c r="K172" s="136">
        <f>K104</f>
        <v>0</v>
      </c>
    </row>
    <row r="173" spans="2:11" ht="13.5">
      <c r="B173" t="s">
        <v>133</v>
      </c>
      <c r="C173" s="52"/>
      <c r="D173" s="52"/>
      <c r="F173" s="136">
        <f>F112</f>
        <v>3</v>
      </c>
      <c r="G173" s="136">
        <f>G112</f>
        <v>1.5</v>
      </c>
      <c r="H173" s="136">
        <f>H112</f>
        <v>0</v>
      </c>
      <c r="I173" s="136">
        <f>I112</f>
        <v>0</v>
      </c>
      <c r="J173" s="136">
        <f>J112</f>
        <v>0</v>
      </c>
      <c r="K173" s="136">
        <f>K112</f>
        <v>0</v>
      </c>
    </row>
    <row r="174" spans="2:11" ht="13.5">
      <c r="B174" t="s">
        <v>134</v>
      </c>
      <c r="C174" s="52"/>
      <c r="D174" s="52"/>
      <c r="F174" s="136">
        <f>F120</f>
        <v>6.592499999999999</v>
      </c>
      <c r="G174" s="136">
        <f>G120</f>
        <v>6.592499999999999</v>
      </c>
      <c r="H174" s="136">
        <f>H120</f>
        <v>6.592499999999999</v>
      </c>
      <c r="I174" s="136">
        <f>I120</f>
        <v>6.592499999999999</v>
      </c>
      <c r="J174" s="136">
        <f>J120</f>
        <v>6.592499999999999</v>
      </c>
      <c r="K174" s="136">
        <f>K120</f>
        <v>6.592499999999999</v>
      </c>
    </row>
    <row r="175" spans="2:11" ht="13.5">
      <c r="B175" t="s">
        <v>135</v>
      </c>
      <c r="C175" s="52"/>
      <c r="D175" s="52"/>
      <c r="F175" s="136">
        <f>F128</f>
        <v>0</v>
      </c>
      <c r="G175" s="136">
        <f>G128</f>
        <v>0</v>
      </c>
      <c r="H175" s="136">
        <f>H128</f>
        <v>0</v>
      </c>
      <c r="I175" s="136">
        <f>I128</f>
        <v>0</v>
      </c>
      <c r="J175" s="136">
        <f>J128</f>
        <v>0</v>
      </c>
      <c r="K175" s="136">
        <f>K128</f>
        <v>0</v>
      </c>
    </row>
    <row r="176" spans="2:11" ht="13.5">
      <c r="B176" t="s">
        <v>133</v>
      </c>
      <c r="C176" s="52"/>
      <c r="D176" s="52"/>
      <c r="F176" s="136">
        <f>F136</f>
        <v>2.1875</v>
      </c>
      <c r="G176" s="136">
        <f>G136</f>
        <v>1.09375</v>
      </c>
      <c r="H176" s="136">
        <f>H136</f>
        <v>0</v>
      </c>
      <c r="I176" s="136">
        <f>I136</f>
        <v>0</v>
      </c>
      <c r="J176" s="136">
        <f>J136</f>
        <v>0</v>
      </c>
      <c r="K176" s="136">
        <f>K136</f>
        <v>0</v>
      </c>
    </row>
    <row r="177" spans="2:11" ht="13.5">
      <c r="B177" t="s">
        <v>133</v>
      </c>
      <c r="C177" s="52"/>
      <c r="D177" s="52"/>
      <c r="F177" s="136">
        <f>F144</f>
        <v>1.5</v>
      </c>
      <c r="G177" s="136">
        <f>G144</f>
        <v>0.75</v>
      </c>
      <c r="H177" s="136">
        <f>H144</f>
        <v>0</v>
      </c>
      <c r="I177" s="136">
        <f>I144</f>
        <v>0</v>
      </c>
      <c r="J177" s="136">
        <f>J144</f>
        <v>0</v>
      </c>
      <c r="K177" s="136">
        <f>K144</f>
        <v>0</v>
      </c>
    </row>
    <row r="178" spans="2:11" ht="15" thickBot="1">
      <c r="B178" s="26" t="s">
        <v>136</v>
      </c>
      <c r="C178" s="52"/>
      <c r="D178" s="52"/>
      <c r="E178" s="134"/>
      <c r="F178" s="137">
        <f>F152</f>
        <v>4.833399999999999</v>
      </c>
      <c r="G178" s="137">
        <f>G152</f>
        <v>4.833399999999999</v>
      </c>
      <c r="H178" s="137">
        <f>H152</f>
        <v>4.833399999999999</v>
      </c>
      <c r="I178" s="137">
        <f>I152</f>
        <v>4.833399999999999</v>
      </c>
      <c r="J178" s="137">
        <f>J152</f>
        <v>4.833399999999999</v>
      </c>
      <c r="K178" s="137">
        <f>K152</f>
        <v>4.833399999999999</v>
      </c>
    </row>
    <row r="179" spans="3:11" ht="15" thickTop="1">
      <c r="C179" s="52"/>
      <c r="D179" s="52"/>
      <c r="E179" s="134"/>
      <c r="F179" s="136"/>
      <c r="G179" s="136"/>
      <c r="H179" s="136"/>
      <c r="I179" s="136"/>
      <c r="J179" s="136"/>
      <c r="K179" s="136"/>
    </row>
    <row r="180" spans="2:17" ht="13.5">
      <c r="B180" s="1"/>
      <c r="C180" s="138" t="s">
        <v>112</v>
      </c>
      <c r="D180" s="53"/>
      <c r="E180" s="139"/>
      <c r="F180" s="140">
        <f>SUM(F160:F178)</f>
        <v>281.8474</v>
      </c>
      <c r="G180" s="140">
        <f>SUM(G160:G178)</f>
        <v>283.5234162559999</v>
      </c>
      <c r="H180" s="140">
        <f>SUM(H160:H178)</f>
        <v>241.0506704730324</v>
      </c>
      <c r="I180" s="140">
        <f>SUM(I160:I178)</f>
        <v>201.94631141911208</v>
      </c>
      <c r="J180" s="140">
        <f>SUM(J160:J178)</f>
        <v>214.34048340382736</v>
      </c>
      <c r="K180" s="141">
        <f>SUM(K160:K178)</f>
        <v>185.6622818874928</v>
      </c>
      <c r="L180" s="302"/>
      <c r="M180" s="52"/>
      <c r="N180" s="52"/>
      <c r="O180" s="52"/>
      <c r="P180" s="52"/>
      <c r="Q180" s="52"/>
    </row>
    <row r="181" spans="3:8" ht="13.5">
      <c r="C181" s="52"/>
      <c r="D181" s="52"/>
      <c r="E181" s="134"/>
      <c r="F181" s="52"/>
      <c r="H181" s="7"/>
    </row>
    <row r="182" spans="3:8" ht="13.5">
      <c r="C182" s="52"/>
      <c r="D182" s="52"/>
      <c r="E182" s="134"/>
      <c r="F182" s="52"/>
      <c r="H182" s="7"/>
    </row>
    <row r="183" ht="13.5">
      <c r="A183" s="7"/>
    </row>
  </sheetData>
  <sheetProtection/>
  <mergeCells count="2">
    <mergeCell ref="F3:K3"/>
    <mergeCell ref="G4:K4"/>
  </mergeCells>
  <printOptions/>
  <pageMargins left="0.75" right="0.75" top="1" bottom="1" header="0.5" footer="0.5"/>
  <pageSetup horizontalDpi="600" verticalDpi="600" orientation="portrait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31">
      <selection activeCell="G23" sqref="G23"/>
    </sheetView>
  </sheetViews>
  <sheetFormatPr defaultColWidth="8.8515625" defaultRowHeight="15"/>
  <cols>
    <col min="1" max="1" width="4.421875" style="0" customWidth="1"/>
    <col min="2" max="4" width="8.8515625" style="0" customWidth="1"/>
    <col min="5" max="5" width="16.7109375" style="0" bestFit="1" customWidth="1"/>
    <col min="6" max="13" width="8.8515625" style="0" customWidth="1"/>
    <col min="14" max="14" width="18.28125" style="0" bestFit="1" customWidth="1"/>
  </cols>
  <sheetData>
    <row r="1" ht="26.25">
      <c r="A1" s="149" t="s">
        <v>190</v>
      </c>
    </row>
    <row r="2" spans="1:17" ht="15">
      <c r="A2" t="s">
        <v>191</v>
      </c>
      <c r="F2" s="345" t="s">
        <v>72</v>
      </c>
      <c r="G2" s="346"/>
      <c r="H2" s="346"/>
      <c r="I2" s="346"/>
      <c r="J2" s="346"/>
      <c r="K2" s="347"/>
      <c r="N2" s="351" t="s">
        <v>196</v>
      </c>
      <c r="O2" s="351"/>
      <c r="P2" s="351"/>
      <c r="Q2" s="351"/>
    </row>
    <row r="3" spans="6:16" ht="15">
      <c r="F3" s="83" t="s">
        <v>19</v>
      </c>
      <c r="G3" s="348" t="s">
        <v>20</v>
      </c>
      <c r="H3" s="349"/>
      <c r="I3" s="349"/>
      <c r="J3" s="349"/>
      <c r="K3" s="350"/>
      <c r="N3" t="s">
        <v>197</v>
      </c>
      <c r="P3" s="154">
        <v>0.065</v>
      </c>
    </row>
    <row r="4" spans="6:16" ht="15">
      <c r="F4" s="65">
        <v>2015</v>
      </c>
      <c r="G4" s="39">
        <v>2016</v>
      </c>
      <c r="H4" s="39">
        <v>2017</v>
      </c>
      <c r="I4" s="39">
        <v>2018</v>
      </c>
      <c r="J4" s="155">
        <v>2019</v>
      </c>
      <c r="K4" s="160">
        <v>2020</v>
      </c>
      <c r="N4" t="s">
        <v>198</v>
      </c>
      <c r="P4" s="154">
        <v>0.018366</v>
      </c>
    </row>
    <row r="5" spans="10:16" ht="15">
      <c r="J5" s="156"/>
      <c r="K5" s="161"/>
      <c r="N5" t="s">
        <v>199</v>
      </c>
      <c r="P5" s="27">
        <f>P3-P4</f>
        <v>0.046634</v>
      </c>
    </row>
    <row r="6" spans="1:16" ht="15">
      <c r="A6" s="86" t="s">
        <v>192</v>
      </c>
      <c r="F6" s="128">
        <f>'Income Statement'!H14</f>
        <v>2077.299999999999</v>
      </c>
      <c r="G6" s="128">
        <f>'Income Statement'!I14</f>
        <v>3256.4570802332637</v>
      </c>
      <c r="H6" s="128">
        <f>'Income Statement'!J14</f>
        <v>3465.596352012666</v>
      </c>
      <c r="I6" s="128">
        <f>'Income Statement'!K14</f>
        <v>3622.1952817393963</v>
      </c>
      <c r="J6" s="157">
        <f>'Income Statement'!L14</f>
        <v>3773.056158535036</v>
      </c>
      <c r="K6" s="162">
        <f>'Income Statement'!M14</f>
        <v>3917.9624366735275</v>
      </c>
      <c r="N6" t="s">
        <v>201</v>
      </c>
      <c r="P6" s="81">
        <v>0.6433</v>
      </c>
    </row>
    <row r="7" spans="1:16" ht="15">
      <c r="A7" s="86" t="s">
        <v>193</v>
      </c>
      <c r="F7" s="128">
        <f>'Income Statement'!H16+'Income Statement'!H12</f>
        <v>588</v>
      </c>
      <c r="G7" s="128">
        <f>'Income Statement'!I16+'Income Statement'!I12</f>
        <v>334.15220123488467</v>
      </c>
      <c r="H7" s="128">
        <f>'Income Statement'!J16+'Income Statement'!J12</f>
        <v>395.38818685415816</v>
      </c>
      <c r="I7" s="128">
        <f>'Income Statement'!K16+'Income Statement'!K12</f>
        <v>462.06029553742314</v>
      </c>
      <c r="J7" s="157">
        <f>'Income Statement'!L16+'Income Statement'!L12</f>
        <v>534.6511100939216</v>
      </c>
      <c r="K7" s="162">
        <f>'Income Statement'!M16+'Income Statement'!M12</f>
        <v>613.6860538214268</v>
      </c>
      <c r="N7" t="s">
        <v>200</v>
      </c>
      <c r="P7" s="97">
        <f>P5*P6</f>
        <v>0.0299996522</v>
      </c>
    </row>
    <row r="8" spans="1:11" ht="15">
      <c r="A8" s="86" t="s">
        <v>194</v>
      </c>
      <c r="D8" s="150">
        <f>'Income Statement'!E22</f>
        <v>0.33</v>
      </c>
      <c r="F8" s="128">
        <f>F6*-$D$8</f>
        <v>-685.5089999999997</v>
      </c>
      <c r="G8" s="128">
        <f>G6*-$D$8</f>
        <v>-1074.630836476977</v>
      </c>
      <c r="H8" s="128">
        <f>H6*-$D$8</f>
        <v>-1143.64679616418</v>
      </c>
      <c r="I8" s="128">
        <f>I6*-$D$8</f>
        <v>-1195.324442974001</v>
      </c>
      <c r="J8" s="157">
        <f>J6*-$D$8</f>
        <v>-1245.1085323165619</v>
      </c>
      <c r="K8" s="162">
        <f>K6*-$D$8</f>
        <v>-1292.927604102264</v>
      </c>
    </row>
    <row r="9" spans="1:11" ht="15">
      <c r="A9" s="86" t="s">
        <v>195</v>
      </c>
      <c r="F9" s="128">
        <f>-'PP&amp;E'!I29</f>
        <v>-712.4</v>
      </c>
      <c r="G9" s="128">
        <f>-'PP&amp;E'!F10</f>
        <v>-851.4251184083481</v>
      </c>
      <c r="H9" s="128">
        <f>-'PP&amp;E'!G10</f>
        <v>-927.0089712137562</v>
      </c>
      <c r="I9" s="128">
        <f>-'PP&amp;E'!H10</f>
        <v>-1009.3026551967895</v>
      </c>
      <c r="J9" s="157">
        <f>-'PP&amp;E'!I10</f>
        <v>-1098.9018244920442</v>
      </c>
      <c r="K9" s="162">
        <f>-'PP&amp;E'!J10</f>
        <v>-1196.4550114420272</v>
      </c>
    </row>
    <row r="10" spans="1:16" ht="15">
      <c r="A10" s="86" t="s">
        <v>57</v>
      </c>
      <c r="F10" s="128">
        <f>'Working Capital'!H32</f>
        <v>-287.49999999999955</v>
      </c>
      <c r="G10" s="128">
        <f>'Working Capital'!I32</f>
        <v>155.58466919178</v>
      </c>
      <c r="H10" s="128">
        <f>'Working Capital'!J32</f>
        <v>9.992540075753368</v>
      </c>
      <c r="I10" s="128">
        <f>'Working Capital'!K32</f>
        <v>10.292316278025737</v>
      </c>
      <c r="J10" s="157">
        <f>'Working Capital'!L32</f>
        <v>10.60108576636685</v>
      </c>
      <c r="K10" s="162">
        <f>'Working Capital'!M32</f>
        <v>10.919118339358192</v>
      </c>
      <c r="N10" t="s">
        <v>202</v>
      </c>
      <c r="P10" s="27">
        <f>P4+P7</f>
        <v>0.0483656522</v>
      </c>
    </row>
    <row r="11" spans="1:16" ht="15.75" thickBot="1">
      <c r="A11" s="86" t="s">
        <v>175</v>
      </c>
      <c r="F11" s="151">
        <f aca="true" t="shared" si="0" ref="F11:K11">SUM(F6:F10)</f>
        <v>979.8909999999996</v>
      </c>
      <c r="G11" s="151">
        <f t="shared" si="0"/>
        <v>1820.137995774603</v>
      </c>
      <c r="H11" s="151">
        <f t="shared" si="0"/>
        <v>1800.3213115646415</v>
      </c>
      <c r="I11" s="151">
        <f t="shared" si="0"/>
        <v>1889.9207953840546</v>
      </c>
      <c r="J11" s="158">
        <f t="shared" si="0"/>
        <v>1974.2979975867186</v>
      </c>
      <c r="K11" s="163">
        <f t="shared" si="0"/>
        <v>2053.184993290021</v>
      </c>
      <c r="N11" t="s">
        <v>203</v>
      </c>
      <c r="P11" s="153">
        <v>0.03</v>
      </c>
    </row>
    <row r="12" spans="1:16" ht="15.75" thickTop="1">
      <c r="A12" s="86" t="s">
        <v>205</v>
      </c>
      <c r="G12" s="152">
        <f>G11/F11-1</f>
        <v>0.8574902675650697</v>
      </c>
      <c r="H12" s="152">
        <f>H11/G11-1</f>
        <v>-0.01088746251985584</v>
      </c>
      <c r="I12" s="152">
        <f>I11/H11-1</f>
        <v>0.049768606994682996</v>
      </c>
      <c r="J12" s="159">
        <f>J11/I11-1</f>
        <v>0.04464589331401991</v>
      </c>
      <c r="K12" s="164">
        <f>K11/J11-1</f>
        <v>0.03995698511558521</v>
      </c>
      <c r="N12" t="s">
        <v>204</v>
      </c>
      <c r="P12" s="97">
        <f>(P10*P15+P11*P16)/P17</f>
        <v>0.04528200478168596</v>
      </c>
    </row>
    <row r="13" spans="10:11" ht="15">
      <c r="J13" s="1"/>
      <c r="K13" s="1"/>
    </row>
    <row r="14" spans="1:16" ht="15">
      <c r="A14" s="86" t="s">
        <v>206</v>
      </c>
      <c r="J14" s="1"/>
      <c r="K14" s="1"/>
      <c r="N14" s="351" t="s">
        <v>222</v>
      </c>
      <c r="O14" s="351"/>
      <c r="P14" s="351"/>
    </row>
    <row r="15" spans="2:16" ht="15">
      <c r="B15" t="s">
        <v>207</v>
      </c>
      <c r="E15" s="27">
        <f>P12</f>
        <v>0.04528200478168596</v>
      </c>
      <c r="K15" s="1"/>
      <c r="N15" t="s">
        <v>223</v>
      </c>
      <c r="P15" s="80">
        <f>'Income Statement'!H34*'Income Statement'!H30</f>
        <v>38693.564</v>
      </c>
    </row>
    <row r="16" spans="2:16" ht="15">
      <c r="B16" t="s">
        <v>208</v>
      </c>
      <c r="E16" s="166">
        <f>K6+K7</f>
        <v>4531.648490494954</v>
      </c>
      <c r="N16" t="s">
        <v>224</v>
      </c>
      <c r="P16" s="80">
        <f>'Balance Sheet'!G48</f>
        <v>7807.700000000001</v>
      </c>
    </row>
    <row r="17" spans="2:16" ht="15">
      <c r="B17" t="s">
        <v>209</v>
      </c>
      <c r="E17" s="81">
        <v>13</v>
      </c>
      <c r="N17" t="s">
        <v>225</v>
      </c>
      <c r="P17" s="20">
        <f>P15+P16</f>
        <v>46501.263999999996</v>
      </c>
    </row>
    <row r="19" spans="2:5" ht="15">
      <c r="B19" t="s">
        <v>210</v>
      </c>
      <c r="E19" s="166">
        <f>E16*E17</f>
        <v>58911.4303764344</v>
      </c>
    </row>
    <row r="21" spans="2:5" ht="15">
      <c r="B21" t="s">
        <v>211</v>
      </c>
      <c r="E21" s="167">
        <f>E19/((1+E15)^($K$4-$F$4))</f>
        <v>47209.80413355993</v>
      </c>
    </row>
    <row r="22" spans="2:5" ht="15">
      <c r="B22" t="s">
        <v>212</v>
      </c>
      <c r="E22" s="166">
        <f>NPV(E15,F11:J11)</f>
        <v>7344.882851531274</v>
      </c>
    </row>
    <row r="23" spans="2:5" ht="15">
      <c r="B23" t="s">
        <v>213</v>
      </c>
      <c r="E23" s="166">
        <f>E21+E22</f>
        <v>54554.686985091204</v>
      </c>
    </row>
    <row r="24" spans="1:5" ht="15">
      <c r="A24" t="s">
        <v>214</v>
      </c>
      <c r="B24" t="s">
        <v>215</v>
      </c>
      <c r="E24" s="20">
        <f>P16</f>
        <v>7807.700000000001</v>
      </c>
    </row>
    <row r="25" spans="2:5" ht="15">
      <c r="B25" t="s">
        <v>216</v>
      </c>
      <c r="E25" s="166">
        <f>E23-E24</f>
        <v>46746.98698509121</v>
      </c>
    </row>
    <row r="26" spans="2:5" ht="15">
      <c r="B26" t="s">
        <v>217</v>
      </c>
      <c r="E26" s="80">
        <f>'Income Statement'!L59</f>
        <v>694.3</v>
      </c>
    </row>
    <row r="28" spans="2:5" ht="15">
      <c r="B28" s="117" t="s">
        <v>218</v>
      </c>
      <c r="C28" s="39"/>
      <c r="D28" s="39"/>
      <c r="E28" s="169">
        <f>E25/E26</f>
        <v>67.32966582902378</v>
      </c>
    </row>
    <row r="30" ht="15">
      <c r="A30" s="86" t="s">
        <v>219</v>
      </c>
    </row>
    <row r="31" spans="2:5" ht="15">
      <c r="B31" t="s">
        <v>207</v>
      </c>
      <c r="E31" s="27">
        <f>P12</f>
        <v>0.04528200478168596</v>
      </c>
    </row>
    <row r="32" spans="2:5" ht="15">
      <c r="B32" t="s">
        <v>220</v>
      </c>
      <c r="E32" s="166">
        <f>K11</f>
        <v>2053.184993290021</v>
      </c>
    </row>
    <row r="33" spans="2:5" ht="15">
      <c r="B33" t="s">
        <v>221</v>
      </c>
      <c r="E33" s="154">
        <v>0.022</v>
      </c>
    </row>
    <row r="35" spans="2:5" ht="15">
      <c r="B35" t="s">
        <v>210</v>
      </c>
      <c r="E35" s="166">
        <f>(E32*(1+E33)/(E31-E33))</f>
        <v>90127.76531997815</v>
      </c>
    </row>
    <row r="37" spans="2:5" ht="13.5">
      <c r="B37" t="s">
        <v>211</v>
      </c>
      <c r="E37" s="167">
        <f>E35/((1+E31)^($K$4-$F$4))</f>
        <v>72225.61259442214</v>
      </c>
    </row>
    <row r="38" spans="2:5" ht="13.5">
      <c r="B38" t="s">
        <v>212</v>
      </c>
      <c r="E38" s="166">
        <f>NPV(E31,F11:J11)</f>
        <v>7344.882851531274</v>
      </c>
    </row>
    <row r="39" spans="2:5" ht="13.5">
      <c r="B39" t="s">
        <v>213</v>
      </c>
      <c r="E39" s="168">
        <f>E37+E38</f>
        <v>79570.49544595342</v>
      </c>
    </row>
    <row r="40" spans="1:5" ht="13.5">
      <c r="A40" t="s">
        <v>214</v>
      </c>
      <c r="B40" t="s">
        <v>215</v>
      </c>
      <c r="E40" s="20">
        <f>P16</f>
        <v>7807.700000000001</v>
      </c>
    </row>
    <row r="41" spans="2:5" ht="13.5">
      <c r="B41" t="s">
        <v>216</v>
      </c>
      <c r="E41" s="166">
        <f>E39-E40</f>
        <v>71762.79544595342</v>
      </c>
    </row>
    <row r="42" spans="2:5" ht="13.5">
      <c r="B42" t="s">
        <v>217</v>
      </c>
      <c r="E42" s="80">
        <f>'Income Statement'!L59</f>
        <v>694.3</v>
      </c>
    </row>
    <row r="44" spans="2:5" ht="13.5">
      <c r="B44" s="117" t="s">
        <v>218</v>
      </c>
      <c r="C44" s="39"/>
      <c r="D44" s="39"/>
      <c r="E44" s="169">
        <f>E41/E42</f>
        <v>103.35992430642867</v>
      </c>
    </row>
    <row r="48" ht="13.5">
      <c r="E48" s="1"/>
    </row>
  </sheetData>
  <sheetProtection/>
  <mergeCells count="4">
    <mergeCell ref="F2:K2"/>
    <mergeCell ref="G3:K3"/>
    <mergeCell ref="N2:Q2"/>
    <mergeCell ref="N14:P14"/>
  </mergeCell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UserOne</dc:creator>
  <cp:keywords/>
  <dc:description/>
  <cp:lastModifiedBy>Joey M</cp:lastModifiedBy>
  <dcterms:created xsi:type="dcterms:W3CDTF">2016-02-09T20:29:12Z</dcterms:created>
  <dcterms:modified xsi:type="dcterms:W3CDTF">2016-05-01T23:46:18Z</dcterms:modified>
  <cp:category/>
  <cp:version/>
  <cp:contentType/>
  <cp:contentStatus/>
</cp:coreProperties>
</file>