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7365" firstSheet="5" activeTab="5"/>
  </bookViews>
  <sheets>
    <sheet name="DCF" sheetId="1" state="hidden" r:id="rId1"/>
    <sheet name="Sheet4" sheetId="2" state="hidden" r:id="rId2"/>
    <sheet name="Trading Multiples" sheetId="3" state="hidden" r:id="rId3"/>
    <sheet name="Operating Statistics" sheetId="4" state="hidden" r:id="rId4"/>
    <sheet name="Charts" sheetId="5" state="hidden" r:id="rId5"/>
    <sheet name="Sources &amp; Uses" sheetId="6" r:id="rId6"/>
    <sheet name="OpMod" sheetId="7" r:id="rId7"/>
    <sheet name="Store Rollout" sheetId="8" r:id="rId8"/>
    <sheet name="Profit &amp; loss account" sheetId="9" state="hidden" r:id="rId9"/>
    <sheet name="Balance sheet" sheetId="10" state="hidden" r:id="rId10"/>
    <sheet name="Balance Sheet (2)" sheetId="11" state="hidden" r:id="rId11"/>
    <sheet name="Global ratios" sheetId="12" state="hidden" r:id="rId12"/>
    <sheet name="Sheet3" sheetId="13" state="hidden" r:id="rId13"/>
  </sheets>
  <definedNames>
    <definedName name="_xlnm.Print_Titles" localSheetId="10">'Balance Sheet (2)'!$1:$3</definedName>
    <definedName name="_xlnm.Print_Titles" localSheetId="2">'Trading Multiples'!$1:$3</definedName>
  </definedNames>
  <calcPr fullCalcOnLoad="1"/>
</workbook>
</file>

<file path=xl/sharedStrings.xml><?xml version="1.0" encoding="utf-8"?>
<sst xmlns="http://schemas.openxmlformats.org/spreadsheetml/2006/main" count="1017" uniqueCount="532">
  <si>
    <t>AGENT PROVOCATEUR LIMITED</t>
  </si>
  <si>
    <t>Balance sheet</t>
  </si>
  <si>
    <t>Consolidated</t>
  </si>
  <si>
    <t>31/03/2014
th GBP</t>
  </si>
  <si>
    <t>31/03/2013
th GBP</t>
  </si>
  <si>
    <t>31/03/2012
th GBP</t>
  </si>
  <si>
    <t>31/03/2011
th GBP</t>
  </si>
  <si>
    <t>31/03/2010
th GBP</t>
  </si>
  <si>
    <t>31/03/2009
th GBP</t>
  </si>
  <si>
    <t>12 months
Local GAAP</t>
  </si>
  <si>
    <t>Assets</t>
  </si>
  <si>
    <t>Fixed assets</t>
  </si>
  <si>
    <t>- Intangible fixed assets</t>
  </si>
  <si>
    <t>- Tangible fixed assets</t>
  </si>
  <si>
    <t>- Other fixed assets</t>
  </si>
  <si>
    <t>Current assets</t>
  </si>
  <si>
    <t>- Stock</t>
  </si>
  <si>
    <t>- Debtors</t>
  </si>
  <si>
    <t>- Other current assets</t>
  </si>
  <si>
    <t>* Cash &amp; cash equivalent</t>
  </si>
  <si>
    <t>TOTAL ASSETS</t>
  </si>
  <si>
    <t>Liabilities &amp; Equity</t>
  </si>
  <si>
    <t>Shareholders funds</t>
  </si>
  <si>
    <t>- Capital</t>
  </si>
  <si>
    <t>- Other shareholders funds</t>
  </si>
  <si>
    <t>Non-current liabilities</t>
  </si>
  <si>
    <t>- Long term debt</t>
  </si>
  <si>
    <t>- Other non-current liabilities</t>
  </si>
  <si>
    <t>* Provisions</t>
  </si>
  <si>
    <t>Current liabilities</t>
  </si>
  <si>
    <t>- Loans</t>
  </si>
  <si>
    <t>- Creditors</t>
  </si>
  <si>
    <t>- Other current liabilities</t>
  </si>
  <si>
    <t>TOTAL SHAREH. FUNDS &amp; LIAB.</t>
  </si>
  <si>
    <t>Memo lines</t>
  </si>
  <si>
    <t>Working capital</t>
  </si>
  <si>
    <t>Net current assets</t>
  </si>
  <si>
    <t>Enterprise value</t>
  </si>
  <si>
    <t>n.a.</t>
  </si>
  <si>
    <t>Number of employees</t>
  </si>
  <si>
    <t>Profit &amp; loss account</t>
  </si>
  <si>
    <t>Operating revenue (Turnover)</t>
  </si>
  <si>
    <t>Sales</t>
  </si>
  <si>
    <t>Costs of goods sold</t>
  </si>
  <si>
    <t>Gross profit</t>
  </si>
  <si>
    <t>Other operating expenses</t>
  </si>
  <si>
    <t>Operating P/L [=EBIT]</t>
  </si>
  <si>
    <t>Financial revenue</t>
  </si>
  <si>
    <t>Financial expenses</t>
  </si>
  <si>
    <t>Financial P/L</t>
  </si>
  <si>
    <t>P/L before tax</t>
  </si>
  <si>
    <t>Taxation</t>
  </si>
  <si>
    <t>P/L after tax</t>
  </si>
  <si>
    <t>Extr. and other revenue</t>
  </si>
  <si>
    <t>Extr. and other expenses</t>
  </si>
  <si>
    <t>Extr. and other P/L</t>
  </si>
  <si>
    <t>P/L for period [=Net income]</t>
  </si>
  <si>
    <t>Export revenue</t>
  </si>
  <si>
    <t>Material costs</t>
  </si>
  <si>
    <t>Costs of employees</t>
  </si>
  <si>
    <t>Depreciation &amp; Amortization</t>
  </si>
  <si>
    <t>Interest paid</t>
  </si>
  <si>
    <t>Research &amp; Development expenses</t>
  </si>
  <si>
    <t>Cash flow</t>
  </si>
  <si>
    <t>Added value</t>
  </si>
  <si>
    <t>EBITDA</t>
  </si>
  <si>
    <t>Global ratios</t>
  </si>
  <si>
    <t>Profitability ratios</t>
  </si>
  <si>
    <t>ROE using P/L before tax (%)</t>
  </si>
  <si>
    <t>ROCE using P/L before tax (%)</t>
  </si>
  <si>
    <t>ROA using P/L before tax (%)</t>
  </si>
  <si>
    <t>ROE using Net income (%)  </t>
  </si>
  <si>
    <t>ROCE using Net income (%)</t>
  </si>
  <si>
    <t>ROA using Net income (%)</t>
  </si>
  <si>
    <t>Profit margin (%)</t>
  </si>
  <si>
    <t>Gross Margin (%)</t>
  </si>
  <si>
    <t>EBITDA Margin (%)</t>
  </si>
  <si>
    <t>EBIT Margin (%)</t>
  </si>
  <si>
    <t>Cash flow / Operating revenue (%)</t>
  </si>
  <si>
    <t>Enterprise value / EBITDA (x)</t>
  </si>
  <si>
    <t>Operational ratios</t>
  </si>
  <si>
    <t>Net assets turnover (x)</t>
  </si>
  <si>
    <t>Interest cover (x)</t>
  </si>
  <si>
    <t>Stock turnover (x)</t>
  </si>
  <si>
    <t>Collection period (days)</t>
  </si>
  <si>
    <t>Credit period (days)</t>
  </si>
  <si>
    <t>Export revenue / Operating revenue (%)</t>
  </si>
  <si>
    <t>R&amp;D expenses / Operating revenue (%)</t>
  </si>
  <si>
    <t>Structure ratios</t>
  </si>
  <si>
    <t>Current ratio (x)</t>
  </si>
  <si>
    <t>Liquidity ratio (x)</t>
  </si>
  <si>
    <t>Shareholders liquidity ratio (x)</t>
  </si>
  <si>
    <t>Solvency ratio (Asset based) (%)</t>
  </si>
  <si>
    <t>Solvency ratio (Liability based) (%)</t>
  </si>
  <si>
    <t>Gearing (%)</t>
  </si>
  <si>
    <t>n.s.</t>
  </si>
  <si>
    <t>Per employee ratios</t>
  </si>
  <si>
    <t>Profit per employee (th.)</t>
  </si>
  <si>
    <t>Operating revenue per employee (th.)</t>
  </si>
  <si>
    <t>Costs of employees / Operating revenue (%)</t>
  </si>
  <si>
    <t>Average cost of employee (th.)</t>
  </si>
  <si>
    <t>Shareholders funds per employee (th.)</t>
  </si>
  <si>
    <t>Working capital per employee (th.)</t>
  </si>
  <si>
    <t>Total assets per employee (th.)</t>
  </si>
  <si>
    <t>Agent Provocateur</t>
  </si>
  <si>
    <t>Operating Model</t>
  </si>
  <si>
    <t>(GBP in millions)</t>
  </si>
  <si>
    <t>Fiscal Year Ended March 31st,</t>
  </si>
  <si>
    <t>31/03/2015
th GBP</t>
  </si>
  <si>
    <t>Revenue</t>
  </si>
  <si>
    <t>% growth</t>
  </si>
  <si>
    <t>Cost of goods</t>
  </si>
  <si>
    <t>% of sales</t>
  </si>
  <si>
    <t>% margin</t>
  </si>
  <si>
    <t>SG&amp;A</t>
  </si>
  <si>
    <t>D&amp;A</t>
  </si>
  <si>
    <t>EBIT</t>
  </si>
  <si>
    <t>Net interest income / (expense)</t>
  </si>
  <si>
    <t>Profit Before Tax</t>
  </si>
  <si>
    <t>Tax</t>
  </si>
  <si>
    <t>ETR</t>
  </si>
  <si>
    <t>Net Income</t>
  </si>
  <si>
    <t>Cash and equivalents</t>
  </si>
  <si>
    <t>Agent Provocateur Limited &gt; Private Company Financials &gt; Balance Sheet</t>
  </si>
  <si>
    <t>In Millions of the reported currency.</t>
  </si>
  <si>
    <t>Period:</t>
  </si>
  <si>
    <t>Annual</t>
  </si>
  <si>
    <t> </t>
  </si>
  <si>
    <t>Order:</t>
  </si>
  <si>
    <t>Latest on Right</t>
  </si>
  <si>
    <t>Currency:</t>
  </si>
  <si>
    <t>Reported Currency</t>
  </si>
  <si>
    <t>Conversion:</t>
  </si>
  <si>
    <t>Historical</t>
  </si>
  <si>
    <t>Units:</t>
  </si>
  <si>
    <t>S&amp;P Capital IQ (Default)</t>
  </si>
  <si>
    <t>Decimals:</t>
  </si>
  <si>
    <t>Capital IQ (Default)</t>
  </si>
  <si>
    <t>Balance Sheet</t>
  </si>
  <si>
    <t xml:space="preserve">For the Fiscal Period Ending
</t>
  </si>
  <si>
    <t>Currency</t>
  </si>
  <si>
    <t>GBP</t>
  </si>
  <si>
    <t>ASSETS</t>
  </si>
  <si>
    <t>Cash And Equivalents</t>
  </si>
  <si>
    <t xml:space="preserve">  Total Cash &amp; ST Investments</t>
  </si>
  <si>
    <t>Accounts Receivable</t>
  </si>
  <si>
    <t>Other Receivables</t>
  </si>
  <si>
    <t xml:space="preserve">  Total Receivables</t>
  </si>
  <si>
    <t>Inventory</t>
  </si>
  <si>
    <t>Prepaid Exp.</t>
  </si>
  <si>
    <t>Other Current Assets</t>
  </si>
  <si>
    <t xml:space="preserve">  Total Current Assets</t>
  </si>
  <si>
    <t>Gross Property, Plant &amp; Equipment</t>
  </si>
  <si>
    <t xml:space="preserve">  Net Property, Plant &amp; Equipment</t>
  </si>
  <si>
    <t>Other Intangibles</t>
  </si>
  <si>
    <t>Total Assets</t>
  </si>
  <si>
    <t>LIABILITIES</t>
  </si>
  <si>
    <t>Accounts Payable</t>
  </si>
  <si>
    <t>Accrued Exp.</t>
  </si>
  <si>
    <t>Short-term Borrowings</t>
  </si>
  <si>
    <t>Curr. Port. of Cap. Leases</t>
  </si>
  <si>
    <t>Curr. Income Taxes Payable</t>
  </si>
  <si>
    <t>Other Current Liabilities</t>
  </si>
  <si>
    <t xml:space="preserve">  Total Current Liabilities</t>
  </si>
  <si>
    <t>Long-Term Debt</t>
  </si>
  <si>
    <t>Capital Leases</t>
  </si>
  <si>
    <t>Other Non-Current Liabilities</t>
  </si>
  <si>
    <t>Total Liabilities</t>
  </si>
  <si>
    <t>Common Stock</t>
  </si>
  <si>
    <t>Additional Paid In Capital</t>
  </si>
  <si>
    <t>Retained Earnings</t>
  </si>
  <si>
    <t xml:space="preserve">  Total Common Equity</t>
  </si>
  <si>
    <t>Total Equity</t>
  </si>
  <si>
    <t>Total Liabilities And Equity</t>
  </si>
  <si>
    <t>Supplemental Items</t>
  </si>
  <si>
    <t>Total Debt</t>
  </si>
  <si>
    <t>Net Debt</t>
  </si>
  <si>
    <t>Machinery</t>
  </si>
  <si>
    <t>As Reported Items</t>
  </si>
  <si>
    <t>Cash and Liquid Assets</t>
  </si>
  <si>
    <t>Trade Debtors</t>
  </si>
  <si>
    <t>Net Stocks and Work in Progress</t>
  </si>
  <si>
    <t>Total Current Assets</t>
  </si>
  <si>
    <t>Intangibles</t>
  </si>
  <si>
    <t>Trade Creditors</t>
  </si>
  <si>
    <t>Total Current Liabilities</t>
  </si>
  <si>
    <t>Issued Capital</t>
  </si>
  <si>
    <t>Net Worth</t>
  </si>
  <si>
    <t xml:space="preserve"> </t>
  </si>
  <si>
    <t>Consolidation</t>
  </si>
  <si>
    <t xml:space="preserve">
               </t>
  </si>
  <si>
    <t>Accounts receivable</t>
  </si>
  <si>
    <t>Other current assets</t>
  </si>
  <si>
    <t>0</t>
  </si>
  <si>
    <t>Total current assets</t>
  </si>
  <si>
    <t>PP&amp;E, net</t>
  </si>
  <si>
    <t>Goodwill</t>
  </si>
  <si>
    <t>Total non-current assets</t>
  </si>
  <si>
    <t>Total assets</t>
  </si>
  <si>
    <t>Accounts payable</t>
  </si>
  <si>
    <t>Other current liabilities</t>
  </si>
  <si>
    <t>Total current liabilities</t>
  </si>
  <si>
    <t>Debt</t>
  </si>
  <si>
    <t>New acquisition debt</t>
  </si>
  <si>
    <t>Other non-current liabilities</t>
  </si>
  <si>
    <t>Total non-current liabilities</t>
  </si>
  <si>
    <t>Retained earnings</t>
  </si>
  <si>
    <t>Other equity</t>
  </si>
  <si>
    <t>Total equity</t>
  </si>
  <si>
    <t>L + OE</t>
  </si>
  <si>
    <t>Total liabilities</t>
  </si>
  <si>
    <t>CHECK &gt;&gt;&gt;</t>
  </si>
  <si>
    <t>Working Capital Schedule</t>
  </si>
  <si>
    <t>Net working capital</t>
  </si>
  <si>
    <t>(Increase) / decrease in NWC</t>
  </si>
  <si>
    <t>Cash Flow Statement</t>
  </si>
  <si>
    <t>Add: D&amp;A</t>
  </si>
  <si>
    <t>+ / - Change in NWC</t>
  </si>
  <si>
    <t>Less: CapEx</t>
  </si>
  <si>
    <t>Cash flow available for debt service</t>
  </si>
  <si>
    <t>Looking for GBP 200m valuation</t>
  </si>
  <si>
    <t>17% same store sales growth since January</t>
  </si>
  <si>
    <t>Year</t>
  </si>
  <si>
    <t>Sponsor</t>
  </si>
  <si>
    <t>Target</t>
  </si>
  <si>
    <t>EBITDA multiple</t>
  </si>
  <si>
    <t xml:space="preserve">10x 2006 </t>
  </si>
  <si>
    <t>Valentino</t>
  </si>
  <si>
    <t>Permira</t>
  </si>
  <si>
    <t>TowerBrook</t>
  </si>
  <si>
    <t>Jimmy Choo</t>
  </si>
  <si>
    <t>13x 2006</t>
  </si>
  <si>
    <t>Apax Partners</t>
  </si>
  <si>
    <t>Tommy Hilfiger</t>
  </si>
  <si>
    <t>8.3x 2005</t>
  </si>
  <si>
    <t>25x 2012</t>
  </si>
  <si>
    <t>Permira exited to a Qatar family for EUR710mm</t>
  </si>
  <si>
    <t>http://www.bloomberg.com/apps/news?pid=newsarchive&amp;sid=aq5rICEzlVCU&amp;refer=home</t>
  </si>
  <si>
    <t>Stake</t>
  </si>
  <si>
    <t>Price</t>
  </si>
  <si>
    <t>Implied Valuation</t>
  </si>
  <si>
    <t>Blackstone</t>
  </si>
  <si>
    <t>Versace</t>
  </si>
  <si>
    <t>$1.5bn</t>
  </si>
  <si>
    <t>Moncler?</t>
  </si>
  <si>
    <t>3i</t>
  </si>
  <si>
    <t>GBP60m</t>
  </si>
  <si>
    <t>$3.5bn</t>
  </si>
  <si>
    <t>includes Hugo Boss</t>
  </si>
  <si>
    <t>JH Partners</t>
  </si>
  <si>
    <t>La Perla</t>
  </si>
  <si>
    <t>$400m</t>
  </si>
  <si>
    <t>Current assets - current liabilities</t>
  </si>
  <si>
    <t>Average 2012 - 2015</t>
  </si>
  <si>
    <t>Disbursement / (Repayment) of Debt</t>
  </si>
  <si>
    <t>Beginning Cash Balance</t>
  </si>
  <si>
    <t>Ending Cash Balance</t>
  </si>
  <si>
    <t>Change in Cash</t>
  </si>
  <si>
    <t>I've assumed SG&amp;A is "OpEx" in the Amadeus data including D&amp;A and stripped it out</t>
  </si>
  <si>
    <t>Discounted Cash Flow</t>
  </si>
  <si>
    <t>Less: D&amp;A</t>
  </si>
  <si>
    <t>NOPAT</t>
  </si>
  <si>
    <t>Free Cash Flow</t>
  </si>
  <si>
    <t>WACC</t>
  </si>
  <si>
    <t>Rf</t>
  </si>
  <si>
    <t>Market Risk Premium</t>
  </si>
  <si>
    <t>Company Comparable Analysis &gt;  My Agent Provocateur Limited Quick Comp (IQ301481827) &gt; Trading Multiples</t>
  </si>
  <si>
    <t>Details</t>
  </si>
  <si>
    <t>Template:</t>
  </si>
  <si>
    <t>US Dollar</t>
  </si>
  <si>
    <t>As-Of Date:</t>
  </si>
  <si>
    <t>Company Comp Set</t>
  </si>
  <si>
    <t>Company Name</t>
  </si>
  <si>
    <t>TEV/Total Revenues LTM - Latest</t>
  </si>
  <si>
    <t>TEV/EBITDA LTM - Latest</t>
  </si>
  <si>
    <t>TEV/EBIT LTM - Latest</t>
  </si>
  <si>
    <t>P/Diluted EPS Before Extra LTM - Latest</t>
  </si>
  <si>
    <t>P/TangBV LTM - Latest</t>
  </si>
  <si>
    <t xml:space="preserve">NTM TEV/Forward Total Revenue (Capital IQ) </t>
  </si>
  <si>
    <t xml:space="preserve">NTM TEV/Forward EBITDA (Capital IQ) </t>
  </si>
  <si>
    <t xml:space="preserve">NTM Forward P/E (Capital IQ) </t>
  </si>
  <si>
    <t>Moncler S.p.A. (BIT:MONC)</t>
  </si>
  <si>
    <t>Michael Kors Holdings Limited (NYSE:KORS)</t>
  </si>
  <si>
    <t>PVH Corp. (NYSE:PVH)</t>
  </si>
  <si>
    <t>NM</t>
  </si>
  <si>
    <t>Ralph Lauren Corporation (NYSE:RL)</t>
  </si>
  <si>
    <t>Kering SA (ENXTPA:KER)</t>
  </si>
  <si>
    <t>Hugo Boss AG (DB:BOSS)</t>
  </si>
  <si>
    <t>Burberry Group plc (LSE:BRBY)</t>
  </si>
  <si>
    <t>Salvatore Ferragamo SpA (BIT:SFER)</t>
  </si>
  <si>
    <t>Agent Provocateur Limited</t>
  </si>
  <si>
    <t>-</t>
  </si>
  <si>
    <t>Summary Statistics</t>
  </si>
  <si>
    <t>High</t>
  </si>
  <si>
    <t>Low</t>
  </si>
  <si>
    <t>Mean</t>
  </si>
  <si>
    <t>Median</t>
  </si>
  <si>
    <t>Excel Comp Set ID: IQ301481827</t>
  </si>
  <si>
    <t>All values in millions, except per share data and ratios.</t>
  </si>
  <si>
    <t>Values converted at today's spot rate.</t>
  </si>
  <si>
    <t>Historical Equity Pricing Data supplied by</t>
  </si>
  <si>
    <t>Company Comparable Analysis &gt;  My Agent Provocateur Limited Quick Comp (IQ301481827) &gt; Operating Statistics</t>
  </si>
  <si>
    <t xml:space="preserve">LTM Gross Margin % </t>
  </si>
  <si>
    <t xml:space="preserve">LTM EBITDA Margin % </t>
  </si>
  <si>
    <t xml:space="preserve">LTM EBIT Margin % </t>
  </si>
  <si>
    <t xml:space="preserve">LTM Net Income Margin % </t>
  </si>
  <si>
    <t xml:space="preserve">LTM Total Revenues, 1 Yr Growth % </t>
  </si>
  <si>
    <t xml:space="preserve">LTM EBITDA, 1 Yr Growth % </t>
  </si>
  <si>
    <t xml:space="preserve">LTM EBIT, 1 Yr Growth % </t>
  </si>
  <si>
    <t xml:space="preserve">LTM Net Income, 1 Yr Growth % </t>
  </si>
  <si>
    <t>LTM Total Debt/Capital %</t>
  </si>
  <si>
    <t>LTM Total Equity / Capital %</t>
  </si>
  <si>
    <t>Debt / Equity</t>
  </si>
  <si>
    <t xml:space="preserve">LTM Total Debt/EBITDA </t>
  </si>
  <si>
    <t xml:space="preserve">NTM LT EPS Growth Rate (Capital IQ) </t>
  </si>
  <si>
    <t>5 Year Beta</t>
  </si>
  <si>
    <t>Unlevered Beta</t>
  </si>
  <si>
    <t>Median Unlevered Beta</t>
  </si>
  <si>
    <t>http://www.bloomberg.com/markets/rates-bonds/government-bonds/uk/</t>
  </si>
  <si>
    <t>UK Gilt 30 yr</t>
  </si>
  <si>
    <t>Equity</t>
  </si>
  <si>
    <t>Relevered Beta</t>
  </si>
  <si>
    <t>Assumed for now</t>
  </si>
  <si>
    <t>Unsaved Template #1</t>
  </si>
  <si>
    <t xml:space="preserve">FY+1 TEV/Forward EBITDA (Capital IQ) </t>
  </si>
  <si>
    <t xml:space="preserve">FY+1 Forward P/E (Capital IQ) </t>
  </si>
  <si>
    <t xml:space="preserve">FY+1 Revenue (Capital IQ) </t>
  </si>
  <si>
    <t xml:space="preserve">FY+2 Revenue (Capital IQ) </t>
  </si>
  <si>
    <t xml:space="preserve">FY+1 EBITDA (Capital IQ) </t>
  </si>
  <si>
    <t xml:space="preserve">FY+2 EBITDA (Capital IQ) </t>
  </si>
  <si>
    <t xml:space="preserve">FY+1 EBIT (Capital IQ) </t>
  </si>
  <si>
    <t xml:space="preserve">FY+2 EBIT (Capital IQ) </t>
  </si>
  <si>
    <t xml:space="preserve">FY+1 Net Income (GAAP) (Capital IQ) </t>
  </si>
  <si>
    <t xml:space="preserve">FY+2 Net Income (GAAP) (Capital IQ) </t>
  </si>
  <si>
    <t>L Brands, Inc. (NYSE:LB)</t>
  </si>
  <si>
    <t>Displaying 10 Companies.</t>
  </si>
  <si>
    <t xml:space="preserve">FY+1 Capital Expenditure (Capital IQ) </t>
  </si>
  <si>
    <t xml:space="preserve">FY+2 Capital Expenditure (Capital IQ) </t>
  </si>
  <si>
    <t>LTM Total Debt / Equity</t>
  </si>
  <si>
    <t>Tax Rate</t>
  </si>
  <si>
    <t>Cost of Debt (Kd)</t>
  </si>
  <si>
    <t>Median from comps</t>
  </si>
  <si>
    <t>Tax rate</t>
  </si>
  <si>
    <t>1-Year LIBOR</t>
  </si>
  <si>
    <t>2015A</t>
  </si>
  <si>
    <t>Earnings</t>
  </si>
  <si>
    <t>LTM</t>
  </si>
  <si>
    <t>Enterprise Value</t>
  </si>
  <si>
    <t>Equity Value</t>
  </si>
  <si>
    <t>Cash</t>
  </si>
  <si>
    <t>Implied EV</t>
  </si>
  <si>
    <t>TV</t>
  </si>
  <si>
    <t>Minimum</t>
  </si>
  <si>
    <t>Range</t>
  </si>
  <si>
    <t>Precedent</t>
  </si>
  <si>
    <t>2016E EBITDA</t>
  </si>
  <si>
    <t>2016E Earnings</t>
  </si>
  <si>
    <t>FY+1</t>
  </si>
  <si>
    <t>UK</t>
  </si>
  <si>
    <t>US</t>
  </si>
  <si>
    <t>Other</t>
  </si>
  <si>
    <t>Total</t>
  </si>
  <si>
    <t>Spread</t>
  </si>
  <si>
    <t>Cost</t>
  </si>
  <si>
    <t>Sources and Uses</t>
  </si>
  <si>
    <t>Sources of Funds</t>
  </si>
  <si>
    <t>x EBITDA</t>
  </si>
  <si>
    <t>% of Total</t>
  </si>
  <si>
    <t>Uses of Funds</t>
  </si>
  <si>
    <t>Less: Debt</t>
  </si>
  <si>
    <t>Plus: Cash</t>
  </si>
  <si>
    <t>Purchase of Equity</t>
  </si>
  <si>
    <t>Adj</t>
  </si>
  <si>
    <t>2015PF</t>
  </si>
  <si>
    <t>Debt Structure</t>
  </si>
  <si>
    <t>TLB</t>
  </si>
  <si>
    <t>Mezzanine</t>
  </si>
  <si>
    <t>2016E</t>
  </si>
  <si>
    <t>Reduce by 5% YoY</t>
  </si>
  <si>
    <t>Store Rollout</t>
  </si>
  <si>
    <t>2017E</t>
  </si>
  <si>
    <t>2018E</t>
  </si>
  <si>
    <t>2019E</t>
  </si>
  <si>
    <t>2020E</t>
  </si>
  <si>
    <t>2021E</t>
  </si>
  <si>
    <t>Intangible assets</t>
  </si>
  <si>
    <t>Online grew 30%, but how do we project?</t>
  </si>
  <si>
    <t>Revenue USA</t>
  </si>
  <si>
    <t>Revenue UK</t>
  </si>
  <si>
    <t>Revenue other countries</t>
  </si>
  <si>
    <t>Stores in USA</t>
  </si>
  <si>
    <t>Stores in UK</t>
  </si>
  <si>
    <t>Stores in other countries</t>
  </si>
  <si>
    <t>Average profitiability USA</t>
  </si>
  <si>
    <t>Average profitability UK</t>
  </si>
  <si>
    <t>Average profitability other countries</t>
  </si>
  <si>
    <t>Total Revenue</t>
  </si>
  <si>
    <t>Like for like growth</t>
  </si>
  <si>
    <t>Blended / store</t>
  </si>
  <si>
    <t>Weight US</t>
  </si>
  <si>
    <t>Weight UK</t>
  </si>
  <si>
    <t>Weight other</t>
  </si>
  <si>
    <t>Ramp up US</t>
  </si>
  <si>
    <t>Ramp up in UK</t>
  </si>
  <si>
    <t>Ramp up in RoW</t>
  </si>
  <si>
    <t>CapEx</t>
  </si>
  <si>
    <t>Intangible Assets</t>
  </si>
  <si>
    <t>Key Money</t>
  </si>
  <si>
    <t>Per store</t>
  </si>
  <si>
    <t>Total Stores</t>
  </si>
  <si>
    <t>New Stores</t>
  </si>
  <si>
    <t>Franchise cost</t>
  </si>
  <si>
    <t>Trademark</t>
  </si>
  <si>
    <t>Total addition to intangibles</t>
  </si>
  <si>
    <t>Tangible assets</t>
  </si>
  <si>
    <t>Shorthold lease improvement</t>
  </si>
  <si>
    <t>Website development</t>
  </si>
  <si>
    <t>Fixtures and fittings</t>
  </si>
  <si>
    <t>Motor vehicles</t>
  </si>
  <si>
    <t>Total addition to PP&amp;E</t>
  </si>
  <si>
    <t>Less: Addition to intangibles</t>
  </si>
  <si>
    <t>Depreciation</t>
  </si>
  <si>
    <t>Amortization</t>
  </si>
  <si>
    <t>Total D&amp;A</t>
  </si>
  <si>
    <t>Average # of employees</t>
  </si>
  <si>
    <t>Wages</t>
  </si>
  <si>
    <t>Social security</t>
  </si>
  <si>
    <t>Increase</t>
  </si>
  <si>
    <t>Avg / Store</t>
  </si>
  <si>
    <t>Average per employee</t>
  </si>
  <si>
    <t># of Employees</t>
  </si>
  <si>
    <t>Salary costs</t>
  </si>
  <si>
    <t>Salary</t>
  </si>
  <si>
    <t>Administrative</t>
  </si>
  <si>
    <t>% of total</t>
  </si>
  <si>
    <t>Total SG&amp;A</t>
  </si>
  <si>
    <t>Avg</t>
  </si>
  <si>
    <t>(Salary cost / Salary Cost as a % of SG&amp;A)</t>
  </si>
  <si>
    <t>LTM EBITDA Calculation (May)</t>
  </si>
  <si>
    <t xml:space="preserve">daily mail , 20 stores per year for next 3 years </t>
  </si>
  <si>
    <t>D&amp;A % of PP&amp;E</t>
  </si>
  <si>
    <t>depreciate existing PP&amp;E at average of D&amp;A % of PP&amp;E for 3 years, 7% in 4th year</t>
  </si>
  <si>
    <t>http://www.dailymail.co.uk/wires/reuters/article-2775151/Agent-Provocateur-CEO-says-luxury-lingerie-brand-bucks-slowdown.html</t>
  </si>
  <si>
    <t>After 3 years</t>
  </si>
  <si>
    <t>Debt Schedule</t>
  </si>
  <si>
    <t>(Repayment) / Disbursement</t>
  </si>
  <si>
    <t>AR Days</t>
  </si>
  <si>
    <t>AP Days</t>
  </si>
  <si>
    <t>Inventory Days</t>
  </si>
  <si>
    <t>Precedent 2016E EBITDA</t>
  </si>
  <si>
    <t>LIBOR</t>
  </si>
  <si>
    <t>PIK</t>
  </si>
  <si>
    <t>Pricing</t>
  </si>
  <si>
    <t>All-In</t>
  </si>
  <si>
    <t>Working Capital Drivers</t>
  </si>
  <si>
    <t>Term</t>
  </si>
  <si>
    <t>TLB Beginning Balance</t>
  </si>
  <si>
    <t>Ending Balance</t>
  </si>
  <si>
    <t>Interest</t>
  </si>
  <si>
    <t>Mezzanine Beginning Balance</t>
  </si>
  <si>
    <t>Add: Non-cash expenses</t>
  </si>
  <si>
    <t>This is adding back the PIK so BS balances</t>
  </si>
  <si>
    <t>Fees</t>
  </si>
  <si>
    <t>of EV</t>
  </si>
  <si>
    <t>Net Debt / EBITDA</t>
  </si>
  <si>
    <t>Total Debt / EBITDA</t>
  </si>
  <si>
    <t>Total Debt / EBITDA - CapEx</t>
  </si>
  <si>
    <t>Net Debt / EBITDA - CapEx</t>
  </si>
  <si>
    <t>EBITDA / Interest Expense</t>
  </si>
  <si>
    <t>Returns Analysis</t>
  </si>
  <si>
    <t>Implied Enterprise Value</t>
  </si>
  <si>
    <t>Implied Equity Value</t>
  </si>
  <si>
    <t>Add: Cash</t>
  </si>
  <si>
    <t>Sponsor Ownership</t>
  </si>
  <si>
    <t>Equity to Sponsor</t>
  </si>
  <si>
    <t>IRR Analysis</t>
  </si>
  <si>
    <t>Refinance Net Debt</t>
  </si>
  <si>
    <t>Van de Velde Multiple</t>
  </si>
  <si>
    <t>LTM Revenue</t>
  </si>
  <si>
    <t>LTM EBITDA</t>
  </si>
  <si>
    <t>LTM EBIT</t>
  </si>
  <si>
    <t>LTM Earnings</t>
  </si>
  <si>
    <t>FY+1 Revenue</t>
  </si>
  <si>
    <t>FY+1 EBITDA</t>
  </si>
  <si>
    <t>Precedent Revenue</t>
  </si>
  <si>
    <t>Precedent EBITDA</t>
  </si>
  <si>
    <t>Accrued Balance</t>
  </si>
  <si>
    <t>(Repayment) / Disbursement of Debt</t>
  </si>
  <si>
    <t>Remaining Cash</t>
  </si>
  <si>
    <t>Cash Multiple</t>
  </si>
  <si>
    <t>2015A EBITDA</t>
  </si>
  <si>
    <t>From Fund</t>
  </si>
  <si>
    <t>From Mgmt</t>
  </si>
  <si>
    <t>Free Cash Flow Conversion</t>
  </si>
  <si>
    <t>Entry Multiple</t>
  </si>
  <si>
    <t>Unlevered Cost of Equity</t>
  </si>
  <si>
    <t>Less: Additions to intangibles</t>
  </si>
  <si>
    <t>Discount Factor</t>
  </si>
  <si>
    <t>PV of FCF</t>
  </si>
  <si>
    <t>Terminal Value</t>
  </si>
  <si>
    <t>Interest Expense</t>
  </si>
  <si>
    <t>Tax Savings</t>
  </si>
  <si>
    <t>Weighted Avg Cost of Debt</t>
  </si>
  <si>
    <t>PV of Tax Savings</t>
  </si>
  <si>
    <t>Add: Non-Cash Expense</t>
  </si>
  <si>
    <t>APV</t>
  </si>
  <si>
    <t>Fund Equity</t>
  </si>
  <si>
    <t>Management Equity</t>
  </si>
  <si>
    <t>http://people.stern.nyu.edu/adamodar/pdfiles/eqnotes/pvt.pdf</t>
  </si>
  <si>
    <t>Management</t>
  </si>
  <si>
    <t>Cash Flow Available for Debt Service</t>
  </si>
  <si>
    <t>Term Loan B</t>
  </si>
  <si>
    <t>TLB Cumulative Paydown</t>
  </si>
  <si>
    <t>EBITDA Margin</t>
  </si>
  <si>
    <t>Number of Stores</t>
  </si>
  <si>
    <t>COGS</t>
  </si>
  <si>
    <t>Incremental Revenue</t>
  </si>
  <si>
    <t>Revenue Growth '16 - '19</t>
  </si>
  <si>
    <t>COGS '16 - '19</t>
  </si>
  <si>
    <t>SG&amp;A '16 - '19</t>
  </si>
  <si>
    <t>2019E EBITDA</t>
  </si>
  <si>
    <t>Same Store Sales Growth</t>
  </si>
  <si>
    <t>Receivables Days</t>
  </si>
  <si>
    <t>Payables Days</t>
  </si>
  <si>
    <t>Base Case</t>
  </si>
  <si>
    <t>Exit Year</t>
  </si>
  <si>
    <t>Exit Multiple</t>
  </si>
  <si>
    <t>IRR</t>
  </si>
  <si>
    <t>CoC Multiple</t>
  </si>
  <si>
    <t>PE Equity</t>
  </si>
  <si>
    <t>x 2015A EBITDA</t>
  </si>
  <si>
    <t>x 2016E EBITDA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</si>
</sst>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0&quot;A&quot;"/>
    <numFmt numFmtId="166" formatCode="0&quot;E&quot;"/>
    <numFmt numFmtId="167" formatCode="#,##0.0_)_%_x;\(#,##0.0\)_%_x;&quot;--&quot;_)_%_x"/>
    <numFmt numFmtId="168" formatCode="#,##0.000_);\(#,##0.000\)"/>
    <numFmt numFmtId="169" formatCode="#,##0.0%_)_x;\(#,##0.0%\)_x;&quot;--&quot;_%_)_x"/>
    <numFmt numFmtId="170" formatCode="mmm\-dd\-yyyy"/>
    <numFmt numFmtId="171" formatCode="_(\ #,##0.0_);_(\ \(#,##0.0\)_);_(\ &quot; - &quot;_)"/>
    <numFmt numFmtId="172" formatCode="#,##0.0\x"/>
    <numFmt numFmtId="173" formatCode="#,##0.00\x"/>
    <numFmt numFmtId="174" formatCode="_(#,##0.0%_);_(\(#,##0.0%\)_);_(#,##0.0%_)"/>
    <numFmt numFmtId="175" formatCode="_(#,##0.00%_);_(\(#,##0.00%\)_);_(#,##0.00%_)"/>
    <numFmt numFmtId="176" formatCode="_(\ #,##0.0#_);_(\(\ #,##0.0#\)_);_(\ &quot; - &quot;_)"/>
    <numFmt numFmtId="177" formatCode="0.0%"/>
    <numFmt numFmtId="178" formatCode="#,##0.000000000_)_%_x;\(#,##0.000000000\)_%_x;&quot;--&quot;_)_%_x"/>
    <numFmt numFmtId="179" formatCode="#,##0.0_);\(#,##0.0\)"/>
    <numFmt numFmtId="180" formatCode="#,##0_)_%_x;\(#,##0\)_%_x;&quot;--&quot;_)_%_x"/>
    <numFmt numFmtId="181" formatCode="&quot;2016E&quot;"/>
  </numFmts>
  <fonts count="9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.5"/>
      <color indexed="56"/>
      <name val="Verdana"/>
      <family val="2"/>
    </font>
    <font>
      <b/>
      <sz val="8.5"/>
      <color indexed="63"/>
      <name val="Verdana"/>
      <family val="2"/>
    </font>
    <font>
      <sz val="8.5"/>
      <color indexed="8"/>
      <name val="Verdana"/>
      <family val="2"/>
    </font>
    <font>
      <sz val="8.5"/>
      <color indexed="63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3"/>
      <color indexed="8"/>
      <name val="Verdana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Verdana"/>
      <family val="2"/>
    </font>
    <font>
      <sz val="1"/>
      <color indexed="9"/>
      <name val="Symbol"/>
      <family val="1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u val="doub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Verdana"/>
      <family val="2"/>
    </font>
    <font>
      <b/>
      <u val="singleAccounting"/>
      <sz val="8"/>
      <color indexed="8"/>
      <name val="Arial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Calibri"/>
      <family val="2"/>
    </font>
    <font>
      <i/>
      <sz val="9"/>
      <color indexed="56"/>
      <name val="Arial"/>
      <family val="2"/>
    </font>
    <font>
      <b/>
      <sz val="10"/>
      <color indexed="8"/>
      <name val="Arial"/>
      <family val="2"/>
    </font>
    <font>
      <b/>
      <sz val="8"/>
      <color indexed="56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56"/>
      <name val="Arial"/>
      <family val="2"/>
    </font>
    <font>
      <sz val="8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rgb="FF333333"/>
      <name val="Verdana"/>
      <family val="2"/>
    </font>
    <font>
      <sz val="8.5"/>
      <color rgb="FF000000"/>
      <name val="Verdana"/>
      <family val="2"/>
    </font>
    <font>
      <sz val="8.5"/>
      <color rgb="FF333333"/>
      <name val="Verdana"/>
      <family val="2"/>
    </font>
    <font>
      <b/>
      <sz val="10.5"/>
      <color rgb="FF003366"/>
      <name val="Verdana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11"/>
      <color rgb="FF000000"/>
      <name val="Calibri"/>
      <family val="2"/>
    </font>
    <font>
      <i/>
      <sz val="9"/>
      <color rgb="FF00206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206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002060"/>
      <name val="Arial"/>
      <family val="2"/>
    </font>
    <font>
      <sz val="8"/>
      <color rgb="FF00206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D6D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CCCCCC"/>
      </bottom>
    </border>
    <border>
      <left/>
      <right/>
      <top/>
      <bottom style="hair"/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hair"/>
      <right/>
      <top style="hair"/>
      <bottom/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" fillId="0" borderId="0" applyAlignment="0">
      <protection/>
    </xf>
    <xf numFmtId="0" fontId="60" fillId="28" borderId="2" applyNumberFormat="0" applyAlignment="0" applyProtection="0"/>
    <xf numFmtId="0" fontId="23" fillId="0" borderId="0" applyAlignment="0">
      <protection/>
    </xf>
    <xf numFmtId="0" fontId="23" fillId="0" borderId="0" applyAlignment="0">
      <protection/>
    </xf>
    <xf numFmtId="0" fontId="23" fillId="0" borderId="0" applyAlignment="0">
      <protection/>
    </xf>
    <xf numFmtId="0" fontId="23" fillId="0" borderId="0" applyAlignment="0">
      <protection/>
    </xf>
    <xf numFmtId="0" fontId="24" fillId="29" borderId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1" applyNumberFormat="0" applyAlignment="0" applyProtection="0"/>
    <xf numFmtId="0" fontId="18" fillId="0" borderId="0" applyAlignment="0">
      <protection/>
    </xf>
    <xf numFmtId="0" fontId="67" fillId="0" borderId="6" applyNumberFormat="0" applyFill="0" applyAlignment="0" applyProtection="0"/>
    <xf numFmtId="0" fontId="68" fillId="32" borderId="0" applyNumberFormat="0" applyBorder="0" applyAlignment="0" applyProtection="0"/>
    <xf numFmtId="0" fontId="25" fillId="33" borderId="0" applyAlignment="0">
      <protection/>
    </xf>
    <xf numFmtId="0" fontId="26" fillId="34" borderId="0" applyAlignment="0">
      <protection/>
    </xf>
    <xf numFmtId="0" fontId="27" fillId="0" borderId="0" applyAlignment="0">
      <protection/>
    </xf>
    <xf numFmtId="0" fontId="11" fillId="0" borderId="0">
      <alignment/>
      <protection/>
    </xf>
    <xf numFmtId="0" fontId="0" fillId="35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17" fillId="36" borderId="0" applyAlignment="0">
      <protection/>
    </xf>
    <xf numFmtId="0" fontId="28" fillId="0" borderId="0" applyAlignment="0">
      <protection/>
    </xf>
    <xf numFmtId="0" fontId="29" fillId="0" borderId="0" applyAlignment="0">
      <protection/>
    </xf>
    <xf numFmtId="0" fontId="19" fillId="0" borderId="0" applyAlignment="0">
      <protection/>
    </xf>
    <xf numFmtId="0" fontId="30" fillId="0" borderId="0" applyAlignment="0">
      <protection/>
    </xf>
    <xf numFmtId="0" fontId="16" fillId="0" borderId="0" applyAlignment="0">
      <protection/>
    </xf>
    <xf numFmtId="0" fontId="70" fillId="0" borderId="0" applyNumberFormat="0" applyFill="0" applyBorder="0" applyAlignment="0" applyProtection="0"/>
    <xf numFmtId="0" fontId="12" fillId="0" borderId="0" applyAlignment="0">
      <protection/>
    </xf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37" borderId="0" xfId="0" applyFill="1" applyAlignment="1">
      <alignment/>
    </xf>
    <xf numFmtId="0" fontId="0" fillId="38" borderId="10" xfId="0" applyFill="1" applyBorder="1" applyAlignment="1">
      <alignment/>
    </xf>
    <xf numFmtId="0" fontId="73" fillId="38" borderId="10" xfId="0" applyFont="1" applyFill="1" applyBorder="1" applyAlignment="1">
      <alignment horizontal="left" vertical="top" wrapText="1"/>
    </xf>
    <xf numFmtId="0" fontId="0" fillId="27" borderId="10" xfId="0" applyFill="1" applyBorder="1" applyAlignment="1">
      <alignment/>
    </xf>
    <xf numFmtId="0" fontId="74" fillId="27" borderId="10" xfId="0" applyFont="1" applyFill="1" applyBorder="1" applyAlignment="1">
      <alignment horizontal="left" vertical="top" wrapText="1"/>
    </xf>
    <xf numFmtId="0" fontId="75" fillId="27" borderId="10" xfId="0" applyFont="1" applyFill="1" applyBorder="1" applyAlignment="1">
      <alignment horizontal="right" vertical="top" wrapText="1"/>
    </xf>
    <xf numFmtId="0" fontId="0" fillId="37" borderId="10" xfId="0" applyFill="1" applyBorder="1" applyAlignment="1">
      <alignment/>
    </xf>
    <xf numFmtId="0" fontId="75" fillId="37" borderId="10" xfId="0" applyFont="1" applyFill="1" applyBorder="1" applyAlignment="1">
      <alignment horizontal="right" vertical="top" wrapText="1"/>
    </xf>
    <xf numFmtId="0" fontId="0" fillId="37" borderId="10" xfId="0" applyFill="1" applyBorder="1" applyAlignment="1">
      <alignment/>
    </xf>
    <xf numFmtId="0" fontId="74" fillId="37" borderId="10" xfId="0" applyFont="1" applyFill="1" applyBorder="1" applyAlignment="1">
      <alignment horizontal="left" vertical="top" wrapText="1"/>
    </xf>
    <xf numFmtId="164" fontId="75" fillId="37" borderId="10" xfId="0" applyNumberFormat="1" applyFont="1" applyFill="1" applyBorder="1" applyAlignment="1">
      <alignment horizontal="right" vertical="top"/>
    </xf>
    <xf numFmtId="0" fontId="75" fillId="37" borderId="10" xfId="0" applyFont="1" applyFill="1" applyBorder="1" applyAlignment="1">
      <alignment horizontal="right" vertical="top" wrapText="1"/>
    </xf>
    <xf numFmtId="4" fontId="75" fillId="37" borderId="10" xfId="0" applyNumberFormat="1" applyFont="1" applyFill="1" applyBorder="1" applyAlignment="1">
      <alignment horizontal="right" vertical="top"/>
    </xf>
    <xf numFmtId="3" fontId="75" fillId="37" borderId="10" xfId="0" applyNumberFormat="1" applyFont="1" applyFill="1" applyBorder="1" applyAlignment="1">
      <alignment horizontal="right" vertical="top"/>
    </xf>
    <xf numFmtId="0" fontId="76" fillId="37" borderId="0" xfId="0" applyFont="1" applyFill="1" applyAlignment="1">
      <alignment vertical="top" wrapText="1"/>
    </xf>
    <xf numFmtId="0" fontId="0" fillId="37" borderId="0" xfId="0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11" xfId="0" applyFont="1" applyBorder="1" applyAlignment="1">
      <alignment horizontal="centerContinuous"/>
    </xf>
    <xf numFmtId="165" fontId="79" fillId="0" borderId="0" xfId="0" applyNumberFormat="1" applyFont="1" applyAlignment="1">
      <alignment horizontal="center"/>
    </xf>
    <xf numFmtId="0" fontId="79" fillId="0" borderId="0" xfId="0" applyFont="1" applyAlignment="1">
      <alignment horizontal="center"/>
    </xf>
    <xf numFmtId="166" fontId="79" fillId="0" borderId="0" xfId="0" applyNumberFormat="1" applyFont="1" applyAlignment="1">
      <alignment horizontal="center"/>
    </xf>
    <xf numFmtId="0" fontId="80" fillId="0" borderId="12" xfId="0" applyFont="1" applyBorder="1" applyAlignment="1">
      <alignment/>
    </xf>
    <xf numFmtId="167" fontId="80" fillId="0" borderId="0" xfId="0" applyNumberFormat="1" applyFont="1" applyAlignment="1">
      <alignment/>
    </xf>
    <xf numFmtId="168" fontId="80" fillId="0" borderId="0" xfId="0" applyNumberFormat="1" applyFont="1" applyAlignment="1">
      <alignment/>
    </xf>
    <xf numFmtId="169" fontId="81" fillId="0" borderId="0" xfId="0" applyNumberFormat="1" applyFont="1" applyAlignment="1">
      <alignment/>
    </xf>
    <xf numFmtId="0" fontId="12" fillId="0" borderId="0" xfId="65" applyNumberFormat="1" applyFont="1" applyAlignment="1">
      <alignment/>
      <protection/>
    </xf>
    <xf numFmtId="0" fontId="13" fillId="0" borderId="0" xfId="65" applyFont="1">
      <alignment/>
      <protection/>
    </xf>
    <xf numFmtId="0" fontId="14" fillId="0" borderId="0" xfId="65" applyFont="1" applyAlignment="1">
      <alignment wrapText="1"/>
      <protection/>
    </xf>
    <xf numFmtId="0" fontId="15" fillId="0" borderId="0" xfId="65" applyFont="1">
      <alignment/>
      <protection/>
    </xf>
    <xf numFmtId="0" fontId="16" fillId="0" borderId="0" xfId="65" applyNumberFormat="1" applyFont="1" applyAlignment="1">
      <alignment horizontal="left" vertical="top"/>
      <protection/>
    </xf>
    <xf numFmtId="49" fontId="13" fillId="0" borderId="0" xfId="65" applyNumberFormat="1" applyFont="1">
      <alignment/>
      <protection/>
    </xf>
    <xf numFmtId="0" fontId="17" fillId="36" borderId="0" xfId="65" applyFont="1" applyFill="1" applyAlignment="1">
      <alignment/>
      <protection/>
    </xf>
    <xf numFmtId="0" fontId="18" fillId="0" borderId="0" xfId="59" applyFont="1" applyAlignment="1">
      <alignment/>
      <protection/>
    </xf>
    <xf numFmtId="0" fontId="19" fillId="29" borderId="0" xfId="65" applyFont="1" applyFill="1" applyAlignment="1">
      <alignment wrapText="1"/>
      <protection/>
    </xf>
    <xf numFmtId="170" fontId="19" fillId="29" borderId="0" xfId="65" applyNumberFormat="1" applyFont="1" applyFill="1" applyAlignment="1">
      <alignment horizontal="right" wrapText="1"/>
      <protection/>
    </xf>
    <xf numFmtId="0" fontId="20" fillId="29" borderId="0" xfId="65" applyFont="1" applyFill="1" applyAlignment="1">
      <alignment wrapText="1"/>
      <protection/>
    </xf>
    <xf numFmtId="0" fontId="20" fillId="29" borderId="0" xfId="65" applyFont="1" applyFill="1" applyAlignment="1">
      <alignment horizontal="right" wrapText="1"/>
      <protection/>
    </xf>
    <xf numFmtId="0" fontId="19" fillId="0" borderId="0" xfId="65" applyFont="1" applyAlignment="1">
      <alignment horizontal="left" vertical="top"/>
      <protection/>
    </xf>
    <xf numFmtId="0" fontId="16" fillId="0" borderId="0" xfId="65" applyFont="1" applyAlignment="1">
      <alignment horizontal="left" vertical="top"/>
      <protection/>
    </xf>
    <xf numFmtId="171" fontId="16" fillId="0" borderId="0" xfId="65" applyNumberFormat="1" applyFont="1" applyAlignment="1">
      <alignment horizontal="right" vertical="top" wrapText="1"/>
      <protection/>
    </xf>
    <xf numFmtId="171" fontId="19" fillId="0" borderId="13" xfId="65" applyNumberFormat="1" applyFont="1" applyBorder="1" applyAlignment="1">
      <alignment horizontal="right" vertical="top" wrapText="1"/>
      <protection/>
    </xf>
    <xf numFmtId="49" fontId="16" fillId="0" borderId="0" xfId="65" applyNumberFormat="1" applyFont="1" applyAlignment="1">
      <alignment horizontal="right" vertical="top" wrapText="1"/>
      <protection/>
    </xf>
    <xf numFmtId="171" fontId="21" fillId="0" borderId="13" xfId="65" applyNumberFormat="1" applyFont="1" applyBorder="1" applyAlignment="1">
      <alignment horizontal="right" vertical="top" wrapText="1"/>
      <protection/>
    </xf>
    <xf numFmtId="171" fontId="22" fillId="0" borderId="0" xfId="65" applyNumberFormat="1" applyFont="1" applyAlignment="1">
      <alignment horizontal="right" vertical="top" wrapText="1"/>
      <protection/>
    </xf>
    <xf numFmtId="171" fontId="21" fillId="0" borderId="0" xfId="65" applyNumberFormat="1" applyFont="1" applyAlignment="1">
      <alignment horizontal="right" vertical="top" wrapText="1"/>
      <protection/>
    </xf>
    <xf numFmtId="0" fontId="16" fillId="0" borderId="0" xfId="65" applyNumberFormat="1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167" fontId="79" fillId="0" borderId="0" xfId="0" applyNumberFormat="1" applyFont="1" applyAlignment="1">
      <alignment/>
    </xf>
    <xf numFmtId="0" fontId="82" fillId="0" borderId="0" xfId="0" applyFont="1" applyAlignment="1">
      <alignment/>
    </xf>
    <xf numFmtId="0" fontId="79" fillId="39" borderId="0" xfId="0" applyFont="1" applyFill="1" applyAlignment="1">
      <alignment/>
    </xf>
    <xf numFmtId="0" fontId="80" fillId="0" borderId="0" xfId="0" applyFont="1" applyAlignment="1" quotePrefix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37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169" fontId="84" fillId="40" borderId="0" xfId="0" applyNumberFormat="1" applyFont="1" applyFill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 quotePrefix="1">
      <alignment/>
    </xf>
    <xf numFmtId="0" fontId="86" fillId="0" borderId="0" xfId="0" applyFont="1" applyAlignment="1">
      <alignment/>
    </xf>
    <xf numFmtId="167" fontId="85" fillId="0" borderId="0" xfId="0" applyNumberFormat="1" applyFont="1" applyAlignment="1">
      <alignment/>
    </xf>
    <xf numFmtId="0" fontId="87" fillId="0" borderId="11" xfId="0" applyFont="1" applyBorder="1" applyAlignment="1">
      <alignment horizontal="centerContinuous"/>
    </xf>
    <xf numFmtId="0" fontId="87" fillId="0" borderId="0" xfId="0" applyFont="1" applyAlignment="1">
      <alignment/>
    </xf>
    <xf numFmtId="165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166" fontId="86" fillId="0" borderId="0" xfId="0" applyNumberFormat="1" applyFont="1" applyAlignment="1">
      <alignment horizontal="center"/>
    </xf>
    <xf numFmtId="0" fontId="85" fillId="0" borderId="12" xfId="0" applyFont="1" applyBorder="1" applyAlignment="1">
      <alignment/>
    </xf>
    <xf numFmtId="169" fontId="87" fillId="0" borderId="0" xfId="0" applyNumberFormat="1" applyFont="1" applyAlignment="1">
      <alignment/>
    </xf>
    <xf numFmtId="0" fontId="13" fillId="0" borderId="0" xfId="65" applyFont="1" applyAlignment="1">
      <alignment horizontal="left"/>
      <protection/>
    </xf>
    <xf numFmtId="170" fontId="13" fillId="0" borderId="0" xfId="65" applyNumberFormat="1" applyFont="1" applyAlignment="1">
      <alignment horizontal="left"/>
      <protection/>
    </xf>
    <xf numFmtId="0" fontId="19" fillId="29" borderId="0" xfId="65" applyFont="1" applyFill="1" applyAlignment="1">
      <alignment horizontal="left" vertical="top" wrapText="1"/>
      <protection/>
    </xf>
    <xf numFmtId="0" fontId="19" fillId="29" borderId="0" xfId="65" applyFont="1" applyFill="1" applyAlignment="1">
      <alignment horizontal="right" vertical="top" wrapText="1"/>
      <protection/>
    </xf>
    <xf numFmtId="172" fontId="16" fillId="0" borderId="0" xfId="65" applyNumberFormat="1" applyFont="1" applyAlignment="1">
      <alignment horizontal="right" vertical="top" wrapText="1"/>
      <protection/>
    </xf>
    <xf numFmtId="173" fontId="16" fillId="0" borderId="0" xfId="65" applyNumberFormat="1" applyFont="1" applyAlignment="1">
      <alignment horizontal="right" vertical="top" wrapText="1"/>
      <protection/>
    </xf>
    <xf numFmtId="0" fontId="16" fillId="0" borderId="0" xfId="65" applyNumberFormat="1" applyFont="1" applyAlignment="1">
      <alignment horizontal="right" vertical="top" wrapText="1"/>
      <protection/>
    </xf>
    <xf numFmtId="0" fontId="19" fillId="0" borderId="0" xfId="65" applyFont="1" applyAlignment="1">
      <alignment vertical="top" wrapText="1"/>
      <protection/>
    </xf>
    <xf numFmtId="0" fontId="19" fillId="29" borderId="0" xfId="65" applyFont="1" applyFill="1" applyAlignment="1">
      <alignment vertical="top" wrapText="1"/>
      <protection/>
    </xf>
    <xf numFmtId="0" fontId="13" fillId="0" borderId="0" xfId="65" applyFont="1">
      <alignment/>
      <protection/>
    </xf>
    <xf numFmtId="174" fontId="16" fillId="0" borderId="0" xfId="65" applyNumberFormat="1" applyFont="1" applyAlignment="1">
      <alignment horizontal="right" vertical="top" wrapText="1"/>
      <protection/>
    </xf>
    <xf numFmtId="175" fontId="16" fillId="0" borderId="0" xfId="65" applyNumberFormat="1" applyFont="1" applyAlignment="1">
      <alignment horizontal="right" vertical="top" wrapText="1"/>
      <protection/>
    </xf>
    <xf numFmtId="176" fontId="16" fillId="0" borderId="0" xfId="65" applyNumberFormat="1" applyFont="1" applyAlignment="1">
      <alignment horizontal="right" vertical="top" wrapText="1"/>
      <protection/>
    </xf>
    <xf numFmtId="9" fontId="13" fillId="0" borderId="0" xfId="65" applyNumberFormat="1" applyFont="1">
      <alignment/>
      <protection/>
    </xf>
    <xf numFmtId="175" fontId="19" fillId="29" borderId="0" xfId="65" applyNumberFormat="1" applyFont="1" applyFill="1" applyAlignment="1">
      <alignment vertical="top" wrapText="1"/>
      <protection/>
    </xf>
    <xf numFmtId="0" fontId="86" fillId="0" borderId="0" xfId="0" applyFont="1" applyAlignment="1">
      <alignment horizontal="centerContinuous"/>
    </xf>
    <xf numFmtId="0" fontId="85" fillId="0" borderId="0" xfId="0" applyFont="1" applyAlignment="1">
      <alignment horizontal="centerContinuous"/>
    </xf>
    <xf numFmtId="167" fontId="86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9" fontId="0" fillId="0" borderId="0" xfId="68" applyFont="1" applyAlignment="1">
      <alignment/>
    </xf>
    <xf numFmtId="169" fontId="85" fillId="0" borderId="0" xfId="0" applyNumberFormat="1" applyFont="1" applyAlignment="1">
      <alignment/>
    </xf>
    <xf numFmtId="0" fontId="88" fillId="0" borderId="0" xfId="0" applyFont="1" applyAlignment="1">
      <alignment/>
    </xf>
    <xf numFmtId="167" fontId="89" fillId="41" borderId="0" xfId="0" applyNumberFormat="1" applyFont="1" applyFill="1" applyAlignment="1">
      <alignment/>
    </xf>
    <xf numFmtId="9" fontId="85" fillId="0" borderId="0" xfId="68" applyFont="1" applyAlignment="1">
      <alignment/>
    </xf>
    <xf numFmtId="167" fontId="80" fillId="41" borderId="0" xfId="0" applyNumberFormat="1" applyFont="1" applyFill="1" applyAlignment="1">
      <alignment/>
    </xf>
    <xf numFmtId="0" fontId="80" fillId="0" borderId="0" xfId="0" applyFont="1" applyBorder="1" applyAlignment="1">
      <alignment/>
    </xf>
    <xf numFmtId="0" fontId="85" fillId="0" borderId="0" xfId="0" applyFont="1" applyBorder="1" applyAlignment="1">
      <alignment/>
    </xf>
    <xf numFmtId="169" fontId="80" fillId="0" borderId="0" xfId="0" applyNumberFormat="1" applyFont="1" applyBorder="1" applyAlignment="1">
      <alignment/>
    </xf>
    <xf numFmtId="17" fontId="85" fillId="0" borderId="0" xfId="0" applyNumberFormat="1" applyFont="1" applyAlignment="1">
      <alignment/>
    </xf>
    <xf numFmtId="13" fontId="85" fillId="0" borderId="0" xfId="48" applyNumberFormat="1" applyFont="1" applyAlignment="1">
      <alignment/>
    </xf>
    <xf numFmtId="0" fontId="90" fillId="0" borderId="0" xfId="0" applyFont="1" applyBorder="1" applyAlignment="1">
      <alignment/>
    </xf>
    <xf numFmtId="167" fontId="91" fillId="0" borderId="0" xfId="0" applyNumberFormat="1" applyFont="1" applyAlignment="1">
      <alignment/>
    </xf>
    <xf numFmtId="0" fontId="89" fillId="41" borderId="0" xfId="0" applyFont="1" applyFill="1" applyAlignment="1">
      <alignment/>
    </xf>
    <xf numFmtId="9" fontId="85" fillId="0" borderId="0" xfId="0" applyNumberFormat="1" applyFont="1" applyAlignment="1">
      <alignment/>
    </xf>
    <xf numFmtId="0" fontId="85" fillId="0" borderId="14" xfId="0" applyFont="1" applyBorder="1" applyAlignment="1">
      <alignment/>
    </xf>
    <xf numFmtId="177" fontId="85" fillId="0" borderId="0" xfId="0" applyNumberFormat="1" applyFont="1" applyAlignment="1">
      <alignment/>
    </xf>
    <xf numFmtId="169" fontId="92" fillId="41" borderId="0" xfId="0" applyNumberFormat="1" applyFont="1" applyFill="1" applyAlignment="1">
      <alignment/>
    </xf>
    <xf numFmtId="169" fontId="80" fillId="0" borderId="0" xfId="0" applyNumberFormat="1" applyFont="1" applyAlignment="1">
      <alignment/>
    </xf>
    <xf numFmtId="178" fontId="80" fillId="0" borderId="0" xfId="0" applyNumberFormat="1" applyFont="1" applyAlignment="1">
      <alignment/>
    </xf>
    <xf numFmtId="167" fontId="0" fillId="0" borderId="0" xfId="0" applyNumberFormat="1" applyAlignment="1">
      <alignment/>
    </xf>
    <xf numFmtId="180" fontId="80" fillId="0" borderId="0" xfId="0" applyNumberFormat="1" applyFont="1" applyAlignment="1">
      <alignment/>
    </xf>
    <xf numFmtId="181" fontId="85" fillId="0" borderId="0" xfId="0" applyNumberFormat="1" applyFont="1" applyAlignment="1">
      <alignment/>
    </xf>
    <xf numFmtId="179" fontId="85" fillId="0" borderId="0" xfId="0" applyNumberFormat="1" applyFont="1" applyAlignment="1">
      <alignment/>
    </xf>
    <xf numFmtId="172" fontId="85" fillId="0" borderId="15" xfId="0" applyNumberFormat="1" applyFont="1" applyBorder="1" applyAlignment="1">
      <alignment horizontal="center"/>
    </xf>
    <xf numFmtId="172" fontId="85" fillId="0" borderId="12" xfId="0" applyNumberFormat="1" applyFont="1" applyBorder="1" applyAlignment="1">
      <alignment horizontal="center"/>
    </xf>
    <xf numFmtId="172" fontId="85" fillId="0" borderId="16" xfId="0" applyNumberFormat="1" applyFont="1" applyBorder="1" applyAlignment="1">
      <alignment horizontal="center"/>
    </xf>
    <xf numFmtId="172" fontId="85" fillId="0" borderId="17" xfId="0" applyNumberFormat="1" applyFont="1" applyBorder="1" applyAlignment="1">
      <alignment horizontal="center"/>
    </xf>
    <xf numFmtId="172" fontId="85" fillId="0" borderId="0" xfId="0" applyNumberFormat="1" applyFont="1" applyBorder="1" applyAlignment="1">
      <alignment horizontal="center"/>
    </xf>
    <xf numFmtId="172" fontId="85" fillId="0" borderId="18" xfId="0" applyNumberFormat="1" applyFont="1" applyBorder="1" applyAlignment="1">
      <alignment horizontal="center"/>
    </xf>
    <xf numFmtId="172" fontId="85" fillId="0" borderId="19" xfId="0" applyNumberFormat="1" applyFont="1" applyBorder="1" applyAlignment="1">
      <alignment horizontal="center"/>
    </xf>
    <xf numFmtId="172" fontId="85" fillId="0" borderId="14" xfId="0" applyNumberFormat="1" applyFont="1" applyBorder="1" applyAlignment="1">
      <alignment horizontal="center"/>
    </xf>
    <xf numFmtId="172" fontId="85" fillId="0" borderId="20" xfId="0" applyNumberFormat="1" applyFont="1" applyBorder="1" applyAlignment="1">
      <alignment horizontal="center"/>
    </xf>
    <xf numFmtId="172" fontId="85" fillId="41" borderId="21" xfId="0" applyNumberFormat="1" applyFont="1" applyFill="1" applyBorder="1" applyAlignment="1">
      <alignment horizontal="center"/>
    </xf>
    <xf numFmtId="172" fontId="86" fillId="0" borderId="0" xfId="0" applyNumberFormat="1" applyFont="1" applyBorder="1" applyAlignment="1">
      <alignment horizontal="center"/>
    </xf>
    <xf numFmtId="0" fontId="85" fillId="0" borderId="22" xfId="0" applyFont="1" applyBorder="1" applyAlignment="1">
      <alignment/>
    </xf>
    <xf numFmtId="169" fontId="87" fillId="0" borderId="15" xfId="0" applyNumberFormat="1" applyFont="1" applyBorder="1" applyAlignment="1">
      <alignment/>
    </xf>
    <xf numFmtId="169" fontId="87" fillId="0" borderId="12" xfId="0" applyNumberFormat="1" applyFont="1" applyBorder="1" applyAlignment="1">
      <alignment/>
    </xf>
    <xf numFmtId="169" fontId="87" fillId="0" borderId="16" xfId="0" applyNumberFormat="1" applyFont="1" applyBorder="1" applyAlignment="1">
      <alignment/>
    </xf>
    <xf numFmtId="169" fontId="87" fillId="0" borderId="17" xfId="0" applyNumberFormat="1" applyFont="1" applyBorder="1" applyAlignment="1">
      <alignment/>
    </xf>
    <xf numFmtId="169" fontId="87" fillId="0" borderId="0" xfId="0" applyNumberFormat="1" applyFont="1" applyBorder="1" applyAlignment="1">
      <alignment/>
    </xf>
    <xf numFmtId="169" fontId="87" fillId="0" borderId="18" xfId="0" applyNumberFormat="1" applyFont="1" applyBorder="1" applyAlignment="1">
      <alignment/>
    </xf>
    <xf numFmtId="169" fontId="87" fillId="0" borderId="19" xfId="0" applyNumberFormat="1" applyFont="1" applyBorder="1" applyAlignment="1">
      <alignment/>
    </xf>
    <xf numFmtId="169" fontId="87" fillId="0" borderId="14" xfId="0" applyNumberFormat="1" applyFont="1" applyBorder="1" applyAlignment="1">
      <alignment/>
    </xf>
    <xf numFmtId="169" fontId="87" fillId="0" borderId="20" xfId="0" applyNumberFormat="1" applyFont="1" applyBorder="1" applyAlignment="1">
      <alignment/>
    </xf>
    <xf numFmtId="169" fontId="87" fillId="41" borderId="21" xfId="0" applyNumberFormat="1" applyFont="1" applyFill="1" applyBorder="1" applyAlignment="1">
      <alignment/>
    </xf>
    <xf numFmtId="167" fontId="93" fillId="39" borderId="0" xfId="0" applyNumberFormat="1" applyFont="1" applyFill="1" applyAlignment="1">
      <alignment/>
    </xf>
    <xf numFmtId="172" fontId="86" fillId="41" borderId="23" xfId="0" applyNumberFormat="1" applyFont="1" applyFill="1" applyBorder="1" applyAlignment="1">
      <alignment horizontal="center"/>
    </xf>
    <xf numFmtId="177" fontId="86" fillId="41" borderId="24" xfId="0" applyNumberFormat="1" applyFont="1" applyFill="1" applyBorder="1" applyAlignment="1">
      <alignment horizontal="center"/>
    </xf>
    <xf numFmtId="0" fontId="13" fillId="0" borderId="0" xfId="65" applyFont="1" applyAlignment="1">
      <alignment horizontal="right" wrapText="1"/>
      <protection/>
    </xf>
    <xf numFmtId="0" fontId="13" fillId="0" borderId="0" xfId="65" applyFont="1">
      <alignment/>
      <protection/>
    </xf>
    <xf numFmtId="0" fontId="87" fillId="0" borderId="25" xfId="0" applyFont="1" applyBorder="1" applyAlignment="1">
      <alignment horizontal="center" vertical="top" textRotation="90"/>
    </xf>
    <xf numFmtId="0" fontId="76" fillId="37" borderId="0" xfId="0" applyFont="1" applyFill="1" applyAlignment="1">
      <alignment horizontal="left" vertical="top" wrapText="1"/>
    </xf>
    <xf numFmtId="0" fontId="0" fillId="37" borderId="0" xfId="0" applyFill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artingText" xfId="41"/>
    <cellStyle name="Check Cell" xfId="42"/>
    <cellStyle name="CHPAboveAverage" xfId="43"/>
    <cellStyle name="CHPBelowAverage" xfId="44"/>
    <cellStyle name="CHPBottom" xfId="45"/>
    <cellStyle name="CHPTop" xfId="46"/>
    <cellStyle name="ColumnHeaderNorma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Invisible" xfId="59"/>
    <cellStyle name="Linked Cell" xfId="60"/>
    <cellStyle name="Neutral" xfId="61"/>
    <cellStyle name="NewColumnHeaderNormal" xfId="62"/>
    <cellStyle name="NewSectionHeaderNormal" xfId="63"/>
    <cellStyle name="NewTitleNormal" xfId="64"/>
    <cellStyle name="Normal 2" xfId="65"/>
    <cellStyle name="Note" xfId="66"/>
    <cellStyle name="Output" xfId="67"/>
    <cellStyle name="Percent" xfId="68"/>
    <cellStyle name="SectionHeaderNormal" xfId="69"/>
    <cellStyle name="SubScript" xfId="70"/>
    <cellStyle name="SuperScript" xfId="71"/>
    <cellStyle name="TextBold" xfId="72"/>
    <cellStyle name="TextItalic" xfId="73"/>
    <cellStyle name="TextNormal" xfId="74"/>
    <cellStyle name="Title" xfId="75"/>
    <cellStyle name="TitleNormal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725"/>
          <c:w val="0.993"/>
          <c:h val="0.98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Sheet4!$B$23</c:f>
              <c:strCache>
                <c:ptCount val="1"/>
                <c:pt idx="0">
                  <c:v>Low</c:v>
                </c:pt>
              </c:strCache>
            </c:strRef>
          </c:tx>
          <c:spPr>
            <a:noFill/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Sheet4!$C$22:$K$22</c:f>
              <c:strCache/>
            </c:strRef>
          </c:cat>
          <c:val>
            <c:numRef>
              <c:f>Sheet4!$C$23:$K$23</c:f>
              <c:numCache/>
            </c:numRef>
          </c:val>
        </c:ser>
        <c:ser>
          <c:idx val="1"/>
          <c:order val="1"/>
          <c:tx>
            <c:strRef>
              <c:f>Sheet4!$B$24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Sheet4!$C$22:$K$22</c:f>
              <c:strCache/>
            </c:strRef>
          </c:cat>
          <c:val>
            <c:numRef>
              <c:f>Sheet4!$C$24:$K$24</c:f>
              <c:numCache/>
            </c:numRef>
          </c:val>
        </c:ser>
        <c:overlap val="100"/>
        <c:axId val="41953663"/>
        <c:axId val="42038648"/>
      </c:barChart>
      <c:catAx>
        <c:axId val="419536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  <c:min val="5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663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425"/>
          <c:w val="0.96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OpMod!$K$154</c:f>
              <c:strCache>
                <c:ptCount val="1"/>
                <c:pt idx="0">
                  <c:v>Term Loan B</c:v>
                </c:pt>
              </c:strCache>
            </c:strRef>
          </c:tx>
          <c:spPr>
            <a:solidFill>
              <a:srgbClr val="4978B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OpMod!$L$141:$O$141</c:f>
              <c:numCache/>
            </c:numRef>
          </c:cat>
          <c:val>
            <c:numRef>
              <c:f>OpMod!$L$154:$O$154</c:f>
              <c:numCache/>
            </c:numRef>
          </c:val>
        </c:ser>
        <c:ser>
          <c:idx val="2"/>
          <c:order val="1"/>
          <c:tx>
            <c:strRef>
              <c:f>OpMod!$K$155</c:f>
              <c:strCache>
                <c:ptCount val="1"/>
                <c:pt idx="0">
                  <c:v>Mezzanine</c:v>
                </c:pt>
              </c:strCache>
            </c:strRef>
          </c:tx>
          <c:spPr>
            <a:solidFill>
              <a:srgbClr val="7E9BC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OpMod!$L$141:$O$141</c:f>
              <c:numCache/>
            </c:numRef>
          </c:cat>
          <c:val>
            <c:numRef>
              <c:f>OpMod!$L$155:$O$155</c:f>
              <c:numCache/>
            </c:numRef>
          </c:val>
        </c:ser>
        <c:ser>
          <c:idx val="0"/>
          <c:order val="2"/>
          <c:tx>
            <c:strRef>
              <c:f>OpMod!$K$153</c:f>
              <c:strCache>
                <c:ptCount val="1"/>
                <c:pt idx="0">
                  <c:v>Cash Flow Available for Debt Service</c:v>
                </c:pt>
              </c:strCache>
            </c:strRef>
          </c:tx>
          <c:spPr>
            <a:solidFill>
              <a:srgbClr val="3C649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OpMod!$L$141:$O$141</c:f>
              <c:numCache/>
            </c:numRef>
          </c:cat>
          <c:val>
            <c:numRef>
              <c:f>OpMod!$L$153:$O$153</c:f>
              <c:numCache/>
            </c:numRef>
          </c:val>
        </c:ser>
        <c:axId val="44396131"/>
        <c:axId val="64020860"/>
      </c:barChart>
      <c:lineChart>
        <c:grouping val="standard"/>
        <c:varyColors val="0"/>
        <c:ser>
          <c:idx val="3"/>
          <c:order val="3"/>
          <c:tx>
            <c:strRef>
              <c:f>OpMod!$K$156</c:f>
              <c:strCache>
                <c:ptCount val="1"/>
                <c:pt idx="0">
                  <c:v>TLB Cumulative Paydown</c:v>
                </c:pt>
              </c:strCache>
            </c:strRef>
          </c:tx>
          <c:spPr>
            <a:ln w="127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OpMod!$L$156:$O$156</c:f>
              <c:numCache/>
            </c:numRef>
          </c:val>
          <c:smooth val="0"/>
        </c:ser>
        <c:axId val="39316829"/>
        <c:axId val="18307142"/>
      </c:line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396131"/>
        <c:crossesAt val="1"/>
        <c:crossBetween val="between"/>
        <c:dispUnits/>
      </c:valAx>
      <c:catAx>
        <c:axId val="39316829"/>
        <c:scaling>
          <c:orientation val="minMax"/>
        </c:scaling>
        <c:axPos val="b"/>
        <c:delete val="1"/>
        <c:majorTickMark val="out"/>
        <c:minorTickMark val="none"/>
        <c:tickLblPos val="none"/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3168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82925"/>
          <c:w val="0.96375"/>
          <c:h val="0.1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575"/>
          <c:w val="0.965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40699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Charts!$C$2:$L$2</c:f>
              <c:numCache/>
            </c:numRef>
          </c:cat>
          <c:val>
            <c:numRef>
              <c:f>Charts!$C$3:$L$3</c:f>
              <c:numCache/>
            </c:numRef>
          </c:val>
        </c:ser>
        <c:ser>
          <c:idx val="1"/>
          <c:order val="1"/>
          <c:tx>
            <c:strRef>
              <c:f>Charts!$B$4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Charts!$C$2:$L$2</c:f>
              <c:numCache/>
            </c:numRef>
          </c:cat>
          <c:val>
            <c:numRef>
              <c:f>Charts!$C$4:$L$4</c:f>
              <c:numCache/>
            </c:numRef>
          </c:val>
        </c:ser>
        <c:axId val="42803513"/>
        <c:axId val="49687298"/>
      </c:barChart>
      <c:lineChart>
        <c:grouping val="standard"/>
        <c:varyColors val="0"/>
        <c:ser>
          <c:idx val="2"/>
          <c:order val="2"/>
          <c:tx>
            <c:strRef>
              <c:f>Charts!$B$5</c:f>
              <c:strCache>
                <c:ptCount val="1"/>
                <c:pt idx="0">
                  <c:v>EBITDA Margin</c:v>
                </c:pt>
              </c:strCache>
            </c:strRef>
          </c:tx>
          <c:spPr>
            <a:ln w="127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Charts!$C$5:$L$5</c:f>
              <c:numCache/>
            </c:numRef>
          </c:val>
          <c:smooth val="1"/>
        </c:ser>
        <c:axId val="44532499"/>
        <c:axId val="65248172"/>
      </c:line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803513"/>
        <c:crossesAt val="1"/>
        <c:crossBetween val="between"/>
        <c:dispUnits/>
      </c:valAx>
      <c:catAx>
        <c:axId val="44532499"/>
        <c:scaling>
          <c:orientation val="minMax"/>
        </c:scaling>
        <c:axPos val="b"/>
        <c:delete val="1"/>
        <c:majorTickMark val="out"/>
        <c:minorTickMark val="none"/>
        <c:tickLblPos val="none"/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5324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75"/>
          <c:y val="0.90125"/>
          <c:w val="0.50925"/>
          <c:h val="0.0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55"/>
          <c:w val="0.96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Charts!$B$21</c:f>
              <c:strCache>
                <c:ptCount val="1"/>
                <c:pt idx="0">
                  <c:v>Number of Stores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Charts!$C$20:$I$20</c:f>
              <c:numCache/>
            </c:numRef>
          </c:cat>
          <c:val>
            <c:numRef>
              <c:f>Charts!$C$21:$I$21</c:f>
              <c:numCache/>
            </c:numRef>
          </c:val>
        </c:ser>
        <c:axId val="50362637"/>
        <c:axId val="50610550"/>
      </c:barChart>
      <c:lineChart>
        <c:grouping val="standard"/>
        <c:varyColors val="0"/>
        <c:ser>
          <c:idx val="1"/>
          <c:order val="1"/>
          <c:tx>
            <c:strRef>
              <c:f>Charts!$B$22</c:f>
              <c:strCache>
                <c:ptCount val="1"/>
                <c:pt idx="0">
                  <c:v>Same Store Sales Growth</c:v>
                </c:pt>
              </c:strCache>
            </c:strRef>
          </c:tx>
          <c:spPr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Charts!$C$22:$I$22</c:f>
              <c:numCache/>
            </c:numRef>
          </c:val>
          <c:smooth val="1"/>
        </c:ser>
        <c:axId val="52841767"/>
        <c:axId val="5813856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362637"/>
        <c:crossesAt val="1"/>
        <c:crossBetween val="between"/>
        <c:dispUnits/>
      </c:valAx>
      <c:catAx>
        <c:axId val="52841767"/>
        <c:scaling>
          <c:orientation val="minMax"/>
        </c:scaling>
        <c:axPos val="b"/>
        <c:delete val="1"/>
        <c:majorTickMark val="out"/>
        <c:minorTickMark val="none"/>
        <c:tickLblPos val="none"/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  <c:min val="0.0400000000000000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8417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25"/>
          <c:y val="0.90175"/>
          <c:w val="0.55"/>
          <c:h val="0.0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4475"/>
          <c:w val="0.96475"/>
          <c:h val="0.98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Charts!$J$40:$N$40</c:f>
              <c:strCache/>
            </c:strRef>
          </c:cat>
          <c:val>
            <c:numRef>
              <c:f>Charts!$J$42:$N$42</c:f>
              <c:numCache/>
            </c:numRef>
          </c:val>
        </c:ser>
        <c:ser>
          <c:idx val="1"/>
          <c:order val="1"/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(9.0)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(12.8)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Charts!$J$40:$N$40</c:f>
              <c:strCache/>
            </c:strRef>
          </c:cat>
          <c:val>
            <c:numRef>
              <c:f>Charts!$J$43:$N$43</c:f>
              <c:numCache/>
            </c:numRef>
          </c:val>
        </c:ser>
        <c:overlap val="100"/>
        <c:axId val="52324705"/>
        <c:axId val="1160298"/>
      </c:bar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324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455"/>
          <c:w val="0.96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Charts!$B$67</c:f>
              <c:strCache>
                <c:ptCount val="1"/>
                <c:pt idx="0">
                  <c:v>CapEx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Charts!$C$66:$K$66</c:f>
              <c:numCache/>
            </c:numRef>
          </c:cat>
          <c:val>
            <c:numRef>
              <c:f>Charts!$C$67:$K$67</c:f>
              <c:numCache/>
            </c:numRef>
          </c:val>
        </c:ser>
        <c:axId val="10442683"/>
        <c:axId val="26875284"/>
      </c:bar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4426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65"/>
          <c:w val="0.93475"/>
          <c:h val="0.8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'Sources &amp; Uses'!$D$50</c:f>
              <c:strCache>
                <c:ptCount val="1"/>
                <c:pt idx="0">
                  <c:v>Fund Equity</c:v>
                </c:pt>
              </c:strCache>
            </c:strRef>
          </c:tx>
          <c:spPr>
            <a:solidFill>
              <a:srgbClr val="3C6494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Sources of Funds</c:v>
              </c:pt>
            </c:strLit>
          </c:cat>
          <c:val>
            <c:numRef>
              <c:f>'Sources &amp; Uses'!$E$50</c:f>
              <c:numCache/>
            </c:numRef>
          </c:val>
        </c:ser>
        <c:ser>
          <c:idx val="1"/>
          <c:order val="1"/>
          <c:tx>
            <c:strRef>
              <c:f>'Sources &amp; Uses'!$D$51</c:f>
              <c:strCache>
                <c:ptCount val="1"/>
                <c:pt idx="0">
                  <c:v>Management Equity</c:v>
                </c:pt>
              </c:strCache>
            </c:strRef>
          </c:tx>
          <c:spPr>
            <a:solidFill>
              <a:srgbClr val="4978B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Sources of Funds</c:v>
              </c:pt>
            </c:strLit>
          </c:cat>
          <c:val>
            <c:numRef>
              <c:f>'Sources &amp; Uses'!$E$51</c:f>
              <c:numCache/>
            </c:numRef>
          </c:val>
        </c:ser>
        <c:ser>
          <c:idx val="2"/>
          <c:order val="2"/>
          <c:tx>
            <c:strRef>
              <c:f>'Sources &amp; Uses'!$D$52</c:f>
              <c:strCache>
                <c:ptCount val="1"/>
                <c:pt idx="0">
                  <c:v>TLB</c:v>
                </c:pt>
              </c:strCache>
            </c:strRef>
          </c:tx>
          <c:spPr>
            <a:solidFill>
              <a:srgbClr val="7E9BC8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Sources of Funds</c:v>
              </c:pt>
            </c:strLit>
          </c:cat>
          <c:val>
            <c:numRef>
              <c:f>'Sources &amp; Uses'!$E$52</c:f>
              <c:numCache/>
            </c:numRef>
          </c:val>
        </c:ser>
        <c:ser>
          <c:idx val="3"/>
          <c:order val="3"/>
          <c:tx>
            <c:strRef>
              <c:f>'Sources &amp; Uses'!$D$53</c:f>
              <c:strCache>
                <c:ptCount val="1"/>
                <c:pt idx="0">
                  <c:v>Mezzanine</c:v>
                </c:pt>
              </c:strCache>
            </c:strRef>
          </c:tx>
          <c:spPr>
            <a:solidFill>
              <a:srgbClr val="B6C3D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Sources of Funds</c:v>
              </c:pt>
            </c:strLit>
          </c:cat>
          <c:val>
            <c:numRef>
              <c:f>'Sources &amp; Uses'!$E$53</c:f>
              <c:numCache/>
            </c:numRef>
          </c:val>
        </c:ser>
        <c:overlap val="100"/>
        <c:axId val="40550965"/>
        <c:axId val="29414366"/>
      </c:bar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550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25"/>
          <c:y val="0.89825"/>
          <c:w val="0.926"/>
          <c:h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7"/>
          <c:w val="0.937"/>
          <c:h val="0.85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'Sources &amp; Uses'!$G$50</c:f>
              <c:strCache>
                <c:ptCount val="1"/>
                <c:pt idx="0">
                  <c:v>Purchase of Equity</c:v>
                </c:pt>
              </c:strCache>
            </c:strRef>
          </c:tx>
          <c:spPr>
            <a:solidFill>
              <a:srgbClr val="40699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Uses of Funds</c:v>
              </c:pt>
            </c:strLit>
          </c:cat>
          <c:val>
            <c:numRef>
              <c:f>'Sources &amp; Uses'!$H$50</c:f>
              <c:numCache/>
            </c:numRef>
          </c:val>
        </c:ser>
        <c:ser>
          <c:idx val="1"/>
          <c:order val="1"/>
          <c:tx>
            <c:strRef>
              <c:f>'Sources &amp; Uses'!$G$51</c:f>
              <c:strCache>
                <c:ptCount val="1"/>
                <c:pt idx="0">
                  <c:v>Refinance Net Debt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Uses of Funds</c:v>
              </c:pt>
            </c:strLit>
          </c:cat>
          <c:val>
            <c:numRef>
              <c:f>'Sources &amp; Uses'!$H$51</c:f>
              <c:numCache/>
            </c:numRef>
          </c:val>
        </c:ser>
        <c:ser>
          <c:idx val="2"/>
          <c:order val="2"/>
          <c:tx>
            <c:strRef>
              <c:f>'Sources &amp; Uses'!$G$52</c:f>
              <c:strCache>
                <c:ptCount val="1"/>
                <c:pt idx="0">
                  <c:v>Fees</c:v>
                </c:pt>
              </c:strCache>
            </c:strRef>
          </c:tx>
          <c:spPr>
            <a:solidFill>
              <a:srgbClr val="AABAD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Uses of Funds</c:v>
              </c:pt>
            </c:strLit>
          </c:cat>
          <c:val>
            <c:numRef>
              <c:f>'Sources &amp; Uses'!$H$52</c:f>
              <c:numCache/>
            </c:numRef>
          </c:val>
        </c:ser>
        <c:overlap val="100"/>
        <c:axId val="63402703"/>
        <c:axId val="33753416"/>
      </c:bar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4027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5"/>
          <c:y val="0.897"/>
          <c:w val="0.883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65"/>
          <c:w val="0.959"/>
          <c:h val="0.792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'Sources &amp; Uses'!$D$58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AABAD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'Sources &amp; Uses'!$E$58</c:f>
              <c:numCache/>
            </c:numRef>
          </c:val>
        </c:ser>
        <c:ser>
          <c:idx val="0"/>
          <c:order val="1"/>
          <c:tx>
            <c:strRef>
              <c:f>'Sources &amp; Uses'!$D$60</c:f>
              <c:strCache>
                <c:ptCount val="1"/>
                <c:pt idx="0">
                  <c:v>TLB</c:v>
                </c:pt>
              </c:strCache>
            </c:strRef>
          </c:tx>
          <c:spPr>
            <a:solidFill>
              <a:srgbClr val="40699C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'Sources &amp; Uses'!$E$60</c:f>
              <c:numCache/>
            </c:numRef>
          </c:val>
        </c:ser>
        <c:ser>
          <c:idx val="1"/>
          <c:order val="2"/>
          <c:tx>
            <c:strRef>
              <c:f>'Sources &amp; Uses'!$D$59</c:f>
              <c:strCache>
                <c:ptCount val="1"/>
                <c:pt idx="0">
                  <c:v>Mezzanine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'Sources &amp; Uses'!$E$59</c:f>
              <c:numCache/>
            </c:numRef>
          </c:val>
        </c:ser>
        <c:overlap val="100"/>
        <c:axId val="35345289"/>
        <c:axId val="49672146"/>
      </c:bar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345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75"/>
          <c:y val="0.89825"/>
          <c:w val="0.3205"/>
          <c:h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375"/>
          <c:y val="0.116"/>
          <c:w val="0.24675"/>
          <c:h val="0.763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'Sources &amp; Uses'!$J$42:$J$43</c:f>
              <c:strCache/>
            </c:strRef>
          </c:cat>
          <c:val>
            <c:numRef>
              <c:f>'Sources &amp; Uses'!$K$42:$K$43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66675</xdr:rowOff>
    </xdr:from>
    <xdr:to>
      <xdr:col>11</xdr:col>
      <xdr:colOff>323850</xdr:colOff>
      <xdr:row>60</xdr:row>
      <xdr:rowOff>85725</xdr:rowOff>
    </xdr:to>
    <xdr:graphicFrame>
      <xdr:nvGraphicFramePr>
        <xdr:cNvPr id="1" name="Chart 2"/>
        <xdr:cNvGraphicFramePr/>
      </xdr:nvGraphicFramePr>
      <xdr:xfrm>
        <a:off x="638175" y="3971925"/>
        <a:ext cx="73628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1390650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933450</xdr:colOff>
      <xdr:row>48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8020050"/>
          <a:ext cx="933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1390650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933450</xdr:colOff>
      <xdr:row>48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8020050"/>
          <a:ext cx="933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5</xdr:row>
      <xdr:rowOff>19050</xdr:rowOff>
    </xdr:from>
    <xdr:to>
      <xdr:col>11</xdr:col>
      <xdr:colOff>438150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1428750" y="971550"/>
        <a:ext cx="57150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18</xdr:row>
      <xdr:rowOff>104775</xdr:rowOff>
    </xdr:from>
    <xdr:to>
      <xdr:col>18</xdr:col>
      <xdr:colOff>371475</xdr:colOff>
      <xdr:row>31</xdr:row>
      <xdr:rowOff>28575</xdr:rowOff>
    </xdr:to>
    <xdr:graphicFrame>
      <xdr:nvGraphicFramePr>
        <xdr:cNvPr id="2" name="Chart 4"/>
        <xdr:cNvGraphicFramePr/>
      </xdr:nvGraphicFramePr>
      <xdr:xfrm>
        <a:off x="5629275" y="3533775"/>
        <a:ext cx="57150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47</xdr:row>
      <xdr:rowOff>180975</xdr:rowOff>
    </xdr:from>
    <xdr:to>
      <xdr:col>21</xdr:col>
      <xdr:colOff>228600</xdr:colOff>
      <xdr:row>58</xdr:row>
      <xdr:rowOff>9525</xdr:rowOff>
    </xdr:to>
    <xdr:graphicFrame>
      <xdr:nvGraphicFramePr>
        <xdr:cNvPr id="3" name="Chart 7"/>
        <xdr:cNvGraphicFramePr/>
      </xdr:nvGraphicFramePr>
      <xdr:xfrm>
        <a:off x="7334250" y="9134475"/>
        <a:ext cx="569595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228600</xdr:colOff>
      <xdr:row>66</xdr:row>
      <xdr:rowOff>0</xdr:rowOff>
    </xdr:from>
    <xdr:to>
      <xdr:col>20</xdr:col>
      <xdr:colOff>457200</xdr:colOff>
      <xdr:row>75</xdr:row>
      <xdr:rowOff>180975</xdr:rowOff>
    </xdr:to>
    <xdr:graphicFrame>
      <xdr:nvGraphicFramePr>
        <xdr:cNvPr id="4" name="Chart 10"/>
        <xdr:cNvGraphicFramePr/>
      </xdr:nvGraphicFramePr>
      <xdr:xfrm>
        <a:off x="6934200" y="12573000"/>
        <a:ext cx="571500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73</xdr:row>
      <xdr:rowOff>123825</xdr:rowOff>
    </xdr:from>
    <xdr:to>
      <xdr:col>12</xdr:col>
      <xdr:colOff>561975</xdr:colOff>
      <xdr:row>89</xdr:row>
      <xdr:rowOff>180975</xdr:rowOff>
    </xdr:to>
    <xdr:graphicFrame>
      <xdr:nvGraphicFramePr>
        <xdr:cNvPr id="1" name="Chart 1"/>
        <xdr:cNvGraphicFramePr/>
      </xdr:nvGraphicFramePr>
      <xdr:xfrm>
        <a:off x="4133850" y="10677525"/>
        <a:ext cx="30480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73</xdr:row>
      <xdr:rowOff>114300</xdr:rowOff>
    </xdr:from>
    <xdr:to>
      <xdr:col>16</xdr:col>
      <xdr:colOff>352425</xdr:colOff>
      <xdr:row>89</xdr:row>
      <xdr:rowOff>133350</xdr:rowOff>
    </xdr:to>
    <xdr:graphicFrame>
      <xdr:nvGraphicFramePr>
        <xdr:cNvPr id="2" name="Chart 3"/>
        <xdr:cNvGraphicFramePr/>
      </xdr:nvGraphicFramePr>
      <xdr:xfrm>
        <a:off x="6800850" y="10696575"/>
        <a:ext cx="31813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104775</xdr:colOff>
      <xdr:row>73</xdr:row>
      <xdr:rowOff>66675</xdr:rowOff>
    </xdr:from>
    <xdr:to>
      <xdr:col>25</xdr:col>
      <xdr:colOff>381000</xdr:colOff>
      <xdr:row>89</xdr:row>
      <xdr:rowOff>114300</xdr:rowOff>
    </xdr:to>
    <xdr:graphicFrame>
      <xdr:nvGraphicFramePr>
        <xdr:cNvPr id="3" name="Chart 5"/>
        <xdr:cNvGraphicFramePr/>
      </xdr:nvGraphicFramePr>
      <xdr:xfrm>
        <a:off x="10344150" y="10648950"/>
        <a:ext cx="48101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62</xdr:row>
      <xdr:rowOff>9525</xdr:rowOff>
    </xdr:from>
    <xdr:to>
      <xdr:col>14</xdr:col>
      <xdr:colOff>400050</xdr:colOff>
      <xdr:row>75</xdr:row>
      <xdr:rowOff>85725</xdr:rowOff>
    </xdr:to>
    <xdr:graphicFrame>
      <xdr:nvGraphicFramePr>
        <xdr:cNvPr id="4" name="Chart 8"/>
        <xdr:cNvGraphicFramePr/>
      </xdr:nvGraphicFramePr>
      <xdr:xfrm>
        <a:off x="2505075" y="8496300"/>
        <a:ext cx="57340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156</xdr:row>
      <xdr:rowOff>95250</xdr:rowOff>
    </xdr:from>
    <xdr:to>
      <xdr:col>20</xdr:col>
      <xdr:colOff>266700</xdr:colOff>
      <xdr:row>172</xdr:row>
      <xdr:rowOff>142875</xdr:rowOff>
    </xdr:to>
    <xdr:graphicFrame>
      <xdr:nvGraphicFramePr>
        <xdr:cNvPr id="1" name="Chart 2"/>
        <xdr:cNvGraphicFramePr/>
      </xdr:nvGraphicFramePr>
      <xdr:xfrm>
        <a:off x="6981825" y="23964900"/>
        <a:ext cx="56197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1390650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3"/>
  <sheetViews>
    <sheetView zoomScalePageLayoutView="0" workbookViewId="0" topLeftCell="A35">
      <selection activeCell="U76" sqref="U76"/>
    </sheetView>
  </sheetViews>
  <sheetFormatPr defaultColWidth="9.140625" defaultRowHeight="15"/>
  <cols>
    <col min="1" max="1" width="9.140625" style="63" customWidth="1"/>
    <col min="2" max="3" width="1.7109375" style="63" customWidth="1"/>
    <col min="4" max="4" width="16.140625" style="63" customWidth="1"/>
    <col min="5" max="16384" width="9.140625" style="63" customWidth="1"/>
  </cols>
  <sheetData>
    <row r="2" ht="15.75">
      <c r="B2" s="18" t="s">
        <v>104</v>
      </c>
    </row>
    <row r="3" ht="12.75">
      <c r="B3" s="17" t="s">
        <v>259</v>
      </c>
    </row>
    <row r="4" spans="12:15" ht="11.25">
      <c r="L4" s="63">
        <v>1</v>
      </c>
      <c r="M4" s="63">
        <f>L4+1</f>
        <v>2</v>
      </c>
      <c r="N4" s="63">
        <f>M4+1</f>
        <v>3</v>
      </c>
      <c r="O4" s="63">
        <f>N4+1</f>
        <v>4</v>
      </c>
    </row>
    <row r="5" spans="5:17" ht="11.25">
      <c r="E5" s="67" t="s">
        <v>107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2:19" ht="11.25">
      <c r="B6" s="68" t="s">
        <v>106</v>
      </c>
      <c r="E6" s="69">
        <v>2010</v>
      </c>
      <c r="F6" s="69">
        <f>E6+1</f>
        <v>2011</v>
      </c>
      <c r="G6" s="69">
        <f>F6+1</f>
        <v>2012</v>
      </c>
      <c r="H6" s="69">
        <f>G6+1</f>
        <v>2013</v>
      </c>
      <c r="I6" s="69">
        <f>H6+1</f>
        <v>2014</v>
      </c>
      <c r="J6" s="69">
        <f>I6+1</f>
        <v>2015</v>
      </c>
      <c r="K6" s="70"/>
      <c r="L6" s="71">
        <f>J6+1</f>
        <v>2016</v>
      </c>
      <c r="M6" s="71">
        <f>L6+1</f>
        <v>2017</v>
      </c>
      <c r="N6" s="71">
        <f>M6+1</f>
        <v>2018</v>
      </c>
      <c r="O6" s="71">
        <f>N6+1</f>
        <v>2019</v>
      </c>
      <c r="P6" s="71">
        <f>O6+1</f>
        <v>2020</v>
      </c>
      <c r="Q6" s="71" t="s">
        <v>351</v>
      </c>
      <c r="S6" s="63" t="s">
        <v>479</v>
      </c>
    </row>
    <row r="7" spans="2:17" ht="3" customHeight="1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2:19" ht="11.25">
      <c r="B8" s="63" t="s">
        <v>65</v>
      </c>
      <c r="E8" s="66"/>
      <c r="F8" s="66"/>
      <c r="G8" s="66"/>
      <c r="H8" s="66"/>
      <c r="I8" s="66"/>
      <c r="J8" s="66"/>
      <c r="K8" s="66"/>
      <c r="L8" s="66">
        <f>OpMod!L16</f>
        <v>11.57543628089763</v>
      </c>
      <c r="M8" s="66">
        <f>OpMod!M16</f>
        <v>13.535316497893675</v>
      </c>
      <c r="N8" s="66">
        <f>OpMod!N16</f>
        <v>16.883691294218693</v>
      </c>
      <c r="O8" s="66">
        <f>OpMod!O16</f>
        <v>20.603893636524973</v>
      </c>
      <c r="P8" s="66"/>
      <c r="Q8" s="66">
        <f>OpMod!Q16*DCF!S8</f>
        <v>514.7955196908299</v>
      </c>
      <c r="S8" s="66">
        <v>17.6</v>
      </c>
    </row>
    <row r="9" spans="2:17" ht="11.25">
      <c r="B9" s="63" t="s">
        <v>260</v>
      </c>
      <c r="E9" s="66"/>
      <c r="F9" s="66"/>
      <c r="G9" s="66"/>
      <c r="H9" s="66"/>
      <c r="I9" s="66"/>
      <c r="J9" s="66"/>
      <c r="K9" s="66"/>
      <c r="L9" s="66">
        <f>OpMod!L19</f>
        <v>-4.163411666666667</v>
      </c>
      <c r="M9" s="66">
        <f>OpMod!M19</f>
        <v>-5.537823333333333</v>
      </c>
      <c r="N9" s="66">
        <f>OpMod!N19</f>
        <v>-6.912235</v>
      </c>
      <c r="O9" s="66">
        <f>OpMod!O19</f>
        <v>-5.497646666666666</v>
      </c>
      <c r="P9" s="66"/>
      <c r="Q9" s="66"/>
    </row>
    <row r="10" spans="2:20" ht="11.25">
      <c r="B10" s="63" t="s">
        <v>116</v>
      </c>
      <c r="E10" s="66"/>
      <c r="F10" s="66"/>
      <c r="G10" s="66"/>
      <c r="H10" s="66"/>
      <c r="I10" s="66"/>
      <c r="J10" s="66"/>
      <c r="K10" s="66"/>
      <c r="L10" s="66">
        <f>SUM(L8:L9)</f>
        <v>7.412024614230964</v>
      </c>
      <c r="M10" s="66">
        <f>SUM(M8:M9)</f>
        <v>7.997493164560342</v>
      </c>
      <c r="N10" s="66">
        <f>SUM(N8:N9)</f>
        <v>9.971456294218694</v>
      </c>
      <c r="O10" s="66">
        <f>SUM(O8:O9)</f>
        <v>15.106246969858306</v>
      </c>
      <c r="P10" s="66"/>
      <c r="Q10" s="66"/>
      <c r="S10" s="63" t="s">
        <v>119</v>
      </c>
      <c r="T10" s="73">
        <f>OpMod!J28</f>
        <v>0.2504010266281679</v>
      </c>
    </row>
    <row r="11" spans="2:17" ht="11.25">
      <c r="B11" s="63" t="s">
        <v>261</v>
      </c>
      <c r="E11" s="66"/>
      <c r="F11" s="66"/>
      <c r="G11" s="66"/>
      <c r="H11" s="66"/>
      <c r="I11" s="66"/>
      <c r="J11" s="66"/>
      <c r="K11" s="66"/>
      <c r="L11" s="66">
        <f>L10*(1-$T$10)</f>
        <v>5.55604604143428</v>
      </c>
      <c r="M11" s="66">
        <f>M10*(1-$T$10)</f>
        <v>5.994912665702677</v>
      </c>
      <c r="N11" s="66">
        <f>N10*(1-$T$10)</f>
        <v>7.474593401168426</v>
      </c>
      <c r="O11" s="66">
        <f>O10*(1-$T$10)</f>
        <v>11.323627220107136</v>
      </c>
      <c r="P11" s="66"/>
      <c r="Q11" s="66"/>
    </row>
    <row r="12" spans="2:17" ht="11.25">
      <c r="B12" s="63" t="s">
        <v>216</v>
      </c>
      <c r="L12" s="66">
        <f>-L9</f>
        <v>4.163411666666667</v>
      </c>
      <c r="M12" s="66">
        <f>-M9</f>
        <v>5.537823333333333</v>
      </c>
      <c r="N12" s="66">
        <f>-N9</f>
        <v>6.912235</v>
      </c>
      <c r="O12" s="66">
        <f>-O9</f>
        <v>5.497646666666666</v>
      </c>
      <c r="P12" s="66"/>
      <c r="Q12" s="66"/>
    </row>
    <row r="13" spans="2:17" ht="11.25">
      <c r="B13" s="63" t="s">
        <v>504</v>
      </c>
      <c r="L13" s="66">
        <f>OpMod!L78</f>
        <v>1.3890523537077155</v>
      </c>
      <c r="M13" s="66">
        <f>OpMod!M78</f>
        <v>1.5557386361526413</v>
      </c>
      <c r="N13" s="66">
        <f>OpMod!N78</f>
        <v>1.7424272724909584</v>
      </c>
      <c r="O13" s="66">
        <f>OpMod!O78</f>
        <v>1.9515185451898733</v>
      </c>
      <c r="P13" s="66"/>
      <c r="Q13" s="66"/>
    </row>
    <row r="14" spans="2:17" ht="11.25">
      <c r="B14" s="64" t="s">
        <v>217</v>
      </c>
      <c r="L14" s="66">
        <f>OpMod!L77</f>
        <v>5.954009157596461</v>
      </c>
      <c r="M14" s="66">
        <f>OpMod!M77</f>
        <v>1.5570346104932007</v>
      </c>
      <c r="N14" s="66">
        <f>OpMod!N77</f>
        <v>-0.9954937810412012</v>
      </c>
      <c r="O14" s="66">
        <f>OpMod!O77</f>
        <v>-1.0548252103912574</v>
      </c>
      <c r="P14" s="66"/>
      <c r="Q14" s="66"/>
    </row>
    <row r="15" spans="2:17" ht="11.25">
      <c r="B15" s="63" t="s">
        <v>218</v>
      </c>
      <c r="L15" s="66">
        <f>OpMod!L79</f>
        <v>-6.516416666666666</v>
      </c>
      <c r="M15" s="66">
        <f>OpMod!M79</f>
        <v>-6.516416666666666</v>
      </c>
      <c r="N15" s="66">
        <f>OpMod!N79</f>
        <v>-6.516416666666666</v>
      </c>
      <c r="O15" s="66">
        <f>OpMod!O79</f>
        <v>-6.516416666666666</v>
      </c>
      <c r="P15" s="66"/>
      <c r="Q15" s="66"/>
    </row>
    <row r="16" spans="2:17" ht="11.25">
      <c r="B16" s="63" t="s">
        <v>496</v>
      </c>
      <c r="L16" s="66">
        <f>OpMod!L80</f>
        <v>-1.3675833333333332</v>
      </c>
      <c r="M16" s="66">
        <f>OpMod!M80</f>
        <v>-1.3675833333333332</v>
      </c>
      <c r="N16" s="66">
        <f>OpMod!N80</f>
        <v>-1.3675833333333332</v>
      </c>
      <c r="O16" s="66">
        <f>OpMod!O80</f>
        <v>-1.3675833333333332</v>
      </c>
      <c r="P16" s="66"/>
      <c r="Q16" s="66"/>
    </row>
    <row r="17" spans="2:17" ht="11.25">
      <c r="B17" s="65" t="s">
        <v>262</v>
      </c>
      <c r="L17" s="66">
        <f>SUM(L11:L16)</f>
        <v>9.178519219405125</v>
      </c>
      <c r="M17" s="66">
        <f>SUM(M11:M16)</f>
        <v>6.761509245681853</v>
      </c>
      <c r="N17" s="66">
        <f>SUM(N11:N16)</f>
        <v>7.249761892618182</v>
      </c>
      <c r="O17" s="66">
        <f>SUM(O11:O16)</f>
        <v>9.833967221572419</v>
      </c>
      <c r="P17" s="66"/>
      <c r="Q17" s="66"/>
    </row>
    <row r="18" spans="2:17" ht="11.25">
      <c r="B18" s="63" t="s">
        <v>497</v>
      </c>
      <c r="L18" s="66">
        <f>1/(1+$E$34)^L4</f>
        <v>0.9245461718741711</v>
      </c>
      <c r="M18" s="66">
        <f>1/(1+$E$34)^M4</f>
        <v>0.8547856239271843</v>
      </c>
      <c r="N18" s="66">
        <f>1/(1+$E$34)^N4</f>
        <v>0.7902887763749531</v>
      </c>
      <c r="O18" s="66">
        <f>1/(1+$E$34)^O4</f>
        <v>0.7306584628725858</v>
      </c>
      <c r="P18" s="66"/>
      <c r="Q18" s="66"/>
    </row>
    <row r="19" spans="2:17" ht="11.25">
      <c r="B19" s="63" t="s">
        <v>498</v>
      </c>
      <c r="L19" s="66">
        <f>L17*L18</f>
        <v>8.485964807774513</v>
      </c>
      <c r="M19" s="66">
        <f>M17*M18</f>
        <v>5.779640899259587</v>
      </c>
      <c r="N19" s="66">
        <f>N17*N18</f>
        <v>5.7294054551269875</v>
      </c>
      <c r="O19" s="66">
        <f>O17*O18</f>
        <v>7.185271374053497</v>
      </c>
      <c r="P19" s="66"/>
      <c r="Q19" s="66"/>
    </row>
    <row r="20" spans="2:17" ht="11.25">
      <c r="B20" s="65"/>
      <c r="K20" s="66">
        <f>SUM(L19:O19)</f>
        <v>27.180282536214584</v>
      </c>
      <c r="L20" s="66"/>
      <c r="M20" s="66"/>
      <c r="N20" s="66"/>
      <c r="O20" s="66"/>
      <c r="P20" s="66"/>
      <c r="Q20" s="66"/>
    </row>
    <row r="21" spans="2:20" ht="11.25">
      <c r="B21" s="63" t="s">
        <v>499</v>
      </c>
      <c r="L21" s="66"/>
      <c r="M21" s="66"/>
      <c r="N21" s="66"/>
      <c r="O21" s="66">
        <f>O8*S8</f>
        <v>362.6285280028396</v>
      </c>
      <c r="P21" s="66"/>
      <c r="Q21" s="66"/>
      <c r="S21" s="63" t="s">
        <v>119</v>
      </c>
      <c r="T21" s="107">
        <v>0.25</v>
      </c>
    </row>
    <row r="22" spans="2:17" ht="11.25">
      <c r="B22" s="63" t="s">
        <v>498</v>
      </c>
      <c r="K22" s="66">
        <f>O21*O18</f>
        <v>264.9576028643032</v>
      </c>
      <c r="L22" s="66"/>
      <c r="M22" s="66"/>
      <c r="N22" s="66"/>
      <c r="O22" s="66"/>
      <c r="P22" s="66"/>
      <c r="Q22" s="66"/>
    </row>
    <row r="23" spans="11:17" ht="11.25">
      <c r="K23" s="66"/>
      <c r="L23" s="66"/>
      <c r="M23" s="66"/>
      <c r="N23" s="66"/>
      <c r="O23" s="66"/>
      <c r="P23" s="66"/>
      <c r="Q23" s="66"/>
    </row>
    <row r="24" spans="11:17" ht="11.25">
      <c r="K24" s="66"/>
      <c r="L24" s="66"/>
      <c r="M24" s="66"/>
      <c r="N24" s="66"/>
      <c r="O24" s="66"/>
      <c r="P24" s="66"/>
      <c r="Q24" s="66"/>
    </row>
    <row r="25" spans="2:17" ht="11.25">
      <c r="B25" s="63" t="s">
        <v>500</v>
      </c>
      <c r="K25" s="66"/>
      <c r="L25" s="66">
        <f>-OpMod!L24</f>
        <v>4.209860813387546</v>
      </c>
      <c r="M25" s="66">
        <f>-OpMod!M24</f>
        <v>4.035222903496736</v>
      </c>
      <c r="N25" s="66">
        <f>-OpMod!N24</f>
        <v>4.0101450673904795</v>
      </c>
      <c r="O25" s="66">
        <f>-OpMod!O24</f>
        <v>3.9787343259403873</v>
      </c>
      <c r="P25" s="66"/>
      <c r="Q25" s="66"/>
    </row>
    <row r="26" spans="2:17" ht="11.25">
      <c r="B26" s="63" t="s">
        <v>501</v>
      </c>
      <c r="K26" s="66"/>
      <c r="L26" s="66">
        <f>L25*$T$21</f>
        <v>1.0524652033468864</v>
      </c>
      <c r="M26" s="66">
        <f>M25*$T$21</f>
        <v>1.008805725874184</v>
      </c>
      <c r="N26" s="66">
        <f>N25*$T$21</f>
        <v>1.0025362668476199</v>
      </c>
      <c r="O26" s="66">
        <f>O25*$T$21</f>
        <v>0.9946835814850968</v>
      </c>
      <c r="P26" s="66"/>
      <c r="Q26" s="66"/>
    </row>
    <row r="27" spans="2:17" ht="11.25">
      <c r="B27" s="63" t="s">
        <v>497</v>
      </c>
      <c r="L27" s="66">
        <f>1/(1+$E$55)^L4</f>
        <v>0.9357858174974669</v>
      </c>
      <c r="M27" s="66">
        <f>1/(1+$E$55)^M4</f>
        <v>0.8756950962294026</v>
      </c>
      <c r="N27" s="66">
        <f>1/(1+$E$55)^N4</f>
        <v>0.8194630515035545</v>
      </c>
      <c r="O27" s="66">
        <f>1/(1+$E$55)^O4</f>
        <v>0.7668419015602226</v>
      </c>
      <c r="P27" s="66"/>
      <c r="Q27" s="66"/>
    </row>
    <row r="28" spans="2:17" ht="11.25">
      <c r="B28" s="63" t="s">
        <v>503</v>
      </c>
      <c r="L28" s="66">
        <f>L26*L27</f>
        <v>0.9848820107016039</v>
      </c>
      <c r="M28" s="66">
        <f>M26*M27</f>
        <v>0.8834062271961659</v>
      </c>
      <c r="N28" s="66">
        <f>N26*N27</f>
        <v>0.8215414284739323</v>
      </c>
      <c r="O28" s="66">
        <f>O26*O27</f>
        <v>0.7627650490767642</v>
      </c>
      <c r="P28" s="66"/>
      <c r="Q28" s="66"/>
    </row>
    <row r="29" spans="11:17" ht="11.25">
      <c r="K29" s="66">
        <f>SUM(L28:O28)</f>
        <v>3.452594715448466</v>
      </c>
      <c r="L29" s="66"/>
      <c r="M29" s="66"/>
      <c r="N29" s="66"/>
      <c r="O29" s="66"/>
      <c r="P29" s="66"/>
      <c r="Q29" s="66"/>
    </row>
    <row r="30" spans="2:17" ht="11.25">
      <c r="B30" s="63" t="s">
        <v>347</v>
      </c>
      <c r="K30" s="66">
        <f>K29+K22+K20</f>
        <v>295.5904801159663</v>
      </c>
      <c r="L30" s="66"/>
      <c r="M30" s="66"/>
      <c r="N30" s="66"/>
      <c r="O30" s="66"/>
      <c r="P30" s="66"/>
      <c r="Q30" s="66"/>
    </row>
    <row r="32" ht="11.25">
      <c r="B32" s="65" t="s">
        <v>263</v>
      </c>
    </row>
    <row r="33" ht="3" customHeight="1"/>
    <row r="34" spans="2:5" ht="11.25">
      <c r="B34" s="63" t="s">
        <v>495</v>
      </c>
      <c r="E34" s="73">
        <f>E41+(E36*E42)</f>
        <v>0.08161174684534638</v>
      </c>
    </row>
    <row r="36" spans="2:18" ht="11.25">
      <c r="B36" s="63" t="s">
        <v>317</v>
      </c>
      <c r="E36" s="66">
        <f>'Operating Statistics'!P25</f>
        <v>0.8820747534700217</v>
      </c>
      <c r="R36" s="68" t="s">
        <v>341</v>
      </c>
    </row>
    <row r="38" spans="2:18" ht="11.25">
      <c r="B38" s="63" t="s">
        <v>312</v>
      </c>
      <c r="E38" s="73">
        <f>'Operating Statistics'!L25</f>
        <v>0.32432790358892866</v>
      </c>
      <c r="R38" s="68" t="s">
        <v>341</v>
      </c>
    </row>
    <row r="39" ht="11.25">
      <c r="E39" s="73"/>
    </row>
    <row r="40" spans="2:5" ht="11.25">
      <c r="B40" s="63" t="s">
        <v>321</v>
      </c>
      <c r="E40" s="66">
        <f>E36*(1+(1-T10)*E38)</f>
        <v>1.0965211188897404</v>
      </c>
    </row>
    <row r="41" spans="2:19" ht="11.25">
      <c r="B41" s="63" t="s">
        <v>264</v>
      </c>
      <c r="E41" s="73">
        <v>0.0256</v>
      </c>
      <c r="R41" s="63" t="s">
        <v>319</v>
      </c>
      <c r="S41" s="63" t="s">
        <v>318</v>
      </c>
    </row>
    <row r="42" spans="2:5" ht="11.25">
      <c r="B42" s="63" t="s">
        <v>265</v>
      </c>
      <c r="E42" s="73">
        <v>0.0635</v>
      </c>
    </row>
    <row r="43" ht="11.25">
      <c r="R43" s="68" t="s">
        <v>322</v>
      </c>
    </row>
    <row r="44" spans="2:5" ht="11.25">
      <c r="B44" s="63" t="s">
        <v>340</v>
      </c>
      <c r="E44" s="73">
        <f>(100%-E46)*E49</f>
        <v>0.0354</v>
      </c>
    </row>
    <row r="46" spans="2:5" ht="11.25">
      <c r="B46" s="63" t="s">
        <v>342</v>
      </c>
      <c r="E46" s="73">
        <v>0.25</v>
      </c>
    </row>
    <row r="47" spans="2:5" ht="11.25">
      <c r="B47" s="63" t="s">
        <v>343</v>
      </c>
      <c r="E47" s="73">
        <v>0.0072</v>
      </c>
    </row>
    <row r="48" spans="2:5" ht="11.25">
      <c r="B48" s="63" t="s">
        <v>362</v>
      </c>
      <c r="E48" s="73">
        <v>0.04</v>
      </c>
    </row>
    <row r="49" spans="2:5" ht="11.25">
      <c r="B49" s="63" t="s">
        <v>363</v>
      </c>
      <c r="E49" s="94">
        <f>SUM(E47:E48)</f>
        <v>0.0472</v>
      </c>
    </row>
    <row r="51" ht="11.25">
      <c r="B51" s="63" t="s">
        <v>202</v>
      </c>
    </row>
    <row r="52" spans="2:6" ht="11.25">
      <c r="B52" s="63" t="s">
        <v>375</v>
      </c>
      <c r="E52" s="66">
        <f>'Sources &amp; Uses'!E28</f>
        <v>49.77437600785981</v>
      </c>
      <c r="F52" s="94">
        <f>'Sources &amp; Uses'!I28</f>
        <v>0.0566719</v>
      </c>
    </row>
    <row r="53" spans="2:6" ht="11.25">
      <c r="B53" s="63" t="s">
        <v>376</v>
      </c>
      <c r="E53" s="66">
        <f>'Sources &amp; Uses'!E29</f>
        <v>11.57543628089763</v>
      </c>
      <c r="F53" s="94">
        <f>'Sources &amp; Uses'!I30</f>
        <v>0.12</v>
      </c>
    </row>
    <row r="54" ht="11.25">
      <c r="E54" s="66">
        <f>SUM(E52:E53)</f>
        <v>61.349812288757434</v>
      </c>
    </row>
    <row r="55" spans="2:5" ht="11.25">
      <c r="B55" s="63" t="s">
        <v>502</v>
      </c>
      <c r="E55" s="94">
        <f>SUMPRODUCT(E52:E53,F52:F53)/E54</f>
        <v>0.06862059811320755</v>
      </c>
    </row>
    <row r="62" spans="4:8" ht="11.25">
      <c r="D62" s="63">
        <v>8.2</v>
      </c>
      <c r="E62" s="63">
        <v>132.8</v>
      </c>
      <c r="F62" s="63">
        <f>E62*(1-0.2)</f>
        <v>106.24000000000001</v>
      </c>
      <c r="H62" s="63" t="s">
        <v>508</v>
      </c>
    </row>
    <row r="63" spans="4:6" ht="11.25">
      <c r="D63" s="63">
        <v>17.6</v>
      </c>
      <c r="E63" s="63">
        <v>256.3</v>
      </c>
      <c r="F63" s="63">
        <f>E63*(1-0.2)</f>
        <v>205.04000000000002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8">
      <selection activeCell="D27" sqref="D27"/>
    </sheetView>
  </sheetViews>
  <sheetFormatPr defaultColWidth="9.140625" defaultRowHeight="15"/>
  <cols>
    <col min="1" max="1" width="2.421875" style="1" customWidth="1"/>
    <col min="2" max="2" width="44.421875" style="1" customWidth="1"/>
    <col min="3" max="8" width="13.421875" style="1" customWidth="1"/>
  </cols>
  <sheetData>
    <row r="1" spans="1:8" ht="14.25" customHeight="1">
      <c r="A1" s="15" t="s">
        <v>0</v>
      </c>
      <c r="B1" s="16"/>
      <c r="C1" s="16"/>
      <c r="D1" s="16"/>
      <c r="E1" s="16"/>
      <c r="F1" s="16"/>
      <c r="G1" s="16"/>
      <c r="H1" s="16"/>
    </row>
    <row r="2" spans="1:8" ht="12" customHeight="1">
      <c r="A2" s="16"/>
      <c r="B2" s="16"/>
      <c r="C2" s="16"/>
      <c r="D2" s="16"/>
      <c r="E2" s="16"/>
      <c r="F2" s="16"/>
      <c r="G2" s="16"/>
      <c r="H2" s="16"/>
    </row>
    <row r="3" spans="1:8" ht="15" customHeight="1">
      <c r="A3" s="2"/>
      <c r="B3" s="3" t="s">
        <v>1</v>
      </c>
      <c r="C3" s="2"/>
      <c r="D3" s="2"/>
      <c r="E3" s="2"/>
      <c r="F3" s="2"/>
      <c r="G3" s="2"/>
      <c r="H3" s="2"/>
    </row>
    <row r="4" spans="1:8" ht="26.25" customHeight="1">
      <c r="A4" s="4"/>
      <c r="B4" s="5" t="s">
        <v>2</v>
      </c>
      <c r="C4" s="6" t="s">
        <v>7</v>
      </c>
      <c r="D4" s="6" t="s">
        <v>6</v>
      </c>
      <c r="E4" s="6" t="s">
        <v>5</v>
      </c>
      <c r="F4" s="6" t="s">
        <v>4</v>
      </c>
      <c r="G4" s="6" t="s">
        <v>3</v>
      </c>
      <c r="H4" s="6" t="s">
        <v>108</v>
      </c>
    </row>
    <row r="5" spans="1:8" ht="26.25" customHeight="1">
      <c r="A5" s="7"/>
      <c r="B5" s="7"/>
      <c r="C5" s="8" t="s">
        <v>9</v>
      </c>
      <c r="D5" s="8" t="s">
        <v>9</v>
      </c>
      <c r="E5" s="8" t="s">
        <v>9</v>
      </c>
      <c r="F5" s="8" t="s">
        <v>9</v>
      </c>
      <c r="G5" s="8" t="s">
        <v>9</v>
      </c>
      <c r="H5" s="8" t="s">
        <v>9</v>
      </c>
    </row>
    <row r="6" spans="1:8" ht="15" customHeight="1">
      <c r="A6" s="2"/>
      <c r="B6" s="3" t="s">
        <v>10</v>
      </c>
      <c r="C6" s="2"/>
      <c r="D6" s="2"/>
      <c r="E6" s="2"/>
      <c r="F6" s="2"/>
      <c r="G6" s="2"/>
      <c r="H6" s="2"/>
    </row>
    <row r="7" spans="1:8" ht="15" customHeight="1">
      <c r="A7" s="9"/>
      <c r="B7" s="10" t="s">
        <v>11</v>
      </c>
      <c r="C7" s="11">
        <v>5896</v>
      </c>
      <c r="D7" s="11">
        <v>4665</v>
      </c>
      <c r="E7" s="11">
        <v>4691</v>
      </c>
      <c r="F7" s="11">
        <v>6050</v>
      </c>
      <c r="G7" s="11">
        <v>8927</v>
      </c>
      <c r="H7" s="11">
        <v>12729</v>
      </c>
    </row>
    <row r="8" spans="1:8" ht="15" customHeight="1">
      <c r="A8" s="9"/>
      <c r="B8" s="10" t="s">
        <v>12</v>
      </c>
      <c r="C8" s="11">
        <v>144</v>
      </c>
      <c r="D8" s="11">
        <v>228</v>
      </c>
      <c r="E8" s="11">
        <v>286</v>
      </c>
      <c r="F8" s="11">
        <v>1084</v>
      </c>
      <c r="G8" s="11">
        <v>2445</v>
      </c>
      <c r="H8" s="11">
        <v>3680</v>
      </c>
    </row>
    <row r="9" spans="1:8" ht="15" customHeight="1">
      <c r="A9" s="9"/>
      <c r="B9" s="10" t="s">
        <v>13</v>
      </c>
      <c r="C9" s="11">
        <v>5752</v>
      </c>
      <c r="D9" s="11">
        <v>4437</v>
      </c>
      <c r="E9" s="11">
        <v>4405</v>
      </c>
      <c r="F9" s="11">
        <v>4966</v>
      </c>
      <c r="G9" s="11">
        <v>6482</v>
      </c>
      <c r="H9" s="11">
        <v>9049</v>
      </c>
    </row>
    <row r="10" spans="1:8" ht="15" customHeight="1">
      <c r="A10" s="9"/>
      <c r="B10" s="10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ht="15" customHeight="1">
      <c r="A11" s="9"/>
      <c r="B11" s="9"/>
      <c r="C11" s="9"/>
      <c r="D11" s="9"/>
      <c r="E11" s="9"/>
      <c r="F11" s="9"/>
      <c r="G11" s="9"/>
      <c r="H11" s="9"/>
    </row>
    <row r="12" spans="1:13" ht="15" customHeight="1">
      <c r="A12" s="9"/>
      <c r="B12" s="10" t="s">
        <v>15</v>
      </c>
      <c r="C12" s="11">
        <v>10313</v>
      </c>
      <c r="D12" s="11">
        <v>7778</v>
      </c>
      <c r="E12" s="11">
        <v>10753</v>
      </c>
      <c r="F12" s="11">
        <v>12694</v>
      </c>
      <c r="G12" s="11">
        <v>16015</v>
      </c>
      <c r="H12" s="11">
        <v>26404</v>
      </c>
      <c r="J12" s="61"/>
      <c r="K12" s="61"/>
      <c r="L12" s="61"/>
      <c r="M12" s="61"/>
    </row>
    <row r="13" spans="1:8" ht="15" customHeight="1">
      <c r="A13" s="9"/>
      <c r="B13" s="10" t="s">
        <v>16</v>
      </c>
      <c r="C13" s="11">
        <v>5405</v>
      </c>
      <c r="D13" s="11">
        <v>3883</v>
      </c>
      <c r="E13" s="11">
        <v>5016</v>
      </c>
      <c r="F13" s="11">
        <v>5046</v>
      </c>
      <c r="G13" s="11">
        <v>8338</v>
      </c>
      <c r="H13" s="11">
        <v>12485</v>
      </c>
    </row>
    <row r="14" spans="1:8" ht="15" customHeight="1">
      <c r="A14" s="9"/>
      <c r="B14" s="10" t="s">
        <v>17</v>
      </c>
      <c r="C14" s="11">
        <v>2454</v>
      </c>
      <c r="D14" s="11">
        <v>2122</v>
      </c>
      <c r="E14" s="11">
        <v>3052</v>
      </c>
      <c r="F14" s="11">
        <v>3754</v>
      </c>
      <c r="G14" s="11">
        <v>3740</v>
      </c>
      <c r="H14" s="11">
        <v>5859</v>
      </c>
    </row>
    <row r="15" spans="1:8" ht="15" customHeight="1">
      <c r="A15" s="9"/>
      <c r="B15" s="10" t="s">
        <v>18</v>
      </c>
      <c r="C15" s="11">
        <v>2454</v>
      </c>
      <c r="D15" s="11">
        <v>1773</v>
      </c>
      <c r="E15" s="11">
        <v>2685</v>
      </c>
      <c r="F15" s="11">
        <v>3894</v>
      </c>
      <c r="G15" s="11">
        <v>3937</v>
      </c>
      <c r="H15" s="11">
        <v>8060</v>
      </c>
    </row>
    <row r="16" spans="1:8" ht="15" customHeight="1">
      <c r="A16" s="9"/>
      <c r="B16" s="10" t="s">
        <v>19</v>
      </c>
      <c r="C16" s="11">
        <v>743</v>
      </c>
      <c r="D16" s="11">
        <v>472</v>
      </c>
      <c r="E16" s="11">
        <v>481</v>
      </c>
      <c r="F16" s="11">
        <v>1491</v>
      </c>
      <c r="G16" s="11">
        <v>717</v>
      </c>
      <c r="H16" s="11">
        <v>4190</v>
      </c>
    </row>
    <row r="17" spans="1:8" ht="15" customHeight="1">
      <c r="A17" s="9"/>
      <c r="B17" s="9"/>
      <c r="C17" s="60"/>
      <c r="D17" s="9"/>
      <c r="E17" s="9"/>
      <c r="F17" s="9"/>
      <c r="G17" s="9"/>
      <c r="H17" s="9"/>
    </row>
    <row r="18" spans="1:8" ht="15" customHeight="1">
      <c r="A18" s="9"/>
      <c r="B18" s="10" t="s">
        <v>20</v>
      </c>
      <c r="C18" s="11">
        <v>16209</v>
      </c>
      <c r="D18" s="11">
        <v>12443</v>
      </c>
      <c r="E18" s="11">
        <v>15444</v>
      </c>
      <c r="F18" s="11">
        <v>18744</v>
      </c>
      <c r="G18" s="11">
        <v>24942</v>
      </c>
      <c r="H18" s="11">
        <v>39133</v>
      </c>
    </row>
    <row r="19" spans="1:8" ht="15" customHeight="1">
      <c r="A19" s="9"/>
      <c r="B19" s="9"/>
      <c r="C19" s="9"/>
      <c r="D19" s="9"/>
      <c r="E19" s="9"/>
      <c r="F19" s="9"/>
      <c r="G19" s="9"/>
      <c r="H19" s="9"/>
    </row>
    <row r="20" spans="1:8" ht="15" customHeight="1">
      <c r="A20" s="2"/>
      <c r="B20" s="3" t="s">
        <v>21</v>
      </c>
      <c r="C20" s="2"/>
      <c r="D20" s="2"/>
      <c r="E20" s="2"/>
      <c r="F20" s="2"/>
      <c r="G20" s="2"/>
      <c r="H20" s="2"/>
    </row>
    <row r="21" spans="1:8" ht="15" customHeight="1">
      <c r="A21" s="9"/>
      <c r="B21" s="10" t="s">
        <v>22</v>
      </c>
      <c r="C21" s="11">
        <v>2148</v>
      </c>
      <c r="D21" s="11">
        <v>621</v>
      </c>
      <c r="E21" s="11">
        <v>1114</v>
      </c>
      <c r="F21" s="11">
        <v>2193</v>
      </c>
      <c r="G21" s="11">
        <v>4827</v>
      </c>
      <c r="H21" s="11">
        <v>9045</v>
      </c>
    </row>
    <row r="22" spans="1:8" ht="15" customHeight="1">
      <c r="A22" s="9"/>
      <c r="B22" s="10" t="s">
        <v>23</v>
      </c>
      <c r="C22" s="11">
        <v>102</v>
      </c>
      <c r="D22" s="11">
        <v>102</v>
      </c>
      <c r="E22" s="11">
        <v>102</v>
      </c>
      <c r="F22" s="11">
        <v>102</v>
      </c>
      <c r="G22" s="11">
        <v>102</v>
      </c>
      <c r="H22" s="11">
        <v>102</v>
      </c>
    </row>
    <row r="23" spans="1:8" ht="15" customHeight="1">
      <c r="A23" s="9"/>
      <c r="B23" s="10" t="s">
        <v>24</v>
      </c>
      <c r="C23" s="11">
        <v>2046</v>
      </c>
      <c r="D23" s="11">
        <v>519</v>
      </c>
      <c r="E23" s="11">
        <v>1012</v>
      </c>
      <c r="F23" s="11">
        <v>2091</v>
      </c>
      <c r="G23" s="11">
        <v>4725</v>
      </c>
      <c r="H23" s="11">
        <v>8943</v>
      </c>
    </row>
    <row r="24" spans="1:8" ht="15" customHeight="1">
      <c r="A24" s="9"/>
      <c r="B24" s="9"/>
      <c r="C24" s="9"/>
      <c r="D24" s="9"/>
      <c r="E24" s="9"/>
      <c r="F24" s="9"/>
      <c r="G24" s="9"/>
      <c r="H24" s="9"/>
    </row>
    <row r="25" spans="1:8" ht="15" customHeight="1">
      <c r="A25" s="9"/>
      <c r="B25" s="10" t="s">
        <v>25</v>
      </c>
      <c r="C25" s="11">
        <v>6312</v>
      </c>
      <c r="D25" s="11">
        <v>5839</v>
      </c>
      <c r="E25" s="11">
        <v>7955</v>
      </c>
      <c r="F25" s="11">
        <v>12759</v>
      </c>
      <c r="G25" s="11">
        <v>15593</v>
      </c>
      <c r="H25" s="11">
        <v>21447</v>
      </c>
    </row>
    <row r="26" spans="1:8" ht="15" customHeight="1">
      <c r="A26" s="9"/>
      <c r="B26" s="10" t="s">
        <v>26</v>
      </c>
      <c r="C26" s="11">
        <v>6312</v>
      </c>
      <c r="D26" s="11">
        <v>5839</v>
      </c>
      <c r="E26" s="11">
        <v>7955</v>
      </c>
      <c r="F26" s="11">
        <v>12759</v>
      </c>
      <c r="G26" s="11">
        <v>15593</v>
      </c>
      <c r="H26" s="11">
        <v>21447</v>
      </c>
    </row>
    <row r="27" spans="1:8" ht="15" customHeight="1">
      <c r="A27" s="9"/>
      <c r="B27" s="10" t="s">
        <v>27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5" customHeight="1">
      <c r="A28" s="9"/>
      <c r="B28" s="10" t="s">
        <v>28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>
      <c r="A29" s="9"/>
      <c r="B29" s="9"/>
      <c r="C29" s="60"/>
      <c r="D29" s="9"/>
      <c r="E29" s="9"/>
      <c r="F29" s="9"/>
      <c r="G29" s="9"/>
      <c r="H29" s="9"/>
    </row>
    <row r="30" spans="1:8" ht="15" customHeight="1">
      <c r="A30" s="9"/>
      <c r="B30" s="10" t="s">
        <v>29</v>
      </c>
      <c r="C30" s="11">
        <v>7749</v>
      </c>
      <c r="D30" s="11">
        <v>5983</v>
      </c>
      <c r="E30" s="11">
        <v>6375</v>
      </c>
      <c r="F30" s="11">
        <v>3792</v>
      </c>
      <c r="G30" s="11">
        <v>4522</v>
      </c>
      <c r="H30" s="11">
        <v>8641</v>
      </c>
    </row>
    <row r="31" spans="1:8" ht="15" customHeight="1">
      <c r="A31" s="9"/>
      <c r="B31" s="10" t="s">
        <v>30</v>
      </c>
      <c r="C31" s="11">
        <v>3997</v>
      </c>
      <c r="D31" s="11">
        <v>2662</v>
      </c>
      <c r="E31" s="11">
        <v>2189</v>
      </c>
      <c r="F31" s="11">
        <v>3</v>
      </c>
      <c r="G31" s="11">
        <v>1094</v>
      </c>
      <c r="H31" s="11">
        <v>1216</v>
      </c>
    </row>
    <row r="32" spans="1:8" ht="15" customHeight="1">
      <c r="A32" s="9"/>
      <c r="B32" s="10" t="s">
        <v>31</v>
      </c>
      <c r="C32" s="11">
        <v>2065</v>
      </c>
      <c r="D32" s="11">
        <v>1018</v>
      </c>
      <c r="E32" s="11">
        <v>1952</v>
      </c>
      <c r="F32" s="11">
        <v>2234</v>
      </c>
      <c r="G32" s="11">
        <v>1415</v>
      </c>
      <c r="H32" s="11">
        <v>2549</v>
      </c>
    </row>
    <row r="33" spans="1:13" ht="15" customHeight="1">
      <c r="A33" s="9"/>
      <c r="B33" s="10" t="s">
        <v>32</v>
      </c>
      <c r="C33" s="11">
        <v>1687</v>
      </c>
      <c r="D33" s="11">
        <v>2303</v>
      </c>
      <c r="E33" s="11">
        <v>2234</v>
      </c>
      <c r="F33" s="11">
        <v>1555</v>
      </c>
      <c r="G33" s="11">
        <v>2013</v>
      </c>
      <c r="H33" s="11">
        <v>4876</v>
      </c>
      <c r="J33" s="61"/>
      <c r="K33" s="61"/>
      <c r="L33" s="61"/>
      <c r="M33" s="61"/>
    </row>
    <row r="34" spans="1:8" ht="15" customHeight="1">
      <c r="A34" s="9"/>
      <c r="B34" s="9"/>
      <c r="C34" s="9"/>
      <c r="D34" s="9"/>
      <c r="E34" s="9"/>
      <c r="F34" s="9"/>
      <c r="G34" s="9"/>
      <c r="H34" s="9"/>
    </row>
    <row r="35" spans="1:13" ht="15" customHeight="1">
      <c r="A35" s="9"/>
      <c r="B35" s="10" t="s">
        <v>33</v>
      </c>
      <c r="C35" s="11">
        <v>16209</v>
      </c>
      <c r="D35" s="11">
        <v>12443</v>
      </c>
      <c r="E35" s="11">
        <v>15444</v>
      </c>
      <c r="F35" s="11">
        <v>18744</v>
      </c>
      <c r="G35" s="11">
        <v>24942</v>
      </c>
      <c r="H35" s="11">
        <v>39133</v>
      </c>
      <c r="J35" s="61"/>
      <c r="K35" s="61"/>
      <c r="L35" s="61"/>
      <c r="M35" s="61"/>
    </row>
    <row r="36" spans="1:8" ht="15" customHeight="1">
      <c r="A36" s="9"/>
      <c r="B36" s="9"/>
      <c r="C36" s="9"/>
      <c r="D36" s="9"/>
      <c r="E36" s="9"/>
      <c r="F36" s="9"/>
      <c r="G36" s="9"/>
      <c r="H36" s="9"/>
    </row>
    <row r="37" spans="1:8" ht="15" customHeight="1">
      <c r="A37" s="2"/>
      <c r="B37" s="3" t="s">
        <v>34</v>
      </c>
      <c r="C37" s="2"/>
      <c r="D37" s="2"/>
      <c r="E37" s="2"/>
      <c r="F37" s="2"/>
      <c r="G37" s="2"/>
      <c r="H37" s="2"/>
    </row>
    <row r="38" spans="1:8" ht="15" customHeight="1">
      <c r="A38" s="9"/>
      <c r="B38" s="10" t="s">
        <v>35</v>
      </c>
      <c r="C38" s="11">
        <v>5794</v>
      </c>
      <c r="D38" s="11">
        <v>4987</v>
      </c>
      <c r="E38" s="11">
        <v>6116</v>
      </c>
      <c r="F38" s="11">
        <v>6566</v>
      </c>
      <c r="G38" s="11">
        <v>10663</v>
      </c>
      <c r="H38" s="11">
        <v>15795</v>
      </c>
    </row>
    <row r="39" spans="1:10" ht="15" customHeight="1">
      <c r="A39" s="9"/>
      <c r="B39" s="10" t="s">
        <v>36</v>
      </c>
      <c r="C39" s="11">
        <v>2564</v>
      </c>
      <c r="D39" s="11">
        <v>1795</v>
      </c>
      <c r="E39" s="11">
        <v>4378</v>
      </c>
      <c r="F39" s="11">
        <v>8902</v>
      </c>
      <c r="G39" s="11">
        <v>11493</v>
      </c>
      <c r="H39" s="11">
        <v>17763</v>
      </c>
      <c r="J39" s="56" t="s">
        <v>252</v>
      </c>
    </row>
    <row r="40" spans="1:8" ht="15" customHeight="1">
      <c r="A40" s="9"/>
      <c r="B40" s="10" t="s">
        <v>37</v>
      </c>
      <c r="C40" s="12" t="s">
        <v>38</v>
      </c>
      <c r="D40" s="12" t="s">
        <v>38</v>
      </c>
      <c r="E40" s="12" t="s">
        <v>38</v>
      </c>
      <c r="F40" s="12" t="s">
        <v>38</v>
      </c>
      <c r="G40" s="12" t="s">
        <v>38</v>
      </c>
      <c r="H40" s="12" t="s">
        <v>38</v>
      </c>
    </row>
    <row r="41" spans="1:8" ht="15" customHeight="1">
      <c r="A41" s="9"/>
      <c r="B41" s="9"/>
      <c r="C41" s="9"/>
      <c r="D41" s="9"/>
      <c r="E41" s="9"/>
      <c r="F41" s="9"/>
      <c r="G41" s="9"/>
      <c r="H41" s="9"/>
    </row>
    <row r="42" spans="1:8" ht="15" customHeight="1">
      <c r="A42" s="9"/>
      <c r="B42" s="10" t="s">
        <v>39</v>
      </c>
      <c r="C42" s="11">
        <v>236</v>
      </c>
      <c r="D42" s="11">
        <v>247</v>
      </c>
      <c r="E42" s="11">
        <v>260</v>
      </c>
      <c r="F42" s="11">
        <v>283</v>
      </c>
      <c r="G42" s="11">
        <v>327</v>
      </c>
      <c r="H42" s="11">
        <v>389</v>
      </c>
    </row>
    <row r="43" spans="1:8" ht="15" customHeight="1">
      <c r="A43" s="9"/>
      <c r="B43" s="9"/>
      <c r="C43" s="9"/>
      <c r="D43" s="9"/>
      <c r="E43" s="9"/>
      <c r="F43" s="9"/>
      <c r="G43" s="9"/>
      <c r="H43" s="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5:IU75"/>
  <sheetViews>
    <sheetView zoomScalePageLayoutView="0" workbookViewId="0" topLeftCell="A9">
      <selection activeCell="D27" sqref="D27"/>
    </sheetView>
  </sheetViews>
  <sheetFormatPr defaultColWidth="9.140625" defaultRowHeight="15"/>
  <cols>
    <col min="1" max="1" width="45.8515625" style="31" customWidth="1"/>
    <col min="2" max="7" width="14.8515625" style="31" customWidth="1"/>
    <col min="8" max="16384" width="9.140625" style="31" customWidth="1"/>
  </cols>
  <sheetData>
    <row r="5" ht="15.75">
      <c r="A5" s="30" t="s">
        <v>123</v>
      </c>
    </row>
    <row r="7" spans="1:6" ht="11.25">
      <c r="A7" s="32" t="s">
        <v>124</v>
      </c>
      <c r="B7" s="33" t="s">
        <v>125</v>
      </c>
      <c r="C7" s="31" t="s">
        <v>126</v>
      </c>
      <c r="D7" s="34" t="s">
        <v>127</v>
      </c>
      <c r="E7" s="33" t="s">
        <v>128</v>
      </c>
      <c r="F7" s="31" t="s">
        <v>129</v>
      </c>
    </row>
    <row r="8" spans="1:6" ht="11.25">
      <c r="A8" s="34"/>
      <c r="B8" s="33" t="s">
        <v>130</v>
      </c>
      <c r="C8" s="31" t="s">
        <v>131</v>
      </c>
      <c r="D8" s="34" t="s">
        <v>127</v>
      </c>
      <c r="E8" s="33" t="s">
        <v>132</v>
      </c>
      <c r="F8" s="31" t="s">
        <v>133</v>
      </c>
    </row>
    <row r="9" spans="1:6" ht="11.25">
      <c r="A9" s="34"/>
      <c r="B9" s="33" t="s">
        <v>134</v>
      </c>
      <c r="C9" s="31" t="s">
        <v>135</v>
      </c>
      <c r="D9" s="34" t="s">
        <v>127</v>
      </c>
      <c r="E9" s="33" t="s">
        <v>136</v>
      </c>
      <c r="F9" s="35" t="s">
        <v>137</v>
      </c>
    </row>
    <row r="12" spans="1:255" ht="11.25">
      <c r="A12" s="36" t="s">
        <v>138</v>
      </c>
      <c r="B12" s="36"/>
      <c r="C12" s="36"/>
      <c r="D12" s="36"/>
      <c r="E12" s="36"/>
      <c r="F12" s="36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</row>
    <row r="13" spans="1:7" ht="22.5">
      <c r="A13" s="38" t="s">
        <v>139</v>
      </c>
      <c r="B13" s="39">
        <v>39900</v>
      </c>
      <c r="C13" s="39">
        <v>40264</v>
      </c>
      <c r="D13" s="39">
        <v>40628</v>
      </c>
      <c r="E13" s="39">
        <v>40999</v>
      </c>
      <c r="F13" s="39">
        <v>41363</v>
      </c>
      <c r="G13" s="39">
        <v>41727</v>
      </c>
    </row>
    <row r="14" spans="1:7" ht="11.25">
      <c r="A14" s="40" t="s">
        <v>140</v>
      </c>
      <c r="B14" s="41" t="s">
        <v>141</v>
      </c>
      <c r="C14" s="41" t="s">
        <v>141</v>
      </c>
      <c r="D14" s="41" t="s">
        <v>141</v>
      </c>
      <c r="E14" s="41" t="s">
        <v>141</v>
      </c>
      <c r="F14" s="41" t="s">
        <v>141</v>
      </c>
      <c r="G14" s="41" t="s">
        <v>141</v>
      </c>
    </row>
    <row r="15" spans="1:7" ht="11.25">
      <c r="A15" s="42" t="s">
        <v>142</v>
      </c>
      <c r="B15" s="43"/>
      <c r="C15" s="43"/>
      <c r="D15" s="43"/>
      <c r="E15" s="43"/>
      <c r="F15" s="43"/>
      <c r="G15" s="43"/>
    </row>
    <row r="16" spans="1:7" ht="11.25">
      <c r="A16" s="43" t="s">
        <v>143</v>
      </c>
      <c r="B16" s="44">
        <v>0.743</v>
      </c>
      <c r="C16" s="44">
        <v>0.472</v>
      </c>
      <c r="D16" s="44">
        <v>0.481</v>
      </c>
      <c r="E16" s="44">
        <v>1.491</v>
      </c>
      <c r="F16" s="44">
        <v>0.717</v>
      </c>
      <c r="G16" s="44">
        <v>4.19</v>
      </c>
    </row>
    <row r="17" spans="1:7" ht="11.25">
      <c r="A17" s="42" t="s">
        <v>144</v>
      </c>
      <c r="B17" s="45">
        <v>0.743</v>
      </c>
      <c r="C17" s="45">
        <v>0.472</v>
      </c>
      <c r="D17" s="45">
        <v>0.481</v>
      </c>
      <c r="E17" s="45">
        <v>1.491</v>
      </c>
      <c r="F17" s="45">
        <v>0.717</v>
      </c>
      <c r="G17" s="45">
        <v>4.19</v>
      </c>
    </row>
    <row r="18" spans="1:7" ht="11.25">
      <c r="A18" s="43"/>
      <c r="B18" s="43"/>
      <c r="C18" s="43"/>
      <c r="D18" s="43"/>
      <c r="E18" s="43"/>
      <c r="F18" s="43"/>
      <c r="G18" s="43"/>
    </row>
    <row r="19" spans="1:7" ht="11.25">
      <c r="A19" s="43" t="s">
        <v>145</v>
      </c>
      <c r="B19" s="44">
        <v>2.454</v>
      </c>
      <c r="C19" s="44">
        <v>2.122</v>
      </c>
      <c r="D19" s="44">
        <v>3.052</v>
      </c>
      <c r="E19" s="44">
        <v>3.754</v>
      </c>
      <c r="F19" s="44">
        <v>3.74</v>
      </c>
      <c r="G19" s="44">
        <v>5.859</v>
      </c>
    </row>
    <row r="20" spans="1:7" ht="11.25">
      <c r="A20" s="43" t="s">
        <v>146</v>
      </c>
      <c r="B20" s="44">
        <v>0.799</v>
      </c>
      <c r="C20" s="44">
        <v>0.786</v>
      </c>
      <c r="D20" s="44">
        <v>1.086</v>
      </c>
      <c r="E20" s="44">
        <v>1.069</v>
      </c>
      <c r="F20" s="44">
        <v>1.591</v>
      </c>
      <c r="G20" s="44">
        <v>1.875</v>
      </c>
    </row>
    <row r="21" spans="1:7" ht="11.25">
      <c r="A21" s="42" t="s">
        <v>147</v>
      </c>
      <c r="B21" s="45">
        <v>3.253</v>
      </c>
      <c r="C21" s="45">
        <v>2.908</v>
      </c>
      <c r="D21" s="45">
        <v>4.138</v>
      </c>
      <c r="E21" s="45">
        <v>4.823</v>
      </c>
      <c r="F21" s="45">
        <v>5.331</v>
      </c>
      <c r="G21" s="45">
        <v>7.734</v>
      </c>
    </row>
    <row r="22" spans="1:7" ht="11.25">
      <c r="A22" s="43"/>
      <c r="B22" s="43"/>
      <c r="C22" s="43"/>
      <c r="D22" s="43"/>
      <c r="E22" s="43"/>
      <c r="F22" s="43"/>
      <c r="G22" s="43"/>
    </row>
    <row r="23" spans="1:7" ht="11.25">
      <c r="A23" s="43" t="s">
        <v>148</v>
      </c>
      <c r="B23" s="44">
        <v>5.405</v>
      </c>
      <c r="C23" s="44">
        <v>3.883</v>
      </c>
      <c r="D23" s="44">
        <v>5.016</v>
      </c>
      <c r="E23" s="44">
        <v>5.046</v>
      </c>
      <c r="F23" s="44">
        <v>8.338</v>
      </c>
      <c r="G23" s="44">
        <v>12.485</v>
      </c>
    </row>
    <row r="24" spans="1:7" ht="11.25">
      <c r="A24" s="43" t="s">
        <v>149</v>
      </c>
      <c r="B24" s="44">
        <v>0.912</v>
      </c>
      <c r="C24" s="44">
        <v>0.514</v>
      </c>
      <c r="D24" s="44">
        <v>1.118</v>
      </c>
      <c r="E24" s="44">
        <v>1.334</v>
      </c>
      <c r="F24" s="44">
        <v>1.629</v>
      </c>
      <c r="G24" s="44">
        <v>1.995</v>
      </c>
    </row>
    <row r="25" spans="1:7" ht="11.25">
      <c r="A25" s="43" t="s">
        <v>150</v>
      </c>
      <c r="B25" s="46" t="s">
        <v>193</v>
      </c>
      <c r="C25" s="44">
        <v>0.001</v>
      </c>
      <c r="D25" s="46" t="s">
        <v>193</v>
      </c>
      <c r="E25" s="46" t="s">
        <v>193</v>
      </c>
      <c r="F25" s="46" t="s">
        <v>193</v>
      </c>
      <c r="G25" s="46" t="s">
        <v>193</v>
      </c>
    </row>
    <row r="26" spans="1:7" ht="11.25">
      <c r="A26" s="42" t="s">
        <v>151</v>
      </c>
      <c r="B26" s="45">
        <v>10.313</v>
      </c>
      <c r="C26" s="45">
        <v>7.778</v>
      </c>
      <c r="D26" s="45">
        <v>10.753</v>
      </c>
      <c r="E26" s="45">
        <v>12.694</v>
      </c>
      <c r="F26" s="45">
        <v>16.015</v>
      </c>
      <c r="G26" s="45">
        <v>26.404</v>
      </c>
    </row>
    <row r="27" spans="1:7" ht="11.25">
      <c r="A27" s="43"/>
      <c r="B27" s="43"/>
      <c r="C27" s="43"/>
      <c r="D27" s="43"/>
      <c r="E27" s="43"/>
      <c r="F27" s="43"/>
      <c r="G27" s="43"/>
    </row>
    <row r="28" spans="1:7" ht="11.25">
      <c r="A28" s="43" t="s">
        <v>152</v>
      </c>
      <c r="B28" s="44">
        <v>5.752</v>
      </c>
      <c r="C28" s="44">
        <v>4.437</v>
      </c>
      <c r="D28" s="44">
        <v>4.405</v>
      </c>
      <c r="E28" s="44">
        <v>4.966</v>
      </c>
      <c r="F28" s="44">
        <v>6.482</v>
      </c>
      <c r="G28" s="44">
        <v>9.049</v>
      </c>
    </row>
    <row r="29" spans="1:7" ht="11.25">
      <c r="A29" s="42" t="s">
        <v>153</v>
      </c>
      <c r="B29" s="45">
        <v>5.752</v>
      </c>
      <c r="C29" s="45">
        <v>4.437</v>
      </c>
      <c r="D29" s="45">
        <v>4.405</v>
      </c>
      <c r="E29" s="45">
        <v>4.966</v>
      </c>
      <c r="F29" s="45">
        <v>6.482</v>
      </c>
      <c r="G29" s="45">
        <v>9.049</v>
      </c>
    </row>
    <row r="30" spans="1:7" ht="11.25">
      <c r="A30" s="43" t="s">
        <v>154</v>
      </c>
      <c r="B30" s="44">
        <v>0.144</v>
      </c>
      <c r="C30" s="44">
        <v>0.228</v>
      </c>
      <c r="D30" s="44">
        <v>0.286</v>
      </c>
      <c r="E30" s="44">
        <v>1.084</v>
      </c>
      <c r="F30" s="44">
        <v>2.445</v>
      </c>
      <c r="G30" s="44">
        <v>3.68</v>
      </c>
    </row>
    <row r="31" spans="1:7" ht="11.25">
      <c r="A31" s="42" t="s">
        <v>155</v>
      </c>
      <c r="B31" s="47">
        <v>16.209</v>
      </c>
      <c r="C31" s="47">
        <v>12.443</v>
      </c>
      <c r="D31" s="47">
        <v>15.444</v>
      </c>
      <c r="E31" s="47">
        <v>18.744</v>
      </c>
      <c r="F31" s="47">
        <v>24.942</v>
      </c>
      <c r="G31" s="47">
        <v>39.133</v>
      </c>
    </row>
    <row r="32" spans="1:7" ht="11.25">
      <c r="A32" s="43"/>
      <c r="B32" s="43"/>
      <c r="C32" s="43"/>
      <c r="D32" s="43"/>
      <c r="E32" s="43"/>
      <c r="F32" s="43"/>
      <c r="G32" s="43"/>
    </row>
    <row r="33" spans="1:7" ht="11.25">
      <c r="A33" s="42" t="s">
        <v>156</v>
      </c>
      <c r="B33" s="43"/>
      <c r="C33" s="43"/>
      <c r="D33" s="43"/>
      <c r="E33" s="43"/>
      <c r="F33" s="43"/>
      <c r="G33" s="43"/>
    </row>
    <row r="34" spans="1:7" ht="11.25">
      <c r="A34" s="43" t="s">
        <v>157</v>
      </c>
      <c r="B34" s="44">
        <v>2.065</v>
      </c>
      <c r="C34" s="44">
        <v>1.018</v>
      </c>
      <c r="D34" s="44">
        <v>1.952</v>
      </c>
      <c r="E34" s="44">
        <v>2.234</v>
      </c>
      <c r="F34" s="44">
        <v>1.415</v>
      </c>
      <c r="G34" s="44">
        <v>2.549</v>
      </c>
    </row>
    <row r="35" spans="1:7" ht="11.25">
      <c r="A35" s="43" t="s">
        <v>158</v>
      </c>
      <c r="B35" s="44">
        <v>1.267</v>
      </c>
      <c r="C35" s="44">
        <v>1.489</v>
      </c>
      <c r="D35" s="44">
        <v>1.476</v>
      </c>
      <c r="E35" s="44">
        <v>0.926</v>
      </c>
      <c r="F35" s="44">
        <v>1.075</v>
      </c>
      <c r="G35" s="44">
        <v>1.177</v>
      </c>
    </row>
    <row r="36" spans="1:7" ht="11.25">
      <c r="A36" s="43" t="s">
        <v>159</v>
      </c>
      <c r="B36" s="44">
        <v>3.663</v>
      </c>
      <c r="C36" s="44">
        <v>2.448</v>
      </c>
      <c r="D36" s="44">
        <v>2.176</v>
      </c>
      <c r="E36" s="46" t="s">
        <v>193</v>
      </c>
      <c r="F36" s="44">
        <v>1.091</v>
      </c>
      <c r="G36" s="44">
        <v>1.213</v>
      </c>
    </row>
    <row r="37" spans="1:7" ht="11.25">
      <c r="A37" s="43" t="s">
        <v>160</v>
      </c>
      <c r="B37" s="44">
        <v>0.334</v>
      </c>
      <c r="C37" s="44">
        <v>0.214</v>
      </c>
      <c r="D37" s="44">
        <v>0.013</v>
      </c>
      <c r="E37" s="44">
        <v>0.003</v>
      </c>
      <c r="F37" s="44">
        <v>0.003</v>
      </c>
      <c r="G37" s="44">
        <v>0.003</v>
      </c>
    </row>
    <row r="38" spans="1:7" ht="11.25">
      <c r="A38" s="43" t="s">
        <v>161</v>
      </c>
      <c r="B38" s="44">
        <v>0.258</v>
      </c>
      <c r="C38" s="44">
        <v>0.244</v>
      </c>
      <c r="D38" s="44">
        <v>0.288</v>
      </c>
      <c r="E38" s="44">
        <v>0.358</v>
      </c>
      <c r="F38" s="44">
        <v>0.641</v>
      </c>
      <c r="G38" s="44">
        <v>2.679</v>
      </c>
    </row>
    <row r="39" spans="1:7" ht="11.25">
      <c r="A39" s="43" t="s">
        <v>162</v>
      </c>
      <c r="B39" s="44">
        <v>0.162</v>
      </c>
      <c r="C39" s="44">
        <v>0.57</v>
      </c>
      <c r="D39" s="44">
        <v>0.47</v>
      </c>
      <c r="E39" s="44">
        <v>0.271</v>
      </c>
      <c r="F39" s="44">
        <v>0.297</v>
      </c>
      <c r="G39" s="44">
        <v>1.02</v>
      </c>
    </row>
    <row r="40" spans="1:7" ht="11.25">
      <c r="A40" s="42" t="s">
        <v>163</v>
      </c>
      <c r="B40" s="45">
        <v>7.749</v>
      </c>
      <c r="C40" s="45">
        <v>5.983</v>
      </c>
      <c r="D40" s="45">
        <v>6.375</v>
      </c>
      <c r="E40" s="45">
        <v>3.792</v>
      </c>
      <c r="F40" s="45">
        <v>4.522</v>
      </c>
      <c r="G40" s="45">
        <v>8.641</v>
      </c>
    </row>
    <row r="41" spans="1:7" ht="11.25">
      <c r="A41" s="43" t="s">
        <v>164</v>
      </c>
      <c r="B41" s="44">
        <v>0.85</v>
      </c>
      <c r="C41" s="44">
        <v>0.392</v>
      </c>
      <c r="D41" s="44">
        <v>2</v>
      </c>
      <c r="E41" s="44">
        <v>6.2</v>
      </c>
      <c r="F41" s="44">
        <v>8.4</v>
      </c>
      <c r="G41" s="44">
        <v>14.2</v>
      </c>
    </row>
    <row r="42" spans="1:7" ht="11.25">
      <c r="A42" s="43" t="s">
        <v>165</v>
      </c>
      <c r="B42" s="44">
        <v>0.204</v>
      </c>
      <c r="C42" s="46" t="s">
        <v>193</v>
      </c>
      <c r="D42" s="46" t="s">
        <v>193</v>
      </c>
      <c r="E42" s="44">
        <v>0.009</v>
      </c>
      <c r="F42" s="44">
        <v>0.006</v>
      </c>
      <c r="G42" s="44">
        <v>0.003</v>
      </c>
    </row>
    <row r="43" spans="1:7" ht="11.25">
      <c r="A43" s="43" t="s">
        <v>166</v>
      </c>
      <c r="B43" s="44">
        <v>5.258</v>
      </c>
      <c r="C43" s="44">
        <v>5.447</v>
      </c>
      <c r="D43" s="44">
        <v>5.955</v>
      </c>
      <c r="E43" s="44">
        <v>6.55</v>
      </c>
      <c r="F43" s="44">
        <v>7.187</v>
      </c>
      <c r="G43" s="44">
        <v>7.244</v>
      </c>
    </row>
    <row r="44" spans="1:7" ht="11.25">
      <c r="A44" s="42" t="s">
        <v>167</v>
      </c>
      <c r="B44" s="45">
        <v>14.061</v>
      </c>
      <c r="C44" s="45">
        <v>11.822</v>
      </c>
      <c r="D44" s="45">
        <v>14.33</v>
      </c>
      <c r="E44" s="45">
        <v>16.551</v>
      </c>
      <c r="F44" s="45">
        <v>20.115</v>
      </c>
      <c r="G44" s="45">
        <v>30.088</v>
      </c>
    </row>
    <row r="45" spans="1:7" ht="11.25">
      <c r="A45" s="43"/>
      <c r="B45" s="43"/>
      <c r="C45" s="43"/>
      <c r="D45" s="43"/>
      <c r="E45" s="43"/>
      <c r="F45" s="43"/>
      <c r="G45" s="43"/>
    </row>
    <row r="46" spans="1:7" ht="11.25">
      <c r="A46" s="43" t="s">
        <v>168</v>
      </c>
      <c r="B46" s="44">
        <v>0.102</v>
      </c>
      <c r="C46" s="44">
        <v>0.102</v>
      </c>
      <c r="D46" s="44">
        <v>0.102</v>
      </c>
      <c r="E46" s="44">
        <v>0.102</v>
      </c>
      <c r="F46" s="44">
        <v>0.102</v>
      </c>
      <c r="G46" s="44">
        <v>0.102</v>
      </c>
    </row>
    <row r="47" spans="1:7" ht="11.25">
      <c r="A47" s="43" t="s">
        <v>169</v>
      </c>
      <c r="B47" s="44">
        <v>0.313</v>
      </c>
      <c r="C47" s="44">
        <v>0.313</v>
      </c>
      <c r="D47" s="44">
        <v>0.313</v>
      </c>
      <c r="E47" s="44">
        <v>0.313</v>
      </c>
      <c r="F47" s="44">
        <v>0.313</v>
      </c>
      <c r="G47" s="44">
        <v>0.313</v>
      </c>
    </row>
    <row r="48" spans="1:7" ht="11.25">
      <c r="A48" s="43" t="s">
        <v>170</v>
      </c>
      <c r="B48" s="44">
        <v>1.733</v>
      </c>
      <c r="C48" s="44">
        <v>0.206</v>
      </c>
      <c r="D48" s="44">
        <v>0.699</v>
      </c>
      <c r="E48" s="44">
        <v>1.778</v>
      </c>
      <c r="F48" s="44">
        <v>4.412</v>
      </c>
      <c r="G48" s="44">
        <v>8.63</v>
      </c>
    </row>
    <row r="49" spans="1:7" ht="11.25">
      <c r="A49" s="42" t="s">
        <v>171</v>
      </c>
      <c r="B49" s="45">
        <v>2.148</v>
      </c>
      <c r="C49" s="45">
        <v>0.621</v>
      </c>
      <c r="D49" s="45">
        <v>1.114</v>
      </c>
      <c r="E49" s="45">
        <v>2.193</v>
      </c>
      <c r="F49" s="45">
        <v>4.827</v>
      </c>
      <c r="G49" s="45">
        <v>9.045</v>
      </c>
    </row>
    <row r="50" spans="1:7" ht="11.25">
      <c r="A50" s="43"/>
      <c r="B50" s="43"/>
      <c r="C50" s="43"/>
      <c r="D50" s="43"/>
      <c r="E50" s="43"/>
      <c r="F50" s="43"/>
      <c r="G50" s="43"/>
    </row>
    <row r="51" spans="1:7" ht="11.25">
      <c r="A51" s="42" t="s">
        <v>172</v>
      </c>
      <c r="B51" s="48">
        <v>2.148</v>
      </c>
      <c r="C51" s="48">
        <v>0.621</v>
      </c>
      <c r="D51" s="48">
        <v>1.114</v>
      </c>
      <c r="E51" s="48">
        <v>2.193</v>
      </c>
      <c r="F51" s="48">
        <v>4.827</v>
      </c>
      <c r="G51" s="48">
        <v>9.045</v>
      </c>
    </row>
    <row r="52" spans="1:7" ht="11.25">
      <c r="A52" s="43"/>
      <c r="B52" s="43"/>
      <c r="C52" s="43"/>
      <c r="D52" s="43"/>
      <c r="E52" s="43"/>
      <c r="F52" s="43"/>
      <c r="G52" s="43"/>
    </row>
    <row r="53" spans="1:7" ht="11.25">
      <c r="A53" s="42" t="s">
        <v>173</v>
      </c>
      <c r="B53" s="49">
        <v>16.209</v>
      </c>
      <c r="C53" s="49">
        <v>12.443</v>
      </c>
      <c r="D53" s="49">
        <v>15.444</v>
      </c>
      <c r="E53" s="49">
        <v>18.744</v>
      </c>
      <c r="F53" s="49">
        <v>24.942</v>
      </c>
      <c r="G53" s="49">
        <v>39.133</v>
      </c>
    </row>
    <row r="54" spans="1:7" ht="11.25">
      <c r="A54" s="43"/>
      <c r="B54" s="43"/>
      <c r="C54" s="43"/>
      <c r="D54" s="43"/>
      <c r="E54" s="43"/>
      <c r="F54" s="43"/>
      <c r="G54" s="43"/>
    </row>
    <row r="55" spans="1:7" ht="11.25">
      <c r="A55" s="42" t="s">
        <v>174</v>
      </c>
      <c r="B55" s="43"/>
      <c r="C55" s="43"/>
      <c r="D55" s="43"/>
      <c r="E55" s="43"/>
      <c r="F55" s="43"/>
      <c r="G55" s="43"/>
    </row>
    <row r="56" spans="1:7" ht="11.25">
      <c r="A56" s="43" t="s">
        <v>175</v>
      </c>
      <c r="B56" s="44">
        <v>5.051</v>
      </c>
      <c r="C56" s="44">
        <v>3.054</v>
      </c>
      <c r="D56" s="44">
        <v>4.189</v>
      </c>
      <c r="E56" s="44">
        <v>6.212</v>
      </c>
      <c r="F56" s="44">
        <v>9.5</v>
      </c>
      <c r="G56" s="44">
        <v>15.419</v>
      </c>
    </row>
    <row r="57" spans="1:7" ht="11.25">
      <c r="A57" s="43" t="s">
        <v>176</v>
      </c>
      <c r="B57" s="44">
        <v>4.308</v>
      </c>
      <c r="C57" s="44">
        <v>2.582</v>
      </c>
      <c r="D57" s="44">
        <v>3.708</v>
      </c>
      <c r="E57" s="44">
        <v>4.721</v>
      </c>
      <c r="F57" s="44">
        <v>8.783</v>
      </c>
      <c r="G57" s="44">
        <v>11.229</v>
      </c>
    </row>
    <row r="58" spans="1:7" ht="11.25">
      <c r="A58" s="43" t="s">
        <v>177</v>
      </c>
      <c r="B58" s="44">
        <v>5.752</v>
      </c>
      <c r="C58" s="44">
        <v>3.326</v>
      </c>
      <c r="D58" s="44">
        <v>3.078</v>
      </c>
      <c r="E58" s="44">
        <v>3.616</v>
      </c>
      <c r="F58" s="44">
        <v>4.778</v>
      </c>
      <c r="G58" s="44">
        <v>7.4</v>
      </c>
    </row>
    <row r="59" spans="1:7" ht="11.25">
      <c r="A59" s="43"/>
      <c r="B59" s="43"/>
      <c r="C59" s="43"/>
      <c r="D59" s="43"/>
      <c r="E59" s="43"/>
      <c r="F59" s="43"/>
      <c r="G59" s="43"/>
    </row>
    <row r="60" spans="1:7" ht="11.25">
      <c r="A60" s="42" t="s">
        <v>178</v>
      </c>
      <c r="B60" s="43"/>
      <c r="C60" s="43"/>
      <c r="D60" s="43"/>
      <c r="E60" s="43"/>
      <c r="F60" s="43"/>
      <c r="G60" s="43"/>
    </row>
    <row r="61" spans="1:7" ht="11.25">
      <c r="A61" s="43" t="s">
        <v>179</v>
      </c>
      <c r="B61" s="44">
        <v>0.743</v>
      </c>
      <c r="C61" s="44">
        <v>0.472</v>
      </c>
      <c r="D61" s="44">
        <v>0.481</v>
      </c>
      <c r="E61" s="44">
        <v>1.491</v>
      </c>
      <c r="F61" s="44">
        <v>0.717</v>
      </c>
      <c r="G61" s="44">
        <v>4.19</v>
      </c>
    </row>
    <row r="62" spans="1:7" ht="11.25">
      <c r="A62" s="43" t="s">
        <v>180</v>
      </c>
      <c r="B62" s="44">
        <v>2.454</v>
      </c>
      <c r="C62" s="44">
        <v>2.122</v>
      </c>
      <c r="D62" s="44">
        <v>3.052</v>
      </c>
      <c r="E62" s="44">
        <v>3.754</v>
      </c>
      <c r="F62" s="44">
        <v>3.74</v>
      </c>
      <c r="G62" s="44">
        <v>5.859</v>
      </c>
    </row>
    <row r="63" spans="1:7" ht="11.25">
      <c r="A63" s="43" t="s">
        <v>181</v>
      </c>
      <c r="B63" s="44">
        <v>5.405</v>
      </c>
      <c r="C63" s="44">
        <v>3.883</v>
      </c>
      <c r="D63" s="44">
        <v>5.016</v>
      </c>
      <c r="E63" s="44">
        <v>5.046</v>
      </c>
      <c r="F63" s="44">
        <v>8.338</v>
      </c>
      <c r="G63" s="44">
        <v>12.485</v>
      </c>
    </row>
    <row r="64" spans="1:7" ht="11.25">
      <c r="A64" s="43" t="s">
        <v>182</v>
      </c>
      <c r="B64" s="44">
        <v>10.313</v>
      </c>
      <c r="C64" s="44">
        <v>7.778</v>
      </c>
      <c r="D64" s="44">
        <v>10.753</v>
      </c>
      <c r="E64" s="44">
        <v>12.694</v>
      </c>
      <c r="F64" s="44">
        <v>16.015</v>
      </c>
      <c r="G64" s="44">
        <v>26.404</v>
      </c>
    </row>
    <row r="65" spans="1:7" ht="11.25">
      <c r="A65" s="43" t="s">
        <v>183</v>
      </c>
      <c r="B65" s="44">
        <v>0.144</v>
      </c>
      <c r="C65" s="44">
        <v>0.228</v>
      </c>
      <c r="D65" s="44">
        <v>0.286</v>
      </c>
      <c r="E65" s="44">
        <v>1.084</v>
      </c>
      <c r="F65" s="44">
        <v>2.445</v>
      </c>
      <c r="G65" s="44">
        <v>3.68</v>
      </c>
    </row>
    <row r="66" spans="1:7" ht="11.25">
      <c r="A66" s="43" t="s">
        <v>155</v>
      </c>
      <c r="B66" s="44">
        <v>16.209</v>
      </c>
      <c r="C66" s="44">
        <v>12.443</v>
      </c>
      <c r="D66" s="44">
        <v>15.444</v>
      </c>
      <c r="E66" s="44">
        <v>18.744</v>
      </c>
      <c r="F66" s="44">
        <v>24.942</v>
      </c>
      <c r="G66" s="44">
        <v>39.133</v>
      </c>
    </row>
    <row r="67" spans="1:7" ht="11.25">
      <c r="A67" s="43" t="s">
        <v>184</v>
      </c>
      <c r="B67" s="44">
        <v>2.065</v>
      </c>
      <c r="C67" s="44">
        <v>1.018</v>
      </c>
      <c r="D67" s="44">
        <v>1.952</v>
      </c>
      <c r="E67" s="44">
        <v>2.234</v>
      </c>
      <c r="F67" s="44">
        <v>1.415</v>
      </c>
      <c r="G67" s="44">
        <v>2.549</v>
      </c>
    </row>
    <row r="68" spans="1:7" ht="11.25">
      <c r="A68" s="43" t="s">
        <v>185</v>
      </c>
      <c r="B68" s="44">
        <v>7.749</v>
      </c>
      <c r="C68" s="44">
        <v>5.983</v>
      </c>
      <c r="D68" s="44">
        <v>6.375</v>
      </c>
      <c r="E68" s="44">
        <v>3.792</v>
      </c>
      <c r="F68" s="44">
        <v>4.522</v>
      </c>
      <c r="G68" s="44">
        <v>8.641</v>
      </c>
    </row>
    <row r="69" spans="1:7" ht="11.25">
      <c r="A69" s="43" t="s">
        <v>186</v>
      </c>
      <c r="B69" s="44">
        <v>0.102</v>
      </c>
      <c r="C69" s="44">
        <v>0.102</v>
      </c>
      <c r="D69" s="44">
        <v>0.102</v>
      </c>
      <c r="E69" s="44">
        <v>0.102</v>
      </c>
      <c r="F69" s="44">
        <v>0.102</v>
      </c>
      <c r="G69" s="44">
        <v>0.102</v>
      </c>
    </row>
    <row r="70" spans="1:7" ht="11.25">
      <c r="A70" s="43" t="s">
        <v>170</v>
      </c>
      <c r="B70" s="44">
        <v>1.733</v>
      </c>
      <c r="C70" s="44">
        <v>0.206</v>
      </c>
      <c r="D70" s="44">
        <v>0.699</v>
      </c>
      <c r="E70" s="44">
        <v>1.778</v>
      </c>
      <c r="F70" s="44">
        <v>4.412</v>
      </c>
      <c r="G70" s="44">
        <v>8.63</v>
      </c>
    </row>
    <row r="71" spans="1:7" ht="11.25">
      <c r="A71" s="43" t="s">
        <v>187</v>
      </c>
      <c r="B71" s="44">
        <v>2.004</v>
      </c>
      <c r="C71" s="44">
        <v>0.393</v>
      </c>
      <c r="D71" s="44">
        <v>0.828</v>
      </c>
      <c r="E71" s="44">
        <v>1.109</v>
      </c>
      <c r="F71" s="44">
        <v>2.382</v>
      </c>
      <c r="G71" s="44">
        <v>5.365</v>
      </c>
    </row>
    <row r="72" spans="1:7" ht="11.25">
      <c r="A72" s="43" t="s">
        <v>167</v>
      </c>
      <c r="B72" s="44">
        <v>16.209</v>
      </c>
      <c r="C72" s="44">
        <v>12.443</v>
      </c>
      <c r="D72" s="44">
        <v>15.444</v>
      </c>
      <c r="E72" s="44">
        <v>18.744</v>
      </c>
      <c r="F72" s="44">
        <v>24.942</v>
      </c>
      <c r="G72" s="44">
        <v>39.133</v>
      </c>
    </row>
    <row r="73" spans="1:7" ht="11.25">
      <c r="A73" s="43"/>
      <c r="B73" s="43" t="s">
        <v>188</v>
      </c>
      <c r="C73" s="43" t="s">
        <v>188</v>
      </c>
      <c r="D73" s="43" t="s">
        <v>188</v>
      </c>
      <c r="E73" s="43" t="s">
        <v>188</v>
      </c>
      <c r="F73" s="43" t="s">
        <v>188</v>
      </c>
      <c r="G73" s="43" t="s">
        <v>188</v>
      </c>
    </row>
    <row r="74" spans="1:7" ht="11.25">
      <c r="A74" s="43" t="s">
        <v>189</v>
      </c>
      <c r="B74" s="46" t="s">
        <v>2</v>
      </c>
      <c r="C74" s="46" t="s">
        <v>2</v>
      </c>
      <c r="D74" s="46" t="s">
        <v>2</v>
      </c>
      <c r="E74" s="46" t="s">
        <v>2</v>
      </c>
      <c r="F74" s="46" t="s">
        <v>2</v>
      </c>
      <c r="G74" s="46" t="s">
        <v>2</v>
      </c>
    </row>
    <row r="75" spans="1:7" ht="67.5">
      <c r="A75" s="50" t="s">
        <v>190</v>
      </c>
      <c r="B75" s="51"/>
      <c r="C75" s="51"/>
      <c r="D75" s="51"/>
      <c r="E75" s="51"/>
      <c r="F75" s="51"/>
      <c r="G75" s="51"/>
    </row>
  </sheetData>
  <sheetProtection/>
  <printOptions/>
  <pageMargins left="0.2" right="0.2" top="0.5" bottom="0.5" header="0.5" footer="0.5"/>
  <pageSetup fitToHeight="0" fitToWidth="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.421875" style="1" customWidth="1"/>
    <col min="2" max="2" width="44.421875" style="1" customWidth="1"/>
    <col min="3" max="8" width="13.421875" style="1" customWidth="1"/>
  </cols>
  <sheetData>
    <row r="1" spans="1:8" ht="14.25" customHeight="1">
      <c r="A1" s="145" t="s">
        <v>0</v>
      </c>
      <c r="B1" s="146"/>
      <c r="C1" s="146"/>
      <c r="D1" s="146"/>
      <c r="E1" s="146"/>
      <c r="F1" s="146"/>
      <c r="G1" s="146"/>
      <c r="H1" s="146"/>
    </row>
    <row r="2" spans="1:8" ht="12" customHeight="1">
      <c r="A2" s="146"/>
      <c r="B2" s="146"/>
      <c r="C2" s="146"/>
      <c r="D2" s="146"/>
      <c r="E2" s="146"/>
      <c r="F2" s="146"/>
      <c r="G2" s="146"/>
      <c r="H2" s="146"/>
    </row>
    <row r="3" spans="1:8" ht="15" customHeight="1">
      <c r="A3" s="2"/>
      <c r="B3" s="3" t="s">
        <v>66</v>
      </c>
      <c r="C3" s="2"/>
      <c r="D3" s="2"/>
      <c r="E3" s="2"/>
      <c r="F3" s="2"/>
      <c r="G3" s="2"/>
      <c r="H3" s="2"/>
    </row>
    <row r="4" spans="1:8" ht="26.25" customHeight="1">
      <c r="A4" s="4"/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1:8" ht="26.25" customHeight="1">
      <c r="A5" s="7"/>
      <c r="B5" s="7"/>
      <c r="C5" s="8" t="s">
        <v>9</v>
      </c>
      <c r="D5" s="8" t="s">
        <v>9</v>
      </c>
      <c r="E5" s="8" t="s">
        <v>9</v>
      </c>
      <c r="F5" s="8" t="s">
        <v>9</v>
      </c>
      <c r="G5" s="8" t="s">
        <v>9</v>
      </c>
      <c r="H5" s="8" t="s">
        <v>9</v>
      </c>
    </row>
    <row r="6" spans="1:8" ht="15" customHeight="1">
      <c r="A6" s="9"/>
      <c r="B6" s="9"/>
      <c r="C6" s="9"/>
      <c r="D6" s="9"/>
      <c r="E6" s="9"/>
      <c r="F6" s="9"/>
      <c r="G6" s="9"/>
      <c r="H6" s="9"/>
    </row>
    <row r="7" spans="1:8" ht="15" customHeight="1">
      <c r="A7" s="2"/>
      <c r="B7" s="3" t="s">
        <v>67</v>
      </c>
      <c r="C7" s="2"/>
      <c r="D7" s="2"/>
      <c r="E7" s="2"/>
      <c r="F7" s="2"/>
      <c r="G7" s="2"/>
      <c r="H7" s="2"/>
    </row>
    <row r="8" spans="1:8" ht="15" customHeight="1">
      <c r="A8" s="9"/>
      <c r="B8" s="10" t="s">
        <v>68</v>
      </c>
      <c r="C8" s="13">
        <v>68.922</v>
      </c>
      <c r="D8" s="13">
        <v>78.662</v>
      </c>
      <c r="E8" s="13">
        <v>75.923</v>
      </c>
      <c r="F8" s="13">
        <v>95.871</v>
      </c>
      <c r="G8" s="13">
        <v>-292.915</v>
      </c>
      <c r="H8" s="13">
        <v>-50.093</v>
      </c>
    </row>
    <row r="9" spans="1:8" ht="15" customHeight="1">
      <c r="A9" s="9"/>
      <c r="B9" s="10" t="s">
        <v>69</v>
      </c>
      <c r="C9" s="13">
        <v>22.301</v>
      </c>
      <c r="D9" s="13">
        <v>20.176</v>
      </c>
      <c r="E9" s="13">
        <v>13.062</v>
      </c>
      <c r="F9" s="13">
        <v>14.698</v>
      </c>
      <c r="G9" s="13">
        <v>-23.359</v>
      </c>
      <c r="H9" s="13">
        <v>-8.794</v>
      </c>
    </row>
    <row r="10" spans="1:8" ht="15" customHeight="1">
      <c r="A10" s="9"/>
      <c r="B10" s="10" t="s">
        <v>70</v>
      </c>
      <c r="C10" s="13">
        <v>15.93</v>
      </c>
      <c r="D10" s="13">
        <v>15.223</v>
      </c>
      <c r="E10" s="13">
        <v>8.883</v>
      </c>
      <c r="F10" s="13">
        <v>6.915</v>
      </c>
      <c r="G10" s="13">
        <v>-14.619</v>
      </c>
      <c r="H10" s="13">
        <v>-6.638</v>
      </c>
    </row>
    <row r="11" spans="1:8" ht="15" customHeight="1">
      <c r="A11" s="9"/>
      <c r="B11" s="10" t="s">
        <v>71</v>
      </c>
      <c r="C11" s="13">
        <v>51.664</v>
      </c>
      <c r="D11" s="13">
        <v>54.672</v>
      </c>
      <c r="E11" s="13">
        <v>48.792</v>
      </c>
      <c r="F11" s="13">
        <v>60.323</v>
      </c>
      <c r="G11" s="13">
        <v>-280.354</v>
      </c>
      <c r="H11" s="13">
        <v>-31.471</v>
      </c>
    </row>
    <row r="12" spans="1:8" ht="15" customHeight="1">
      <c r="A12" s="9"/>
      <c r="B12" s="10" t="s">
        <v>72</v>
      </c>
      <c r="C12" s="13">
        <v>17.182</v>
      </c>
      <c r="D12" s="13">
        <v>14.505</v>
      </c>
      <c r="E12" s="13">
        <v>9.082</v>
      </c>
      <c r="F12" s="13">
        <v>10.332</v>
      </c>
      <c r="G12" s="13">
        <v>-22.152</v>
      </c>
      <c r="H12" s="13">
        <v>-4.066</v>
      </c>
    </row>
    <row r="13" spans="1:8" ht="15" customHeight="1">
      <c r="A13" s="9"/>
      <c r="B13" s="10" t="s">
        <v>73</v>
      </c>
      <c r="C13" s="13">
        <v>11.941</v>
      </c>
      <c r="D13" s="13">
        <v>10.581</v>
      </c>
      <c r="E13" s="13">
        <v>5.708</v>
      </c>
      <c r="F13" s="13">
        <v>4.351</v>
      </c>
      <c r="G13" s="13">
        <v>-13.992</v>
      </c>
      <c r="H13" s="13">
        <v>-4.171</v>
      </c>
    </row>
    <row r="14" spans="1:8" ht="15" customHeight="1">
      <c r="A14" s="9"/>
      <c r="B14" s="10" t="s">
        <v>74</v>
      </c>
      <c r="C14" s="13">
        <v>11.749</v>
      </c>
      <c r="D14" s="13">
        <v>9.725</v>
      </c>
      <c r="E14" s="13">
        <v>5.308</v>
      </c>
      <c r="F14" s="13">
        <v>4.003</v>
      </c>
      <c r="G14" s="13">
        <v>-7.366</v>
      </c>
      <c r="H14" s="13">
        <v>-4.871</v>
      </c>
    </row>
    <row r="15" spans="1:8" ht="15" customHeight="1">
      <c r="A15" s="9"/>
      <c r="B15" s="10" t="s">
        <v>75</v>
      </c>
      <c r="C15" s="13">
        <v>70.245</v>
      </c>
      <c r="D15" s="13">
        <v>71.866</v>
      </c>
      <c r="E15" s="13">
        <v>70.346</v>
      </c>
      <c r="F15" s="13">
        <v>72.034</v>
      </c>
      <c r="G15" s="13">
        <v>64.775</v>
      </c>
      <c r="H15" s="13">
        <v>67.068</v>
      </c>
    </row>
    <row r="16" spans="1:8" ht="15" customHeight="1">
      <c r="A16" s="9"/>
      <c r="B16" s="10" t="s">
        <v>76</v>
      </c>
      <c r="C16" s="13">
        <v>18.072</v>
      </c>
      <c r="D16" s="13">
        <v>15.868</v>
      </c>
      <c r="E16" s="13">
        <v>12.504</v>
      </c>
      <c r="F16" s="13">
        <v>12.068</v>
      </c>
      <c r="G16" s="13">
        <v>1.952</v>
      </c>
      <c r="H16" s="13">
        <v>3.857</v>
      </c>
    </row>
    <row r="17" spans="1:8" ht="15" customHeight="1">
      <c r="A17" s="9"/>
      <c r="B17" s="10" t="s">
        <v>77</v>
      </c>
      <c r="C17" s="13">
        <v>12.816</v>
      </c>
      <c r="D17" s="13">
        <v>10.553</v>
      </c>
      <c r="E17" s="13">
        <v>6.223</v>
      </c>
      <c r="F17" s="13">
        <v>4.992</v>
      </c>
      <c r="G17" s="13">
        <v>-6.118</v>
      </c>
      <c r="H17" s="13">
        <v>-3.49</v>
      </c>
    </row>
    <row r="18" spans="1:8" ht="15" customHeight="1">
      <c r="A18" s="9"/>
      <c r="B18" s="10" t="s">
        <v>78</v>
      </c>
      <c r="C18" s="13">
        <v>14.063</v>
      </c>
      <c r="D18" s="13">
        <v>12.074</v>
      </c>
      <c r="E18" s="13">
        <v>9.692</v>
      </c>
      <c r="F18" s="13">
        <v>9.594</v>
      </c>
      <c r="G18" s="13">
        <v>1.02</v>
      </c>
      <c r="H18" s="13">
        <v>4.287</v>
      </c>
    </row>
    <row r="19" spans="1:8" ht="15" customHeight="1">
      <c r="A19" s="9"/>
      <c r="B19" s="10" t="s">
        <v>79</v>
      </c>
      <c r="C19" s="12" t="s">
        <v>38</v>
      </c>
      <c r="D19" s="12" t="s">
        <v>38</v>
      </c>
      <c r="E19" s="12" t="s">
        <v>38</v>
      </c>
      <c r="F19" s="12" t="s">
        <v>38</v>
      </c>
      <c r="G19" s="12" t="s">
        <v>38</v>
      </c>
      <c r="H19" s="12" t="s">
        <v>38</v>
      </c>
    </row>
    <row r="20" spans="1:8" ht="15" customHeight="1">
      <c r="A20" s="9"/>
      <c r="B20" s="9"/>
      <c r="C20" s="9"/>
      <c r="D20" s="9"/>
      <c r="E20" s="9"/>
      <c r="F20" s="9"/>
      <c r="G20" s="9"/>
      <c r="H20" s="9"/>
    </row>
    <row r="21" spans="1:8" ht="15" customHeight="1">
      <c r="A21" s="2"/>
      <c r="B21" s="3" t="s">
        <v>80</v>
      </c>
      <c r="C21" s="2"/>
      <c r="D21" s="2"/>
      <c r="E21" s="2"/>
      <c r="F21" s="2"/>
      <c r="G21" s="2"/>
      <c r="H21" s="2"/>
    </row>
    <row r="22" spans="1:8" ht="15" customHeight="1">
      <c r="A22" s="9"/>
      <c r="B22" s="10" t="s">
        <v>81</v>
      </c>
      <c r="C22" s="13">
        <v>1.74</v>
      </c>
      <c r="D22" s="13">
        <v>1.912</v>
      </c>
      <c r="E22" s="13">
        <v>2.098</v>
      </c>
      <c r="F22" s="13">
        <v>2.942</v>
      </c>
      <c r="G22" s="13">
        <v>3.823</v>
      </c>
      <c r="H22" s="13">
        <v>2.611</v>
      </c>
    </row>
    <row r="23" spans="1:8" ht="15" customHeight="1">
      <c r="A23" s="9"/>
      <c r="B23" s="10" t="s">
        <v>82</v>
      </c>
      <c r="C23" s="13">
        <v>12.014</v>
      </c>
      <c r="D23" s="13">
        <v>12.755</v>
      </c>
      <c r="E23" s="13">
        <v>6.778</v>
      </c>
      <c r="F23" s="13">
        <v>5.026</v>
      </c>
      <c r="G23" s="13">
        <v>-4.874</v>
      </c>
      <c r="H23" s="13">
        <v>-2.322</v>
      </c>
    </row>
    <row r="24" spans="1:8" ht="15" customHeight="1">
      <c r="A24" s="9"/>
      <c r="B24" s="10" t="s">
        <v>83</v>
      </c>
      <c r="C24" s="13">
        <v>4.25</v>
      </c>
      <c r="D24" s="13">
        <v>4.682</v>
      </c>
      <c r="E24" s="13">
        <v>6.216</v>
      </c>
      <c r="F24" s="13">
        <v>5.319</v>
      </c>
      <c r="G24" s="13">
        <v>6.36</v>
      </c>
      <c r="H24" s="13">
        <v>4.086</v>
      </c>
    </row>
    <row r="25" spans="1:8" ht="15" customHeight="1">
      <c r="A25" s="9"/>
      <c r="B25" s="10" t="s">
        <v>84</v>
      </c>
      <c r="C25" s="14">
        <v>39.752</v>
      </c>
      <c r="D25" s="14">
        <v>34.486</v>
      </c>
      <c r="E25" s="14">
        <v>43.088</v>
      </c>
      <c r="F25" s="14">
        <v>41.178</v>
      </c>
      <c r="G25" s="14">
        <v>30.933</v>
      </c>
      <c r="H25" s="14">
        <v>39.991</v>
      </c>
    </row>
    <row r="26" spans="1:8" ht="15" customHeight="1">
      <c r="A26" s="9"/>
      <c r="B26" s="10" t="s">
        <v>85</v>
      </c>
      <c r="C26" s="14">
        <v>17.294</v>
      </c>
      <c r="D26" s="14">
        <v>13.047</v>
      </c>
      <c r="E26" s="14">
        <v>25.641</v>
      </c>
      <c r="F26" s="14">
        <v>26.337</v>
      </c>
      <c r="G26" s="14">
        <v>14.84</v>
      </c>
      <c r="H26" s="14">
        <v>33.652</v>
      </c>
    </row>
    <row r="27" spans="1:8" ht="15" customHeight="1">
      <c r="A27" s="9"/>
      <c r="B27" s="10" t="s">
        <v>86</v>
      </c>
      <c r="C27" s="13">
        <v>58.176</v>
      </c>
      <c r="D27" s="13">
        <v>58.557</v>
      </c>
      <c r="E27" s="13">
        <v>55.026</v>
      </c>
      <c r="F27" s="13">
        <v>49.974</v>
      </c>
      <c r="G27" s="13">
        <v>42.885</v>
      </c>
      <c r="H27" s="13">
        <v>41.207</v>
      </c>
    </row>
    <row r="28" spans="1:8" ht="15" customHeight="1">
      <c r="A28" s="9"/>
      <c r="B28" s="10" t="s">
        <v>87</v>
      </c>
      <c r="C28" s="12" t="s">
        <v>38</v>
      </c>
      <c r="D28" s="12" t="s">
        <v>38</v>
      </c>
      <c r="E28" s="12" t="s">
        <v>38</v>
      </c>
      <c r="F28" s="12" t="s">
        <v>38</v>
      </c>
      <c r="G28" s="12" t="s">
        <v>38</v>
      </c>
      <c r="H28" s="12" t="s">
        <v>38</v>
      </c>
    </row>
    <row r="29" spans="1:8" ht="15" customHeight="1">
      <c r="A29" s="9"/>
      <c r="B29" s="9"/>
      <c r="C29" s="9"/>
      <c r="D29" s="9"/>
      <c r="E29" s="9"/>
      <c r="F29" s="9"/>
      <c r="G29" s="9"/>
      <c r="H29" s="9"/>
    </row>
    <row r="30" spans="1:8" ht="15" customHeight="1">
      <c r="A30" s="2"/>
      <c r="B30" s="3" t="s">
        <v>88</v>
      </c>
      <c r="C30" s="2"/>
      <c r="D30" s="2"/>
      <c r="E30" s="2"/>
      <c r="F30" s="2"/>
      <c r="G30" s="2"/>
      <c r="H30" s="2"/>
    </row>
    <row r="31" spans="1:8" ht="15" customHeight="1">
      <c r="A31" s="9"/>
      <c r="B31" s="10" t="s">
        <v>89</v>
      </c>
      <c r="C31" s="13">
        <v>3.056</v>
      </c>
      <c r="D31" s="13">
        <v>3.542</v>
      </c>
      <c r="E31" s="13">
        <v>3.348</v>
      </c>
      <c r="F31" s="13">
        <v>1.687</v>
      </c>
      <c r="G31" s="13">
        <v>1.3</v>
      </c>
      <c r="H31" s="13">
        <v>1.331</v>
      </c>
    </row>
    <row r="32" spans="1:8" ht="15" customHeight="1">
      <c r="A32" s="9"/>
      <c r="B32" s="10" t="s">
        <v>90</v>
      </c>
      <c r="C32" s="13">
        <v>1.611</v>
      </c>
      <c r="D32" s="13">
        <v>1.698</v>
      </c>
      <c r="E32" s="13">
        <v>2.017</v>
      </c>
      <c r="F32" s="13">
        <v>0.9</v>
      </c>
      <c r="G32" s="13">
        <v>0.651</v>
      </c>
      <c r="H32" s="13">
        <v>0.633</v>
      </c>
    </row>
    <row r="33" spans="1:8" ht="15" customHeight="1">
      <c r="A33" s="9"/>
      <c r="B33" s="10" t="s">
        <v>91</v>
      </c>
      <c r="C33" s="13">
        <v>0.422</v>
      </c>
      <c r="D33" s="13">
        <v>0.31</v>
      </c>
      <c r="E33" s="13">
        <v>0.172</v>
      </c>
      <c r="F33" s="13">
        <v>0.14</v>
      </c>
      <c r="G33" s="13">
        <v>0.106</v>
      </c>
      <c r="H33" s="13">
        <v>0.34</v>
      </c>
    </row>
    <row r="34" spans="1:8" ht="15" customHeight="1">
      <c r="A34" s="9"/>
      <c r="B34" s="10" t="s">
        <v>92</v>
      </c>
      <c r="C34" s="13">
        <v>23.113</v>
      </c>
      <c r="D34" s="13">
        <v>19.353</v>
      </c>
      <c r="E34" s="13">
        <v>11.7</v>
      </c>
      <c r="F34" s="13">
        <v>7.213</v>
      </c>
      <c r="G34" s="13">
        <v>4.991</v>
      </c>
      <c r="H34" s="13">
        <v>13.252</v>
      </c>
    </row>
    <row r="35" spans="1:8" ht="15" customHeight="1">
      <c r="A35" s="9"/>
      <c r="B35" s="10" t="s">
        <v>93</v>
      </c>
      <c r="C35" s="13">
        <v>30.062</v>
      </c>
      <c r="D35" s="13">
        <v>23.997</v>
      </c>
      <c r="E35" s="13">
        <v>13.25</v>
      </c>
      <c r="F35" s="13">
        <v>7.774</v>
      </c>
      <c r="G35" s="13">
        <v>5.253</v>
      </c>
      <c r="H35" s="13">
        <v>15.276</v>
      </c>
    </row>
    <row r="36" spans="1:8" ht="15" customHeight="1">
      <c r="A36" s="9"/>
      <c r="B36" s="10" t="s">
        <v>94</v>
      </c>
      <c r="C36" s="13">
        <v>250.558</v>
      </c>
      <c r="D36" s="13">
        <v>345.701</v>
      </c>
      <c r="E36" s="13">
        <v>581.943</v>
      </c>
      <c r="F36" s="13">
        <v>910.592</v>
      </c>
      <c r="G36" s="12" t="s">
        <v>95</v>
      </c>
      <c r="H36" s="13">
        <v>479.935</v>
      </c>
    </row>
    <row r="37" spans="1:8" ht="15" customHeight="1">
      <c r="A37" s="9"/>
      <c r="B37" s="9"/>
      <c r="C37" s="9"/>
      <c r="D37" s="9"/>
      <c r="E37" s="9"/>
      <c r="F37" s="9"/>
      <c r="G37" s="9"/>
      <c r="H37" s="9"/>
    </row>
    <row r="38" spans="1:8" ht="15" customHeight="1">
      <c r="A38" s="2"/>
      <c r="B38" s="3" t="s">
        <v>96</v>
      </c>
      <c r="C38" s="2"/>
      <c r="D38" s="2"/>
      <c r="E38" s="2"/>
      <c r="F38" s="2"/>
      <c r="G38" s="2"/>
      <c r="H38" s="2"/>
    </row>
    <row r="39" spans="1:8" ht="15" customHeight="1">
      <c r="A39" s="9"/>
      <c r="B39" s="10" t="s">
        <v>97</v>
      </c>
      <c r="C39" s="14">
        <v>16.025707</v>
      </c>
      <c r="D39" s="14">
        <v>11.611621</v>
      </c>
      <c r="E39" s="14">
        <v>5.883392</v>
      </c>
      <c r="F39" s="14">
        <v>4.107692</v>
      </c>
      <c r="G39" s="14">
        <v>-7.364372</v>
      </c>
      <c r="H39" s="14">
        <v>-4.559322</v>
      </c>
    </row>
    <row r="40" spans="1:8" ht="15" customHeight="1">
      <c r="A40" s="9"/>
      <c r="B40" s="10" t="s">
        <v>98</v>
      </c>
      <c r="C40" s="14">
        <v>136.401028</v>
      </c>
      <c r="D40" s="14">
        <v>119.394495</v>
      </c>
      <c r="E40" s="14">
        <v>110.830389</v>
      </c>
      <c r="F40" s="14">
        <v>102.623077</v>
      </c>
      <c r="G40" s="14">
        <v>99.983806</v>
      </c>
      <c r="H40" s="14">
        <v>93.605932</v>
      </c>
    </row>
    <row r="41" spans="1:8" ht="15" customHeight="1">
      <c r="A41" s="9"/>
      <c r="B41" s="10" t="s">
        <v>99</v>
      </c>
      <c r="C41" s="13">
        <v>23.23</v>
      </c>
      <c r="D41" s="13">
        <v>24.176</v>
      </c>
      <c r="E41" s="13">
        <v>25.761</v>
      </c>
      <c r="F41" s="13">
        <v>26.928</v>
      </c>
      <c r="G41" s="13">
        <v>29.195</v>
      </c>
      <c r="H41" s="13">
        <v>27.536</v>
      </c>
    </row>
    <row r="42" spans="1:8" ht="15" customHeight="1">
      <c r="A42" s="9"/>
      <c r="B42" s="10" t="s">
        <v>100</v>
      </c>
      <c r="C42" s="14">
        <v>31.686375</v>
      </c>
      <c r="D42" s="14">
        <v>28.865443</v>
      </c>
      <c r="E42" s="14">
        <v>28.551237</v>
      </c>
      <c r="F42" s="14">
        <v>27.634615</v>
      </c>
      <c r="G42" s="14">
        <v>29.190283</v>
      </c>
      <c r="H42" s="14">
        <v>25.775424</v>
      </c>
    </row>
    <row r="43" spans="1:8" ht="15" customHeight="1">
      <c r="A43" s="9"/>
      <c r="B43" s="10" t="s">
        <v>101</v>
      </c>
      <c r="C43" s="14">
        <v>23.251928</v>
      </c>
      <c r="D43" s="14">
        <v>14.761468</v>
      </c>
      <c r="E43" s="14">
        <v>7.749117</v>
      </c>
      <c r="F43" s="14">
        <v>4.284615</v>
      </c>
      <c r="G43" s="14">
        <v>2.51417</v>
      </c>
      <c r="H43" s="14">
        <v>9.101695</v>
      </c>
    </row>
    <row r="44" spans="1:8" ht="15" customHeight="1">
      <c r="A44" s="9"/>
      <c r="B44" s="10" t="s">
        <v>102</v>
      </c>
      <c r="C44" s="14">
        <v>40.604113</v>
      </c>
      <c r="D44" s="14">
        <v>32.608563</v>
      </c>
      <c r="E44" s="14">
        <v>23.201413</v>
      </c>
      <c r="F44" s="14">
        <v>23.523077</v>
      </c>
      <c r="G44" s="14">
        <v>20.190283</v>
      </c>
      <c r="H44" s="14">
        <v>24.550847</v>
      </c>
    </row>
    <row r="45" spans="1:8" ht="15" customHeight="1">
      <c r="A45" s="9"/>
      <c r="B45" s="10" t="s">
        <v>103</v>
      </c>
      <c r="C45" s="14">
        <v>100.598972</v>
      </c>
      <c r="D45" s="14">
        <v>76.275229</v>
      </c>
      <c r="E45" s="14">
        <v>66.233216</v>
      </c>
      <c r="F45" s="14">
        <v>59.4</v>
      </c>
      <c r="G45" s="14">
        <v>50.376518</v>
      </c>
      <c r="H45" s="14">
        <v>68.682203</v>
      </c>
    </row>
    <row r="46" spans="1:8" ht="15" customHeight="1">
      <c r="A46" s="9"/>
      <c r="B46" s="9"/>
      <c r="C46" s="9"/>
      <c r="D46" s="9"/>
      <c r="E46" s="9"/>
      <c r="F46" s="9"/>
      <c r="G46" s="9"/>
      <c r="H46" s="9"/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27"/>
  <sheetViews>
    <sheetView zoomScalePageLayoutView="0" workbookViewId="0" topLeftCell="A4">
      <selection activeCell="I24" sqref="I24"/>
    </sheetView>
  </sheetViews>
  <sheetFormatPr defaultColWidth="9.140625" defaultRowHeight="15"/>
  <cols>
    <col min="3" max="3" width="13.421875" style="0" bestFit="1" customWidth="1"/>
    <col min="4" max="4" width="84.140625" style="0" bestFit="1" customWidth="1"/>
  </cols>
  <sheetData>
    <row r="2" spans="2:8" ht="15">
      <c r="B2" s="56" t="s">
        <v>222</v>
      </c>
      <c r="C2" s="56" t="s">
        <v>223</v>
      </c>
      <c r="D2" s="56" t="s">
        <v>224</v>
      </c>
      <c r="E2" s="56" t="s">
        <v>225</v>
      </c>
      <c r="F2" s="56" t="s">
        <v>238</v>
      </c>
      <c r="G2" s="56" t="s">
        <v>239</v>
      </c>
      <c r="H2" s="56" t="s">
        <v>240</v>
      </c>
    </row>
    <row r="3" spans="3:10" ht="15">
      <c r="C3" s="56" t="s">
        <v>228</v>
      </c>
      <c r="D3" s="56" t="s">
        <v>227</v>
      </c>
      <c r="E3" s="56" t="s">
        <v>226</v>
      </c>
      <c r="F3" s="59">
        <v>0.299</v>
      </c>
      <c r="H3" s="56" t="s">
        <v>247</v>
      </c>
      <c r="J3" s="57" t="s">
        <v>248</v>
      </c>
    </row>
    <row r="4" spans="3:5" ht="15">
      <c r="C4" s="56" t="s">
        <v>229</v>
      </c>
      <c r="D4" s="56" t="s">
        <v>230</v>
      </c>
      <c r="E4" s="56" t="s">
        <v>231</v>
      </c>
    </row>
    <row r="5" spans="3:5" ht="15">
      <c r="C5" s="56" t="s">
        <v>232</v>
      </c>
      <c r="D5" s="56" t="s">
        <v>233</v>
      </c>
      <c r="E5" s="56" t="s">
        <v>234</v>
      </c>
    </row>
    <row r="6" spans="2:7" ht="15">
      <c r="B6">
        <v>2012</v>
      </c>
      <c r="D6" s="56" t="s">
        <v>227</v>
      </c>
      <c r="E6" s="56" t="s">
        <v>235</v>
      </c>
      <c r="G6" s="57" t="s">
        <v>236</v>
      </c>
    </row>
    <row r="7" spans="2:8" ht="15">
      <c r="B7">
        <v>2013</v>
      </c>
      <c r="C7" s="56" t="s">
        <v>241</v>
      </c>
      <c r="D7" s="56" t="s">
        <v>242</v>
      </c>
      <c r="F7" s="58">
        <v>0.2</v>
      </c>
      <c r="H7" s="56" t="s">
        <v>243</v>
      </c>
    </row>
    <row r="8" spans="2:8" ht="15">
      <c r="B8">
        <v>2007</v>
      </c>
      <c r="C8" s="56" t="s">
        <v>245</v>
      </c>
      <c r="D8" s="56" t="s">
        <v>104</v>
      </c>
      <c r="H8" s="56" t="s">
        <v>246</v>
      </c>
    </row>
    <row r="9" spans="2:8" ht="15">
      <c r="B9">
        <v>2008</v>
      </c>
      <c r="C9" s="56" t="s">
        <v>249</v>
      </c>
      <c r="D9" s="56" t="s">
        <v>250</v>
      </c>
      <c r="F9" s="58">
        <v>1</v>
      </c>
      <c r="H9" s="56" t="s">
        <v>251</v>
      </c>
    </row>
    <row r="11" ht="15">
      <c r="D11" t="s">
        <v>237</v>
      </c>
    </row>
    <row r="13" ht="15">
      <c r="E13">
        <v>10</v>
      </c>
    </row>
    <row r="14" spans="2:5" ht="15">
      <c r="B14" s="56" t="s">
        <v>244</v>
      </c>
      <c r="E14">
        <v>13</v>
      </c>
    </row>
    <row r="15" ht="15">
      <c r="E15">
        <v>8.3</v>
      </c>
    </row>
    <row r="16" ht="15">
      <c r="E16">
        <f>AVERAGE(E13:E15)</f>
        <v>10.433333333333334</v>
      </c>
    </row>
    <row r="17" ht="15">
      <c r="E17">
        <f>MEDIAN(E13:E15)</f>
        <v>10</v>
      </c>
    </row>
    <row r="22" spans="5:7" ht="15">
      <c r="E22">
        <v>2015</v>
      </c>
      <c r="G22">
        <v>2014</v>
      </c>
    </row>
    <row r="23" spans="4:8" ht="15">
      <c r="D23" s="56" t="s">
        <v>358</v>
      </c>
      <c r="E23">
        <v>22192</v>
      </c>
      <c r="F23" s="93">
        <f>E23/$E$26</f>
        <v>0.41824349792687526</v>
      </c>
      <c r="G23">
        <v>16180</v>
      </c>
      <c r="H23" s="93">
        <f>G23/$E$26</f>
        <v>0.30493780625706746</v>
      </c>
    </row>
    <row r="24" spans="4:8" ht="15">
      <c r="D24" s="56" t="s">
        <v>359</v>
      </c>
      <c r="E24">
        <v>14585</v>
      </c>
      <c r="F24" s="93">
        <f aca="true" t="shared" si="0" ref="F24:H25">E24/$E$26</f>
        <v>0.2748774971730117</v>
      </c>
      <c r="G24">
        <v>11719</v>
      </c>
      <c r="H24" s="93">
        <f t="shared" si="0"/>
        <v>0.22086317376554843</v>
      </c>
    </row>
    <row r="25" spans="4:8" ht="15">
      <c r="D25" s="56" t="s">
        <v>360</v>
      </c>
      <c r="E25">
        <v>16283</v>
      </c>
      <c r="F25" s="93">
        <f t="shared" si="0"/>
        <v>0.3068790049001131</v>
      </c>
      <c r="G25">
        <v>11143</v>
      </c>
      <c r="H25" s="93">
        <f t="shared" si="0"/>
        <v>0.21000753863550697</v>
      </c>
    </row>
    <row r="26" spans="4:7" ht="15">
      <c r="D26" s="56" t="s">
        <v>361</v>
      </c>
      <c r="E26">
        <v>53060</v>
      </c>
      <c r="G26">
        <v>39042</v>
      </c>
    </row>
    <row r="27" ht="15">
      <c r="E27" s="93">
        <f>E26/G26-1</f>
        <v>0.3590492290353977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57"/>
  <sheetViews>
    <sheetView zoomScalePageLayoutView="0" workbookViewId="0" topLeftCell="A28">
      <selection activeCell="U76" sqref="U76"/>
    </sheetView>
  </sheetViews>
  <sheetFormatPr defaultColWidth="9.140625" defaultRowHeight="15"/>
  <cols>
    <col min="1" max="5" width="9.140625" style="63" customWidth="1"/>
    <col min="6" max="6" width="7.7109375" style="63" bestFit="1" customWidth="1"/>
    <col min="7" max="9" width="14.28125" style="63" customWidth="1"/>
    <col min="10" max="10" width="10.57421875" style="63" bestFit="1" customWidth="1"/>
    <col min="11" max="11" width="8.28125" style="63" bestFit="1" customWidth="1"/>
    <col min="12" max="13" width="7.7109375" style="63" bestFit="1" customWidth="1"/>
    <col min="14" max="14" width="7.7109375" style="63" customWidth="1"/>
    <col min="15" max="15" width="14.28125" style="63" bestFit="1" customWidth="1"/>
    <col min="16" max="16" width="14.28125" style="63" customWidth="1"/>
    <col min="17" max="17" width="10.57421875" style="63" bestFit="1" customWidth="1"/>
    <col min="18" max="18" width="5.28125" style="63" bestFit="1" customWidth="1"/>
    <col min="19" max="22" width="9.140625" style="63" customWidth="1"/>
    <col min="23" max="23" width="11.421875" style="63" bestFit="1" customWidth="1"/>
    <col min="24" max="24" width="11.421875" style="63" customWidth="1"/>
    <col min="25" max="25" width="12.8515625" style="63" bestFit="1" customWidth="1"/>
    <col min="26" max="26" width="11.140625" style="63" bestFit="1" customWidth="1"/>
    <col min="27" max="27" width="12.57421875" style="63" bestFit="1" customWidth="1"/>
    <col min="28" max="28" width="20.28125" style="63" bestFit="1" customWidth="1"/>
    <col min="29" max="16384" width="9.140625" style="63" customWidth="1"/>
  </cols>
  <sheetData>
    <row r="2" spans="21:22" ht="11.25">
      <c r="U2" s="68" t="s">
        <v>354</v>
      </c>
      <c r="V2" s="68"/>
    </row>
    <row r="3" spans="4:22" ht="11.25">
      <c r="D3" s="89" t="s">
        <v>346</v>
      </c>
      <c r="E3" s="89"/>
      <c r="F3" s="89"/>
      <c r="G3" s="89"/>
      <c r="H3" s="89"/>
      <c r="I3" s="89"/>
      <c r="J3" s="89"/>
      <c r="M3" s="90" t="s">
        <v>377</v>
      </c>
      <c r="N3" s="90"/>
      <c r="O3" s="89"/>
      <c r="P3" s="89"/>
      <c r="Q3" s="90"/>
      <c r="U3" s="89" t="s">
        <v>377</v>
      </c>
      <c r="V3" s="89"/>
    </row>
    <row r="4" spans="4:23" ht="11.25">
      <c r="D4" s="63" t="s">
        <v>109</v>
      </c>
      <c r="F4" s="92" t="s">
        <v>65</v>
      </c>
      <c r="G4" s="92"/>
      <c r="H4" s="92" t="s">
        <v>116</v>
      </c>
      <c r="I4" s="92"/>
      <c r="J4" s="92" t="s">
        <v>345</v>
      </c>
      <c r="M4" s="63" t="s">
        <v>109</v>
      </c>
      <c r="O4" s="92" t="s">
        <v>65</v>
      </c>
      <c r="P4" s="92"/>
      <c r="Q4" s="92"/>
      <c r="S4" s="63" t="s">
        <v>109</v>
      </c>
      <c r="U4" s="92" t="s">
        <v>65</v>
      </c>
      <c r="V4" s="92"/>
      <c r="W4" s="63" t="s">
        <v>116</v>
      </c>
    </row>
    <row r="5" spans="2:23" ht="11.25">
      <c r="B5" s="63" t="s">
        <v>104</v>
      </c>
      <c r="D5" s="66">
        <f>Y57</f>
        <v>53.883218398589065</v>
      </c>
      <c r="E5" s="66"/>
      <c r="F5" s="66">
        <f>Y46</f>
        <v>9.920072713482943</v>
      </c>
      <c r="G5" s="66"/>
      <c r="H5" s="66">
        <f>Y54</f>
        <v>6.902004102371833</v>
      </c>
      <c r="I5" s="66"/>
      <c r="J5" s="66">
        <f>Y50</f>
        <v>4.294223116280117</v>
      </c>
      <c r="M5" s="66">
        <f>OpMod!L8</f>
        <v>57.999310391534394</v>
      </c>
      <c r="N5" s="66"/>
      <c r="O5" s="66">
        <f>OpMod!L16</f>
        <v>11.57543628089763</v>
      </c>
      <c r="P5" s="66"/>
      <c r="Q5" s="66"/>
      <c r="S5" s="66">
        <f>M5</f>
        <v>57.999310391534394</v>
      </c>
      <c r="T5" s="66"/>
      <c r="U5" s="66">
        <f>O5</f>
        <v>11.57543628089763</v>
      </c>
      <c r="V5" s="66"/>
      <c r="W5" s="66">
        <f>OpMod!L21</f>
        <v>7.412024614230964</v>
      </c>
    </row>
    <row r="6" spans="2:22" ht="11.25">
      <c r="B6" s="63" t="s">
        <v>477</v>
      </c>
      <c r="D6" s="66">
        <v>3.5</v>
      </c>
      <c r="E6" s="66"/>
      <c r="F6" s="66">
        <v>12</v>
      </c>
      <c r="G6" s="66"/>
      <c r="H6" s="66">
        <v>13.8</v>
      </c>
      <c r="I6" s="66"/>
      <c r="J6" s="66">
        <v>21.9</v>
      </c>
      <c r="M6" s="66">
        <v>3.3</v>
      </c>
      <c r="N6" s="66"/>
      <c r="O6" s="66">
        <v>11.8</v>
      </c>
      <c r="P6" s="66"/>
      <c r="Q6" s="66"/>
      <c r="U6" s="66"/>
      <c r="V6" s="66"/>
    </row>
    <row r="7" spans="2:22" ht="11.25">
      <c r="B7" s="65" t="s">
        <v>350</v>
      </c>
      <c r="D7" s="66">
        <f>D5*D6</f>
        <v>188.59126439506173</v>
      </c>
      <c r="E7" s="66"/>
      <c r="F7" s="66">
        <f>F5*F6</f>
        <v>119.04087256179531</v>
      </c>
      <c r="G7" s="66"/>
      <c r="H7" s="66">
        <f>H5*H6</f>
        <v>95.24765661273129</v>
      </c>
      <c r="I7" s="66"/>
      <c r="M7" s="66">
        <f>M5*M6</f>
        <v>191.3977242920635</v>
      </c>
      <c r="N7" s="66"/>
      <c r="O7" s="66">
        <f>O5*O6</f>
        <v>136.59014811459204</v>
      </c>
      <c r="P7" s="66"/>
      <c r="Q7" s="66"/>
      <c r="U7" s="66"/>
      <c r="V7" s="66"/>
    </row>
    <row r="8" spans="2:22" ht="11.25">
      <c r="B8" s="65"/>
      <c r="D8" s="66"/>
      <c r="E8" s="66"/>
      <c r="F8" s="66"/>
      <c r="G8" s="66"/>
      <c r="H8" s="66"/>
      <c r="I8" s="66"/>
      <c r="O8" s="66"/>
      <c r="P8" s="66"/>
      <c r="Q8" s="66"/>
      <c r="U8" s="66"/>
      <c r="V8" s="66"/>
    </row>
    <row r="9" spans="2:22" ht="11.25">
      <c r="B9" s="65" t="s">
        <v>346</v>
      </c>
      <c r="F9" s="70"/>
      <c r="G9" s="70"/>
      <c r="H9" s="70"/>
      <c r="I9" s="70"/>
      <c r="J9" s="70"/>
      <c r="O9" s="70"/>
      <c r="P9" s="70"/>
      <c r="Q9" s="70"/>
      <c r="U9" s="70"/>
      <c r="V9" s="70"/>
    </row>
    <row r="10" spans="2:23" ht="11.25">
      <c r="B10" s="63" t="s">
        <v>293</v>
      </c>
      <c r="C10" s="63">
        <v>5.9</v>
      </c>
      <c r="D10" s="66">
        <f>C10*$D$5</f>
        <v>317.91098855167553</v>
      </c>
      <c r="E10" s="66">
        <v>20.7</v>
      </c>
      <c r="F10" s="66">
        <f>E10*$F$5</f>
        <v>205.34550516909692</v>
      </c>
      <c r="G10" s="66">
        <v>25.5</v>
      </c>
      <c r="H10" s="66">
        <f>G10*$H$5</f>
        <v>176.00110461048172</v>
      </c>
      <c r="I10" s="66">
        <v>35.5</v>
      </c>
      <c r="J10" s="66">
        <f>(I10*$J$5)+$J$15-$J$16</f>
        <v>163.66792062794417</v>
      </c>
      <c r="L10" s="63">
        <v>5.1</v>
      </c>
      <c r="M10" s="66">
        <f>L10*$M$5</f>
        <v>295.7964829968254</v>
      </c>
      <c r="N10" s="63">
        <v>17.4</v>
      </c>
      <c r="O10" s="66">
        <f>N10*$O$5</f>
        <v>201.41259128761874</v>
      </c>
      <c r="P10" s="66"/>
      <c r="Q10" s="66"/>
      <c r="R10" s="63">
        <v>3.8</v>
      </c>
      <c r="S10" s="63">
        <f>R10*$S$5</f>
        <v>220.39737948783068</v>
      </c>
      <c r="T10" s="63">
        <v>26.6</v>
      </c>
      <c r="U10" s="66">
        <f>T10*$U$5</f>
        <v>307.906605071877</v>
      </c>
      <c r="V10" s="66">
        <v>19.9</v>
      </c>
      <c r="W10" s="63">
        <f>V10*$W$5</f>
        <v>147.49928982319616</v>
      </c>
    </row>
    <row r="11" spans="2:23" ht="11.25">
      <c r="B11" s="63" t="s">
        <v>295</v>
      </c>
      <c r="C11" s="63">
        <v>3.2</v>
      </c>
      <c r="D11" s="66">
        <f>C11*$D$5</f>
        <v>172.42629887548503</v>
      </c>
      <c r="E11" s="66">
        <v>14.3</v>
      </c>
      <c r="F11" s="66">
        <f>E11*$F$5</f>
        <v>141.8570398028061</v>
      </c>
      <c r="G11" s="66">
        <v>17.3</v>
      </c>
      <c r="H11" s="66">
        <f>G11*$H$5</f>
        <v>119.40467097103271</v>
      </c>
      <c r="I11" s="66">
        <v>25.1</v>
      </c>
      <c r="J11" s="66">
        <f>(I11*$J$5)+$J$15-$J$16</f>
        <v>119.00800021863094</v>
      </c>
      <c r="L11" s="63">
        <v>2.9</v>
      </c>
      <c r="M11" s="66">
        <f>L11*$M$5</f>
        <v>168.19800013544975</v>
      </c>
      <c r="N11" s="63">
        <v>12.9</v>
      </c>
      <c r="O11" s="66">
        <f>N11*$O$5</f>
        <v>149.32312802357944</v>
      </c>
      <c r="P11" s="66"/>
      <c r="Q11" s="66"/>
      <c r="R11" s="63">
        <v>2.5</v>
      </c>
      <c r="S11" s="63">
        <f>R11*$S$5</f>
        <v>144.99827597883598</v>
      </c>
      <c r="T11" s="63">
        <v>15.7</v>
      </c>
      <c r="U11" s="66">
        <f>T11*$U$5</f>
        <v>181.73434961009278</v>
      </c>
      <c r="V11" s="66">
        <v>14.7</v>
      </c>
      <c r="W11" s="63">
        <f>V11*$W$5</f>
        <v>108.95676182919516</v>
      </c>
    </row>
    <row r="12" spans="2:23" ht="11.25">
      <c r="B12" s="63" t="s">
        <v>296</v>
      </c>
      <c r="C12" s="63">
        <v>2.8</v>
      </c>
      <c r="D12" s="66">
        <f>C12*$D$5</f>
        <v>150.87301151604936</v>
      </c>
      <c r="E12" s="66">
        <v>12.6</v>
      </c>
      <c r="F12" s="66">
        <f>E12*$F$5</f>
        <v>124.99291618988508</v>
      </c>
      <c r="G12" s="66">
        <v>15.8</v>
      </c>
      <c r="H12" s="66">
        <f>G12*$H$5</f>
        <v>109.05166481747496</v>
      </c>
      <c r="I12" s="66">
        <v>22.6</v>
      </c>
      <c r="J12" s="66">
        <f>(I12*$J$5)+$J$15-$J$16</f>
        <v>108.27244242793064</v>
      </c>
      <c r="L12" s="63">
        <v>2.6</v>
      </c>
      <c r="M12" s="66">
        <f>L12*$M$5</f>
        <v>150.79820701798943</v>
      </c>
      <c r="N12" s="63">
        <v>11.5</v>
      </c>
      <c r="O12" s="66">
        <f>N12*$O$5</f>
        <v>133.11751723032276</v>
      </c>
      <c r="P12" s="66"/>
      <c r="Q12" s="66"/>
      <c r="R12" s="63">
        <v>2.6</v>
      </c>
      <c r="S12" s="63">
        <f>R12*$S$5</f>
        <v>150.79820701798943</v>
      </c>
      <c r="T12" s="63">
        <v>15.2</v>
      </c>
      <c r="U12" s="66">
        <f>T12*$U$5</f>
        <v>175.94663146964396</v>
      </c>
      <c r="V12" s="66">
        <v>14.3</v>
      </c>
      <c r="W12" s="63">
        <f>V12*$W$5</f>
        <v>105.99195198350279</v>
      </c>
    </row>
    <row r="13" spans="2:26" ht="11.25">
      <c r="B13" s="63" t="s">
        <v>294</v>
      </c>
      <c r="C13" s="63">
        <v>1.4</v>
      </c>
      <c r="D13" s="66">
        <f>C13*$D$5</f>
        <v>75.43650575802468</v>
      </c>
      <c r="E13" s="66">
        <v>8.2</v>
      </c>
      <c r="F13" s="66">
        <f>E13*$F$5</f>
        <v>81.34459625056013</v>
      </c>
      <c r="G13" s="66">
        <v>10.5</v>
      </c>
      <c r="H13" s="66">
        <f>G13*$H$5</f>
        <v>72.47104307490424</v>
      </c>
      <c r="I13" s="66">
        <v>16.5</v>
      </c>
      <c r="J13" s="66">
        <f>(I13*$J$5)+$J$15-$J$16</f>
        <v>82.07768141862192</v>
      </c>
      <c r="K13" s="65"/>
      <c r="L13" s="63">
        <v>1.4</v>
      </c>
      <c r="M13" s="66">
        <f>L13*$M$5</f>
        <v>81.19903454814815</v>
      </c>
      <c r="N13" s="63">
        <v>9.2</v>
      </c>
      <c r="O13" s="66">
        <f>N13*$O$5</f>
        <v>106.49401378425819</v>
      </c>
      <c r="P13" s="66"/>
      <c r="Q13" s="66"/>
      <c r="R13" s="63">
        <v>1.6</v>
      </c>
      <c r="S13" s="63">
        <f>R13*$S$5</f>
        <v>92.79889662645503</v>
      </c>
      <c r="T13" s="63">
        <v>8.5</v>
      </c>
      <c r="U13" s="66">
        <f>T13*$U$5</f>
        <v>98.39120838762986</v>
      </c>
      <c r="V13" s="66">
        <v>10</v>
      </c>
      <c r="W13" s="63">
        <f>V13*$W$5</f>
        <v>74.12024614230964</v>
      </c>
      <c r="Y13" s="66"/>
      <c r="Z13" s="66"/>
    </row>
    <row r="15" spans="2:17" ht="11.25">
      <c r="B15" s="63" t="s">
        <v>202</v>
      </c>
      <c r="J15" s="63">
        <f>OpMod!J55</f>
        <v>15.413</v>
      </c>
      <c r="Q15" s="66"/>
    </row>
    <row r="16" spans="2:17" ht="11.25">
      <c r="B16" s="63" t="s">
        <v>349</v>
      </c>
      <c r="J16" s="63">
        <f>OpMod!J38</f>
        <v>4.19</v>
      </c>
      <c r="Q16" s="66"/>
    </row>
    <row r="17" spans="2:17" ht="11.25">
      <c r="B17" s="63" t="s">
        <v>176</v>
      </c>
      <c r="J17" s="66"/>
      <c r="Q17" s="66"/>
    </row>
    <row r="18" spans="2:17" ht="11.25">
      <c r="B18" s="65" t="s">
        <v>350</v>
      </c>
      <c r="C18" s="65"/>
      <c r="D18" s="65"/>
      <c r="E18" s="65"/>
      <c r="F18" s="65"/>
      <c r="G18" s="65"/>
      <c r="H18" s="65"/>
      <c r="I18" s="65"/>
      <c r="J18" s="91"/>
      <c r="Q18" s="91"/>
    </row>
    <row r="22" spans="3:11" ht="11.25">
      <c r="C22" s="63" t="s">
        <v>478</v>
      </c>
      <c r="D22" s="63" t="s">
        <v>479</v>
      </c>
      <c r="E22" s="63" t="s">
        <v>480</v>
      </c>
      <c r="F22" s="63" t="s">
        <v>481</v>
      </c>
      <c r="G22" s="63" t="s">
        <v>482</v>
      </c>
      <c r="H22" s="63" t="s">
        <v>483</v>
      </c>
      <c r="I22" s="63" t="s">
        <v>484</v>
      </c>
      <c r="J22" s="63" t="s">
        <v>485</v>
      </c>
      <c r="K22" s="63" t="s">
        <v>505</v>
      </c>
    </row>
    <row r="23" spans="2:28" ht="11.25">
      <c r="B23" s="63" t="s">
        <v>294</v>
      </c>
      <c r="C23" s="66">
        <f>D13</f>
        <v>75.43650575802468</v>
      </c>
      <c r="D23" s="66">
        <f>F13</f>
        <v>81.34459625056013</v>
      </c>
      <c r="E23" s="66">
        <f>H13</f>
        <v>72.47104307490424</v>
      </c>
      <c r="F23" s="66">
        <f>J13</f>
        <v>82.07768141862192</v>
      </c>
      <c r="G23" s="66">
        <f>M13</f>
        <v>81.19903454814815</v>
      </c>
      <c r="H23" s="66">
        <f>O13</f>
        <v>106.49401378425819</v>
      </c>
      <c r="I23" s="66">
        <f>S13</f>
        <v>92.79889662645503</v>
      </c>
      <c r="J23" s="66">
        <f>U13</f>
        <v>98.39120838762986</v>
      </c>
      <c r="K23" s="66">
        <f>DCF!F62</f>
        <v>106.24000000000001</v>
      </c>
      <c r="M23" s="66"/>
      <c r="N23" s="66"/>
      <c r="O23" s="66"/>
      <c r="P23" s="66"/>
      <c r="Q23" s="66"/>
      <c r="R23" s="66"/>
      <c r="S23" s="66"/>
      <c r="T23" s="66"/>
      <c r="W23" s="89" t="s">
        <v>346</v>
      </c>
      <c r="X23" s="89"/>
      <c r="Y23" s="89"/>
      <c r="Z23" s="89" t="s">
        <v>357</v>
      </c>
      <c r="AA23" s="89"/>
      <c r="AB23" s="68"/>
    </row>
    <row r="24" spans="2:28" ht="11.25">
      <c r="B24" s="63" t="s">
        <v>353</v>
      </c>
      <c r="C24" s="66">
        <f>D10-D13</f>
        <v>242.47448279365085</v>
      </c>
      <c r="D24" s="66">
        <f>F10-F13</f>
        <v>124.0009089185368</v>
      </c>
      <c r="E24" s="66">
        <f>H10-H13</f>
        <v>103.53006153557747</v>
      </c>
      <c r="F24" s="66">
        <f>J10-J13</f>
        <v>81.59023920932225</v>
      </c>
      <c r="G24" s="66">
        <f>M10-M13</f>
        <v>214.59744844867723</v>
      </c>
      <c r="H24" s="66">
        <f>O10-O13</f>
        <v>94.91857750336055</v>
      </c>
      <c r="I24" s="66">
        <f>S10-S13</f>
        <v>127.59848286137564</v>
      </c>
      <c r="J24" s="66">
        <f>U10-U13</f>
        <v>209.51539668424712</v>
      </c>
      <c r="K24" s="66">
        <f>DCF!F63-DCF!F62</f>
        <v>98.80000000000001</v>
      </c>
      <c r="M24" s="66"/>
      <c r="N24" s="66"/>
      <c r="O24" s="66"/>
      <c r="P24" s="66"/>
      <c r="Q24" s="66"/>
      <c r="R24" s="66"/>
      <c r="S24" s="66"/>
      <c r="T24" s="66"/>
      <c r="W24" s="70" t="s">
        <v>65</v>
      </c>
      <c r="X24" s="70" t="s">
        <v>116</v>
      </c>
      <c r="Y24" s="70" t="s">
        <v>345</v>
      </c>
      <c r="Z24" s="70" t="s">
        <v>355</v>
      </c>
      <c r="AA24" s="70" t="s">
        <v>356</v>
      </c>
      <c r="AB24" s="70" t="s">
        <v>449</v>
      </c>
    </row>
    <row r="25" spans="21:28" ht="11.25">
      <c r="U25" s="63" t="s">
        <v>352</v>
      </c>
      <c r="W25" s="66">
        <f>F11</f>
        <v>141.8570398028061</v>
      </c>
      <c r="X25" s="66"/>
      <c r="Y25" s="66">
        <f>J11+J17</f>
        <v>119.00800021863094</v>
      </c>
      <c r="Z25" s="66">
        <f>O11</f>
        <v>149.32312802357944</v>
      </c>
      <c r="AA25" s="66">
        <f>Q11+Q17</f>
        <v>0</v>
      </c>
      <c r="AB25" s="66">
        <f>U11</f>
        <v>181.73434961009278</v>
      </c>
    </row>
    <row r="26" spans="21:28" ht="11.25">
      <c r="U26" s="63" t="s">
        <v>353</v>
      </c>
      <c r="W26" s="66">
        <f>F10-F11</f>
        <v>63.488465366290825</v>
      </c>
      <c r="X26" s="66"/>
      <c r="Y26" s="66">
        <f>(J10+J17)-Y25</f>
        <v>44.65992040931323</v>
      </c>
      <c r="Z26" s="66">
        <f>O10-O11</f>
        <v>52.089463264039296</v>
      </c>
      <c r="AA26" s="66">
        <f>(Q10+Q17)-AA25</f>
        <v>0</v>
      </c>
      <c r="AB26" s="66">
        <f>U10-U11</f>
        <v>126.1722554617842</v>
      </c>
    </row>
    <row r="27" spans="6:28" ht="11.25">
      <c r="F27" s="66"/>
      <c r="G27" s="66"/>
      <c r="H27" s="66"/>
      <c r="I27" s="66"/>
      <c r="U27" s="63" t="s">
        <v>296</v>
      </c>
      <c r="W27" s="66">
        <f>F13</f>
        <v>81.34459625056013</v>
      </c>
      <c r="X27" s="66"/>
      <c r="Y27" s="66">
        <f>J13</f>
        <v>82.07768141862192</v>
      </c>
      <c r="Z27" s="66">
        <f>O13</f>
        <v>106.49401378425819</v>
      </c>
      <c r="AA27" s="66">
        <f>Q13</f>
        <v>0</v>
      </c>
      <c r="AB27" s="66">
        <f>U13</f>
        <v>98.39120838762986</v>
      </c>
    </row>
    <row r="41" ht="11.25">
      <c r="W41" s="63" t="s">
        <v>438</v>
      </c>
    </row>
    <row r="43" spans="21:25" ht="11.25">
      <c r="U43" s="102">
        <v>42430</v>
      </c>
      <c r="V43" s="102"/>
      <c r="W43" s="102">
        <v>42064</v>
      </c>
      <c r="X43" s="102"/>
      <c r="Y43" s="102"/>
    </row>
    <row r="44" spans="19:25" ht="11.25">
      <c r="S44" s="63" t="s">
        <v>65</v>
      </c>
      <c r="U44" s="66">
        <f>OpMod!L16</f>
        <v>11.57543628089763</v>
      </c>
      <c r="V44" s="66"/>
      <c r="W44" s="66">
        <f>OpMod!J16</f>
        <v>9.589000000000006</v>
      </c>
      <c r="X44" s="66"/>
      <c r="Y44" s="66"/>
    </row>
    <row r="46" spans="21:25" ht="11.25">
      <c r="U46" s="66">
        <f>U44*(2/12)</f>
        <v>1.929239380149605</v>
      </c>
      <c r="V46" s="66"/>
      <c r="W46" s="66">
        <f>W44*(10/12)</f>
        <v>7.990833333333338</v>
      </c>
      <c r="X46" s="66"/>
      <c r="Y46" s="66">
        <f>SUM(U46:W46)</f>
        <v>9.920072713482943</v>
      </c>
    </row>
    <row r="47" spans="21:24" ht="11.25">
      <c r="U47" s="103">
        <v>0.16666666666666666</v>
      </c>
      <c r="V47" s="103"/>
      <c r="W47" s="103">
        <v>0.8333333333333334</v>
      </c>
      <c r="X47" s="103"/>
    </row>
    <row r="49" spans="19:25" ht="11.25">
      <c r="S49" s="63" t="s">
        <v>345</v>
      </c>
      <c r="U49" s="66">
        <f>OpMod!L29</f>
        <v>2.40033869768067</v>
      </c>
      <c r="V49" s="66"/>
      <c r="W49" s="66">
        <f>OpMod!J29</f>
        <v>4.673000000000006</v>
      </c>
      <c r="X49" s="66"/>
      <c r="Y49" s="66"/>
    </row>
    <row r="50" spans="21:25" ht="11.25">
      <c r="U50" s="66">
        <f>U49*U47</f>
        <v>0.400056449613445</v>
      </c>
      <c r="V50" s="66"/>
      <c r="W50" s="66">
        <f>W49*W47</f>
        <v>3.894166666666672</v>
      </c>
      <c r="X50" s="66"/>
      <c r="Y50" s="66">
        <f>SUM(U50:W50)</f>
        <v>4.294223116280117</v>
      </c>
    </row>
    <row r="53" spans="19:25" ht="11.25">
      <c r="S53" s="63" t="s">
        <v>116</v>
      </c>
      <c r="U53" s="66">
        <f>OpMod!L21</f>
        <v>7.412024614230964</v>
      </c>
      <c r="V53" s="66"/>
      <c r="W53" s="66">
        <f>OpMod!J21</f>
        <v>6.800000000000006</v>
      </c>
      <c r="X53" s="66"/>
      <c r="Y53" s="66"/>
    </row>
    <row r="54" spans="21:25" ht="11.25">
      <c r="U54" s="66">
        <f>U53*U47</f>
        <v>1.2353374357051605</v>
      </c>
      <c r="V54" s="66"/>
      <c r="W54" s="66">
        <f>W53*W47</f>
        <v>5.666666666666672</v>
      </c>
      <c r="X54" s="66"/>
      <c r="Y54" s="66">
        <f>SUM(U54:W54)</f>
        <v>6.902004102371833</v>
      </c>
    </row>
    <row r="56" spans="19:23" ht="11.25">
      <c r="S56" s="63" t="s">
        <v>109</v>
      </c>
      <c r="U56" s="66">
        <f>OpMod!L8</f>
        <v>57.999310391534394</v>
      </c>
      <c r="V56" s="66"/>
      <c r="W56" s="66">
        <f>OpMod!J8</f>
        <v>53.06</v>
      </c>
    </row>
    <row r="57" spans="21:25" ht="11.25">
      <c r="U57" s="66">
        <f>U56*U47</f>
        <v>9.666551731922398</v>
      </c>
      <c r="V57" s="66"/>
      <c r="W57" s="66">
        <f>W56*W47</f>
        <v>44.21666666666667</v>
      </c>
      <c r="Y57" s="66">
        <f>SUM(U57:W57)</f>
        <v>53.883218398589065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IU49"/>
  <sheetViews>
    <sheetView zoomScalePageLayoutView="0" workbookViewId="0" topLeftCell="A14">
      <selection activeCell="U76" sqref="U76"/>
    </sheetView>
  </sheetViews>
  <sheetFormatPr defaultColWidth="9.140625" defaultRowHeight="15"/>
  <cols>
    <col min="1" max="1" width="47.8515625" style="83" customWidth="1"/>
    <col min="2" max="21" width="20.8515625" style="83" customWidth="1"/>
    <col min="22" max="16384" width="9.140625" style="83" customWidth="1"/>
  </cols>
  <sheetData>
    <row r="6" ht="16.5" customHeight="1">
      <c r="A6" s="30" t="s">
        <v>266</v>
      </c>
    </row>
    <row r="7" spans="1:255" ht="11.25">
      <c r="A7" s="36" t="s">
        <v>267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</row>
    <row r="8" spans="1:2" ht="11.25">
      <c r="A8" s="33" t="s">
        <v>268</v>
      </c>
      <c r="B8" s="74" t="s">
        <v>323</v>
      </c>
    </row>
    <row r="9" spans="1:2" ht="11.25">
      <c r="A9" s="33" t="s">
        <v>130</v>
      </c>
      <c r="B9" s="74" t="s">
        <v>269</v>
      </c>
    </row>
    <row r="10" spans="1:2" ht="11.25">
      <c r="A10" s="33" t="s">
        <v>270</v>
      </c>
      <c r="B10" s="75">
        <v>42145</v>
      </c>
    </row>
    <row r="11" ht="11.25">
      <c r="A11" s="34"/>
    </row>
    <row r="13" spans="1:255" ht="11.25">
      <c r="A13" s="36" t="s">
        <v>271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</row>
    <row r="14" spans="1:21" ht="22.5">
      <c r="A14" s="76" t="s">
        <v>272</v>
      </c>
      <c r="B14" s="77" t="s">
        <v>273</v>
      </c>
      <c r="C14" s="77" t="s">
        <v>274</v>
      </c>
      <c r="D14" s="77" t="s">
        <v>275</v>
      </c>
      <c r="E14" s="77" t="s">
        <v>276</v>
      </c>
      <c r="F14" s="77" t="s">
        <v>277</v>
      </c>
      <c r="G14" s="77" t="s">
        <v>278</v>
      </c>
      <c r="H14" s="77" t="s">
        <v>279</v>
      </c>
      <c r="I14" s="77" t="s">
        <v>280</v>
      </c>
      <c r="J14" s="77" t="s">
        <v>324</v>
      </c>
      <c r="K14" s="77" t="s">
        <v>325</v>
      </c>
      <c r="L14" s="77" t="s">
        <v>324</v>
      </c>
      <c r="M14" s="77" t="s">
        <v>325</v>
      </c>
      <c r="N14" s="77" t="s">
        <v>326</v>
      </c>
      <c r="O14" s="77" t="s">
        <v>327</v>
      </c>
      <c r="P14" s="77" t="s">
        <v>328</v>
      </c>
      <c r="Q14" s="77" t="s">
        <v>329</v>
      </c>
      <c r="R14" s="77" t="s">
        <v>330</v>
      </c>
      <c r="S14" s="77" t="s">
        <v>331</v>
      </c>
      <c r="T14" s="77" t="s">
        <v>332</v>
      </c>
      <c r="U14" s="77" t="s">
        <v>333</v>
      </c>
    </row>
    <row r="15" spans="1:21" ht="12" customHeight="1">
      <c r="A15" s="76" t="s">
        <v>281</v>
      </c>
      <c r="B15" s="78">
        <v>6</v>
      </c>
      <c r="C15" s="78">
        <v>17.8</v>
      </c>
      <c r="D15" s="78">
        <v>20</v>
      </c>
      <c r="E15" s="78">
        <v>29.6</v>
      </c>
      <c r="F15" s="78">
        <v>111.1</v>
      </c>
      <c r="G15" s="79">
        <v>4.96</v>
      </c>
      <c r="H15" s="79">
        <v>14.69</v>
      </c>
      <c r="I15" s="79">
        <v>25.57</v>
      </c>
      <c r="J15" s="79">
        <v>15.27</v>
      </c>
      <c r="K15" s="79">
        <v>26.63</v>
      </c>
      <c r="L15" s="79">
        <v>15.27</v>
      </c>
      <c r="M15" s="79">
        <v>26.63</v>
      </c>
      <c r="N15" s="86">
        <v>966.84</v>
      </c>
      <c r="O15" s="86">
        <v>1112.49</v>
      </c>
      <c r="P15" s="86">
        <v>326.01</v>
      </c>
      <c r="Q15" s="86">
        <v>377.45</v>
      </c>
      <c r="R15" s="80" t="s">
        <v>291</v>
      </c>
      <c r="S15" s="80" t="s">
        <v>291</v>
      </c>
      <c r="T15" s="80" t="s">
        <v>291</v>
      </c>
      <c r="U15" s="80" t="s">
        <v>291</v>
      </c>
    </row>
    <row r="16" spans="1:21" ht="12" customHeight="1">
      <c r="A16" s="76" t="s">
        <v>282</v>
      </c>
      <c r="B16" s="78">
        <v>2.7</v>
      </c>
      <c r="C16" s="78"/>
      <c r="D16" s="78">
        <v>9</v>
      </c>
      <c r="E16" s="78"/>
      <c r="F16" s="78">
        <v>5.8</v>
      </c>
      <c r="G16" s="79">
        <v>2.28</v>
      </c>
      <c r="H16" s="79">
        <v>7.37</v>
      </c>
      <c r="I16" s="79">
        <v>13.06</v>
      </c>
      <c r="J16" s="79"/>
      <c r="K16" s="79"/>
      <c r="L16" s="79">
        <v>8.01</v>
      </c>
      <c r="M16" s="79">
        <v>14.1</v>
      </c>
      <c r="N16" s="86">
        <v>4376.02</v>
      </c>
      <c r="O16" s="86">
        <v>5057.53</v>
      </c>
      <c r="P16" s="86">
        <v>1396.62</v>
      </c>
      <c r="Q16" s="86">
        <v>1543.47</v>
      </c>
      <c r="R16" s="80" t="s">
        <v>291</v>
      </c>
      <c r="S16" s="80" t="s">
        <v>291</v>
      </c>
      <c r="T16" s="80" t="s">
        <v>291</v>
      </c>
      <c r="U16" s="80" t="s">
        <v>291</v>
      </c>
    </row>
    <row r="17" spans="1:21" ht="12" customHeight="1">
      <c r="A17" s="76" t="s">
        <v>283</v>
      </c>
      <c r="B17" s="78">
        <v>1.4</v>
      </c>
      <c r="C17" s="78">
        <v>12.2</v>
      </c>
      <c r="D17" s="78">
        <v>16.4</v>
      </c>
      <c r="E17" s="78">
        <v>19.9</v>
      </c>
      <c r="F17" s="80" t="s">
        <v>284</v>
      </c>
      <c r="G17" s="79">
        <v>1.48</v>
      </c>
      <c r="H17" s="79">
        <v>10.58</v>
      </c>
      <c r="I17" s="79">
        <v>15.16</v>
      </c>
      <c r="J17" s="79">
        <v>10.58</v>
      </c>
      <c r="K17" s="79">
        <v>15.16</v>
      </c>
      <c r="L17" s="79">
        <v>10.58</v>
      </c>
      <c r="M17" s="79">
        <v>15.16</v>
      </c>
      <c r="N17" s="86">
        <v>7958.79</v>
      </c>
      <c r="O17" s="86">
        <v>8313.23</v>
      </c>
      <c r="P17" s="86">
        <v>1109.78</v>
      </c>
      <c r="Q17" s="86">
        <v>1175.29</v>
      </c>
      <c r="R17" s="80" t="s">
        <v>291</v>
      </c>
      <c r="S17" s="80" t="s">
        <v>291</v>
      </c>
      <c r="T17" s="80" t="s">
        <v>291</v>
      </c>
      <c r="U17" s="80" t="s">
        <v>291</v>
      </c>
    </row>
    <row r="18" spans="1:21" ht="12" customHeight="1">
      <c r="A18" s="76" t="s">
        <v>285</v>
      </c>
      <c r="B18" s="78">
        <v>1.4</v>
      </c>
      <c r="C18" s="78"/>
      <c r="D18" s="78">
        <v>10.5</v>
      </c>
      <c r="E18" s="78"/>
      <c r="F18" s="78">
        <v>4.2</v>
      </c>
      <c r="G18" s="79">
        <v>1.44</v>
      </c>
      <c r="H18" s="79">
        <v>9.29</v>
      </c>
      <c r="I18" s="79">
        <v>18.94</v>
      </c>
      <c r="J18" s="79"/>
      <c r="K18" s="79"/>
      <c r="L18" s="79">
        <v>9.29</v>
      </c>
      <c r="M18" s="79">
        <v>18.94</v>
      </c>
      <c r="N18" s="86">
        <v>7644.79</v>
      </c>
      <c r="O18" s="86">
        <v>8010.04</v>
      </c>
      <c r="P18" s="86">
        <v>1182.13</v>
      </c>
      <c r="Q18" s="86">
        <v>1288.88</v>
      </c>
      <c r="R18" s="80" t="s">
        <v>291</v>
      </c>
      <c r="S18" s="80" t="s">
        <v>291</v>
      </c>
      <c r="T18" s="80" t="s">
        <v>291</v>
      </c>
      <c r="U18" s="80" t="s">
        <v>291</v>
      </c>
    </row>
    <row r="19" spans="1:21" ht="12" customHeight="1">
      <c r="A19" s="76" t="s">
        <v>286</v>
      </c>
      <c r="B19" s="78">
        <v>2.6</v>
      </c>
      <c r="C19" s="78">
        <v>13</v>
      </c>
      <c r="D19" s="78">
        <v>15.6</v>
      </c>
      <c r="E19" s="78">
        <v>20.8</v>
      </c>
      <c r="F19" s="80" t="s">
        <v>284</v>
      </c>
      <c r="G19" s="79">
        <v>2.33</v>
      </c>
      <c r="H19" s="79">
        <v>12.03</v>
      </c>
      <c r="I19" s="79">
        <v>16.63</v>
      </c>
      <c r="J19" s="79">
        <v>12.03</v>
      </c>
      <c r="K19" s="79">
        <v>16.63</v>
      </c>
      <c r="L19" s="79">
        <v>12.03</v>
      </c>
      <c r="M19" s="79">
        <v>16.63</v>
      </c>
      <c r="N19" s="86">
        <v>12589.64</v>
      </c>
      <c r="O19" s="86">
        <v>13388.16</v>
      </c>
      <c r="P19" s="86">
        <v>2437.55</v>
      </c>
      <c r="Q19" s="86">
        <v>2689.98</v>
      </c>
      <c r="R19" s="80" t="s">
        <v>291</v>
      </c>
      <c r="S19" s="80" t="s">
        <v>291</v>
      </c>
      <c r="T19" s="80" t="s">
        <v>291</v>
      </c>
      <c r="U19" s="80" t="s">
        <v>291</v>
      </c>
    </row>
    <row r="20" spans="1:21" ht="12" customHeight="1">
      <c r="A20" s="76" t="s">
        <v>287</v>
      </c>
      <c r="B20" s="78">
        <v>2.9</v>
      </c>
      <c r="C20" s="78">
        <v>13.1</v>
      </c>
      <c r="D20" s="78">
        <v>15.6</v>
      </c>
      <c r="E20" s="78">
        <v>22.8</v>
      </c>
      <c r="F20" s="78">
        <v>9.4</v>
      </c>
      <c r="G20" s="79">
        <v>2.61</v>
      </c>
      <c r="H20" s="79">
        <v>11.61</v>
      </c>
      <c r="I20" s="79">
        <v>19.38</v>
      </c>
      <c r="J20" s="79">
        <v>11.91</v>
      </c>
      <c r="K20" s="79">
        <v>19.97</v>
      </c>
      <c r="L20" s="79">
        <v>11.91</v>
      </c>
      <c r="M20" s="79">
        <v>19.97</v>
      </c>
      <c r="N20" s="86">
        <v>3145.57</v>
      </c>
      <c r="O20" s="86">
        <v>3360.53</v>
      </c>
      <c r="P20" s="86">
        <v>701.13</v>
      </c>
      <c r="Q20" s="86">
        <v>773.43</v>
      </c>
      <c r="R20" s="80" t="s">
        <v>291</v>
      </c>
      <c r="S20" s="80" t="s">
        <v>291</v>
      </c>
      <c r="T20" s="80" t="s">
        <v>291</v>
      </c>
      <c r="U20" s="80" t="s">
        <v>291</v>
      </c>
    </row>
    <row r="21" spans="1:21" ht="12" customHeight="1">
      <c r="A21" s="76" t="s">
        <v>288</v>
      </c>
      <c r="B21" s="78">
        <v>2.8</v>
      </c>
      <c r="C21" s="78">
        <v>12.1</v>
      </c>
      <c r="D21" s="78">
        <v>15.9</v>
      </c>
      <c r="E21" s="80" t="s">
        <v>291</v>
      </c>
      <c r="F21" s="80" t="s">
        <v>291</v>
      </c>
      <c r="G21" s="79">
        <v>2.57</v>
      </c>
      <c r="H21" s="79">
        <v>11.08</v>
      </c>
      <c r="I21" s="79">
        <v>20.92</v>
      </c>
      <c r="J21" s="79">
        <v>11.08</v>
      </c>
      <c r="K21" s="79">
        <v>20.92</v>
      </c>
      <c r="L21" s="79">
        <v>11.08</v>
      </c>
      <c r="M21" s="79">
        <v>20.92</v>
      </c>
      <c r="N21" s="86">
        <v>4274.61</v>
      </c>
      <c r="O21" s="86">
        <v>4708.19</v>
      </c>
      <c r="P21" s="86">
        <v>984.49</v>
      </c>
      <c r="Q21" s="86">
        <v>1089.7</v>
      </c>
      <c r="R21" s="80" t="s">
        <v>291</v>
      </c>
      <c r="S21" s="80" t="s">
        <v>291</v>
      </c>
      <c r="T21" s="80" t="s">
        <v>291</v>
      </c>
      <c r="U21" s="80" t="s">
        <v>291</v>
      </c>
    </row>
    <row r="22" spans="1:21" ht="12" customHeight="1">
      <c r="A22" s="76" t="s">
        <v>289</v>
      </c>
      <c r="B22" s="78">
        <v>3.5</v>
      </c>
      <c r="C22" s="78">
        <v>16.2</v>
      </c>
      <c r="D22" s="78">
        <v>19.3</v>
      </c>
      <c r="E22" s="78">
        <v>29.3</v>
      </c>
      <c r="F22" s="78">
        <v>10.8</v>
      </c>
      <c r="G22" s="79">
        <v>3.17</v>
      </c>
      <c r="H22" s="79">
        <v>13.93</v>
      </c>
      <c r="I22" s="79">
        <v>25.16</v>
      </c>
      <c r="J22" s="79">
        <v>14.41</v>
      </c>
      <c r="K22" s="79">
        <v>26.1</v>
      </c>
      <c r="L22" s="79">
        <v>14.41</v>
      </c>
      <c r="M22" s="79">
        <v>26.1</v>
      </c>
      <c r="N22" s="86">
        <v>1653.41</v>
      </c>
      <c r="O22" s="86">
        <v>1803.19</v>
      </c>
      <c r="P22" s="86">
        <v>371.92</v>
      </c>
      <c r="Q22" s="86">
        <v>422.94</v>
      </c>
      <c r="R22" s="80" t="s">
        <v>291</v>
      </c>
      <c r="S22" s="80" t="s">
        <v>291</v>
      </c>
      <c r="T22" s="80" t="s">
        <v>291</v>
      </c>
      <c r="U22" s="80" t="s">
        <v>291</v>
      </c>
    </row>
    <row r="23" spans="1:21" ht="12" customHeight="1">
      <c r="A23" s="76" t="s">
        <v>334</v>
      </c>
      <c r="B23" s="78">
        <v>2.5</v>
      </c>
      <c r="C23" s="78">
        <v>12.1</v>
      </c>
      <c r="D23" s="78">
        <v>14.9</v>
      </c>
      <c r="E23" s="78">
        <v>25.3</v>
      </c>
      <c r="F23" s="80" t="s">
        <v>284</v>
      </c>
      <c r="G23" s="79">
        <v>2.37</v>
      </c>
      <c r="H23" s="79">
        <v>11.32</v>
      </c>
      <c r="I23" s="79">
        <v>23.51</v>
      </c>
      <c r="J23" s="79">
        <v>11.5</v>
      </c>
      <c r="K23" s="79">
        <v>23.91</v>
      </c>
      <c r="L23" s="79">
        <v>11.5</v>
      </c>
      <c r="M23" s="79">
        <v>23.91</v>
      </c>
      <c r="N23" s="86">
        <v>12075.31</v>
      </c>
      <c r="O23" s="86">
        <v>12841.2</v>
      </c>
      <c r="P23" s="86">
        <v>2513.7</v>
      </c>
      <c r="Q23" s="86">
        <v>2768.43</v>
      </c>
      <c r="R23" s="80" t="s">
        <v>291</v>
      </c>
      <c r="S23" s="80" t="s">
        <v>291</v>
      </c>
      <c r="T23" s="80" t="s">
        <v>291</v>
      </c>
      <c r="U23" s="80" t="s">
        <v>291</v>
      </c>
    </row>
    <row r="24" spans="1:21" ht="11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ht="11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12" customHeight="1">
      <c r="A26" s="76" t="s">
        <v>290</v>
      </c>
      <c r="B26" s="80" t="s">
        <v>291</v>
      </c>
      <c r="C26" s="80" t="s">
        <v>291</v>
      </c>
      <c r="D26" s="80" t="s">
        <v>291</v>
      </c>
      <c r="E26" s="80" t="s">
        <v>291</v>
      </c>
      <c r="F26" s="80" t="s">
        <v>291</v>
      </c>
      <c r="G26" s="80" t="s">
        <v>291</v>
      </c>
      <c r="H26" s="80" t="s">
        <v>291</v>
      </c>
      <c r="I26" s="80" t="s">
        <v>291</v>
      </c>
      <c r="J26" s="80" t="s">
        <v>291</v>
      </c>
      <c r="K26" s="80" t="s">
        <v>291</v>
      </c>
      <c r="L26" s="80" t="s">
        <v>291</v>
      </c>
      <c r="M26" s="80" t="s">
        <v>291</v>
      </c>
      <c r="N26" s="80" t="s">
        <v>291</v>
      </c>
      <c r="O26" s="80" t="s">
        <v>291</v>
      </c>
      <c r="P26" s="80" t="s">
        <v>291</v>
      </c>
      <c r="Q26" s="80" t="s">
        <v>291</v>
      </c>
      <c r="R26" s="80" t="s">
        <v>291</v>
      </c>
      <c r="S26" s="80" t="s">
        <v>291</v>
      </c>
      <c r="T26" s="80" t="s">
        <v>291</v>
      </c>
      <c r="U26" s="80" t="s">
        <v>291</v>
      </c>
    </row>
    <row r="27" spans="1:21" ht="11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1:21" ht="22.5">
      <c r="A28" s="76" t="s">
        <v>292</v>
      </c>
      <c r="B28" s="77" t="s">
        <v>273</v>
      </c>
      <c r="C28" s="77" t="s">
        <v>274</v>
      </c>
      <c r="D28" s="77" t="s">
        <v>275</v>
      </c>
      <c r="E28" s="77" t="s">
        <v>276</v>
      </c>
      <c r="F28" s="77" t="s">
        <v>277</v>
      </c>
      <c r="G28" s="77" t="s">
        <v>278</v>
      </c>
      <c r="H28" s="77" t="s">
        <v>279</v>
      </c>
      <c r="I28" s="77" t="s">
        <v>280</v>
      </c>
      <c r="J28" s="77" t="s">
        <v>324</v>
      </c>
      <c r="K28" s="77" t="s">
        <v>325</v>
      </c>
      <c r="L28" s="77" t="s">
        <v>324</v>
      </c>
      <c r="M28" s="77" t="s">
        <v>325</v>
      </c>
      <c r="N28" s="77" t="s">
        <v>326</v>
      </c>
      <c r="O28" s="77" t="s">
        <v>327</v>
      </c>
      <c r="P28" s="77" t="s">
        <v>328</v>
      </c>
      <c r="Q28" s="77" t="s">
        <v>329</v>
      </c>
      <c r="R28" s="77" t="s">
        <v>330</v>
      </c>
      <c r="S28" s="77" t="s">
        <v>331</v>
      </c>
      <c r="T28" s="77" t="s">
        <v>332</v>
      </c>
      <c r="U28" s="77" t="s">
        <v>333</v>
      </c>
    </row>
    <row r="29" spans="1:21" ht="11.25">
      <c r="A29" s="76" t="s">
        <v>293</v>
      </c>
      <c r="B29" s="78">
        <v>6</v>
      </c>
      <c r="C29" s="78">
        <v>17.8</v>
      </c>
      <c r="D29" s="78">
        <v>20</v>
      </c>
      <c r="E29" s="78">
        <f>MAX(E15:E23)</f>
        <v>29.6</v>
      </c>
      <c r="F29" s="78">
        <v>111.1</v>
      </c>
      <c r="G29" s="79">
        <v>4.96</v>
      </c>
      <c r="H29" s="79">
        <v>14.69</v>
      </c>
      <c r="I29" s="79">
        <v>25.57</v>
      </c>
      <c r="J29" s="79">
        <f>MAX(J15:J23)</f>
        <v>15.27</v>
      </c>
      <c r="K29" s="79">
        <f>MAX(K15:K23)</f>
        <v>26.63</v>
      </c>
      <c r="L29" s="79">
        <v>15.27</v>
      </c>
      <c r="M29" s="79">
        <v>26.63</v>
      </c>
      <c r="N29" s="86">
        <v>12589.64</v>
      </c>
      <c r="O29" s="86">
        <v>13388.16</v>
      </c>
      <c r="P29" s="86">
        <v>2513.7</v>
      </c>
      <c r="Q29" s="86">
        <v>2768.43</v>
      </c>
      <c r="R29" s="80" t="s">
        <v>291</v>
      </c>
      <c r="S29" s="80" t="s">
        <v>291</v>
      </c>
      <c r="T29" s="80" t="s">
        <v>291</v>
      </c>
      <c r="U29" s="80" t="s">
        <v>291</v>
      </c>
    </row>
    <row r="30" spans="1:21" ht="11.25">
      <c r="A30" s="76" t="s">
        <v>294</v>
      </c>
      <c r="B30" s="78">
        <v>1.4</v>
      </c>
      <c r="C30" s="78">
        <f>MIN(C15:C23)</f>
        <v>12.1</v>
      </c>
      <c r="D30" s="78">
        <v>9</v>
      </c>
      <c r="E30" s="78">
        <f>MIN(E15:E23)</f>
        <v>19.9</v>
      </c>
      <c r="F30" s="78">
        <v>4.2</v>
      </c>
      <c r="G30" s="79">
        <v>1.44</v>
      </c>
      <c r="H30" s="79">
        <v>7.37</v>
      </c>
      <c r="I30" s="79">
        <v>13.06</v>
      </c>
      <c r="J30" s="79">
        <f>MIN(J15:J23)</f>
        <v>10.58</v>
      </c>
      <c r="K30" s="79">
        <f>MIN(K15:K23)</f>
        <v>15.16</v>
      </c>
      <c r="L30" s="79">
        <v>8.01</v>
      </c>
      <c r="M30" s="79">
        <v>14.1</v>
      </c>
      <c r="N30" s="86">
        <v>966.84</v>
      </c>
      <c r="O30" s="86">
        <v>1112.49</v>
      </c>
      <c r="P30" s="86">
        <v>326.01</v>
      </c>
      <c r="Q30" s="86">
        <v>377.45</v>
      </c>
      <c r="R30" s="80" t="s">
        <v>291</v>
      </c>
      <c r="S30" s="80" t="s">
        <v>291</v>
      </c>
      <c r="T30" s="80" t="s">
        <v>291</v>
      </c>
      <c r="U30" s="80" t="s">
        <v>291</v>
      </c>
    </row>
    <row r="31" spans="1:21" ht="11.25">
      <c r="A31" s="76" t="s">
        <v>295</v>
      </c>
      <c r="B31" s="78">
        <v>2.9</v>
      </c>
      <c r="C31" s="78">
        <f>AVERAGE(C15:C23)</f>
        <v>13.785714285714286</v>
      </c>
      <c r="D31" s="78">
        <v>15.2</v>
      </c>
      <c r="E31" s="78">
        <f>AVERAGE(E15:E23)</f>
        <v>24.616666666666664</v>
      </c>
      <c r="F31" s="78">
        <v>28.3</v>
      </c>
      <c r="G31" s="79">
        <v>2.58</v>
      </c>
      <c r="H31" s="79">
        <v>11.32</v>
      </c>
      <c r="I31" s="79">
        <v>19.81</v>
      </c>
      <c r="J31" s="79">
        <f>AVERAGE(J15:J23)</f>
        <v>12.397142857142857</v>
      </c>
      <c r="K31" s="79">
        <f>AVERAGE(K15:K23)</f>
        <v>21.33142857142857</v>
      </c>
      <c r="L31" s="79">
        <v>11.56</v>
      </c>
      <c r="M31" s="79">
        <v>20.26</v>
      </c>
      <c r="N31" s="86">
        <v>6076.11</v>
      </c>
      <c r="O31" s="86">
        <v>6510.51</v>
      </c>
      <c r="P31" s="86">
        <v>1224.81</v>
      </c>
      <c r="Q31" s="86">
        <v>1347.73</v>
      </c>
      <c r="R31" s="80" t="s">
        <v>291</v>
      </c>
      <c r="S31" s="80" t="s">
        <v>291</v>
      </c>
      <c r="T31" s="80" t="s">
        <v>291</v>
      </c>
      <c r="U31" s="80" t="s">
        <v>291</v>
      </c>
    </row>
    <row r="32" spans="1:21" ht="11.25">
      <c r="A32" s="76" t="s">
        <v>296</v>
      </c>
      <c r="B32" s="78">
        <v>2.7</v>
      </c>
      <c r="C32" s="78">
        <f>MEDIAN(C15:C23)</f>
        <v>13</v>
      </c>
      <c r="D32" s="78">
        <v>15.6</v>
      </c>
      <c r="E32" s="78">
        <f>MEDIAN(E15:E23)</f>
        <v>24.05</v>
      </c>
      <c r="F32" s="78">
        <v>9.4</v>
      </c>
      <c r="G32" s="79">
        <v>2.37</v>
      </c>
      <c r="H32" s="79">
        <v>11.32</v>
      </c>
      <c r="I32" s="79">
        <v>19.38</v>
      </c>
      <c r="J32" s="79">
        <f>MEDIAN(J15:J23)</f>
        <v>11.91</v>
      </c>
      <c r="K32" s="79">
        <f>MEDIAN(K15:K23)</f>
        <v>20.92</v>
      </c>
      <c r="L32" s="79">
        <v>11.5</v>
      </c>
      <c r="M32" s="79">
        <v>19.97</v>
      </c>
      <c r="N32" s="86">
        <v>4376.02</v>
      </c>
      <c r="O32" s="86">
        <v>5057.53</v>
      </c>
      <c r="P32" s="86">
        <v>1109.78</v>
      </c>
      <c r="Q32" s="86">
        <v>1175.29</v>
      </c>
      <c r="R32" s="80" t="s">
        <v>291</v>
      </c>
      <c r="S32" s="80" t="s">
        <v>291</v>
      </c>
      <c r="T32" s="80" t="s">
        <v>291</v>
      </c>
      <c r="U32" s="80" t="s">
        <v>291</v>
      </c>
    </row>
    <row r="33" spans="1:21" ht="11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5" ht="11.25">
      <c r="A35" s="34" t="s">
        <v>335</v>
      </c>
    </row>
    <row r="38" ht="11.25">
      <c r="A38" s="83" t="s">
        <v>297</v>
      </c>
    </row>
    <row r="39" ht="11.25">
      <c r="A39" s="83" t="s">
        <v>298</v>
      </c>
    </row>
    <row r="40" ht="11.25">
      <c r="A40" s="83" t="s">
        <v>299</v>
      </c>
    </row>
    <row r="49" spans="1:3" ht="24.75" customHeight="1">
      <c r="A49" s="142" t="s">
        <v>300</v>
      </c>
      <c r="B49" s="143"/>
      <c r="C49" s="143"/>
    </row>
  </sheetData>
  <sheetProtection/>
  <mergeCells count="1">
    <mergeCell ref="A49:C49"/>
  </mergeCells>
  <printOptions/>
  <pageMargins left="0.2" right="0.2" top="0.5" bottom="0.5" header="0.5" footer="0.5"/>
  <pageSetup fitToHeight="0" fitToWidth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IV49"/>
  <sheetViews>
    <sheetView zoomScalePageLayoutView="0" workbookViewId="0" topLeftCell="I9">
      <selection activeCell="U76" sqref="U76"/>
    </sheetView>
  </sheetViews>
  <sheetFormatPr defaultColWidth="9.140625" defaultRowHeight="15"/>
  <cols>
    <col min="1" max="1" width="47.8515625" style="83" customWidth="1"/>
    <col min="2" max="18" width="20.8515625" style="83" customWidth="1"/>
    <col min="19" max="16384" width="9.140625" style="83" customWidth="1"/>
  </cols>
  <sheetData>
    <row r="6" ht="16.5" customHeight="1">
      <c r="A6" s="30" t="s">
        <v>301</v>
      </c>
    </row>
    <row r="7" spans="1:256" ht="11.25">
      <c r="A7" s="36" t="s">
        <v>267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" ht="11.25">
      <c r="A8" s="33" t="s">
        <v>268</v>
      </c>
      <c r="B8" s="74" t="s">
        <v>323</v>
      </c>
    </row>
    <row r="9" spans="1:2" ht="11.25">
      <c r="A9" s="33" t="s">
        <v>130</v>
      </c>
      <c r="B9" s="74" t="s">
        <v>269</v>
      </c>
    </row>
    <row r="10" spans="1:2" ht="11.25">
      <c r="A10" s="33" t="s">
        <v>270</v>
      </c>
      <c r="B10" s="75">
        <v>42145</v>
      </c>
    </row>
    <row r="11" ht="11.25">
      <c r="A11" s="34"/>
    </row>
    <row r="13" spans="1:256" ht="11.25">
      <c r="A13" s="36" t="s">
        <v>271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19" ht="22.5">
      <c r="A14" s="76" t="s">
        <v>272</v>
      </c>
      <c r="B14" s="77" t="s">
        <v>302</v>
      </c>
      <c r="C14" s="77" t="s">
        <v>303</v>
      </c>
      <c r="D14" s="77" t="s">
        <v>304</v>
      </c>
      <c r="E14" s="77" t="s">
        <v>305</v>
      </c>
      <c r="F14" s="77" t="s">
        <v>306</v>
      </c>
      <c r="G14" s="77" t="s">
        <v>307</v>
      </c>
      <c r="H14" s="77" t="s">
        <v>308</v>
      </c>
      <c r="I14" s="77" t="s">
        <v>309</v>
      </c>
      <c r="J14" s="77" t="s">
        <v>310</v>
      </c>
      <c r="K14" s="77" t="s">
        <v>311</v>
      </c>
      <c r="L14" s="77" t="s">
        <v>338</v>
      </c>
      <c r="M14" s="77" t="s">
        <v>313</v>
      </c>
      <c r="N14" s="77" t="s">
        <v>314</v>
      </c>
      <c r="O14" s="77" t="s">
        <v>315</v>
      </c>
      <c r="P14" s="77" t="s">
        <v>316</v>
      </c>
      <c r="Q14" s="77" t="s">
        <v>336</v>
      </c>
      <c r="R14" s="77" t="s">
        <v>337</v>
      </c>
      <c r="S14" s="83" t="s">
        <v>339</v>
      </c>
    </row>
    <row r="15" spans="1:19" ht="12" customHeight="1">
      <c r="A15" s="76" t="s">
        <v>281</v>
      </c>
      <c r="B15" s="84">
        <v>0.727</v>
      </c>
      <c r="C15" s="84">
        <v>0.336</v>
      </c>
      <c r="D15" s="84">
        <v>0.299</v>
      </c>
      <c r="E15" s="85">
        <v>0.1954</v>
      </c>
      <c r="F15" s="85">
        <v>0.2489</v>
      </c>
      <c r="G15" s="85">
        <v>0.2894</v>
      </c>
      <c r="H15" s="85">
        <v>0.2644</v>
      </c>
      <c r="I15" s="85">
        <v>0.7612</v>
      </c>
      <c r="J15" s="85">
        <v>0.3457</v>
      </c>
      <c r="K15" s="85">
        <f>100%-J15</f>
        <v>0.6543</v>
      </c>
      <c r="L15" s="85">
        <f>J15/K15</f>
        <v>0.5283509093687911</v>
      </c>
      <c r="M15" s="78">
        <v>1</v>
      </c>
      <c r="N15" s="80" t="s">
        <v>291</v>
      </c>
      <c r="O15" s="80" t="s">
        <v>291</v>
      </c>
      <c r="P15" s="80"/>
      <c r="Q15" s="80" t="s">
        <v>291</v>
      </c>
      <c r="R15" s="80" t="s">
        <v>291</v>
      </c>
      <c r="S15" s="87">
        <v>0.25</v>
      </c>
    </row>
    <row r="16" spans="1:19" ht="12" customHeight="1">
      <c r="A16" s="76" t="s">
        <v>282</v>
      </c>
      <c r="B16" s="84">
        <v>0.61</v>
      </c>
      <c r="C16" s="84">
        <v>0.326</v>
      </c>
      <c r="D16" s="84">
        <v>0.297</v>
      </c>
      <c r="E16" s="85">
        <v>0.2042</v>
      </c>
      <c r="F16" s="85">
        <v>0.4071</v>
      </c>
      <c r="G16" s="85">
        <v>0.3876</v>
      </c>
      <c r="H16" s="85">
        <v>0.3591</v>
      </c>
      <c r="I16" s="85">
        <v>0.4287</v>
      </c>
      <c r="J16" s="80" t="s">
        <v>291</v>
      </c>
      <c r="K16" s="85" t="e">
        <f aca="true" t="shared" si="0" ref="K16:K23">100%-J16</f>
        <v>#VALUE!</v>
      </c>
      <c r="L16" s="85"/>
      <c r="M16" s="80" t="s">
        <v>291</v>
      </c>
      <c r="N16" s="80" t="s">
        <v>291</v>
      </c>
      <c r="O16" s="86">
        <v>1.75</v>
      </c>
      <c r="P16" s="80">
        <f aca="true" t="shared" si="1" ref="P16:P23">O16/(1+(1-S16)*L16)</f>
        <v>1.75</v>
      </c>
      <c r="Q16" s="80" t="s">
        <v>291</v>
      </c>
      <c r="R16" s="80" t="s">
        <v>291</v>
      </c>
      <c r="S16" s="87">
        <v>0.25</v>
      </c>
    </row>
    <row r="17" spans="1:19" ht="12" customHeight="1">
      <c r="A17" s="76" t="s">
        <v>283</v>
      </c>
      <c r="B17" s="84">
        <v>0.525</v>
      </c>
      <c r="C17" s="84">
        <v>0.116</v>
      </c>
      <c r="D17" s="84">
        <v>0.086</v>
      </c>
      <c r="E17" s="85">
        <v>0.0533</v>
      </c>
      <c r="F17" s="85">
        <v>0.0067</v>
      </c>
      <c r="G17" s="85">
        <v>-0.1017</v>
      </c>
      <c r="H17" s="85">
        <v>-0.0521</v>
      </c>
      <c r="I17" s="85">
        <v>2.0592</v>
      </c>
      <c r="J17" s="85">
        <v>0.4483</v>
      </c>
      <c r="K17" s="85">
        <f t="shared" si="0"/>
        <v>0.5517000000000001</v>
      </c>
      <c r="L17" s="85">
        <f aca="true" t="shared" si="2" ref="L17:L22">J17/K17</f>
        <v>0.8125793003443899</v>
      </c>
      <c r="M17" s="78">
        <v>3.7</v>
      </c>
      <c r="N17" s="80" t="s">
        <v>291</v>
      </c>
      <c r="O17" s="86">
        <v>1.49</v>
      </c>
      <c r="P17" s="80">
        <f t="shared" si="1"/>
        <v>0.9257910296477743</v>
      </c>
      <c r="Q17" s="80" t="s">
        <v>291</v>
      </c>
      <c r="R17" s="80" t="s">
        <v>291</v>
      </c>
      <c r="S17" s="87">
        <v>0.25</v>
      </c>
    </row>
    <row r="18" spans="1:19" ht="12" customHeight="1">
      <c r="A18" s="76" t="s">
        <v>285</v>
      </c>
      <c r="B18" s="84">
        <v>0.575</v>
      </c>
      <c r="C18" s="84">
        <v>0.177</v>
      </c>
      <c r="D18" s="84">
        <v>0.138</v>
      </c>
      <c r="E18" s="85">
        <v>0.0921</v>
      </c>
      <c r="F18" s="85">
        <v>0.0228</v>
      </c>
      <c r="G18" s="85">
        <v>-0.0303</v>
      </c>
      <c r="H18" s="85">
        <v>-0.069</v>
      </c>
      <c r="I18" s="85">
        <v>-0.0954</v>
      </c>
      <c r="J18" s="85">
        <v>0.1686</v>
      </c>
      <c r="K18" s="85">
        <f t="shared" si="0"/>
        <v>0.8314</v>
      </c>
      <c r="L18" s="85">
        <f t="shared" si="2"/>
        <v>0.2027904738994467</v>
      </c>
      <c r="M18" s="78">
        <v>0.6</v>
      </c>
      <c r="N18" s="80" t="s">
        <v>291</v>
      </c>
      <c r="O18" s="86">
        <v>1.26</v>
      </c>
      <c r="P18" s="80">
        <f t="shared" si="1"/>
        <v>1.0936618468444954</v>
      </c>
      <c r="Q18" s="80" t="s">
        <v>291</v>
      </c>
      <c r="R18" s="80" t="s">
        <v>291</v>
      </c>
      <c r="S18" s="87">
        <v>0.25</v>
      </c>
    </row>
    <row r="19" spans="1:19" ht="12" customHeight="1">
      <c r="A19" s="76" t="s">
        <v>286</v>
      </c>
      <c r="B19" s="84">
        <v>0.627</v>
      </c>
      <c r="C19" s="84">
        <v>0.199</v>
      </c>
      <c r="D19" s="84">
        <v>0.166</v>
      </c>
      <c r="E19" s="85">
        <v>0.0527</v>
      </c>
      <c r="F19" s="85">
        <v>0.0395</v>
      </c>
      <c r="G19" s="85">
        <v>-0.0434</v>
      </c>
      <c r="H19" s="85">
        <v>-0.0498</v>
      </c>
      <c r="I19" s="85">
        <v>9.6633</v>
      </c>
      <c r="J19" s="85">
        <v>0.3274</v>
      </c>
      <c r="K19" s="85">
        <f t="shared" si="0"/>
        <v>0.6726</v>
      </c>
      <c r="L19" s="85">
        <f t="shared" si="2"/>
        <v>0.4867677668748142</v>
      </c>
      <c r="M19" s="78">
        <v>2.7</v>
      </c>
      <c r="N19" s="80" t="s">
        <v>291</v>
      </c>
      <c r="O19" s="86">
        <v>0.64</v>
      </c>
      <c r="P19" s="80">
        <f t="shared" si="1"/>
        <v>0.4688384250939389</v>
      </c>
      <c r="Q19" s="80" t="s">
        <v>291</v>
      </c>
      <c r="R19" s="80" t="s">
        <v>291</v>
      </c>
      <c r="S19" s="87">
        <v>0.25</v>
      </c>
    </row>
    <row r="20" spans="1:19" ht="12" customHeight="1">
      <c r="A20" s="76" t="s">
        <v>287</v>
      </c>
      <c r="B20" s="84">
        <v>0.661</v>
      </c>
      <c r="C20" s="84">
        <v>0.219</v>
      </c>
      <c r="D20" s="84">
        <v>0.183</v>
      </c>
      <c r="E20" s="85">
        <v>0.1249</v>
      </c>
      <c r="F20" s="85">
        <v>0.0715</v>
      </c>
      <c r="G20" s="85">
        <v>0.0452</v>
      </c>
      <c r="H20" s="85">
        <v>0.0254</v>
      </c>
      <c r="I20" s="85">
        <v>0.0003</v>
      </c>
      <c r="J20" s="85">
        <v>0.1621</v>
      </c>
      <c r="K20" s="85">
        <f t="shared" si="0"/>
        <v>0.8379</v>
      </c>
      <c r="L20" s="85">
        <f t="shared" si="2"/>
        <v>0.19345984007638142</v>
      </c>
      <c r="M20" s="78">
        <v>0.3</v>
      </c>
      <c r="N20" s="80" t="s">
        <v>291</v>
      </c>
      <c r="O20" s="86">
        <v>0.96</v>
      </c>
      <c r="P20" s="80">
        <f t="shared" si="1"/>
        <v>0.8383584772922692</v>
      </c>
      <c r="Q20" s="80" t="s">
        <v>291</v>
      </c>
      <c r="R20" s="80" t="s">
        <v>291</v>
      </c>
      <c r="S20" s="87">
        <v>0.25</v>
      </c>
    </row>
    <row r="21" spans="1:19" ht="12" customHeight="1">
      <c r="A21" s="76" t="s">
        <v>288</v>
      </c>
      <c r="B21" s="84">
        <v>0.7</v>
      </c>
      <c r="C21" s="84">
        <v>0.229</v>
      </c>
      <c r="D21" s="84">
        <v>0.175</v>
      </c>
      <c r="E21" s="85">
        <v>0.1333</v>
      </c>
      <c r="F21" s="85">
        <v>0.083</v>
      </c>
      <c r="G21" s="85">
        <v>0.0188</v>
      </c>
      <c r="H21" s="85">
        <v>-0.0115</v>
      </c>
      <c r="I21" s="85">
        <v>0.0428</v>
      </c>
      <c r="J21" s="85">
        <v>0.043</v>
      </c>
      <c r="K21" s="85">
        <f t="shared" si="0"/>
        <v>0.957</v>
      </c>
      <c r="L21" s="85">
        <f t="shared" si="2"/>
        <v>0.04493207941483803</v>
      </c>
      <c r="M21" s="78">
        <v>0.1</v>
      </c>
      <c r="N21" s="80" t="s">
        <v>291</v>
      </c>
      <c r="O21" s="86">
        <v>0.85</v>
      </c>
      <c r="P21" s="80">
        <f t="shared" si="1"/>
        <v>0.8222896133434419</v>
      </c>
      <c r="Q21" s="80" t="s">
        <v>291</v>
      </c>
      <c r="R21" s="80" t="s">
        <v>291</v>
      </c>
      <c r="S21" s="87">
        <v>0.25</v>
      </c>
    </row>
    <row r="22" spans="1:19" ht="12" customHeight="1">
      <c r="A22" s="76" t="s">
        <v>289</v>
      </c>
      <c r="B22" s="84">
        <v>0.645</v>
      </c>
      <c r="C22" s="84">
        <v>0.218</v>
      </c>
      <c r="D22" s="84">
        <v>0.184</v>
      </c>
      <c r="E22" s="85">
        <v>0.1189</v>
      </c>
      <c r="F22" s="85">
        <v>0.067</v>
      </c>
      <c r="G22" s="85">
        <v>0.1358</v>
      </c>
      <c r="H22" s="85">
        <v>0.118</v>
      </c>
      <c r="I22" s="85">
        <v>0.0629</v>
      </c>
      <c r="J22" s="85">
        <v>0.2449</v>
      </c>
      <c r="K22" s="85">
        <f t="shared" si="0"/>
        <v>0.7551</v>
      </c>
      <c r="L22" s="85">
        <f t="shared" si="2"/>
        <v>0.32432790358892866</v>
      </c>
      <c r="M22" s="78">
        <v>0.6</v>
      </c>
      <c r="N22" s="80" t="s">
        <v>291</v>
      </c>
      <c r="O22" s="86">
        <v>1.02</v>
      </c>
      <c r="P22" s="80">
        <f t="shared" si="1"/>
        <v>0.8204330111048973</v>
      </c>
      <c r="Q22" s="80" t="s">
        <v>291</v>
      </c>
      <c r="R22" s="80" t="s">
        <v>291</v>
      </c>
      <c r="S22" s="87">
        <v>0.25</v>
      </c>
    </row>
    <row r="23" spans="1:19" ht="12" customHeight="1">
      <c r="A23" s="76" t="s">
        <v>334</v>
      </c>
      <c r="B23" s="84">
        <v>0.472</v>
      </c>
      <c r="C23" s="84">
        <v>0.21</v>
      </c>
      <c r="D23" s="84">
        <v>0.172</v>
      </c>
      <c r="E23" s="85">
        <v>0.0981</v>
      </c>
      <c r="F23" s="85">
        <v>0.0623</v>
      </c>
      <c r="G23" s="85">
        <v>0.1104</v>
      </c>
      <c r="H23" s="85">
        <v>0.1248</v>
      </c>
      <c r="I23" s="85">
        <v>0.2383</v>
      </c>
      <c r="J23" s="85">
        <v>0.996</v>
      </c>
      <c r="K23" s="85">
        <f t="shared" si="0"/>
        <v>0.0040000000000000036</v>
      </c>
      <c r="L23" s="85"/>
      <c r="M23" s="78">
        <v>2</v>
      </c>
      <c r="N23" s="80" t="s">
        <v>291</v>
      </c>
      <c r="O23" s="86">
        <v>1.09</v>
      </c>
      <c r="P23" s="80">
        <f t="shared" si="1"/>
        <v>1.09</v>
      </c>
      <c r="Q23" s="80" t="s">
        <v>291</v>
      </c>
      <c r="R23" s="80" t="s">
        <v>291</v>
      </c>
      <c r="S23" s="87">
        <v>0.25</v>
      </c>
    </row>
    <row r="24" spans="1:18" ht="11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1:18" ht="11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8">
        <f>MEDIAN(L15:L23)</f>
        <v>0.32432790358892866</v>
      </c>
      <c r="M25" s="82"/>
      <c r="N25" s="82"/>
      <c r="O25" s="82"/>
      <c r="P25" s="82">
        <f>MEDIAN(P15:P23)</f>
        <v>0.8820747534700217</v>
      </c>
      <c r="Q25" s="82"/>
      <c r="R25" s="82"/>
    </row>
    <row r="26" spans="1:18" ht="12" customHeight="1">
      <c r="A26" s="76" t="s">
        <v>290</v>
      </c>
      <c r="B26" s="80" t="s">
        <v>291</v>
      </c>
      <c r="C26" s="80" t="s">
        <v>291</v>
      </c>
      <c r="D26" s="80" t="s">
        <v>291</v>
      </c>
      <c r="E26" s="80" t="s">
        <v>291</v>
      </c>
      <c r="F26" s="80" t="s">
        <v>291</v>
      </c>
      <c r="G26" s="80" t="s">
        <v>291</v>
      </c>
      <c r="H26" s="80" t="s">
        <v>291</v>
      </c>
      <c r="I26" s="80" t="s">
        <v>291</v>
      </c>
      <c r="J26" s="80" t="s">
        <v>291</v>
      </c>
      <c r="K26" s="80"/>
      <c r="L26" s="80"/>
      <c r="M26" s="80" t="s">
        <v>291</v>
      </c>
      <c r="N26" s="80" t="s">
        <v>291</v>
      </c>
      <c r="O26" s="80" t="s">
        <v>291</v>
      </c>
      <c r="P26" s="80"/>
      <c r="Q26" s="80" t="s">
        <v>291</v>
      </c>
      <c r="R26" s="80" t="s">
        <v>291</v>
      </c>
    </row>
    <row r="27" spans="1:18" ht="11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 ht="22.5">
      <c r="A28" s="76" t="s">
        <v>292</v>
      </c>
      <c r="B28" s="77" t="s">
        <v>302</v>
      </c>
      <c r="C28" s="77" t="s">
        <v>303</v>
      </c>
      <c r="D28" s="77" t="s">
        <v>304</v>
      </c>
      <c r="E28" s="77" t="s">
        <v>305</v>
      </c>
      <c r="F28" s="77" t="s">
        <v>306</v>
      </c>
      <c r="G28" s="77" t="s">
        <v>307</v>
      </c>
      <c r="H28" s="77" t="s">
        <v>308</v>
      </c>
      <c r="I28" s="77" t="s">
        <v>309</v>
      </c>
      <c r="J28" s="77" t="s">
        <v>310</v>
      </c>
      <c r="K28" s="77"/>
      <c r="L28" s="77"/>
      <c r="M28" s="77" t="s">
        <v>313</v>
      </c>
      <c r="N28" s="77" t="s">
        <v>314</v>
      </c>
      <c r="O28" s="77" t="s">
        <v>315</v>
      </c>
      <c r="P28" s="77"/>
      <c r="Q28" s="77" t="s">
        <v>336</v>
      </c>
      <c r="R28" s="77" t="s">
        <v>337</v>
      </c>
    </row>
    <row r="29" spans="1:18" ht="11.25">
      <c r="A29" s="76" t="s">
        <v>293</v>
      </c>
      <c r="B29" s="84">
        <v>0.727</v>
      </c>
      <c r="C29" s="84">
        <v>0.336</v>
      </c>
      <c r="D29" s="84">
        <v>0.299</v>
      </c>
      <c r="E29" s="85">
        <v>0.2042</v>
      </c>
      <c r="F29" s="85">
        <v>0.4071</v>
      </c>
      <c r="G29" s="85">
        <v>0.3876</v>
      </c>
      <c r="H29" s="85">
        <v>0.3591</v>
      </c>
      <c r="I29" s="85">
        <v>9.6633</v>
      </c>
      <c r="J29" s="85">
        <v>0.996</v>
      </c>
      <c r="K29" s="85"/>
      <c r="L29" s="85"/>
      <c r="M29" s="78">
        <v>3.7</v>
      </c>
      <c r="N29" s="80" t="s">
        <v>291</v>
      </c>
      <c r="O29" s="86">
        <v>1.75</v>
      </c>
      <c r="P29" s="86"/>
      <c r="Q29" s="80" t="s">
        <v>291</v>
      </c>
      <c r="R29" s="80" t="s">
        <v>291</v>
      </c>
    </row>
    <row r="30" spans="1:18" ht="11.25">
      <c r="A30" s="76" t="s">
        <v>294</v>
      </c>
      <c r="B30" s="84">
        <v>0.472</v>
      </c>
      <c r="C30" s="84">
        <v>0.116</v>
      </c>
      <c r="D30" s="84">
        <v>0.086</v>
      </c>
      <c r="E30" s="85">
        <v>0.0527</v>
      </c>
      <c r="F30" s="85">
        <v>0.0067</v>
      </c>
      <c r="G30" s="85">
        <v>-0.1017</v>
      </c>
      <c r="H30" s="85">
        <v>-0.069</v>
      </c>
      <c r="I30" s="85">
        <v>-0.0954</v>
      </c>
      <c r="J30" s="85">
        <v>0.043</v>
      </c>
      <c r="K30" s="85"/>
      <c r="L30" s="85"/>
      <c r="M30" s="78">
        <v>0.1</v>
      </c>
      <c r="N30" s="80" t="s">
        <v>291</v>
      </c>
      <c r="O30" s="86">
        <v>0.64</v>
      </c>
      <c r="P30" s="86"/>
      <c r="Q30" s="80" t="s">
        <v>291</v>
      </c>
      <c r="R30" s="80" t="s">
        <v>291</v>
      </c>
    </row>
    <row r="31" spans="1:18" ht="11.25">
      <c r="A31" s="76" t="s">
        <v>295</v>
      </c>
      <c r="B31" s="84">
        <v>0.616</v>
      </c>
      <c r="C31" s="84">
        <v>0.225</v>
      </c>
      <c r="D31" s="84">
        <v>0.189</v>
      </c>
      <c r="E31" s="85">
        <v>0.1192</v>
      </c>
      <c r="F31" s="85">
        <v>0.1121</v>
      </c>
      <c r="G31" s="85">
        <v>0.0902</v>
      </c>
      <c r="H31" s="85">
        <v>0.0788</v>
      </c>
      <c r="I31" s="85">
        <v>1.4624</v>
      </c>
      <c r="J31" s="85">
        <v>0.342</v>
      </c>
      <c r="K31" s="85"/>
      <c r="L31" s="85"/>
      <c r="M31" s="78">
        <v>1.4</v>
      </c>
      <c r="N31" s="80" t="s">
        <v>291</v>
      </c>
      <c r="O31" s="86">
        <v>1.13</v>
      </c>
      <c r="P31" s="86"/>
      <c r="Q31" s="80" t="s">
        <v>291</v>
      </c>
      <c r="R31" s="80" t="s">
        <v>291</v>
      </c>
    </row>
    <row r="32" spans="1:18" ht="11.25">
      <c r="A32" s="76" t="s">
        <v>296</v>
      </c>
      <c r="B32" s="84">
        <v>0.627</v>
      </c>
      <c r="C32" s="84">
        <v>0.218</v>
      </c>
      <c r="D32" s="84">
        <v>0.175</v>
      </c>
      <c r="E32" s="85">
        <v>0.1189</v>
      </c>
      <c r="F32" s="85">
        <v>0.067</v>
      </c>
      <c r="G32" s="85">
        <v>0.0452</v>
      </c>
      <c r="H32" s="85">
        <v>0.0254</v>
      </c>
      <c r="I32" s="85">
        <v>0.2383</v>
      </c>
      <c r="J32" s="85">
        <v>0.2861</v>
      </c>
      <c r="K32" s="85"/>
      <c r="L32" s="85"/>
      <c r="M32" s="78">
        <v>0.8</v>
      </c>
      <c r="N32" s="80" t="s">
        <v>291</v>
      </c>
      <c r="O32" s="86">
        <v>1.05</v>
      </c>
      <c r="P32" s="86"/>
      <c r="Q32" s="80" t="s">
        <v>291</v>
      </c>
      <c r="R32" s="80" t="s">
        <v>291</v>
      </c>
    </row>
    <row r="33" spans="1:18" ht="11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5" ht="11.25">
      <c r="A35" s="34" t="s">
        <v>335</v>
      </c>
    </row>
    <row r="38" ht="11.25">
      <c r="A38" s="83" t="s">
        <v>297</v>
      </c>
    </row>
    <row r="39" ht="11.25">
      <c r="A39" s="83" t="s">
        <v>298</v>
      </c>
    </row>
    <row r="40" ht="11.25">
      <c r="A40" s="83" t="s">
        <v>299</v>
      </c>
    </row>
    <row r="49" spans="1:3" ht="24.75" customHeight="1">
      <c r="A49" s="142" t="s">
        <v>300</v>
      </c>
      <c r="B49" s="143"/>
      <c r="C49" s="143"/>
    </row>
  </sheetData>
  <sheetProtection/>
  <mergeCells count="1">
    <mergeCell ref="A49:C49"/>
  </mergeCells>
  <printOptions/>
  <pageMargins left="0.2" right="0.2" top="0.5" bottom="0.5" header="0.5" footer="0.5"/>
  <pageSetup fitToHeight="0" fitToWidth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H59">
      <selection activeCell="U76" sqref="U76"/>
    </sheetView>
  </sheetViews>
  <sheetFormatPr defaultColWidth="9.140625" defaultRowHeight="15"/>
  <sheetData>
    <row r="2" spans="3:12" ht="15">
      <c r="C2" s="23">
        <f>OpMod!E6</f>
        <v>2010</v>
      </c>
      <c r="D2" s="23">
        <f>OpMod!F6</f>
        <v>2011</v>
      </c>
      <c r="E2" s="23">
        <f>OpMod!G6</f>
        <v>2012</v>
      </c>
      <c r="F2" s="23">
        <f>OpMod!H6</f>
        <v>2013</v>
      </c>
      <c r="G2" s="23">
        <f>OpMod!I6</f>
        <v>2014</v>
      </c>
      <c r="H2" s="23">
        <f>OpMod!J6</f>
        <v>2015</v>
      </c>
      <c r="I2" s="25">
        <f>OpMod!L6</f>
        <v>2016</v>
      </c>
      <c r="J2" s="25">
        <f>OpMod!M6</f>
        <v>2017</v>
      </c>
      <c r="K2" s="25">
        <f>OpMod!N6</f>
        <v>2018</v>
      </c>
      <c r="L2" s="25">
        <f>OpMod!O6</f>
        <v>2019</v>
      </c>
    </row>
    <row r="3" spans="2:12" ht="15">
      <c r="B3" s="56" t="s">
        <v>109</v>
      </c>
      <c r="C3" s="27">
        <f>OpMod!E8</f>
        <v>22.091</v>
      </c>
      <c r="D3" s="27">
        <f>OpMod!F8</f>
        <v>24.696</v>
      </c>
      <c r="E3" s="27">
        <f>OpMod!G8</f>
        <v>26.682</v>
      </c>
      <c r="F3" s="27">
        <f>OpMod!H8</f>
        <v>31.365</v>
      </c>
      <c r="G3" s="27">
        <f>OpMod!I8</f>
        <v>39.042</v>
      </c>
      <c r="H3" s="27">
        <f>OpMod!J8</f>
        <v>53.06</v>
      </c>
      <c r="I3" s="27">
        <f>OpMod!L8</f>
        <v>57.999310391534394</v>
      </c>
      <c r="J3" s="27">
        <f>OpMod!M8</f>
        <v>64.90403278420318</v>
      </c>
      <c r="K3" s="27">
        <f>OpMod!N8</f>
        <v>73.78540044353852</v>
      </c>
      <c r="L3" s="27">
        <f>OpMod!O8</f>
        <v>83.19609761537026</v>
      </c>
    </row>
    <row r="4" spans="2:12" ht="15">
      <c r="B4" s="56" t="s">
        <v>65</v>
      </c>
      <c r="C4" s="27">
        <f>OpMod!E16</f>
        <v>0.8520000000000003</v>
      </c>
      <c r="D4" s="27">
        <f>OpMod!F16</f>
        <v>0.4820000000000011</v>
      </c>
      <c r="E4" s="27">
        <f>OpMod!G16</f>
        <v>3.219999999999999</v>
      </c>
      <c r="F4" s="27">
        <f>OpMod!H16</f>
        <v>3.9220000000000006</v>
      </c>
      <c r="G4" s="27">
        <f>OpMod!I16</f>
        <v>6.195</v>
      </c>
      <c r="H4" s="27">
        <f>OpMod!J16</f>
        <v>9.589000000000006</v>
      </c>
      <c r="I4" s="27">
        <f>OpMod!L16</f>
        <v>11.57543628089763</v>
      </c>
      <c r="J4" s="27">
        <f>OpMod!M16</f>
        <v>13.535316497893675</v>
      </c>
      <c r="K4" s="27">
        <f>OpMod!N16</f>
        <v>16.883691294218693</v>
      </c>
      <c r="L4" s="27">
        <f>OpMod!O16</f>
        <v>20.603893636524973</v>
      </c>
    </row>
    <row r="5" spans="2:12" ht="15">
      <c r="B5" s="56" t="s">
        <v>513</v>
      </c>
      <c r="C5" s="29">
        <f>C4/C3</f>
        <v>0.03856774251957812</v>
      </c>
      <c r="D5" s="29">
        <f aca="true" t="shared" si="0" ref="D5:L5">D4/D3</f>
        <v>0.01951733074182058</v>
      </c>
      <c r="E5" s="29">
        <f t="shared" si="0"/>
        <v>0.1206806086500262</v>
      </c>
      <c r="F5" s="29">
        <f t="shared" si="0"/>
        <v>0.12504383867368088</v>
      </c>
      <c r="G5" s="29">
        <f t="shared" si="0"/>
        <v>0.1586752727831566</v>
      </c>
      <c r="H5" s="29">
        <f t="shared" si="0"/>
        <v>0.18071993969091604</v>
      </c>
      <c r="I5" s="29">
        <f t="shared" si="0"/>
        <v>0.19957886055464524</v>
      </c>
      <c r="J5" s="29">
        <f t="shared" si="0"/>
        <v>0.20854353600640974</v>
      </c>
      <c r="K5" s="29">
        <f t="shared" si="0"/>
        <v>0.22882157164869352</v>
      </c>
      <c r="L5" s="29">
        <f t="shared" si="0"/>
        <v>0.24765456826809695</v>
      </c>
    </row>
    <row r="20" spans="3:9" ht="15">
      <c r="C20" s="23">
        <v>2013</v>
      </c>
      <c r="D20" s="23">
        <v>2014</v>
      </c>
      <c r="E20" s="23">
        <v>2015</v>
      </c>
      <c r="F20" s="25">
        <v>2016</v>
      </c>
      <c r="G20" s="25">
        <v>2017</v>
      </c>
      <c r="H20" s="25">
        <v>2018</v>
      </c>
      <c r="I20" s="25">
        <v>2019</v>
      </c>
    </row>
    <row r="21" spans="2:9" ht="15">
      <c r="B21" s="56" t="s">
        <v>514</v>
      </c>
      <c r="C21" s="114">
        <f>'Store Rollout'!H27</f>
        <v>67</v>
      </c>
      <c r="D21" s="114">
        <f>'Store Rollout'!I27</f>
        <v>88</v>
      </c>
      <c r="E21" s="114">
        <f>'Store Rollout'!J27</f>
        <v>100</v>
      </c>
      <c r="F21" s="114">
        <f>E21+'Store Rollout'!S19</f>
        <v>112</v>
      </c>
      <c r="G21" s="114">
        <f>F21+'Store Rollout'!T19</f>
        <v>124</v>
      </c>
      <c r="H21" s="114">
        <f>G21+'Store Rollout'!U19</f>
        <v>136</v>
      </c>
      <c r="I21" s="114">
        <f>H21+'Store Rollout'!V19</f>
        <v>148</v>
      </c>
    </row>
    <row r="22" spans="2:9" ht="15">
      <c r="B22" s="56" t="s">
        <v>521</v>
      </c>
      <c r="C22" s="29">
        <f>'Store Rollout'!H9</f>
        <v>0.05</v>
      </c>
      <c r="D22" s="29">
        <f>'Store Rollout'!I9</f>
        <v>0.07</v>
      </c>
      <c r="E22" s="29">
        <f>'Store Rollout'!J9</f>
        <v>0.07</v>
      </c>
      <c r="F22" s="29">
        <f>'Store Rollout'!L10</f>
        <v>0.05960000000000001</v>
      </c>
      <c r="G22" s="29">
        <f>'Store Rollout'!M10</f>
        <v>0.05960000000000001</v>
      </c>
      <c r="H22" s="29">
        <f>'Store Rollout'!N10</f>
        <v>0.05960000000000001</v>
      </c>
      <c r="I22" s="29">
        <f>'Store Rollout'!O10</f>
        <v>0.05960000000000001</v>
      </c>
    </row>
    <row r="29" spans="2:3" ht="15">
      <c r="B29" s="56"/>
      <c r="C29" s="113"/>
    </row>
    <row r="31" spans="2:3" ht="15">
      <c r="B31" s="56"/>
      <c r="C31" s="113"/>
    </row>
    <row r="32" ht="15">
      <c r="B32" s="56"/>
    </row>
    <row r="33" ht="15">
      <c r="B33" s="56"/>
    </row>
    <row r="34" ht="15">
      <c r="C34" s="113"/>
    </row>
    <row r="36" ht="15">
      <c r="B36" s="56"/>
    </row>
    <row r="38" spans="2:4" ht="15">
      <c r="B38" s="56"/>
      <c r="D38" s="113"/>
    </row>
    <row r="39" spans="3:7" ht="15">
      <c r="C39">
        <v>2015</v>
      </c>
      <c r="D39">
        <f>C39+1</f>
        <v>2016</v>
      </c>
      <c r="E39">
        <f>D39+1</f>
        <v>2017</v>
      </c>
      <c r="F39">
        <f>E39+1</f>
        <v>2018</v>
      </c>
      <c r="G39">
        <f>F39+1</f>
        <v>2019</v>
      </c>
    </row>
    <row r="40" spans="2:14" ht="15">
      <c r="B40" s="56" t="s">
        <v>516</v>
      </c>
      <c r="C40">
        <f>OpMod!J8</f>
        <v>53.06</v>
      </c>
      <c r="D40">
        <f>OpMod!L8-OpMod!J8</f>
        <v>4.939310391534391</v>
      </c>
      <c r="E40">
        <f>OpMod!M8-OpMod!L8</f>
        <v>6.904722392668788</v>
      </c>
      <c r="F40">
        <f>OpMod!N8-OpMod!M8</f>
        <v>8.88136765933534</v>
      </c>
      <c r="G40">
        <f>OpMod!O8-OpMod!N8</f>
        <v>9.410697171831742</v>
      </c>
      <c r="H40">
        <f>SUM(C40:G40)</f>
        <v>83.19609761537026</v>
      </c>
      <c r="J40" s="56" t="s">
        <v>490</v>
      </c>
      <c r="K40" s="56" t="s">
        <v>517</v>
      </c>
      <c r="L40" s="56" t="s">
        <v>518</v>
      </c>
      <c r="M40" s="56" t="s">
        <v>519</v>
      </c>
      <c r="N40" s="56" t="s">
        <v>520</v>
      </c>
    </row>
    <row r="41" spans="2:14" ht="15">
      <c r="B41" s="56" t="s">
        <v>515</v>
      </c>
      <c r="C41">
        <f>OpMod!J10</f>
        <v>-15.788</v>
      </c>
      <c r="D41">
        <f>OpMod!L10-OpMod!J10</f>
        <v>-1.4696915277336018</v>
      </c>
      <c r="E41">
        <f>OpMod!M10-OpMod!L10</f>
        <v>-2.0544997575472053</v>
      </c>
      <c r="F41">
        <f>OpMod!N10-OpMod!M10</f>
        <v>-2.6426504448847794</v>
      </c>
      <c r="G41">
        <f>OpMod!O10-OpMod!N10</f>
        <v>-2.8001524113999174</v>
      </c>
      <c r="H41">
        <f>SUM(C41:G41)</f>
        <v>-24.754994141565504</v>
      </c>
      <c r="J41" s="27"/>
      <c r="K41" s="27"/>
      <c r="L41" s="27">
        <f>SUM(K42:K43)-L43</f>
        <v>30.758103473804763</v>
      </c>
      <c r="M41" s="27">
        <f>L42-M42</f>
        <v>10.16231331108455</v>
      </c>
      <c r="N41" s="27"/>
    </row>
    <row r="42" spans="2:14" ht="15">
      <c r="B42" s="56" t="s">
        <v>114</v>
      </c>
      <c r="C42">
        <f>OpMod!J14</f>
        <v>-27.683</v>
      </c>
      <c r="D42">
        <f>OpMod!L14-OpMod!J14</f>
        <v>-1.483182582903165</v>
      </c>
      <c r="E42">
        <f>OpMod!M14-OpMod!L14</f>
        <v>-2.890342418125538</v>
      </c>
      <c r="F42">
        <f>OpMod!N14-OpMod!M14</f>
        <v>-2.8903424181255417</v>
      </c>
      <c r="G42">
        <f>OpMod!O14-OpMod!N14</f>
        <v>-2.8903424181255417</v>
      </c>
      <c r="H42">
        <f>SUM(C42:G42)</f>
        <v>-37.83720983727979</v>
      </c>
      <c r="J42" s="27">
        <f>C43</f>
        <v>9.589000000000006</v>
      </c>
      <c r="K42" s="27">
        <f>J42</f>
        <v>9.589000000000006</v>
      </c>
      <c r="L42" s="27">
        <f>L41</f>
        <v>30.758103473804763</v>
      </c>
      <c r="M42" s="27">
        <f>M47</f>
        <v>20.595790162720213</v>
      </c>
      <c r="N42" s="27">
        <f>L4</f>
        <v>20.603893636524973</v>
      </c>
    </row>
    <row r="43" spans="3:14" ht="15">
      <c r="C43">
        <f>SUM(C40:C42)</f>
        <v>9.589000000000006</v>
      </c>
      <c r="D43">
        <f>SUM(D40:D42)</f>
        <v>1.9864362808976246</v>
      </c>
      <c r="E43">
        <f>SUM(E40:E42)</f>
        <v>1.9598802169960443</v>
      </c>
      <c r="F43">
        <f>SUM(F40:F42)</f>
        <v>3.348374796325018</v>
      </c>
      <c r="G43">
        <f>SUM(G40:G42)</f>
        <v>3.7202023423062833</v>
      </c>
      <c r="H43">
        <f>SUM(H40:H42)</f>
        <v>20.603893636524973</v>
      </c>
      <c r="J43" s="27"/>
      <c r="K43" s="27">
        <f>SUM(D40:G40)</f>
        <v>30.13609761537026</v>
      </c>
      <c r="L43" s="27">
        <f>-SUM(D41:G41)</f>
        <v>8.966994141565504</v>
      </c>
      <c r="M43" s="27">
        <f>-SUM(D42:G42)</f>
        <v>10.154209837279787</v>
      </c>
      <c r="N43" s="27"/>
    </row>
    <row r="45" ht="15">
      <c r="L45">
        <f>L42-L43</f>
        <v>21.79110933223926</v>
      </c>
    </row>
    <row r="47" ht="15">
      <c r="M47">
        <f>30.75-M43</f>
        <v>20.595790162720213</v>
      </c>
    </row>
    <row r="48" ht="15">
      <c r="J48">
        <f>9.6+30.1-9-12.8</f>
        <v>17.900000000000002</v>
      </c>
    </row>
    <row r="57" spans="3:12" ht="15">
      <c r="C57" s="23">
        <v>2010</v>
      </c>
      <c r="D57" s="23">
        <v>2011</v>
      </c>
      <c r="E57" s="23">
        <v>2012</v>
      </c>
      <c r="F57" s="23">
        <v>2013</v>
      </c>
      <c r="G57" s="23">
        <v>2014</v>
      </c>
      <c r="H57" s="23">
        <v>2015</v>
      </c>
      <c r="I57" s="25">
        <v>2016</v>
      </c>
      <c r="J57" s="25">
        <v>2017</v>
      </c>
      <c r="K57" s="25">
        <v>2018</v>
      </c>
      <c r="L57" s="25">
        <v>2019</v>
      </c>
    </row>
    <row r="58" spans="2:12" ht="15">
      <c r="B58" s="56" t="s">
        <v>522</v>
      </c>
      <c r="C58" s="114">
        <f>OpMod!E114</f>
        <v>40.54637635236069</v>
      </c>
      <c r="D58" s="114">
        <f>OpMod!F114</f>
        <v>31.36256883705863</v>
      </c>
      <c r="E58" s="114">
        <f>OpMod!G114</f>
        <v>41.7502436099243</v>
      </c>
      <c r="F58" s="114">
        <f>OpMod!H114</f>
        <v>43.68595568308625</v>
      </c>
      <c r="G58" s="114">
        <f>OpMod!I114</f>
        <v>34.96490958454997</v>
      </c>
      <c r="H58" s="114">
        <f>OpMod!J114</f>
        <v>40.30408970976253</v>
      </c>
      <c r="I58" s="114">
        <f>OpMod!L114</f>
        <v>30</v>
      </c>
      <c r="J58" s="114">
        <f>OpMod!M114</f>
        <v>30</v>
      </c>
      <c r="K58" s="114">
        <f>OpMod!N114</f>
        <v>30</v>
      </c>
      <c r="L58" s="114">
        <f>OpMod!O114</f>
        <v>30</v>
      </c>
    </row>
    <row r="59" spans="2:12" ht="15">
      <c r="B59" s="56" t="s">
        <v>523</v>
      </c>
      <c r="C59" s="114">
        <f>OpMod!E115</f>
        <v>103.60481099656357</v>
      </c>
      <c r="D59" s="114">
        <f>OpMod!F115</f>
        <v>42.714105069548225</v>
      </c>
      <c r="E59" s="114">
        <f>OpMod!G115</f>
        <v>95.48110426159207</v>
      </c>
      <c r="F59" s="114">
        <f>OpMod!H115</f>
        <v>87.66906784216751</v>
      </c>
      <c r="G59" s="114">
        <f>OpMod!I115</f>
        <v>47.020666423889296</v>
      </c>
      <c r="H59" s="114">
        <f>OpMod!J115</f>
        <v>58.9298834557892</v>
      </c>
      <c r="I59" s="114">
        <f>OpMod!L115</f>
        <v>90</v>
      </c>
      <c r="J59" s="114">
        <f>OpMod!M115</f>
        <v>90</v>
      </c>
      <c r="K59" s="114">
        <f>OpMod!N115</f>
        <v>90</v>
      </c>
      <c r="L59" s="114">
        <f>OpMod!O115</f>
        <v>90</v>
      </c>
    </row>
    <row r="60" spans="2:12" ht="15">
      <c r="B60" s="56" t="s">
        <v>448</v>
      </c>
      <c r="C60" s="114">
        <f>OpMod!E116</f>
        <v>271.1786941580756</v>
      </c>
      <c r="D60" s="114">
        <f>OpMod!F116</f>
        <v>162.92619841361076</v>
      </c>
      <c r="E60" s="114">
        <f>OpMod!G116</f>
        <v>245.35513267220585</v>
      </c>
      <c r="F60" s="114">
        <f>OpMod!H116</f>
        <v>198.02064294161917</v>
      </c>
      <c r="G60" s="114">
        <f>OpMod!I116</f>
        <v>277.0730152949745</v>
      </c>
      <c r="H60" s="114">
        <f>OpMod!J116</f>
        <v>288.63852292880665</v>
      </c>
      <c r="I60" s="114">
        <f>OpMod!L116</f>
        <v>199.3</v>
      </c>
      <c r="J60" s="114">
        <f>OpMod!M116</f>
        <v>150</v>
      </c>
      <c r="K60" s="114">
        <f>OpMod!N116</f>
        <v>150</v>
      </c>
      <c r="L60" s="114">
        <f>OpMod!O116</f>
        <v>150</v>
      </c>
    </row>
    <row r="66" spans="3:11" ht="15">
      <c r="C66" s="23">
        <v>2011</v>
      </c>
      <c r="D66" s="23">
        <v>2012</v>
      </c>
      <c r="E66" s="23">
        <v>2013</v>
      </c>
      <c r="F66" s="23">
        <v>2014</v>
      </c>
      <c r="G66" s="23">
        <v>2015</v>
      </c>
      <c r="H66" s="25">
        <v>2016</v>
      </c>
      <c r="I66" s="25">
        <v>2017</v>
      </c>
      <c r="J66" s="25">
        <v>2018</v>
      </c>
      <c r="K66" s="25">
        <v>2019</v>
      </c>
    </row>
    <row r="67" spans="2:11" ht="15">
      <c r="B67" s="56" t="s">
        <v>405</v>
      </c>
      <c r="C67" s="27">
        <f>-SUM(OpMod!F79:F80)</f>
        <v>0.7620000000000007</v>
      </c>
      <c r="D67" s="27">
        <f>-SUM(OpMod!G79:G80)</f>
        <v>1.914</v>
      </c>
      <c r="E67" s="27">
        <f>-SUM(OpMod!H79:H80)</f>
        <v>3.3289999999999997</v>
      </c>
      <c r="F67" s="27">
        <f>-SUM(OpMod!I79:I80)</f>
        <v>4.952</v>
      </c>
      <c r="G67" s="27">
        <f>-SUM(OpMod!J79:J80)</f>
        <v>6.591</v>
      </c>
      <c r="H67" s="27">
        <f>-SUM(OpMod!L79:L80)</f>
        <v>7.8839999999999995</v>
      </c>
      <c r="I67" s="27">
        <f>-SUM(OpMod!M79:M80)</f>
        <v>7.8839999999999995</v>
      </c>
      <c r="J67" s="27">
        <f>-SUM(OpMod!N79:N80)</f>
        <v>7.8839999999999995</v>
      </c>
      <c r="K67" s="27">
        <f>-SUM(OpMod!O79:O80)</f>
        <v>7.8839999999999995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Y101"/>
  <sheetViews>
    <sheetView showGridLines="0" tabSelected="1" zoomScalePageLayoutView="0" workbookViewId="0" topLeftCell="A19">
      <selection activeCell="B15" sqref="B15"/>
    </sheetView>
  </sheetViews>
  <sheetFormatPr defaultColWidth="9.140625" defaultRowHeight="15"/>
  <cols>
    <col min="1" max="1" width="9.140625" style="63" customWidth="1"/>
    <col min="2" max="3" width="1.7109375" style="63" customWidth="1"/>
    <col min="4" max="5" width="9.140625" style="63" customWidth="1"/>
    <col min="6" max="7" width="9.57421875" style="63" bestFit="1" customWidth="1"/>
    <col min="8" max="8" width="9.140625" style="63" customWidth="1"/>
    <col min="9" max="9" width="7.7109375" style="63" bestFit="1" customWidth="1"/>
    <col min="10" max="10" width="14.140625" style="63" bestFit="1" customWidth="1"/>
    <col min="11" max="15" width="9.140625" style="63" customWidth="1"/>
    <col min="16" max="16" width="17.7109375" style="63" bestFit="1" customWidth="1"/>
    <col min="17" max="17" width="9.140625" style="63" customWidth="1"/>
    <col min="18" max="18" width="8.28125" style="63" bestFit="1" customWidth="1"/>
    <col min="19" max="19" width="8.28125" style="63" customWidth="1"/>
    <col min="20" max="23" width="8.28125" style="63" bestFit="1" customWidth="1"/>
    <col min="24" max="26" width="9.140625" style="63" customWidth="1"/>
    <col min="27" max="27" width="10.421875" style="63" bestFit="1" customWidth="1"/>
    <col min="28" max="29" width="9.140625" style="63" customWidth="1"/>
    <col min="30" max="30" width="7.7109375" style="63" bestFit="1" customWidth="1"/>
    <col min="31" max="31" width="9.140625" style="63" customWidth="1"/>
    <col min="32" max="32" width="3.28125" style="63" bestFit="1" customWidth="1"/>
    <col min="33" max="39" width="9.140625" style="63" customWidth="1"/>
    <col min="40" max="40" width="3.28125" style="63" bestFit="1" customWidth="1"/>
    <col min="41" max="45" width="9.140625" style="63" customWidth="1"/>
    <col min="46" max="46" width="10.7109375" style="63" bestFit="1" customWidth="1"/>
    <col min="47" max="16384" width="9.140625" style="63" customWidth="1"/>
  </cols>
  <sheetData>
    <row r="2" ht="12.75">
      <c r="B2" s="95" t="s">
        <v>104</v>
      </c>
    </row>
    <row r="3" spans="2:14" ht="12.75">
      <c r="B3" s="17" t="s">
        <v>364</v>
      </c>
      <c r="N3" s="65"/>
    </row>
    <row r="5" spans="2:6" ht="11.25">
      <c r="B5" s="63" t="s">
        <v>494</v>
      </c>
      <c r="F5" s="91">
        <v>11.8</v>
      </c>
    </row>
    <row r="6" spans="2:8" ht="11.25">
      <c r="B6" s="65" t="s">
        <v>347</v>
      </c>
      <c r="C6" s="65"/>
      <c r="D6" s="65"/>
      <c r="E6" s="65"/>
      <c r="F6" s="91">
        <f>F5*F12</f>
        <v>136.59014811459204</v>
      </c>
      <c r="H6" s="63">
        <f>136.6/F11</f>
        <v>14.245489623526948</v>
      </c>
    </row>
    <row r="7" spans="2:7" ht="11.25">
      <c r="B7" s="63" t="s">
        <v>369</v>
      </c>
      <c r="F7" s="66">
        <f>-OpMod!J55</f>
        <v>-15.413</v>
      </c>
      <c r="G7" s="66">
        <f>-F7</f>
        <v>15.413</v>
      </c>
    </row>
    <row r="8" spans="2:7" ht="11.25">
      <c r="B8" s="63" t="s">
        <v>370</v>
      </c>
      <c r="F8" s="66">
        <f>OpMod!J38</f>
        <v>4.19</v>
      </c>
      <c r="G8" s="66"/>
    </row>
    <row r="9" spans="2:16" ht="11.25">
      <c r="B9" s="65" t="s">
        <v>348</v>
      </c>
      <c r="C9" s="65"/>
      <c r="D9" s="65"/>
      <c r="E9" s="65"/>
      <c r="F9" s="91">
        <f>SUM(F6:F8)</f>
        <v>125.36714811459204</v>
      </c>
      <c r="N9" s="63" t="s">
        <v>462</v>
      </c>
      <c r="O9" s="107">
        <v>0.02</v>
      </c>
      <c r="P9" s="63" t="s">
        <v>463</v>
      </c>
    </row>
    <row r="10" spans="6:15" ht="11.25">
      <c r="F10" s="66"/>
      <c r="N10" s="63" t="s">
        <v>450</v>
      </c>
      <c r="O10" s="73">
        <v>0.0056719</v>
      </c>
    </row>
    <row r="11" spans="2:6" ht="11.25">
      <c r="B11" s="63" t="s">
        <v>490</v>
      </c>
      <c r="F11" s="66">
        <f>OpMod!J16</f>
        <v>9.589000000000006</v>
      </c>
    </row>
    <row r="12" spans="2:6" ht="11.25">
      <c r="B12" s="63" t="s">
        <v>355</v>
      </c>
      <c r="F12" s="66">
        <f>OpMod!L16</f>
        <v>11.57543628089763</v>
      </c>
    </row>
    <row r="13" spans="2:6" ht="11.25">
      <c r="B13" s="68" t="s">
        <v>530</v>
      </c>
      <c r="F13" s="66">
        <f>F6/F11</f>
        <v>14.24446220821691</v>
      </c>
    </row>
    <row r="14" spans="2:6" ht="11.25">
      <c r="B14" s="68" t="s">
        <v>531</v>
      </c>
      <c r="F14" s="66">
        <f>F6/OpMod!L16</f>
        <v>11.8</v>
      </c>
    </row>
    <row r="16" spans="2:13" ht="11.25">
      <c r="B16" s="63" t="s">
        <v>365</v>
      </c>
      <c r="G16" s="63" t="s">
        <v>367</v>
      </c>
      <c r="J16" s="63" t="s">
        <v>368</v>
      </c>
      <c r="M16" s="63" t="s">
        <v>367</v>
      </c>
    </row>
    <row r="17" ht="3" customHeight="1"/>
    <row r="18" spans="2:13" ht="11.25">
      <c r="B18" s="63" t="s">
        <v>320</v>
      </c>
      <c r="E18" s="66">
        <f>E22-E21</f>
        <v>77.97213878812646</v>
      </c>
      <c r="F18" s="66">
        <f>E18/F12</f>
        <v>6.7360000000000015</v>
      </c>
      <c r="G18" s="73">
        <f>E18/$E$22</f>
        <v>0.5596543702226654</v>
      </c>
      <c r="J18" s="63" t="s">
        <v>371</v>
      </c>
      <c r="K18" s="66">
        <f>F9</f>
        <v>125.36714811459204</v>
      </c>
      <c r="M18" s="73">
        <f>K18/$K$21</f>
        <v>0.8998377294142903</v>
      </c>
    </row>
    <row r="19" spans="3:13" ht="11.25">
      <c r="C19" s="63" t="s">
        <v>491</v>
      </c>
      <c r="E19" s="66">
        <f>G19*E18</f>
        <v>70.17492490931382</v>
      </c>
      <c r="F19" s="66"/>
      <c r="G19" s="73">
        <f>100%-G20</f>
        <v>0.9</v>
      </c>
      <c r="J19" s="63" t="s">
        <v>476</v>
      </c>
      <c r="K19" s="66">
        <f>G7-F8</f>
        <v>11.222999999999999</v>
      </c>
      <c r="M19" s="73">
        <f>K19/$K$21</f>
        <v>0.0805544274484547</v>
      </c>
    </row>
    <row r="20" spans="3:13" ht="11.25">
      <c r="C20" s="63" t="s">
        <v>492</v>
      </c>
      <c r="E20" s="66">
        <f>G20*E18</f>
        <v>7.797213878812646</v>
      </c>
      <c r="F20" s="66"/>
      <c r="G20" s="110">
        <v>0.1</v>
      </c>
      <c r="J20" s="63" t="s">
        <v>462</v>
      </c>
      <c r="K20" s="66">
        <f>O9*F6</f>
        <v>2.731802962291841</v>
      </c>
      <c r="M20" s="73">
        <f>K20/$K$21</f>
        <v>0.0196078431372549</v>
      </c>
    </row>
    <row r="21" spans="2:13" ht="11.25">
      <c r="B21" s="63" t="s">
        <v>202</v>
      </c>
      <c r="E21" s="66">
        <f>E31</f>
        <v>61.349812288757434</v>
      </c>
      <c r="F21" s="66">
        <f>SUM(F28:F29)</f>
        <v>5.3</v>
      </c>
      <c r="G21" s="73">
        <f>E21/$E$22</f>
        <v>0.44034562977733455</v>
      </c>
      <c r="J21" s="65" t="s">
        <v>361</v>
      </c>
      <c r="K21" s="91">
        <f>SUM(K18:K20)</f>
        <v>139.3219510768839</v>
      </c>
      <c r="M21" s="66">
        <f>K21/F12</f>
        <v>12.036000000000001</v>
      </c>
    </row>
    <row r="22" spans="2:7" ht="11.25">
      <c r="B22" s="65" t="s">
        <v>361</v>
      </c>
      <c r="E22" s="91">
        <f>K21</f>
        <v>139.3219510768839</v>
      </c>
      <c r="F22" s="66">
        <f>SUM(F18:F21)</f>
        <v>12.036000000000001</v>
      </c>
      <c r="G22" s="73"/>
    </row>
    <row r="23" ht="11.25">
      <c r="F23" s="66"/>
    </row>
    <row r="25" spans="2:10" ht="11.25">
      <c r="B25" s="63" t="s">
        <v>374</v>
      </c>
      <c r="F25" s="63" t="s">
        <v>366</v>
      </c>
      <c r="G25" s="63" t="s">
        <v>367</v>
      </c>
      <c r="H25" s="63" t="s">
        <v>452</v>
      </c>
      <c r="I25" s="63" t="s">
        <v>453</v>
      </c>
      <c r="J25" s="63" t="s">
        <v>455</v>
      </c>
    </row>
    <row r="26" ht="3" customHeight="1"/>
    <row r="27" ht="3" customHeight="1"/>
    <row r="28" spans="2:10" ht="11.25">
      <c r="B28" s="63" t="s">
        <v>375</v>
      </c>
      <c r="E28" s="66">
        <f>F28*F12</f>
        <v>49.77437600785981</v>
      </c>
      <c r="F28" s="96">
        <v>4.3</v>
      </c>
      <c r="G28" s="73">
        <f>E28/E22</f>
        <v>0.35726154868727145</v>
      </c>
      <c r="H28" s="73">
        <v>0.051</v>
      </c>
      <c r="I28" s="73">
        <f>H28+O10</f>
        <v>0.0566719</v>
      </c>
      <c r="J28" s="66">
        <v>6</v>
      </c>
    </row>
    <row r="29" spans="2:10" ht="11.25">
      <c r="B29" s="63" t="s">
        <v>376</v>
      </c>
      <c r="E29" s="66">
        <f>F29*F12</f>
        <v>11.57543628089763</v>
      </c>
      <c r="F29" s="96">
        <v>1</v>
      </c>
      <c r="G29" s="73">
        <f>E29/E22</f>
        <v>0.08308408109006314</v>
      </c>
      <c r="H29" s="73"/>
      <c r="J29" s="66"/>
    </row>
    <row r="30" spans="3:10" ht="11.25">
      <c r="C30" s="63" t="s">
        <v>451</v>
      </c>
      <c r="H30" s="73">
        <v>0.12</v>
      </c>
      <c r="I30" s="73">
        <f>H30</f>
        <v>0.12</v>
      </c>
      <c r="J30" s="66">
        <v>5</v>
      </c>
    </row>
    <row r="31" spans="2:10" ht="11.25">
      <c r="B31" s="65" t="s">
        <v>361</v>
      </c>
      <c r="E31" s="66">
        <f>SUM(E28:E29)</f>
        <v>61.349812288757434</v>
      </c>
      <c r="H31" s="73"/>
      <c r="J31" s="66"/>
    </row>
    <row r="32" ht="11.25">
      <c r="E32" s="66"/>
    </row>
    <row r="33" ht="11.25">
      <c r="E33" s="66"/>
    </row>
    <row r="34" ht="11.25">
      <c r="E34" s="66"/>
    </row>
    <row r="35" spans="16:20" ht="11.25">
      <c r="P35" s="65" t="s">
        <v>469</v>
      </c>
      <c r="T35" s="66"/>
    </row>
    <row r="37" spans="16:37" ht="12">
      <c r="P37" s="63" t="str">
        <f>"Exit @ "&amp;TEXT(F14,"0.0x")</f>
        <v>Exit @ 11.8x</v>
      </c>
      <c r="S37" s="25">
        <v>2016</v>
      </c>
      <c r="T37" s="25">
        <v>2017</v>
      </c>
      <c r="U37" s="25">
        <f>T37+1</f>
        <v>2018</v>
      </c>
      <c r="V37" s="25">
        <f>U37+1</f>
        <v>2019</v>
      </c>
      <c r="AH37" s="63">
        <v>1</v>
      </c>
      <c r="AI37" s="63">
        <v>2</v>
      </c>
      <c r="AJ37" s="63">
        <v>3</v>
      </c>
      <c r="AK37" s="63">
        <v>4</v>
      </c>
    </row>
    <row r="38" spans="16:22" ht="3" customHeight="1">
      <c r="P38" s="108"/>
      <c r="Q38" s="108"/>
      <c r="R38" s="108"/>
      <c r="S38" s="108"/>
      <c r="T38" s="108"/>
      <c r="U38" s="108"/>
      <c r="V38" s="108"/>
    </row>
    <row r="39" ht="3" customHeight="1"/>
    <row r="40" spans="16:45" ht="11.25">
      <c r="P40" s="63" t="s">
        <v>65</v>
      </c>
      <c r="R40" s="107"/>
      <c r="S40" s="66">
        <f>OpMod!L16</f>
        <v>11.57543628089763</v>
      </c>
      <c r="T40" s="66">
        <f>OpMod!M16</f>
        <v>13.535316497893675</v>
      </c>
      <c r="U40" s="66">
        <f>OpMod!N16</f>
        <v>16.883691294218693</v>
      </c>
      <c r="V40" s="66">
        <f>OpMod!O16</f>
        <v>20.603893636524973</v>
      </c>
      <c r="W40" s="97">
        <f>V40/T40</f>
        <v>1.5222321280578321</v>
      </c>
      <c r="Z40" s="65" t="s">
        <v>524</v>
      </c>
      <c r="AH40" s="67" t="s">
        <v>525</v>
      </c>
      <c r="AI40" s="67"/>
      <c r="AJ40" s="67"/>
      <c r="AK40" s="67"/>
      <c r="AP40" s="67" t="s">
        <v>525</v>
      </c>
      <c r="AQ40" s="67"/>
      <c r="AR40" s="67"/>
      <c r="AS40" s="67"/>
    </row>
    <row r="41" spans="16:45" ht="12">
      <c r="P41" s="63" t="s">
        <v>470</v>
      </c>
      <c r="S41" s="66">
        <f>S40*$F$5</f>
        <v>136.59014811459204</v>
      </c>
      <c r="T41" s="66">
        <f>T40*$F$5</f>
        <v>159.71673467514537</v>
      </c>
      <c r="U41" s="66">
        <f>U40*$F$5</f>
        <v>199.2275572717806</v>
      </c>
      <c r="V41" s="66">
        <f>V40*$F$5</f>
        <v>243.1259449109947</v>
      </c>
      <c r="W41" s="97">
        <f>V41/T41</f>
        <v>1.5222321280578321</v>
      </c>
      <c r="AA41" s="25">
        <v>2016</v>
      </c>
      <c r="AB41" s="25">
        <v>2017</v>
      </c>
      <c r="AC41" s="25">
        <f>AB41+1</f>
        <v>2018</v>
      </c>
      <c r="AD41" s="25">
        <f>AC41+1</f>
        <v>2019</v>
      </c>
      <c r="AE41" s="116"/>
      <c r="AG41" s="128"/>
      <c r="AH41" s="71">
        <v>2016</v>
      </c>
      <c r="AI41" s="71">
        <v>2017</v>
      </c>
      <c r="AJ41" s="71">
        <f>AI41+1</f>
        <v>2018</v>
      </c>
      <c r="AK41" s="71">
        <f>AJ41+1</f>
        <v>2019</v>
      </c>
      <c r="AO41" s="128"/>
      <c r="AP41" s="71">
        <v>2016</v>
      </c>
      <c r="AQ41" s="71">
        <v>2017</v>
      </c>
      <c r="AR41" s="71">
        <f>AQ41+1</f>
        <v>2018</v>
      </c>
      <c r="AS41" s="71">
        <f>AR41+1</f>
        <v>2019</v>
      </c>
    </row>
    <row r="42" spans="4:45" ht="11.25">
      <c r="D42" s="63" t="s">
        <v>506</v>
      </c>
      <c r="E42" s="66">
        <f>E19</f>
        <v>70.17492490931382</v>
      </c>
      <c r="G42" s="63" t="s">
        <v>371</v>
      </c>
      <c r="H42" s="66">
        <f>K18</f>
        <v>125.36714811459204</v>
      </c>
      <c r="J42" s="63" t="s">
        <v>529</v>
      </c>
      <c r="K42" s="94">
        <f>G19</f>
        <v>0.9</v>
      </c>
      <c r="P42" s="63" t="s">
        <v>369</v>
      </c>
      <c r="S42" s="66">
        <f>-OpMod!L56</f>
        <v>-56.71605276681364</v>
      </c>
      <c r="T42" s="66">
        <f>-OpMod!M56</f>
        <v>-54.53508110307208</v>
      </c>
      <c r="U42" s="66">
        <f>-OpMod!N56</f>
        <v>-52.03374710853288</v>
      </c>
      <c r="V42" s="66">
        <f>-OpMod!O56</f>
        <v>-47.13375359819452</v>
      </c>
      <c r="Z42" s="66">
        <f>Z43-1</f>
        <v>11.7</v>
      </c>
      <c r="AA42" s="66">
        <f>((S40*$Z$42)+S42)*S45</f>
        <v>70.84489654771977</v>
      </c>
      <c r="AB42" s="66">
        <f>((T40*$Z$42)+T42)*T45</f>
        <v>93.4453097300555</v>
      </c>
      <c r="AC42" s="66">
        <f>((U40*$Z$42)+U42)*U45</f>
        <v>130.95489693044323</v>
      </c>
      <c r="AD42" s="66">
        <f>((V40*$Z$42)+V42)*V45</f>
        <v>174.5386217542329</v>
      </c>
      <c r="AE42" s="73"/>
      <c r="AF42" s="144" t="s">
        <v>526</v>
      </c>
      <c r="AG42" s="127">
        <f>AG43-1</f>
        <v>11.7</v>
      </c>
      <c r="AH42" s="117">
        <f aca="true" t="shared" si="0" ref="AH42:AK45">-AA42/$R$50</f>
        <v>1.0095471657329416</v>
      </c>
      <c r="AI42" s="118">
        <f t="shared" si="0"/>
        <v>1.3316054110611977</v>
      </c>
      <c r="AJ42" s="118">
        <f t="shared" si="0"/>
        <v>1.8661209413430027</v>
      </c>
      <c r="AK42" s="119">
        <f t="shared" si="0"/>
        <v>2.4871935663598785</v>
      </c>
      <c r="AN42" s="144" t="s">
        <v>526</v>
      </c>
      <c r="AO42" s="127">
        <f>AO43-1</f>
        <v>11.7</v>
      </c>
      <c r="AP42" s="129">
        <f aca="true" t="shared" si="1" ref="AP42:AS45">((AH42)^(1/AH$37))-1</f>
        <v>0.009547165732941565</v>
      </c>
      <c r="AQ42" s="130">
        <f t="shared" si="1"/>
        <v>0.15395208352045442</v>
      </c>
      <c r="AR42" s="130">
        <f t="shared" si="1"/>
        <v>0.23115649953813522</v>
      </c>
      <c r="AS42" s="131">
        <f t="shared" si="1"/>
        <v>0.25582000325363086</v>
      </c>
    </row>
    <row r="43" spans="4:45" ht="11.25">
      <c r="D43" s="63" t="s">
        <v>507</v>
      </c>
      <c r="E43" s="66">
        <f>E20</f>
        <v>7.797213878812646</v>
      </c>
      <c r="G43" s="63" t="s">
        <v>476</v>
      </c>
      <c r="H43" s="66">
        <f>K19</f>
        <v>11.222999999999999</v>
      </c>
      <c r="J43" s="63" t="s">
        <v>509</v>
      </c>
      <c r="K43" s="94">
        <f>G20</f>
        <v>0.1</v>
      </c>
      <c r="P43" s="63" t="s">
        <v>472</v>
      </c>
      <c r="S43" s="66">
        <f>OpMod!L38</f>
        <v>0</v>
      </c>
      <c r="T43" s="66">
        <f>OpMod!M38</f>
        <v>0</v>
      </c>
      <c r="U43" s="66">
        <f>OpMod!N38</f>
        <v>0</v>
      </c>
      <c r="V43" s="66">
        <f>OpMod!O38</f>
        <v>0</v>
      </c>
      <c r="Z43" s="66">
        <v>12.7</v>
      </c>
      <c r="AA43" s="66">
        <f>((S40*$Z$43)+S42)*S45</f>
        <v>81.26278920052764</v>
      </c>
      <c r="AB43" s="66">
        <f>((T40*$Z$43)+T42)*T45</f>
        <v>105.62709457815981</v>
      </c>
      <c r="AC43" s="66">
        <f>((U40*$Z$43)+U42)*U45</f>
        <v>146.15021909524006</v>
      </c>
      <c r="AD43" s="66">
        <f>((V40*$Z$43)+V42)*V45</f>
        <v>193.08212602710535</v>
      </c>
      <c r="AE43" s="73"/>
      <c r="AF43" s="144"/>
      <c r="AG43" s="127">
        <v>12.7</v>
      </c>
      <c r="AH43" s="120">
        <f t="shared" si="0"/>
        <v>1.1580032227400674</v>
      </c>
      <c r="AI43" s="121">
        <f t="shared" si="0"/>
        <v>1.5051971158453021</v>
      </c>
      <c r="AJ43" s="121">
        <f t="shared" si="0"/>
        <v>2.08265586723617</v>
      </c>
      <c r="AK43" s="122">
        <f t="shared" si="0"/>
        <v>2.7514404365465723</v>
      </c>
      <c r="AN43" s="144"/>
      <c r="AO43" s="127">
        <v>12.7</v>
      </c>
      <c r="AP43" s="132">
        <f t="shared" si="1"/>
        <v>0.1580032227400674</v>
      </c>
      <c r="AQ43" s="133">
        <f t="shared" si="1"/>
        <v>0.22686475042903664</v>
      </c>
      <c r="AR43" s="133">
        <f t="shared" si="1"/>
        <v>0.2770439326710017</v>
      </c>
      <c r="AS43" s="134">
        <f t="shared" si="1"/>
        <v>0.287923385252566</v>
      </c>
    </row>
    <row r="44" spans="4:45" ht="11.25">
      <c r="D44" s="63" t="s">
        <v>375</v>
      </c>
      <c r="E44" s="66">
        <f>E28</f>
        <v>49.77437600785981</v>
      </c>
      <c r="G44" s="63" t="s">
        <v>462</v>
      </c>
      <c r="H44" s="66">
        <f>K20</f>
        <v>2.731802962291841</v>
      </c>
      <c r="P44" s="63" t="s">
        <v>471</v>
      </c>
      <c r="S44" s="66">
        <f>S41+S42+S43</f>
        <v>79.8740953477784</v>
      </c>
      <c r="T44" s="66">
        <f>T41+T42+T43</f>
        <v>105.18165357207329</v>
      </c>
      <c r="U44" s="66">
        <f>U41+U42+U43</f>
        <v>147.19381016324772</v>
      </c>
      <c r="V44" s="66">
        <f>V41+V42+V43</f>
        <v>195.99219131280017</v>
      </c>
      <c r="W44" s="97">
        <f>V44/T44</f>
        <v>1.8633686071354743</v>
      </c>
      <c r="Z44" s="66">
        <v>13.7</v>
      </c>
      <c r="AA44" s="66">
        <f>(($Z$44*S40)+S42)*S45</f>
        <v>91.6806818533355</v>
      </c>
      <c r="AB44" s="66">
        <f>(($Z$44*T40)+T42)*T45</f>
        <v>117.80887942626411</v>
      </c>
      <c r="AC44" s="66">
        <f>(($Z$44*U40)+U42)*U45</f>
        <v>161.34554126003687</v>
      </c>
      <c r="AD44" s="66">
        <f>(($Z$44*V40)+V42)*V45</f>
        <v>211.62563029997781</v>
      </c>
      <c r="AE44" s="73"/>
      <c r="AF44" s="144"/>
      <c r="AG44" s="127">
        <v>13.7</v>
      </c>
      <c r="AH44" s="120">
        <f t="shared" si="0"/>
        <v>1.3064592797471932</v>
      </c>
      <c r="AI44" s="121">
        <f t="shared" si="0"/>
        <v>1.6787888206294066</v>
      </c>
      <c r="AJ44" s="121">
        <f t="shared" si="0"/>
        <v>2.2991907931293367</v>
      </c>
      <c r="AK44" s="126">
        <f t="shared" si="0"/>
        <v>3.0156873067332666</v>
      </c>
      <c r="AN44" s="144"/>
      <c r="AO44" s="127">
        <v>13.7</v>
      </c>
      <c r="AP44" s="132">
        <f t="shared" si="1"/>
        <v>0.3064592797471932</v>
      </c>
      <c r="AQ44" s="133">
        <f t="shared" si="1"/>
        <v>0.29568083285560975</v>
      </c>
      <c r="AR44" s="133">
        <f t="shared" si="1"/>
        <v>0.31985129812674584</v>
      </c>
      <c r="AS44" s="138">
        <f t="shared" si="1"/>
        <v>0.3177911209048856</v>
      </c>
    </row>
    <row r="45" spans="4:45" ht="11.25">
      <c r="D45" s="63" t="s">
        <v>376</v>
      </c>
      <c r="E45" s="66">
        <f>E29</f>
        <v>11.57543628089763</v>
      </c>
      <c r="P45" s="63" t="s">
        <v>473</v>
      </c>
      <c r="S45" s="73">
        <f>G19</f>
        <v>0.9</v>
      </c>
      <c r="T45" s="73">
        <f>G19</f>
        <v>0.9</v>
      </c>
      <c r="U45" s="73">
        <f>T45</f>
        <v>0.9</v>
      </c>
      <c r="V45" s="73">
        <f>U45</f>
        <v>0.9</v>
      </c>
      <c r="Z45" s="66">
        <v>14.7</v>
      </c>
      <c r="AA45" s="66">
        <f>(($Z$45*S40)+S42)*S45</f>
        <v>102.09857450614335</v>
      </c>
      <c r="AB45" s="66">
        <f>(($Z$45*T40)+T42)*T45</f>
        <v>129.99066427436844</v>
      </c>
      <c r="AC45" s="66">
        <f>(($Z$45*U40)+U42)*U45</f>
        <v>176.5408634248337</v>
      </c>
      <c r="AD45" s="66">
        <f>(($Z$45*V40)+V42)*V45</f>
        <v>230.16913457285034</v>
      </c>
      <c r="AE45" s="73"/>
      <c r="AF45" s="144"/>
      <c r="AG45" s="127">
        <v>14.7</v>
      </c>
      <c r="AH45" s="123">
        <f t="shared" si="0"/>
        <v>1.4549153367543188</v>
      </c>
      <c r="AI45" s="124">
        <f t="shared" si="0"/>
        <v>1.8523805254135115</v>
      </c>
      <c r="AJ45" s="124">
        <f t="shared" si="0"/>
        <v>2.5157257190225035</v>
      </c>
      <c r="AK45" s="125">
        <f t="shared" si="0"/>
        <v>3.2799341769199617</v>
      </c>
      <c r="AN45" s="144"/>
      <c r="AO45" s="127">
        <v>14.7</v>
      </c>
      <c r="AP45" s="135">
        <f t="shared" si="1"/>
        <v>0.45491533675431883</v>
      </c>
      <c r="AQ45" s="136">
        <f t="shared" si="1"/>
        <v>0.3610218680879127</v>
      </c>
      <c r="AR45" s="136">
        <f t="shared" si="1"/>
        <v>0.3600486067947839</v>
      </c>
      <c r="AS45" s="137">
        <f t="shared" si="1"/>
        <v>0.3457558675994552</v>
      </c>
    </row>
    <row r="46" spans="16:26" ht="11.25">
      <c r="P46" s="63" t="s">
        <v>474</v>
      </c>
      <c r="S46" s="66">
        <f>S44*S45</f>
        <v>71.88668581300055</v>
      </c>
      <c r="T46" s="66">
        <f>T44*T45</f>
        <v>94.66348821486596</v>
      </c>
      <c r="U46" s="66">
        <f>U44*U45</f>
        <v>132.47442914692294</v>
      </c>
      <c r="V46" s="66">
        <f>V44*V45</f>
        <v>176.39297218152015</v>
      </c>
      <c r="W46" s="97">
        <f>V46/T46</f>
        <v>1.863368607135474</v>
      </c>
      <c r="Z46" s="115"/>
    </row>
    <row r="48" spans="16:22" ht="12">
      <c r="P48" s="65" t="s">
        <v>475</v>
      </c>
      <c r="R48" s="23">
        <v>2015</v>
      </c>
      <c r="S48" s="25">
        <v>2016</v>
      </c>
      <c r="T48" s="25">
        <v>2017</v>
      </c>
      <c r="U48" s="25">
        <f>T48+1</f>
        <v>2018</v>
      </c>
      <c r="V48" s="25">
        <f>U48+1</f>
        <v>2019</v>
      </c>
    </row>
    <row r="49" spans="16:22" ht="3" customHeight="1">
      <c r="P49" s="108"/>
      <c r="Q49" s="108"/>
      <c r="R49" s="108"/>
      <c r="S49" s="108"/>
      <c r="T49" s="108"/>
      <c r="U49" s="108"/>
      <c r="V49" s="108"/>
    </row>
    <row r="50" spans="4:19" ht="11.25">
      <c r="D50" s="63" t="s">
        <v>506</v>
      </c>
      <c r="E50" s="73">
        <f>E42/$E$22</f>
        <v>0.5036889332003989</v>
      </c>
      <c r="G50" s="63" t="s">
        <v>371</v>
      </c>
      <c r="H50" s="73">
        <f>H42/$K$21</f>
        <v>0.8998377294142903</v>
      </c>
      <c r="Q50" s="109">
        <f>IRR(R50:S50)</f>
        <v>0.02439277143365605</v>
      </c>
      <c r="R50" s="66">
        <f>-E19</f>
        <v>-70.17492490931382</v>
      </c>
      <c r="S50" s="66">
        <f>S46</f>
        <v>71.88668581300055</v>
      </c>
    </row>
    <row r="51" spans="4:22" ht="11.25">
      <c r="D51" s="63" t="s">
        <v>507</v>
      </c>
      <c r="E51" s="73">
        <f>E43/$E$22</f>
        <v>0.05596543702226654</v>
      </c>
      <c r="G51" s="63" t="s">
        <v>476</v>
      </c>
      <c r="H51" s="73">
        <f>H43/$K$21</f>
        <v>0.0805544274484547</v>
      </c>
      <c r="Q51" s="109">
        <f>IRR(R51:T51)</f>
        <v>0.1614493452318967</v>
      </c>
      <c r="R51" s="66">
        <f>-E19</f>
        <v>-70.17492490931382</v>
      </c>
      <c r="S51" s="66">
        <v>0</v>
      </c>
      <c r="T51" s="66">
        <f>T46</f>
        <v>94.66348821486596</v>
      </c>
      <c r="U51" s="66"/>
      <c r="V51" s="66"/>
    </row>
    <row r="52" spans="4:22" ht="11.25">
      <c r="D52" s="63" t="s">
        <v>375</v>
      </c>
      <c r="E52" s="73">
        <f>E44/$E$22</f>
        <v>0.35726154868727145</v>
      </c>
      <c r="G52" s="63" t="s">
        <v>462</v>
      </c>
      <c r="H52" s="73">
        <f>H44/$K$21</f>
        <v>0.0196078431372549</v>
      </c>
      <c r="Q52" s="109">
        <f>IRR(R52:U52)</f>
        <v>0.2359000981272965</v>
      </c>
      <c r="R52" s="66">
        <f>R51</f>
        <v>-70.17492490931382</v>
      </c>
      <c r="S52" s="66">
        <v>0</v>
      </c>
      <c r="T52" s="66">
        <v>0</v>
      </c>
      <c r="U52" s="66">
        <f>U46</f>
        <v>132.47442914692294</v>
      </c>
      <c r="V52" s="66"/>
    </row>
    <row r="53" spans="4:22" ht="11.25">
      <c r="D53" s="63" t="s">
        <v>376</v>
      </c>
      <c r="E53" s="73">
        <f>E45/$E$22</f>
        <v>0.08308408109006314</v>
      </c>
      <c r="Q53" s="109">
        <f>IRR(R53:V53)</f>
        <v>0.2591423474645074</v>
      </c>
      <c r="R53" s="66">
        <f>R52</f>
        <v>-70.17492490931382</v>
      </c>
      <c r="S53" s="66">
        <v>0</v>
      </c>
      <c r="T53" s="66">
        <v>0</v>
      </c>
      <c r="U53" s="66">
        <v>0</v>
      </c>
      <c r="V53" s="66">
        <f>V46</f>
        <v>176.39297218152015</v>
      </c>
    </row>
    <row r="54" spans="17:22" ht="11.25">
      <c r="Q54" s="109"/>
      <c r="R54" s="66"/>
      <c r="S54" s="66"/>
      <c r="T54" s="66"/>
      <c r="U54" s="66"/>
      <c r="V54" s="66"/>
    </row>
    <row r="56" spans="16:22" ht="12">
      <c r="P56" s="65" t="s">
        <v>489</v>
      </c>
      <c r="T56" s="25">
        <v>2017</v>
      </c>
      <c r="U56" s="25">
        <f>T56+1</f>
        <v>2018</v>
      </c>
      <c r="V56" s="25">
        <f>U56+1</f>
        <v>2019</v>
      </c>
    </row>
    <row r="57" spans="16:22" ht="3" customHeight="1">
      <c r="P57" s="108"/>
      <c r="Q57" s="108"/>
      <c r="R57" s="108"/>
      <c r="S57" s="108"/>
      <c r="T57" s="108"/>
      <c r="U57" s="108"/>
      <c r="V57" s="108"/>
    </row>
    <row r="58" spans="4:19" ht="11.25">
      <c r="D58" s="63" t="s">
        <v>320</v>
      </c>
      <c r="E58" s="94">
        <f>G18</f>
        <v>0.5596543702226654</v>
      </c>
      <c r="Q58" s="66">
        <f>-(S58/R58)</f>
        <v>1.0243927714336543</v>
      </c>
      <c r="R58" s="66">
        <f>R59</f>
        <v>-70.17492490931382</v>
      </c>
      <c r="S58" s="66">
        <f>S50</f>
        <v>71.88668581300055</v>
      </c>
    </row>
    <row r="59" spans="4:20" ht="11.25">
      <c r="D59" s="63" t="s">
        <v>376</v>
      </c>
      <c r="E59" s="94">
        <f>G29</f>
        <v>0.08308408109006314</v>
      </c>
      <c r="Q59" s="66">
        <f>-T59/R59</f>
        <v>1.3489645815396085</v>
      </c>
      <c r="R59" s="66">
        <f>R51</f>
        <v>-70.17492490931382</v>
      </c>
      <c r="S59" s="66">
        <v>0</v>
      </c>
      <c r="T59" s="66">
        <f>T51</f>
        <v>94.66348821486596</v>
      </c>
    </row>
    <row r="60" spans="4:22" ht="11.25">
      <c r="D60" s="63" t="s">
        <v>375</v>
      </c>
      <c r="E60" s="94">
        <f>G28</f>
        <v>0.35726154868727145</v>
      </c>
      <c r="Q60" s="66">
        <f>-U60/R60</f>
        <v>1.88777443393232</v>
      </c>
      <c r="R60" s="66">
        <f>R52</f>
        <v>-70.17492490931382</v>
      </c>
      <c r="S60" s="66">
        <v>0</v>
      </c>
      <c r="T60" s="66">
        <f>T52</f>
        <v>0</v>
      </c>
      <c r="U60" s="66">
        <f>U52</f>
        <v>132.47442914692294</v>
      </c>
      <c r="V60" s="66"/>
    </row>
    <row r="61" spans="17:22" ht="11.25">
      <c r="Q61" s="66">
        <f>-V61/R61</f>
        <v>2.513618253378548</v>
      </c>
      <c r="R61" s="66">
        <f>R53</f>
        <v>-70.17492490931382</v>
      </c>
      <c r="S61" s="66">
        <v>0</v>
      </c>
      <c r="T61" s="66">
        <f>T53</f>
        <v>0</v>
      </c>
      <c r="U61" s="66">
        <f>U53</f>
        <v>0</v>
      </c>
      <c r="V61" s="66">
        <f>V53</f>
        <v>176.39297218152015</v>
      </c>
    </row>
    <row r="62" spans="17:22" ht="11.25">
      <c r="Q62" s="66"/>
      <c r="R62" s="66"/>
      <c r="S62" s="66"/>
      <c r="T62" s="66"/>
      <c r="U62" s="66"/>
      <c r="V62" s="66"/>
    </row>
    <row r="97" spans="47:51" ht="12">
      <c r="AU97" s="23">
        <v>2015</v>
      </c>
      <c r="AV97" s="25">
        <v>2016</v>
      </c>
      <c r="AW97" s="25">
        <v>2017</v>
      </c>
      <c r="AX97" s="25">
        <f>AW97+1</f>
        <v>2018</v>
      </c>
      <c r="AY97" s="25">
        <f>AX97+1</f>
        <v>2019</v>
      </c>
    </row>
    <row r="98" spans="47:51" ht="3" customHeight="1">
      <c r="AU98" s="72"/>
      <c r="AV98" s="72"/>
      <c r="AW98" s="72"/>
      <c r="AX98" s="72"/>
      <c r="AY98" s="72"/>
    </row>
    <row r="99" spans="47:51" ht="11.25">
      <c r="AU99" s="139">
        <f>R61</f>
        <v>-70.17492490931382</v>
      </c>
      <c r="AV99" s="139">
        <v>0</v>
      </c>
      <c r="AW99" s="139">
        <v>0</v>
      </c>
      <c r="AX99" s="139">
        <v>0</v>
      </c>
      <c r="AY99" s="139">
        <f>V46</f>
        <v>176.39297218152015</v>
      </c>
    </row>
    <row r="100" spans="46:47" ht="11.25">
      <c r="AT100" s="68" t="s">
        <v>527</v>
      </c>
      <c r="AU100" s="141">
        <f>IRR(AU99:AY99)</f>
        <v>0.2591423474645074</v>
      </c>
    </row>
    <row r="101" spans="46:47" ht="11.25">
      <c r="AT101" s="68" t="s">
        <v>528</v>
      </c>
      <c r="AU101" s="140">
        <f>-AY99/AU99</f>
        <v>2.513618253378548</v>
      </c>
    </row>
  </sheetData>
  <sheetProtection/>
  <mergeCells count="2">
    <mergeCell ref="AF42:AF45"/>
    <mergeCell ref="AN42:AN45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56"/>
  <sheetViews>
    <sheetView showGridLines="0" zoomScale="90" zoomScaleNormal="90" zoomScalePageLayoutView="0" workbookViewId="0" topLeftCell="A12">
      <selection activeCell="P135" sqref="P135:Q135"/>
    </sheetView>
  </sheetViews>
  <sheetFormatPr defaultColWidth="9.140625" defaultRowHeight="15"/>
  <cols>
    <col min="1" max="1" width="9.140625" style="20" customWidth="1"/>
    <col min="2" max="3" width="1.7109375" style="20" customWidth="1"/>
    <col min="4" max="4" width="22.28125" style="20" customWidth="1"/>
    <col min="5" max="9" width="9.140625" style="20" customWidth="1"/>
    <col min="10" max="10" width="9.57421875" style="20" bestFit="1" customWidth="1"/>
    <col min="11" max="11" width="9.140625" style="20" customWidth="1"/>
    <col min="12" max="12" width="9.57421875" style="20" bestFit="1" customWidth="1"/>
    <col min="13" max="15" width="9.140625" style="20" customWidth="1"/>
    <col min="16" max="16" width="10.8515625" style="20" customWidth="1"/>
    <col min="17" max="17" width="10.421875" style="20" customWidth="1"/>
    <col min="18" max="16384" width="9.140625" style="20" customWidth="1"/>
  </cols>
  <sheetData>
    <row r="2" spans="2:11" ht="15.75">
      <c r="B2" s="18" t="s">
        <v>104</v>
      </c>
      <c r="K2" s="20" t="s">
        <v>220</v>
      </c>
    </row>
    <row r="3" spans="2:11" ht="12.75">
      <c r="B3" s="17" t="s">
        <v>105</v>
      </c>
      <c r="K3" s="20" t="s">
        <v>221</v>
      </c>
    </row>
    <row r="5" spans="5:17" ht="12">
      <c r="E5" s="22" t="s">
        <v>107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ht="12">
      <c r="B6" s="21" t="s">
        <v>106</v>
      </c>
      <c r="E6" s="23">
        <v>2010</v>
      </c>
      <c r="F6" s="23">
        <f>E6+1</f>
        <v>2011</v>
      </c>
      <c r="G6" s="23">
        <f>F6+1</f>
        <v>2012</v>
      </c>
      <c r="H6" s="23">
        <f>G6+1</f>
        <v>2013</v>
      </c>
      <c r="I6" s="23">
        <f>H6+1</f>
        <v>2014</v>
      </c>
      <c r="J6" s="23">
        <f>I6+1</f>
        <v>2015</v>
      </c>
      <c r="K6" s="24"/>
      <c r="L6" s="25">
        <f>J6+1</f>
        <v>2016</v>
      </c>
      <c r="M6" s="25">
        <f>L6+1</f>
        <v>2017</v>
      </c>
      <c r="N6" s="25">
        <f>M6+1</f>
        <v>2018</v>
      </c>
      <c r="O6" s="25">
        <f>N6+1</f>
        <v>2019</v>
      </c>
      <c r="P6" s="25">
        <f>O6+1</f>
        <v>2020</v>
      </c>
      <c r="Q6" s="25">
        <f>P6+1</f>
        <v>2021</v>
      </c>
    </row>
    <row r="7" spans="2:17" ht="3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2:19" ht="12">
      <c r="B8" s="20" t="s">
        <v>109</v>
      </c>
      <c r="E8" s="27">
        <f>'Profit &amp; loss account'!C6/1000</f>
        <v>22.091</v>
      </c>
      <c r="F8" s="27">
        <f>'Profit &amp; loss account'!D6/1000</f>
        <v>24.696</v>
      </c>
      <c r="G8" s="27">
        <f>'Profit &amp; loss account'!E6/1000</f>
        <v>26.682</v>
      </c>
      <c r="H8" s="27">
        <f>'Profit &amp; loss account'!F6/1000</f>
        <v>31.365</v>
      </c>
      <c r="I8" s="27">
        <f>'Profit &amp; loss account'!G6/1000</f>
        <v>39.042</v>
      </c>
      <c r="J8" s="27">
        <f>'Profit &amp; loss account'!H6/1000</f>
        <v>53.06</v>
      </c>
      <c r="K8" s="27"/>
      <c r="L8" s="27">
        <f>'Store Rollout'!L60</f>
        <v>57.999310391534394</v>
      </c>
      <c r="M8" s="27">
        <f>'Store Rollout'!M60</f>
        <v>64.90403278420318</v>
      </c>
      <c r="N8" s="27">
        <f>'Store Rollout'!N60</f>
        <v>73.78540044353852</v>
      </c>
      <c r="O8" s="27">
        <f>'Store Rollout'!O60</f>
        <v>83.19609761537026</v>
      </c>
      <c r="P8" s="27">
        <f>'Store Rollout'!P60</f>
        <v>93.16767233864317</v>
      </c>
      <c r="Q8" s="27">
        <f>'Store Rollout'!Q60</f>
        <v>103.73355291542313</v>
      </c>
      <c r="S8" s="21" t="s">
        <v>386</v>
      </c>
    </row>
    <row r="9" spans="3:17" s="21" customFormat="1" ht="12">
      <c r="C9" s="21" t="s">
        <v>110</v>
      </c>
      <c r="E9" s="29"/>
      <c r="F9" s="29">
        <f>F8/E8-1</f>
        <v>0.11792132542664424</v>
      </c>
      <c r="G9" s="29">
        <f>G8/F8-1</f>
        <v>0.08041788143828943</v>
      </c>
      <c r="H9" s="29">
        <f>H8/G8-1</f>
        <v>0.17551158084101637</v>
      </c>
      <c r="I9" s="29">
        <f>I8/H8-1</f>
        <v>0.24476327116212349</v>
      </c>
      <c r="J9" s="29">
        <f>J8/I8-1</f>
        <v>0.3590492290353977</v>
      </c>
      <c r="K9" s="29"/>
      <c r="L9" s="62">
        <f>L8/J8-1</f>
        <v>0.0930891517439576</v>
      </c>
      <c r="M9" s="62">
        <f>M8/L8-1</f>
        <v>0.1190483532658797</v>
      </c>
      <c r="N9" s="62">
        <f>N8/M8-1</f>
        <v>0.13683845638474645</v>
      </c>
      <c r="O9" s="62">
        <f>O8/N8-1</f>
        <v>0.12754145285194896</v>
      </c>
      <c r="P9" s="62">
        <f>P8/O8-1</f>
        <v>0.11985627942999444</v>
      </c>
      <c r="Q9" s="62">
        <f>Q8/P8-1</f>
        <v>0.11340715412933577</v>
      </c>
    </row>
    <row r="10" spans="2:17" ht="12">
      <c r="B10" s="20" t="s">
        <v>111</v>
      </c>
      <c r="E10" s="27">
        <f>-'Profit &amp; loss account'!C8/1000</f>
        <v>-7.275</v>
      </c>
      <c r="F10" s="27">
        <f>-'Profit &amp; loss account'!D8/1000</f>
        <v>-8.699</v>
      </c>
      <c r="G10" s="27">
        <f>-'Profit &amp; loss account'!E8/1000</f>
        <v>-7.462</v>
      </c>
      <c r="H10" s="27">
        <f>-'Profit &amp; loss account'!F8/1000</f>
        <v>-9.301</v>
      </c>
      <c r="I10" s="27">
        <f>-'Profit &amp; loss account'!G8/1000</f>
        <v>-10.984</v>
      </c>
      <c r="J10" s="27">
        <f>-'Profit &amp; loss account'!H8/1000</f>
        <v>-15.788</v>
      </c>
      <c r="K10" s="27"/>
      <c r="L10" s="27">
        <f aca="true" t="shared" si="0" ref="L10:Q10">-L11*L8</f>
        <v>-17.257691527733602</v>
      </c>
      <c r="M10" s="27">
        <f t="shared" si="0"/>
        <v>-19.312191285280807</v>
      </c>
      <c r="N10" s="27">
        <f t="shared" si="0"/>
        <v>-21.954841730165587</v>
      </c>
      <c r="O10" s="27">
        <f t="shared" si="0"/>
        <v>-24.754994141565504</v>
      </c>
      <c r="P10" s="27">
        <f t="shared" si="0"/>
        <v>-27.72203563668485</v>
      </c>
      <c r="Q10" s="27">
        <f t="shared" si="0"/>
        <v>-30.86591280491331</v>
      </c>
    </row>
    <row r="11" spans="3:19" s="21" customFormat="1" ht="12">
      <c r="C11" s="21" t="s">
        <v>112</v>
      </c>
      <c r="E11" s="29">
        <f aca="true" t="shared" si="1" ref="E11:J11">-E10/E8</f>
        <v>0.3293196324294962</v>
      </c>
      <c r="F11" s="29">
        <f t="shared" si="1"/>
        <v>0.3522432782636864</v>
      </c>
      <c r="G11" s="29">
        <f t="shared" si="1"/>
        <v>0.27966419308897383</v>
      </c>
      <c r="H11" s="29">
        <f t="shared" si="1"/>
        <v>0.2965407301131835</v>
      </c>
      <c r="I11" s="29">
        <f t="shared" si="1"/>
        <v>0.28133804620664926</v>
      </c>
      <c r="J11" s="29">
        <f t="shared" si="1"/>
        <v>0.29754994346023367</v>
      </c>
      <c r="K11" s="29"/>
      <c r="L11" s="29">
        <f>J11</f>
        <v>0.29754994346023367</v>
      </c>
      <c r="M11" s="29">
        <f>L11</f>
        <v>0.29754994346023367</v>
      </c>
      <c r="N11" s="29">
        <f>M11</f>
        <v>0.29754994346023367</v>
      </c>
      <c r="O11" s="29">
        <f>N11</f>
        <v>0.29754994346023367</v>
      </c>
      <c r="P11" s="29">
        <f>O11</f>
        <v>0.29754994346023367</v>
      </c>
      <c r="Q11" s="29">
        <f>P11</f>
        <v>0.29754994346023367</v>
      </c>
      <c r="S11" s="21" t="s">
        <v>253</v>
      </c>
    </row>
    <row r="12" spans="2:17" ht="12">
      <c r="B12" s="20" t="s">
        <v>44</v>
      </c>
      <c r="E12" s="27">
        <f aca="true" t="shared" si="2" ref="E12:J12">E8+E10</f>
        <v>14.816</v>
      </c>
      <c r="F12" s="27">
        <f t="shared" si="2"/>
        <v>15.997000000000002</v>
      </c>
      <c r="G12" s="27">
        <f t="shared" si="2"/>
        <v>19.22</v>
      </c>
      <c r="H12" s="27">
        <f t="shared" si="2"/>
        <v>22.064</v>
      </c>
      <c r="I12" s="27">
        <f t="shared" si="2"/>
        <v>28.058</v>
      </c>
      <c r="J12" s="27">
        <f t="shared" si="2"/>
        <v>37.272000000000006</v>
      </c>
      <c r="L12" s="27">
        <f aca="true" t="shared" si="3" ref="L12:Q12">L8+L10</f>
        <v>40.741618863800795</v>
      </c>
      <c r="M12" s="27">
        <f t="shared" si="3"/>
        <v>45.59184149892238</v>
      </c>
      <c r="N12" s="27">
        <f t="shared" si="3"/>
        <v>51.83055871337294</v>
      </c>
      <c r="O12" s="27">
        <f t="shared" si="3"/>
        <v>58.44110347380476</v>
      </c>
      <c r="P12" s="27">
        <f t="shared" si="3"/>
        <v>65.44563670195832</v>
      </c>
      <c r="Q12" s="27">
        <f t="shared" si="3"/>
        <v>72.86764011050983</v>
      </c>
    </row>
    <row r="13" spans="3:17" s="21" customFormat="1" ht="12">
      <c r="C13" s="21" t="s">
        <v>113</v>
      </c>
      <c r="E13" s="29">
        <f>E12/E8</f>
        <v>0.6706803675705039</v>
      </c>
      <c r="F13" s="29">
        <f aca="true" t="shared" si="4" ref="F13:Q13">F12/F8</f>
        <v>0.6477567217363136</v>
      </c>
      <c r="G13" s="29">
        <f t="shared" si="4"/>
        <v>0.7203358069110262</v>
      </c>
      <c r="H13" s="29">
        <f t="shared" si="4"/>
        <v>0.7034592698868165</v>
      </c>
      <c r="I13" s="29">
        <f t="shared" si="4"/>
        <v>0.7186619537933507</v>
      </c>
      <c r="J13" s="29">
        <f t="shared" si="4"/>
        <v>0.7024500565397663</v>
      </c>
      <c r="K13" s="29"/>
      <c r="L13" s="29">
        <f t="shared" si="4"/>
        <v>0.7024500565397664</v>
      </c>
      <c r="M13" s="29">
        <f t="shared" si="4"/>
        <v>0.7024500565397664</v>
      </c>
      <c r="N13" s="29">
        <f t="shared" si="4"/>
        <v>0.7024500565397663</v>
      </c>
      <c r="O13" s="29">
        <f t="shared" si="4"/>
        <v>0.7024500565397663</v>
      </c>
      <c r="P13" s="29">
        <f t="shared" si="4"/>
        <v>0.7024500565397663</v>
      </c>
      <c r="Q13" s="29">
        <f t="shared" si="4"/>
        <v>0.7024500565397663</v>
      </c>
    </row>
    <row r="14" spans="2:19" ht="12">
      <c r="B14" s="20" t="s">
        <v>114</v>
      </c>
      <c r="E14" s="27">
        <f>-('Profit &amp; loss account'!C10-'Profit &amp; loss account'!C27)/1000</f>
        <v>-13.964</v>
      </c>
      <c r="F14" s="27">
        <f>-('Profit &amp; loss account'!D10-'Profit &amp; loss account'!D27)/1000</f>
        <v>-15.515</v>
      </c>
      <c r="G14" s="27">
        <f>-('Profit &amp; loss account'!E10-'Profit &amp; loss account'!E27)/1000</f>
        <v>-16</v>
      </c>
      <c r="H14" s="27">
        <f>-('Profit &amp; loss account'!F10-'Profit &amp; loss account'!F27)/1000</f>
        <v>-18.142</v>
      </c>
      <c r="I14" s="27">
        <f>-('Profit &amp; loss account'!G10-'Profit &amp; loss account'!G27)/1000</f>
        <v>-21.863</v>
      </c>
      <c r="J14" s="27">
        <f>-('Profit &amp; loss account'!H10-'Profit &amp; loss account'!H27)/1000</f>
        <v>-27.683</v>
      </c>
      <c r="L14" s="27">
        <f>-'Store Rollout'!L151</f>
        <v>-29.166182582903165</v>
      </c>
      <c r="M14" s="27">
        <f>-'Store Rollout'!M151</f>
        <v>-32.0565250010287</v>
      </c>
      <c r="N14" s="27">
        <f>-'Store Rollout'!N151</f>
        <v>-34.946867419154245</v>
      </c>
      <c r="O14" s="27">
        <f>-'Store Rollout'!O151</f>
        <v>-37.83720983727979</v>
      </c>
      <c r="P14" s="27">
        <f>-'Store Rollout'!P151</f>
        <v>-40.727552255405314</v>
      </c>
      <c r="Q14" s="27">
        <f>-'Store Rollout'!Q151</f>
        <v>-43.617894673530856</v>
      </c>
      <c r="S14" s="21" t="s">
        <v>258</v>
      </c>
    </row>
    <row r="15" spans="3:19" s="21" customFormat="1" ht="12">
      <c r="C15" s="21" t="s">
        <v>112</v>
      </c>
      <c r="E15" s="29">
        <f aca="true" t="shared" si="5" ref="E15:J15">-E14/E8</f>
        <v>0.6321126250509257</v>
      </c>
      <c r="F15" s="29">
        <f t="shared" si="5"/>
        <v>0.628239390994493</v>
      </c>
      <c r="G15" s="29">
        <f t="shared" si="5"/>
        <v>0.599655198261</v>
      </c>
      <c r="H15" s="29">
        <f t="shared" si="5"/>
        <v>0.5784154312131357</v>
      </c>
      <c r="I15" s="29">
        <f t="shared" si="5"/>
        <v>0.5599866810101941</v>
      </c>
      <c r="J15" s="29">
        <f t="shared" si="5"/>
        <v>0.5217301168488503</v>
      </c>
      <c r="K15" s="29"/>
      <c r="L15" s="29">
        <f aca="true" t="shared" si="6" ref="L15:Q15">-L14/L8</f>
        <v>0.5028711959851211</v>
      </c>
      <c r="M15" s="29">
        <f t="shared" si="6"/>
        <v>0.49390652053335665</v>
      </c>
      <c r="N15" s="29">
        <f t="shared" si="6"/>
        <v>0.47362848489107284</v>
      </c>
      <c r="O15" s="29">
        <f t="shared" si="6"/>
        <v>0.4547954882716694</v>
      </c>
      <c r="P15" s="29">
        <f t="shared" si="6"/>
        <v>0.43714253273785764</v>
      </c>
      <c r="Q15" s="29">
        <f t="shared" si="6"/>
        <v>0.42048009971367456</v>
      </c>
      <c r="S15" s="21" t="s">
        <v>378</v>
      </c>
    </row>
    <row r="16" spans="2:17" ht="12">
      <c r="B16" s="20" t="s">
        <v>65</v>
      </c>
      <c r="E16" s="27">
        <f>E12+E14</f>
        <v>0.8520000000000003</v>
      </c>
      <c r="F16" s="27">
        <f aca="true" t="shared" si="7" ref="F16:Q16">F12+F14</f>
        <v>0.4820000000000011</v>
      </c>
      <c r="G16" s="27">
        <f t="shared" si="7"/>
        <v>3.219999999999999</v>
      </c>
      <c r="H16" s="27">
        <f t="shared" si="7"/>
        <v>3.9220000000000006</v>
      </c>
      <c r="I16" s="27">
        <f t="shared" si="7"/>
        <v>6.195</v>
      </c>
      <c r="J16" s="27">
        <f t="shared" si="7"/>
        <v>9.589000000000006</v>
      </c>
      <c r="L16" s="27">
        <f t="shared" si="7"/>
        <v>11.57543628089763</v>
      </c>
      <c r="M16" s="27">
        <f t="shared" si="7"/>
        <v>13.535316497893675</v>
      </c>
      <c r="N16" s="27">
        <f t="shared" si="7"/>
        <v>16.883691294218693</v>
      </c>
      <c r="O16" s="27">
        <f t="shared" si="7"/>
        <v>20.603893636524973</v>
      </c>
      <c r="P16" s="27">
        <f t="shared" si="7"/>
        <v>24.718084446553007</v>
      </c>
      <c r="Q16" s="27">
        <f t="shared" si="7"/>
        <v>29.24974543697897</v>
      </c>
    </row>
    <row r="17" spans="3:17" s="21" customFormat="1" ht="12">
      <c r="C17" s="21" t="s">
        <v>112</v>
      </c>
      <c r="E17" s="29">
        <f>E16/E8</f>
        <v>0.03856774251957812</v>
      </c>
      <c r="F17" s="29">
        <f aca="true" t="shared" si="8" ref="F17:Q17">F16/F8</f>
        <v>0.01951733074182058</v>
      </c>
      <c r="G17" s="29">
        <f t="shared" si="8"/>
        <v>0.1206806086500262</v>
      </c>
      <c r="H17" s="29">
        <f t="shared" si="8"/>
        <v>0.12504383867368088</v>
      </c>
      <c r="I17" s="29">
        <f t="shared" si="8"/>
        <v>0.1586752727831566</v>
      </c>
      <c r="J17" s="29">
        <f t="shared" si="8"/>
        <v>0.18071993969091604</v>
      </c>
      <c r="K17" s="29"/>
      <c r="L17" s="29">
        <f t="shared" si="8"/>
        <v>0.19957886055464524</v>
      </c>
      <c r="M17" s="29">
        <f t="shared" si="8"/>
        <v>0.20854353600640974</v>
      </c>
      <c r="N17" s="29">
        <f t="shared" si="8"/>
        <v>0.22882157164869352</v>
      </c>
      <c r="O17" s="29">
        <f t="shared" si="8"/>
        <v>0.24765456826809695</v>
      </c>
      <c r="P17" s="29">
        <f t="shared" si="8"/>
        <v>0.26530752380190875</v>
      </c>
      <c r="Q17" s="29">
        <f t="shared" si="8"/>
        <v>0.28196995682609177</v>
      </c>
    </row>
    <row r="18" spans="3:17" s="21" customFormat="1" ht="12">
      <c r="C18" s="21" t="s">
        <v>110</v>
      </c>
      <c r="E18" s="29"/>
      <c r="F18" s="29">
        <f>F16/E16-1</f>
        <v>-0.4342723004694825</v>
      </c>
      <c r="G18" s="29">
        <f>G16/F16-1</f>
        <v>5.680497925311186</v>
      </c>
      <c r="H18" s="29">
        <f>H16/G16-1</f>
        <v>0.2180124223602491</v>
      </c>
      <c r="I18" s="29">
        <f>I16/H16-1</f>
        <v>0.5795512493625699</v>
      </c>
      <c r="J18" s="29">
        <f>J16/I16-1</f>
        <v>0.5478611783696539</v>
      </c>
      <c r="K18" s="29"/>
      <c r="L18" s="29">
        <f>L16/J16-1</f>
        <v>0.20715781425567048</v>
      </c>
      <c r="M18" s="29">
        <f>M16/L16-1</f>
        <v>0.16931372342572848</v>
      </c>
      <c r="N18" s="29">
        <f>N16/M16-1</f>
        <v>0.2473806059020549</v>
      </c>
      <c r="O18" s="29">
        <f>O16/N16-1</f>
        <v>0.22034294974228463</v>
      </c>
      <c r="P18" s="29">
        <f>P16/O16-1</f>
        <v>0.19968025862522998</v>
      </c>
      <c r="Q18" s="29">
        <f>Q16/P16-1</f>
        <v>0.18333382589676828</v>
      </c>
    </row>
    <row r="19" spans="2:17" ht="12">
      <c r="B19" s="20" t="s">
        <v>115</v>
      </c>
      <c r="E19" s="27">
        <f>-'Profit &amp; loss account'!C27/1000</f>
        <v>-1.623</v>
      </c>
      <c r="F19" s="27">
        <f>-'Profit &amp; loss account'!D27/1000</f>
        <v>-1.993</v>
      </c>
      <c r="G19" s="27">
        <f>-'Profit &amp; loss account'!E27/1000</f>
        <v>-1.888</v>
      </c>
      <c r="H19" s="27">
        <f>-'Profit &amp; loss account'!F27/1000</f>
        <v>-1.97</v>
      </c>
      <c r="I19" s="27">
        <f>-'Profit &amp; loss account'!G27/1000</f>
        <v>-2.075</v>
      </c>
      <c r="J19" s="27">
        <f>-'Profit &amp; loss account'!H27/1000</f>
        <v>-2.789</v>
      </c>
      <c r="L19" s="27">
        <f>-'Store Rollout'!L128</f>
        <v>-4.163411666666667</v>
      </c>
      <c r="M19" s="27">
        <f>-'Store Rollout'!M128</f>
        <v>-5.537823333333333</v>
      </c>
      <c r="N19" s="27">
        <f>-'Store Rollout'!N128</f>
        <v>-6.912235</v>
      </c>
      <c r="O19" s="27">
        <f>-'Store Rollout'!O128</f>
        <v>-5.497646666666666</v>
      </c>
      <c r="P19" s="27">
        <f>-'Store Rollout'!P128</f>
        <v>-5.746016666666668</v>
      </c>
      <c r="Q19" s="27">
        <f>-'Store Rollout'!Q128</f>
        <v>-5.994386666666667</v>
      </c>
    </row>
    <row r="20" spans="3:17" s="21" customFormat="1" ht="12">
      <c r="C20" s="21" t="s">
        <v>112</v>
      </c>
      <c r="E20" s="29">
        <f aca="true" t="shared" si="9" ref="E20:J20">-E19/E8</f>
        <v>0.0734688334615907</v>
      </c>
      <c r="F20" s="29">
        <f t="shared" si="9"/>
        <v>0.08070132815030774</v>
      </c>
      <c r="G20" s="29">
        <f t="shared" si="9"/>
        <v>0.07075931339479799</v>
      </c>
      <c r="H20" s="29">
        <f t="shared" si="9"/>
        <v>0.06280886338275148</v>
      </c>
      <c r="I20" s="29">
        <f t="shared" si="9"/>
        <v>0.053147892013728805</v>
      </c>
      <c r="J20" s="29">
        <f t="shared" si="9"/>
        <v>0.052563136072370904</v>
      </c>
      <c r="K20" s="29"/>
      <c r="L20" s="29">
        <f aca="true" t="shared" si="10" ref="L20:Q20">-L19/L8</f>
        <v>0.07178381326537911</v>
      </c>
      <c r="M20" s="29">
        <f t="shared" si="10"/>
        <v>0.085323254900752</v>
      </c>
      <c r="N20" s="29">
        <f t="shared" si="10"/>
        <v>0.09368025325402043</v>
      </c>
      <c r="O20" s="29">
        <f t="shared" si="10"/>
        <v>0.06608058339566868</v>
      </c>
      <c r="P20" s="29">
        <f t="shared" si="10"/>
        <v>0.0616739317666026</v>
      </c>
      <c r="Q20" s="29">
        <f t="shared" si="10"/>
        <v>0.05778638153417977</v>
      </c>
    </row>
    <row r="21" spans="2:17" ht="12">
      <c r="B21" s="20" t="s">
        <v>116</v>
      </c>
      <c r="E21" s="27">
        <f>E16+E19</f>
        <v>-0.7709999999999997</v>
      </c>
      <c r="F21" s="27">
        <f aca="true" t="shared" si="11" ref="F21:Q21">F16+F19</f>
        <v>-1.510999999999999</v>
      </c>
      <c r="G21" s="27">
        <f t="shared" si="11"/>
        <v>1.331999999999999</v>
      </c>
      <c r="H21" s="27">
        <f t="shared" si="11"/>
        <v>1.9520000000000006</v>
      </c>
      <c r="I21" s="27">
        <f t="shared" si="11"/>
        <v>4.12</v>
      </c>
      <c r="J21" s="27">
        <f t="shared" si="11"/>
        <v>6.800000000000006</v>
      </c>
      <c r="L21" s="27">
        <f t="shared" si="11"/>
        <v>7.412024614230964</v>
      </c>
      <c r="M21" s="27">
        <f t="shared" si="11"/>
        <v>7.997493164560342</v>
      </c>
      <c r="N21" s="27">
        <f t="shared" si="11"/>
        <v>9.971456294218694</v>
      </c>
      <c r="O21" s="27">
        <f t="shared" si="11"/>
        <v>15.106246969858306</v>
      </c>
      <c r="P21" s="27">
        <f t="shared" si="11"/>
        <v>18.972067779886338</v>
      </c>
      <c r="Q21" s="27">
        <f t="shared" si="11"/>
        <v>23.255358770312302</v>
      </c>
    </row>
    <row r="22" spans="3:17" s="21" customFormat="1" ht="12">
      <c r="C22" s="21" t="s">
        <v>112</v>
      </c>
      <c r="E22" s="29">
        <f aca="true" t="shared" si="12" ref="E22:J22">E21/E8</f>
        <v>-0.03490109094201257</v>
      </c>
      <c r="F22" s="29">
        <f t="shared" si="12"/>
        <v>-0.06118399740848716</v>
      </c>
      <c r="G22" s="29">
        <f t="shared" si="12"/>
        <v>0.049921295255228204</v>
      </c>
      <c r="H22" s="29">
        <f t="shared" si="12"/>
        <v>0.062234975290929404</v>
      </c>
      <c r="I22" s="29">
        <f t="shared" si="12"/>
        <v>0.10552738076942779</v>
      </c>
      <c r="J22" s="29">
        <f t="shared" si="12"/>
        <v>0.12815680361854515</v>
      </c>
      <c r="K22" s="29"/>
      <c r="L22" s="29">
        <f aca="true" t="shared" si="13" ref="L22:Q22">L21/L8</f>
        <v>0.12779504728926616</v>
      </c>
      <c r="M22" s="29">
        <f t="shared" si="13"/>
        <v>0.12322028110565773</v>
      </c>
      <c r="N22" s="29">
        <f t="shared" si="13"/>
        <v>0.1351413183946731</v>
      </c>
      <c r="O22" s="29">
        <f t="shared" si="13"/>
        <v>0.18157398487242826</v>
      </c>
      <c r="P22" s="29">
        <f t="shared" si="13"/>
        <v>0.20363359203530612</v>
      </c>
      <c r="Q22" s="29">
        <f t="shared" si="13"/>
        <v>0.22418357529191202</v>
      </c>
    </row>
    <row r="23" spans="3:17" s="21" customFormat="1" ht="12">
      <c r="C23" s="21" t="s">
        <v>110</v>
      </c>
      <c r="E23" s="29"/>
      <c r="F23" s="29">
        <f>F21/E21-1</f>
        <v>0.9597924773022044</v>
      </c>
      <c r="G23" s="29">
        <f>G21/F21-1</f>
        <v>-1.8815354070152215</v>
      </c>
      <c r="H23" s="29">
        <f>H21/G21-1</f>
        <v>0.4654654654654671</v>
      </c>
      <c r="I23" s="29">
        <f>I21/H21-1</f>
        <v>1.1106557377049175</v>
      </c>
      <c r="J23" s="29">
        <f>J21/I21-1</f>
        <v>0.6504854368932054</v>
      </c>
      <c r="K23" s="29"/>
      <c r="L23" s="29">
        <f>L21/J21-1</f>
        <v>0.09000361973984661</v>
      </c>
      <c r="M23" s="29">
        <f>M21/L21-1</f>
        <v>0.07898901862863328</v>
      </c>
      <c r="N23" s="29">
        <f>N21/M21-1</f>
        <v>0.2468227342044711</v>
      </c>
      <c r="O23" s="29">
        <f>O21/N21-1</f>
        <v>0.5149489226179218</v>
      </c>
      <c r="P23" s="29">
        <f>P21/O21-1</f>
        <v>0.2559087520375878</v>
      </c>
      <c r="Q23" s="29">
        <f>Q21/P21-1</f>
        <v>0.22576827366002727</v>
      </c>
    </row>
    <row r="24" spans="2:17" ht="12">
      <c r="B24" s="20" t="s">
        <v>117</v>
      </c>
      <c r="E24" s="27">
        <f>((-'Profit &amp; loss account'!C13)+('Profit &amp; loss account'!C12))/1000</f>
        <v>-0.305</v>
      </c>
      <c r="F24" s="27">
        <f>((-'Profit &amp; loss account'!D13)+('Profit &amp; loss account'!D12))/1000</f>
        <v>-0.308</v>
      </c>
      <c r="G24" s="27">
        <f>((-'Profit &amp; loss account'!E13)+('Profit &amp; loss account'!E12))/1000</f>
        <v>-0.264</v>
      </c>
      <c r="H24" s="27">
        <f>((-'Profit &amp; loss account'!F13)+('Profit &amp; loss account'!F12))/1000</f>
        <v>-0.287</v>
      </c>
      <c r="I24" s="27">
        <f>((-'Profit &amp; loss account'!G13)+('Profit &amp; loss account'!G12))/1000</f>
        <v>-0.323</v>
      </c>
      <c r="J24" s="27">
        <f>((-'Profit &amp; loss account'!H13)+('Profit &amp; loss account'!H12))/1000</f>
        <v>-0.566</v>
      </c>
      <c r="L24" s="27">
        <f aca="true" t="shared" si="14" ref="L24:Q24">-(L127+L133)</f>
        <v>-4.209860813387546</v>
      </c>
      <c r="M24" s="27">
        <f t="shared" si="14"/>
        <v>-4.035222903496736</v>
      </c>
      <c r="N24" s="27">
        <f t="shared" si="14"/>
        <v>-4.0101450673904795</v>
      </c>
      <c r="O24" s="27">
        <f t="shared" si="14"/>
        <v>-3.9787343259403873</v>
      </c>
      <c r="P24" s="27">
        <f t="shared" si="14"/>
        <v>-3.824628345303482</v>
      </c>
      <c r="Q24" s="27">
        <f t="shared" si="14"/>
        <v>-3.5040685994272405</v>
      </c>
    </row>
    <row r="25" spans="2:17" ht="12">
      <c r="B25" s="20" t="s">
        <v>118</v>
      </c>
      <c r="E25" s="27">
        <f aca="true" t="shared" si="15" ref="E25:J25">E21+E24</f>
        <v>-1.0759999999999996</v>
      </c>
      <c r="F25" s="27">
        <f t="shared" si="15"/>
        <v>-1.818999999999999</v>
      </c>
      <c r="G25" s="27">
        <f t="shared" si="15"/>
        <v>1.067999999999999</v>
      </c>
      <c r="H25" s="27">
        <f t="shared" si="15"/>
        <v>1.6650000000000007</v>
      </c>
      <c r="I25" s="27">
        <f t="shared" si="15"/>
        <v>3.797</v>
      </c>
      <c r="J25" s="27">
        <f t="shared" si="15"/>
        <v>6.234000000000006</v>
      </c>
      <c r="L25" s="27">
        <f aca="true" t="shared" si="16" ref="L25:Q25">L21+L24</f>
        <v>3.202163800843418</v>
      </c>
      <c r="M25" s="27">
        <f t="shared" si="16"/>
        <v>3.9622702610636056</v>
      </c>
      <c r="N25" s="27">
        <f t="shared" si="16"/>
        <v>5.961311226828214</v>
      </c>
      <c r="O25" s="27">
        <f t="shared" si="16"/>
        <v>11.12751264391792</v>
      </c>
      <c r="P25" s="27">
        <f t="shared" si="16"/>
        <v>15.147439434582855</v>
      </c>
      <c r="Q25" s="27">
        <f t="shared" si="16"/>
        <v>19.751290170885063</v>
      </c>
    </row>
    <row r="26" spans="3:17" s="21" customFormat="1" ht="12">
      <c r="C26" s="21" t="s">
        <v>112</v>
      </c>
      <c r="E26" s="29">
        <f aca="true" t="shared" si="17" ref="E26:J26">E25/E8</f>
        <v>-0.0487076184871667</v>
      </c>
      <c r="F26" s="29">
        <f t="shared" si="17"/>
        <v>-0.07365565273728535</v>
      </c>
      <c r="G26" s="29">
        <f t="shared" si="17"/>
        <v>0.04002698448392171</v>
      </c>
      <c r="H26" s="29">
        <f t="shared" si="17"/>
        <v>0.05308464849354379</v>
      </c>
      <c r="I26" s="29">
        <f t="shared" si="17"/>
        <v>0.09725423902464013</v>
      </c>
      <c r="J26" s="29">
        <f t="shared" si="17"/>
        <v>0.11748963437617803</v>
      </c>
      <c r="K26" s="29"/>
      <c r="L26" s="29">
        <f aca="true" t="shared" si="18" ref="L26:Q26">L25/L8</f>
        <v>0.05521037714460148</v>
      </c>
      <c r="M26" s="29">
        <f t="shared" si="18"/>
        <v>0.061048136627158425</v>
      </c>
      <c r="N26" s="29">
        <f t="shared" si="18"/>
        <v>0.08079255775524159</v>
      </c>
      <c r="O26" s="29">
        <f t="shared" si="18"/>
        <v>0.13375041573899663</v>
      </c>
      <c r="P26" s="29">
        <f t="shared" si="18"/>
        <v>0.16258256812003824</v>
      </c>
      <c r="Q26" s="29">
        <f t="shared" si="18"/>
        <v>0.19040406518215802</v>
      </c>
    </row>
    <row r="27" spans="2:17" ht="12">
      <c r="B27" s="20" t="s">
        <v>119</v>
      </c>
      <c r="E27" s="27">
        <f>-'Profit &amp; loss account'!C16/1000</f>
        <v>0.4</v>
      </c>
      <c r="F27" s="27">
        <f>-'Profit &amp; loss account'!D16/1000</f>
        <v>0.078</v>
      </c>
      <c r="G27" s="27">
        <f>-'Profit &amp; loss account'!E16/1000</f>
        <v>-0.396</v>
      </c>
      <c r="H27" s="27">
        <f>-'Profit &amp; loss account'!F16/1000</f>
        <v>-0.595</v>
      </c>
      <c r="I27" s="27">
        <f>-'Profit &amp; loss account'!G16/1000</f>
        <v>-1.158</v>
      </c>
      <c r="J27" s="27">
        <f>-'Profit &amp; loss account'!H16/1000</f>
        <v>-1.561</v>
      </c>
      <c r="L27" s="27">
        <f aca="true" t="shared" si="19" ref="L27:Q27">-L28*L25</f>
        <v>-0.8018251031627479</v>
      </c>
      <c r="M27" s="27">
        <f t="shared" si="19"/>
        <v>-0.9921565411485855</v>
      </c>
      <c r="N27" s="27">
        <f t="shared" si="19"/>
        <v>-1.4927184512478078</v>
      </c>
      <c r="O27" s="27">
        <f t="shared" si="19"/>
        <v>-2.786340589854966</v>
      </c>
      <c r="P27" s="27">
        <f t="shared" si="19"/>
        <v>-3.7929343852075417</v>
      </c>
      <c r="Q27" s="27">
        <f t="shared" si="19"/>
        <v>-4.9457433360204615</v>
      </c>
    </row>
    <row r="28" spans="3:17" s="21" customFormat="1" ht="12">
      <c r="C28" s="21" t="s">
        <v>120</v>
      </c>
      <c r="E28" s="29"/>
      <c r="F28" s="29"/>
      <c r="G28" s="29">
        <f>-G27/G25</f>
        <v>0.370786516853933</v>
      </c>
      <c r="H28" s="29">
        <f>-H27/H25</f>
        <v>0.3573573573573572</v>
      </c>
      <c r="I28" s="29">
        <f>-I27/I25</f>
        <v>0.304977613905715</v>
      </c>
      <c r="J28" s="29">
        <f>-J27/J25</f>
        <v>0.2504010266281679</v>
      </c>
      <c r="K28" s="29"/>
      <c r="L28" s="29">
        <f>J28</f>
        <v>0.2504010266281679</v>
      </c>
      <c r="M28" s="29">
        <f>L28</f>
        <v>0.2504010266281679</v>
      </c>
      <c r="N28" s="29">
        <f>M28</f>
        <v>0.2504010266281679</v>
      </c>
      <c r="O28" s="29">
        <f>N28</f>
        <v>0.2504010266281679</v>
      </c>
      <c r="P28" s="29">
        <f>O28</f>
        <v>0.2504010266281679</v>
      </c>
      <c r="Q28" s="29">
        <f>P28</f>
        <v>0.2504010266281679</v>
      </c>
    </row>
    <row r="29" spans="2:17" ht="12">
      <c r="B29" s="20" t="s">
        <v>121</v>
      </c>
      <c r="E29" s="27">
        <f aca="true" t="shared" si="20" ref="E29:J29">E25+E27</f>
        <v>-0.6759999999999996</v>
      </c>
      <c r="F29" s="27">
        <f t="shared" si="20"/>
        <v>-1.740999999999999</v>
      </c>
      <c r="G29" s="27">
        <f t="shared" si="20"/>
        <v>0.6719999999999989</v>
      </c>
      <c r="H29" s="27">
        <f t="shared" si="20"/>
        <v>1.0700000000000007</v>
      </c>
      <c r="I29" s="27">
        <f t="shared" si="20"/>
        <v>2.6390000000000002</v>
      </c>
      <c r="J29" s="27">
        <f t="shared" si="20"/>
        <v>4.673000000000006</v>
      </c>
      <c r="L29" s="27">
        <f aca="true" t="shared" si="21" ref="L29:Q29">L25+L27</f>
        <v>2.40033869768067</v>
      </c>
      <c r="M29" s="27">
        <f t="shared" si="21"/>
        <v>2.97011371991502</v>
      </c>
      <c r="N29" s="27">
        <f t="shared" si="21"/>
        <v>4.468592775580406</v>
      </c>
      <c r="O29" s="27">
        <f t="shared" si="21"/>
        <v>8.341172054062953</v>
      </c>
      <c r="P29" s="27">
        <f t="shared" si="21"/>
        <v>11.354505049375314</v>
      </c>
      <c r="Q29" s="27">
        <f t="shared" si="21"/>
        <v>14.805546834864602</v>
      </c>
    </row>
    <row r="30" spans="3:17" s="21" customFormat="1" ht="12">
      <c r="C30" s="21" t="s">
        <v>112</v>
      </c>
      <c r="E30" s="29">
        <f aca="true" t="shared" si="22" ref="E30:J30">E29/E8</f>
        <v>-0.03060069711647275</v>
      </c>
      <c r="F30" s="29">
        <f t="shared" si="22"/>
        <v>-0.07049724651765464</v>
      </c>
      <c r="G30" s="29">
        <f t="shared" si="22"/>
        <v>0.025185518326961958</v>
      </c>
      <c r="H30" s="29">
        <f t="shared" si="22"/>
        <v>0.03411445879164676</v>
      </c>
      <c r="I30" s="29">
        <f t="shared" si="22"/>
        <v>0.06759387326468931</v>
      </c>
      <c r="J30" s="29">
        <f t="shared" si="22"/>
        <v>0.08807010931021496</v>
      </c>
      <c r="K30" s="29"/>
      <c r="L30" s="29">
        <f aca="true" t="shared" si="23" ref="L30:Q30">L29/L8</f>
        <v>0.04138564202706494</v>
      </c>
      <c r="M30" s="29">
        <f t="shared" si="23"/>
        <v>0.0457616205419813</v>
      </c>
      <c r="N30" s="29">
        <f t="shared" si="23"/>
        <v>0.06056201834941354</v>
      </c>
      <c r="O30" s="29">
        <f t="shared" si="23"/>
        <v>0.10025917432600762</v>
      </c>
      <c r="P30" s="29">
        <f t="shared" si="23"/>
        <v>0.12187172615093662</v>
      </c>
      <c r="Q30" s="29">
        <f t="shared" si="23"/>
        <v>0.14272669178636904</v>
      </c>
    </row>
    <row r="33" spans="2:17" ht="12">
      <c r="B33" s="54" t="s">
        <v>138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5" spans="5:17" ht="12">
      <c r="E35" s="22" t="s">
        <v>107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2:21" ht="12">
      <c r="B36" s="21" t="s">
        <v>106</v>
      </c>
      <c r="E36" s="23">
        <v>2010</v>
      </c>
      <c r="F36" s="23">
        <f>E36+1</f>
        <v>2011</v>
      </c>
      <c r="G36" s="23">
        <f>F36+1</f>
        <v>2012</v>
      </c>
      <c r="H36" s="23">
        <f>G36+1</f>
        <v>2013</v>
      </c>
      <c r="I36" s="23">
        <f>H36+1</f>
        <v>2014</v>
      </c>
      <c r="J36" s="23">
        <f>I36+1</f>
        <v>2015</v>
      </c>
      <c r="K36" s="24" t="s">
        <v>373</v>
      </c>
      <c r="L36" s="25">
        <f>J36+1</f>
        <v>2016</v>
      </c>
      <c r="M36" s="25">
        <f>L36+1</f>
        <v>2017</v>
      </c>
      <c r="N36" s="25">
        <f>M36+1</f>
        <v>2018</v>
      </c>
      <c r="O36" s="25">
        <f>N36+1</f>
        <v>2019</v>
      </c>
      <c r="P36" s="25">
        <f>O36+1</f>
        <v>2020</v>
      </c>
      <c r="Q36" s="25">
        <f>P36+1</f>
        <v>2021</v>
      </c>
      <c r="S36" s="20" t="s">
        <v>344</v>
      </c>
      <c r="T36" s="20" t="s">
        <v>372</v>
      </c>
      <c r="U36" s="20" t="s">
        <v>373</v>
      </c>
    </row>
    <row r="37" spans="2:17" ht="3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2:21" ht="12">
      <c r="B38" s="20" t="s">
        <v>122</v>
      </c>
      <c r="E38" s="27">
        <f>'Balance Sheet (2)'!B16</f>
        <v>0.743</v>
      </c>
      <c r="F38" s="27">
        <f>'Balance Sheet (2)'!C16</f>
        <v>0.472</v>
      </c>
      <c r="G38" s="27">
        <f>'Balance Sheet (2)'!D16</f>
        <v>0.481</v>
      </c>
      <c r="H38" s="27">
        <f>'Balance Sheet (2)'!E16</f>
        <v>1.491</v>
      </c>
      <c r="I38" s="27">
        <f>'Balance Sheet (2)'!F16</f>
        <v>0.717</v>
      </c>
      <c r="J38" s="27">
        <f>'Balance Sheet (2)'!G16</f>
        <v>4.19</v>
      </c>
      <c r="K38" s="27">
        <f>U38</f>
        <v>0</v>
      </c>
      <c r="L38" s="27">
        <f aca="true" t="shared" si="24" ref="L38:Q38">L88</f>
        <v>0</v>
      </c>
      <c r="M38" s="27">
        <f t="shared" si="24"/>
        <v>0</v>
      </c>
      <c r="N38" s="27">
        <f t="shared" si="24"/>
        <v>0</v>
      </c>
      <c r="O38" s="27">
        <f t="shared" si="24"/>
        <v>0</v>
      </c>
      <c r="P38" s="27">
        <f t="shared" si="24"/>
        <v>0</v>
      </c>
      <c r="Q38" s="27">
        <f t="shared" si="24"/>
        <v>0</v>
      </c>
      <c r="S38" s="27">
        <f>J38</f>
        <v>4.19</v>
      </c>
      <c r="T38" s="27">
        <f>-S38</f>
        <v>-4.19</v>
      </c>
      <c r="U38" s="27">
        <f>SUM(S38:T38)</f>
        <v>0</v>
      </c>
    </row>
    <row r="39" spans="2:21" ht="12">
      <c r="B39" s="20" t="s">
        <v>191</v>
      </c>
      <c r="E39" s="27">
        <f>'Balance Sheet (2)'!B19</f>
        <v>2.454</v>
      </c>
      <c r="F39" s="27">
        <f>'Balance Sheet (2)'!C19</f>
        <v>2.122</v>
      </c>
      <c r="G39" s="27">
        <f>'Balance Sheet (2)'!D19</f>
        <v>3.052</v>
      </c>
      <c r="H39" s="27">
        <f>'Balance Sheet (2)'!E19</f>
        <v>3.754</v>
      </c>
      <c r="I39" s="27">
        <f>'Balance Sheet (2)'!F19</f>
        <v>3.74</v>
      </c>
      <c r="J39" s="27">
        <f>'Balance Sheet (2)'!G19</f>
        <v>5.859</v>
      </c>
      <c r="K39" s="27">
        <f>U39</f>
        <v>5.859</v>
      </c>
      <c r="L39" s="27">
        <f aca="true" t="shared" si="25" ref="L39:Q39">L8*(L114/365)</f>
        <v>4.7670666075233745</v>
      </c>
      <c r="M39" s="27">
        <f t="shared" si="25"/>
        <v>5.3345780370577955</v>
      </c>
      <c r="N39" s="27">
        <f t="shared" si="25"/>
        <v>6.064553461112755</v>
      </c>
      <c r="O39" s="27">
        <f t="shared" si="25"/>
        <v>6.838035420441391</v>
      </c>
      <c r="P39" s="27">
        <f t="shared" si="25"/>
        <v>7.657616904546014</v>
      </c>
      <c r="Q39" s="27">
        <f t="shared" si="25"/>
        <v>8.526045445103271</v>
      </c>
      <c r="S39" s="27">
        <f>J39</f>
        <v>5.859</v>
      </c>
      <c r="U39" s="27">
        <f>SUM(S39:T39)</f>
        <v>5.859</v>
      </c>
    </row>
    <row r="40" spans="2:21" ht="12">
      <c r="B40" s="20" t="s">
        <v>148</v>
      </c>
      <c r="E40" s="27">
        <f>'Balance Sheet (2)'!B23</f>
        <v>5.405</v>
      </c>
      <c r="F40" s="27">
        <f>'Balance Sheet (2)'!C23</f>
        <v>3.883</v>
      </c>
      <c r="G40" s="27">
        <f>'Balance Sheet (2)'!D23</f>
        <v>5.016</v>
      </c>
      <c r="H40" s="27">
        <f>'Balance Sheet (2)'!E23</f>
        <v>5.046</v>
      </c>
      <c r="I40" s="27">
        <f>'Balance Sheet (2)'!F23</f>
        <v>8.338</v>
      </c>
      <c r="J40" s="27">
        <f>'Balance Sheet (2)'!G23</f>
        <v>12.485</v>
      </c>
      <c r="K40" s="27">
        <f>U40</f>
        <v>12.485</v>
      </c>
      <c r="L40" s="27">
        <f aca="true" t="shared" si="26" ref="L40:Q40">-(L116/365)*L10</f>
        <v>9.42317238760906</v>
      </c>
      <c r="M40" s="27">
        <f t="shared" si="26"/>
        <v>7.936516966553756</v>
      </c>
      <c r="N40" s="27">
        <f t="shared" si="26"/>
        <v>9.022537697328323</v>
      </c>
      <c r="O40" s="27">
        <f t="shared" si="26"/>
        <v>10.173285263657055</v>
      </c>
      <c r="P40" s="27">
        <f t="shared" si="26"/>
        <v>11.39261738493898</v>
      </c>
      <c r="Q40" s="27">
        <f t="shared" si="26"/>
        <v>12.684621700649306</v>
      </c>
      <c r="S40" s="27">
        <f>J40</f>
        <v>12.485</v>
      </c>
      <c r="U40" s="27">
        <f>SUM(S40:T40)</f>
        <v>12.485</v>
      </c>
    </row>
    <row r="41" spans="2:21" ht="12">
      <c r="B41" s="20" t="s">
        <v>192</v>
      </c>
      <c r="E41" s="27">
        <f>'Balance Sheet (2)'!B20+'Balance Sheet (2)'!B24+'Balance Sheet (2)'!B25</f>
        <v>1.711</v>
      </c>
      <c r="F41" s="27">
        <f>'Balance Sheet (2)'!C20+'Balance Sheet (2)'!C24+'Balance Sheet (2)'!C25</f>
        <v>1.301</v>
      </c>
      <c r="G41" s="27">
        <f>'Balance Sheet (2)'!D20+'Balance Sheet (2)'!D24+'Balance Sheet (2)'!D25</f>
        <v>2.204</v>
      </c>
      <c r="H41" s="27">
        <f>'Balance Sheet (2)'!E20+'Balance Sheet (2)'!E24+'Balance Sheet (2)'!E25</f>
        <v>2.403</v>
      </c>
      <c r="I41" s="27">
        <f>'Balance Sheet (2)'!F20+'Balance Sheet (2)'!F24+'Balance Sheet (2)'!F25</f>
        <v>3.2199999999999998</v>
      </c>
      <c r="J41" s="27">
        <f>'Balance Sheet (2)'!G20+'Balance Sheet (2)'!G24+'Balance Sheet (2)'!G25</f>
        <v>3.87</v>
      </c>
      <c r="K41" s="27">
        <f>U41</f>
        <v>3.87</v>
      </c>
      <c r="L41" s="27">
        <f>K41/J8*L8</f>
        <v>4.2302550172491165</v>
      </c>
      <c r="M41" s="27">
        <f>L41/L8*M8</f>
        <v>4.7338599109473485</v>
      </c>
      <c r="N41" s="27">
        <f>M41/M8*N8</f>
        <v>5.3816339939030176</v>
      </c>
      <c r="O41" s="27">
        <f>N41/N8*O8</f>
        <v>6.068015412202845</v>
      </c>
      <c r="P41" s="27">
        <f>O41/O8*P8</f>
        <v>6.795305163033341</v>
      </c>
      <c r="Q41" s="27">
        <f>P41/P8*Q8</f>
        <v>7.565941383013335</v>
      </c>
      <c r="S41" s="27">
        <f>J41</f>
        <v>3.87</v>
      </c>
      <c r="U41" s="27">
        <f>SUM(S41:T41)</f>
        <v>3.87</v>
      </c>
    </row>
    <row r="42" spans="3:21" s="19" customFormat="1" ht="12">
      <c r="C42" s="19" t="s">
        <v>194</v>
      </c>
      <c r="E42" s="52">
        <f>SUM(E38:E41)</f>
        <v>10.313</v>
      </c>
      <c r="F42" s="52">
        <f aca="true" t="shared" si="27" ref="F42:Q42">SUM(F38:F41)</f>
        <v>7.7780000000000005</v>
      </c>
      <c r="G42" s="52">
        <f t="shared" si="27"/>
        <v>10.753</v>
      </c>
      <c r="H42" s="52">
        <f t="shared" si="27"/>
        <v>12.694</v>
      </c>
      <c r="I42" s="52">
        <f t="shared" si="27"/>
        <v>16.014999999999997</v>
      </c>
      <c r="J42" s="52">
        <f t="shared" si="27"/>
        <v>26.404</v>
      </c>
      <c r="K42" s="52">
        <f t="shared" si="27"/>
        <v>22.214000000000002</v>
      </c>
      <c r="L42" s="52">
        <f t="shared" si="27"/>
        <v>18.420494012381553</v>
      </c>
      <c r="M42" s="52">
        <f t="shared" si="27"/>
        <v>18.0049549145589</v>
      </c>
      <c r="N42" s="52">
        <f t="shared" si="27"/>
        <v>20.468725152344096</v>
      </c>
      <c r="O42" s="52">
        <f t="shared" si="27"/>
        <v>23.07933609630129</v>
      </c>
      <c r="P42" s="52">
        <f t="shared" si="27"/>
        <v>25.845539452518334</v>
      </c>
      <c r="Q42" s="52">
        <f t="shared" si="27"/>
        <v>28.776608528765912</v>
      </c>
      <c r="S42" s="52">
        <f>SUM(S38:S41)</f>
        <v>26.404</v>
      </c>
      <c r="U42" s="52">
        <f>SUM(U38:U41)</f>
        <v>22.214000000000002</v>
      </c>
    </row>
    <row r="43" spans="6:10" ht="12">
      <c r="F43" s="28"/>
      <c r="G43" s="28"/>
      <c r="H43" s="28"/>
      <c r="I43" s="28"/>
      <c r="J43" s="28"/>
    </row>
    <row r="44" spans="2:21" ht="12">
      <c r="B44" s="20" t="s">
        <v>195</v>
      </c>
      <c r="E44" s="27">
        <f>'Balance Sheet (2)'!B29</f>
        <v>5.752</v>
      </c>
      <c r="F44" s="27">
        <f>'Balance Sheet (2)'!C29</f>
        <v>4.437</v>
      </c>
      <c r="G44" s="27">
        <f>'Balance Sheet (2)'!D29</f>
        <v>4.405</v>
      </c>
      <c r="H44" s="27">
        <f>'Balance Sheet (2)'!E29</f>
        <v>4.966</v>
      </c>
      <c r="I44" s="27">
        <f>'Balance Sheet (2)'!F29</f>
        <v>6.482</v>
      </c>
      <c r="J44" s="27">
        <f>'Balance Sheet (2)'!G29</f>
        <v>9.049</v>
      </c>
      <c r="K44" s="27">
        <f>U44</f>
        <v>9.049</v>
      </c>
      <c r="L44" s="27">
        <f aca="true" t="shared" si="28" ref="L44:Q44">K44-L79+L19</f>
        <v>11.402004999999999</v>
      </c>
      <c r="M44" s="27">
        <f t="shared" si="28"/>
        <v>12.380598333333335</v>
      </c>
      <c r="N44" s="27">
        <f t="shared" si="28"/>
        <v>11.984780000000004</v>
      </c>
      <c r="O44" s="27">
        <f t="shared" si="28"/>
        <v>13.003550000000006</v>
      </c>
      <c r="P44" s="27">
        <f t="shared" si="28"/>
        <v>13.773950000000005</v>
      </c>
      <c r="Q44" s="27">
        <f t="shared" si="28"/>
        <v>14.295980000000004</v>
      </c>
      <c r="S44" s="27">
        <f>J44</f>
        <v>9.049</v>
      </c>
      <c r="U44" s="27">
        <f>SUM(S44:T44)</f>
        <v>9.049</v>
      </c>
    </row>
    <row r="45" spans="2:21" ht="12">
      <c r="B45" s="20" t="s">
        <v>196</v>
      </c>
      <c r="E45" s="27">
        <v>0</v>
      </c>
      <c r="F45" s="27">
        <f>E45</f>
        <v>0</v>
      </c>
      <c r="G45" s="52">
        <f>F45</f>
        <v>0</v>
      </c>
      <c r="H45" s="52">
        <f>G45</f>
        <v>0</v>
      </c>
      <c r="I45" s="52">
        <f>H45</f>
        <v>0</v>
      </c>
      <c r="J45" s="52">
        <f>I45</f>
        <v>0</v>
      </c>
      <c r="K45" s="27">
        <f>U45</f>
        <v>119.4689510768839</v>
      </c>
      <c r="L45" s="27">
        <f aca="true" t="shared" si="29" ref="L45:Q45">K45</f>
        <v>119.4689510768839</v>
      </c>
      <c r="M45" s="27">
        <f t="shared" si="29"/>
        <v>119.4689510768839</v>
      </c>
      <c r="N45" s="27">
        <f t="shared" si="29"/>
        <v>119.4689510768839</v>
      </c>
      <c r="O45" s="27">
        <f t="shared" si="29"/>
        <v>119.4689510768839</v>
      </c>
      <c r="P45" s="27">
        <f t="shared" si="29"/>
        <v>119.4689510768839</v>
      </c>
      <c r="Q45" s="27">
        <f t="shared" si="29"/>
        <v>119.4689510768839</v>
      </c>
      <c r="S45" s="27">
        <f>J45</f>
        <v>0</v>
      </c>
      <c r="T45" s="27">
        <f>T55+T56+T62-T38</f>
        <v>119.4689510768839</v>
      </c>
      <c r="U45" s="27">
        <f>SUM(S45:T45)</f>
        <v>119.4689510768839</v>
      </c>
    </row>
    <row r="46" spans="2:21" ht="12">
      <c r="B46" s="20" t="s">
        <v>385</v>
      </c>
      <c r="E46" s="27">
        <f>'Balance Sheet (2)'!B30</f>
        <v>0.144</v>
      </c>
      <c r="F46" s="27">
        <f>'Balance Sheet (2)'!C30</f>
        <v>0.228</v>
      </c>
      <c r="G46" s="27">
        <f>'Balance Sheet (2)'!D30</f>
        <v>0.286</v>
      </c>
      <c r="H46" s="27">
        <f>'Balance Sheet (2)'!E30</f>
        <v>1.084</v>
      </c>
      <c r="I46" s="27">
        <f>'Balance Sheet (2)'!F30</f>
        <v>2.445</v>
      </c>
      <c r="J46" s="27">
        <f>'Balance Sheet (2)'!G30</f>
        <v>3.68</v>
      </c>
      <c r="K46" s="27">
        <f>U46</f>
        <v>3.68</v>
      </c>
      <c r="L46" s="27">
        <f aca="true" t="shared" si="30" ref="L46:Q46">K46-L80</f>
        <v>5.047583333333334</v>
      </c>
      <c r="M46" s="27">
        <f t="shared" si="30"/>
        <v>6.415166666666667</v>
      </c>
      <c r="N46" s="27">
        <f t="shared" si="30"/>
        <v>7.78275</v>
      </c>
      <c r="O46" s="27">
        <f t="shared" si="30"/>
        <v>9.150333333333332</v>
      </c>
      <c r="P46" s="27">
        <f t="shared" si="30"/>
        <v>10.517916666666665</v>
      </c>
      <c r="Q46" s="27">
        <f t="shared" si="30"/>
        <v>11.885499999999997</v>
      </c>
      <c r="S46" s="27">
        <f>J46</f>
        <v>3.68</v>
      </c>
      <c r="U46" s="27">
        <f>SUM(S46:T46)</f>
        <v>3.68</v>
      </c>
    </row>
    <row r="47" spans="3:21" s="19" customFormat="1" ht="12">
      <c r="C47" s="19" t="s">
        <v>197</v>
      </c>
      <c r="E47" s="52">
        <f>SUM(E44:E46)</f>
        <v>5.896</v>
      </c>
      <c r="F47" s="52">
        <f aca="true" t="shared" si="31" ref="F47:Q47">SUM(F44:F46)</f>
        <v>4.665</v>
      </c>
      <c r="G47" s="52">
        <f t="shared" si="31"/>
        <v>4.691</v>
      </c>
      <c r="H47" s="52">
        <f t="shared" si="31"/>
        <v>6.050000000000001</v>
      </c>
      <c r="I47" s="52">
        <f t="shared" si="31"/>
        <v>8.927</v>
      </c>
      <c r="J47" s="52">
        <f t="shared" si="31"/>
        <v>12.729</v>
      </c>
      <c r="K47" s="52">
        <f t="shared" si="31"/>
        <v>132.1979510768839</v>
      </c>
      <c r="L47" s="52">
        <f t="shared" si="31"/>
        <v>135.91853941021722</v>
      </c>
      <c r="M47" s="52">
        <f t="shared" si="31"/>
        <v>138.2647160768839</v>
      </c>
      <c r="N47" s="52">
        <f t="shared" si="31"/>
        <v>139.2364810768839</v>
      </c>
      <c r="O47" s="52">
        <f t="shared" si="31"/>
        <v>141.62283441021722</v>
      </c>
      <c r="P47" s="52">
        <f t="shared" si="31"/>
        <v>143.76081774355055</v>
      </c>
      <c r="Q47" s="52">
        <f t="shared" si="31"/>
        <v>145.6504310768839</v>
      </c>
      <c r="S47" s="52">
        <f>SUM(S44:S46)</f>
        <v>12.729</v>
      </c>
      <c r="U47" s="52">
        <f>SUM(U44:U46)</f>
        <v>132.1979510768839</v>
      </c>
    </row>
    <row r="49" spans="2:21" ht="12">
      <c r="B49" s="19" t="s">
        <v>198</v>
      </c>
      <c r="E49" s="52">
        <f aca="true" t="shared" si="32" ref="E49:K49">+E47+E42</f>
        <v>16.209</v>
      </c>
      <c r="F49" s="52">
        <f t="shared" si="32"/>
        <v>12.443000000000001</v>
      </c>
      <c r="G49" s="52">
        <f t="shared" si="32"/>
        <v>15.443999999999999</v>
      </c>
      <c r="H49" s="52">
        <f t="shared" si="32"/>
        <v>18.744</v>
      </c>
      <c r="I49" s="52">
        <f t="shared" si="32"/>
        <v>24.941999999999997</v>
      </c>
      <c r="J49" s="52">
        <f t="shared" si="32"/>
        <v>39.132999999999996</v>
      </c>
      <c r="K49" s="52">
        <f t="shared" si="32"/>
        <v>154.4119510768839</v>
      </c>
      <c r="L49" s="52">
        <f aca="true" t="shared" si="33" ref="L49:Q49">+L47+L42</f>
        <v>154.3390334225988</v>
      </c>
      <c r="M49" s="52">
        <f t="shared" si="33"/>
        <v>156.2696709914428</v>
      </c>
      <c r="N49" s="52">
        <f t="shared" si="33"/>
        <v>159.705206229228</v>
      </c>
      <c r="O49" s="52">
        <f t="shared" si="33"/>
        <v>164.7021705065185</v>
      </c>
      <c r="P49" s="52">
        <f t="shared" si="33"/>
        <v>169.60635719606887</v>
      </c>
      <c r="Q49" s="52">
        <f t="shared" si="33"/>
        <v>174.4270396056498</v>
      </c>
      <c r="S49" s="52">
        <f>S47+S42</f>
        <v>39.132999999999996</v>
      </c>
      <c r="U49" s="52">
        <f>U47+U42</f>
        <v>154.4119510768839</v>
      </c>
    </row>
    <row r="51" spans="2:21" ht="12">
      <c r="B51" s="20" t="s">
        <v>199</v>
      </c>
      <c r="E51" s="27">
        <f>'Balance Sheet (2)'!B34</f>
        <v>2.065</v>
      </c>
      <c r="F51" s="27">
        <f>'Balance Sheet (2)'!C34</f>
        <v>1.018</v>
      </c>
      <c r="G51" s="27">
        <f>'Balance Sheet (2)'!D34</f>
        <v>1.952</v>
      </c>
      <c r="H51" s="27">
        <f>'Balance Sheet (2)'!E34</f>
        <v>2.234</v>
      </c>
      <c r="I51" s="27">
        <f>'Balance Sheet (2)'!F34</f>
        <v>1.415</v>
      </c>
      <c r="J51" s="27">
        <f>'Balance Sheet (2)'!G34</f>
        <v>2.549</v>
      </c>
      <c r="K51" s="27">
        <f>U51</f>
        <v>2.549</v>
      </c>
      <c r="L51" s="27">
        <f aca="true" t="shared" si="34" ref="L51:Q51">-(L115/365)*L10</f>
        <v>4.255321198619244</v>
      </c>
      <c r="M51" s="27">
        <f t="shared" si="34"/>
        <v>4.761910179932253</v>
      </c>
      <c r="N51" s="27">
        <f t="shared" si="34"/>
        <v>5.413522618396994</v>
      </c>
      <c r="O51" s="27">
        <f t="shared" si="34"/>
        <v>6.103971158194233</v>
      </c>
      <c r="P51" s="27">
        <f t="shared" si="34"/>
        <v>6.835570430963387</v>
      </c>
      <c r="Q51" s="27">
        <f t="shared" si="34"/>
        <v>7.610773020389583</v>
      </c>
      <c r="S51" s="27">
        <f>J51</f>
        <v>2.549</v>
      </c>
      <c r="U51" s="27">
        <f>SUM(S51:T51)</f>
        <v>2.549</v>
      </c>
    </row>
    <row r="52" spans="2:21" ht="12">
      <c r="B52" s="20" t="s">
        <v>200</v>
      </c>
      <c r="E52" s="27">
        <f>'Balance Sheet (2)'!B35+'Balance Sheet (2)'!B37+'Balance Sheet (2)'!B38+'Balance Sheet (2)'!B39</f>
        <v>2.021</v>
      </c>
      <c r="F52" s="27">
        <f>'Balance Sheet (2)'!C35+'Balance Sheet (2)'!C37+'Balance Sheet (2)'!C38+'Balance Sheet (2)'!C39</f>
        <v>2.517</v>
      </c>
      <c r="G52" s="27">
        <f>'Balance Sheet (2)'!D35+'Balance Sheet (2)'!D37+'Balance Sheet (2)'!D38+'Balance Sheet (2)'!D39</f>
        <v>2.247</v>
      </c>
      <c r="H52" s="27">
        <f>'Balance Sheet (2)'!E35+'Balance Sheet (2)'!E37+'Balance Sheet (2)'!E38+'Balance Sheet (2)'!E39</f>
        <v>1.5579999999999998</v>
      </c>
      <c r="I52" s="27">
        <f>'Balance Sheet (2)'!F35+'Balance Sheet (2)'!F37+'Balance Sheet (2)'!F38+'Balance Sheet (2)'!F39</f>
        <v>2.016</v>
      </c>
      <c r="J52" s="27">
        <f>'Balance Sheet (2)'!G35+'Balance Sheet (2)'!G37+'Balance Sheet (2)'!G38+'Balance Sheet (2)'!G39</f>
        <v>4.879</v>
      </c>
      <c r="K52" s="27">
        <f>U52</f>
        <v>4.879</v>
      </c>
      <c r="L52" s="27">
        <f>K52/J10*L10</f>
        <v>5.333181971358768</v>
      </c>
      <c r="M52" s="27">
        <f>L52/L10*M10</f>
        <v>5.968088502716307</v>
      </c>
      <c r="N52" s="27">
        <f>M52/M10*N10</f>
        <v>6.784752520995559</v>
      </c>
      <c r="O52" s="27">
        <f>N52/N10*O10</f>
        <v>7.650089714764256</v>
      </c>
      <c r="P52" s="27">
        <f>O52/O10*P10</f>
        <v>8.567001005281567</v>
      </c>
      <c r="Q52" s="27">
        <f>P52/P10*Q10</f>
        <v>9.538560208713708</v>
      </c>
      <c r="S52" s="27">
        <f>J52</f>
        <v>4.879</v>
      </c>
      <c r="U52" s="27">
        <f>SUM(S52:T52)</f>
        <v>4.879</v>
      </c>
    </row>
    <row r="53" spans="3:21" s="19" customFormat="1" ht="12">
      <c r="C53" s="19" t="s">
        <v>201</v>
      </c>
      <c r="E53" s="52">
        <f>SUM(E51:E52)</f>
        <v>4.086</v>
      </c>
      <c r="F53" s="52">
        <f aca="true" t="shared" si="35" ref="F53:Q53">SUM(F51:F52)</f>
        <v>3.535</v>
      </c>
      <c r="G53" s="52">
        <f t="shared" si="35"/>
        <v>4.199</v>
      </c>
      <c r="H53" s="52">
        <f t="shared" si="35"/>
        <v>3.792</v>
      </c>
      <c r="I53" s="52">
        <f t="shared" si="35"/>
        <v>3.431</v>
      </c>
      <c r="J53" s="52">
        <f t="shared" si="35"/>
        <v>7.427999999999999</v>
      </c>
      <c r="K53" s="52">
        <f t="shared" si="35"/>
        <v>7.427999999999999</v>
      </c>
      <c r="L53" s="52">
        <f t="shared" si="35"/>
        <v>9.588503169978011</v>
      </c>
      <c r="M53" s="52">
        <f t="shared" si="35"/>
        <v>10.72999868264856</v>
      </c>
      <c r="N53" s="52">
        <f t="shared" si="35"/>
        <v>12.198275139392553</v>
      </c>
      <c r="O53" s="52">
        <f t="shared" si="35"/>
        <v>13.75406087295849</v>
      </c>
      <c r="P53" s="52">
        <f t="shared" si="35"/>
        <v>15.402571436244955</v>
      </c>
      <c r="Q53" s="52">
        <f t="shared" si="35"/>
        <v>17.14933322910329</v>
      </c>
      <c r="S53" s="52">
        <f>SUM(S51:S52)</f>
        <v>7.427999999999999</v>
      </c>
      <c r="U53" s="52">
        <f>SUM(U51:U52)</f>
        <v>7.427999999999999</v>
      </c>
    </row>
    <row r="55" spans="2:21" ht="12">
      <c r="B55" s="20" t="s">
        <v>202</v>
      </c>
      <c r="E55" s="27">
        <f>'Balance Sheet (2)'!B36+'Balance Sheet (2)'!B41</f>
        <v>4.513</v>
      </c>
      <c r="F55" s="27">
        <f>'Balance Sheet (2)'!C36+'Balance Sheet (2)'!C41</f>
        <v>2.84</v>
      </c>
      <c r="G55" s="27">
        <f>'Balance Sheet (2)'!D36+'Balance Sheet (2)'!D41</f>
        <v>4.176</v>
      </c>
      <c r="H55" s="27">
        <f>'Balance Sheet (2)'!E36+'Balance Sheet (2)'!E41</f>
        <v>6.2</v>
      </c>
      <c r="I55" s="27">
        <f>'Balance Sheet (2)'!F36+'Balance Sheet (2)'!F41</f>
        <v>9.491</v>
      </c>
      <c r="J55" s="27">
        <f>'Balance Sheet (2)'!G36+'Balance Sheet (2)'!G41</f>
        <v>15.413</v>
      </c>
      <c r="K55" s="27">
        <f>U55</f>
        <v>0</v>
      </c>
      <c r="L55" s="27">
        <f aca="true" t="shared" si="36" ref="L55:Q55">K55</f>
        <v>0</v>
      </c>
      <c r="M55" s="27">
        <f t="shared" si="36"/>
        <v>0</v>
      </c>
      <c r="N55" s="27">
        <f t="shared" si="36"/>
        <v>0</v>
      </c>
      <c r="O55" s="27">
        <f t="shared" si="36"/>
        <v>0</v>
      </c>
      <c r="P55" s="27">
        <f t="shared" si="36"/>
        <v>0</v>
      </c>
      <c r="Q55" s="27">
        <f t="shared" si="36"/>
        <v>0</v>
      </c>
      <c r="S55" s="27">
        <f>J55</f>
        <v>15.413</v>
      </c>
      <c r="T55" s="27">
        <f>-S55</f>
        <v>-15.413</v>
      </c>
      <c r="U55" s="27">
        <f>SUM(S55:T55)</f>
        <v>0</v>
      </c>
    </row>
    <row r="56" spans="2:21" ht="12">
      <c r="B56" s="20" t="s">
        <v>203</v>
      </c>
      <c r="E56" s="27">
        <v>0</v>
      </c>
      <c r="F56" s="27">
        <f>E56</f>
        <v>0</v>
      </c>
      <c r="G56" s="27">
        <f>F56</f>
        <v>0</v>
      </c>
      <c r="H56" s="27">
        <f>G56</f>
        <v>0</v>
      </c>
      <c r="I56" s="27">
        <f>H56</f>
        <v>0</v>
      </c>
      <c r="J56" s="27">
        <f>I56</f>
        <v>0</v>
      </c>
      <c r="K56" s="27">
        <f>U56</f>
        <v>61.349812288757434</v>
      </c>
      <c r="L56" s="27">
        <f>L125+L136</f>
        <v>56.71605276681364</v>
      </c>
      <c r="M56" s="27">
        <f>M125+M136</f>
        <v>54.53508110307208</v>
      </c>
      <c r="N56" s="27">
        <f>N125+N136</f>
        <v>52.03374710853288</v>
      </c>
      <c r="O56" s="27">
        <f>O125+O136</f>
        <v>47.13375359819452</v>
      </c>
      <c r="P56" s="27">
        <f>P125+P136</f>
        <v>39.03492467508311</v>
      </c>
      <c r="Q56" s="27">
        <f>Q125+Q136</f>
        <v>27.303298456941082</v>
      </c>
      <c r="S56" s="27">
        <f>J56</f>
        <v>0</v>
      </c>
      <c r="T56" s="27">
        <f>'Sources &amp; Uses'!E31</f>
        <v>61.349812288757434</v>
      </c>
      <c r="U56" s="27">
        <f>SUM(S56:T56)</f>
        <v>61.349812288757434</v>
      </c>
    </row>
    <row r="57" spans="2:21" ht="12">
      <c r="B57" s="20" t="s">
        <v>204</v>
      </c>
      <c r="E57" s="27">
        <f>'Balance Sheet (2)'!B42+'Balance Sheet (2)'!B43</f>
        <v>5.462</v>
      </c>
      <c r="F57" s="27">
        <f>'Balance Sheet (2)'!C42+'Balance Sheet (2)'!C43</f>
        <v>5.447</v>
      </c>
      <c r="G57" s="27">
        <f>'Balance Sheet (2)'!D42+'Balance Sheet (2)'!D43</f>
        <v>5.955</v>
      </c>
      <c r="H57" s="27">
        <f>'Balance Sheet (2)'!E42+'Balance Sheet (2)'!E43</f>
        <v>6.559</v>
      </c>
      <c r="I57" s="27">
        <f>'Balance Sheet (2)'!F42+'Balance Sheet (2)'!F43</f>
        <v>7.1930000000000005</v>
      </c>
      <c r="J57" s="27">
        <f>'Balance Sheet (2)'!G42+'Balance Sheet (2)'!G43</f>
        <v>7.247</v>
      </c>
      <c r="K57" s="27">
        <f>U57</f>
        <v>7.247</v>
      </c>
      <c r="L57" s="27">
        <f>J57</f>
        <v>7.247</v>
      </c>
      <c r="M57" s="27">
        <f>L57</f>
        <v>7.247</v>
      </c>
      <c r="N57" s="27">
        <f>M57</f>
        <v>7.247</v>
      </c>
      <c r="O57" s="27">
        <f>N57</f>
        <v>7.247</v>
      </c>
      <c r="P57" s="27">
        <f>O57</f>
        <v>7.247</v>
      </c>
      <c r="Q57" s="27">
        <f>P57</f>
        <v>7.247</v>
      </c>
      <c r="S57" s="27">
        <f>J57</f>
        <v>7.247</v>
      </c>
      <c r="U57" s="27">
        <f>SUM(S57:T57)</f>
        <v>7.247</v>
      </c>
    </row>
    <row r="58" spans="3:21" ht="12">
      <c r="C58" s="19" t="s">
        <v>205</v>
      </c>
      <c r="E58" s="52">
        <f>SUM(E55:E57)</f>
        <v>9.975</v>
      </c>
      <c r="F58" s="52">
        <f aca="true" t="shared" si="37" ref="F58:Q58">SUM(F55:F57)</f>
        <v>8.286999999999999</v>
      </c>
      <c r="G58" s="52">
        <f t="shared" si="37"/>
        <v>10.131</v>
      </c>
      <c r="H58" s="52">
        <f t="shared" si="37"/>
        <v>12.759</v>
      </c>
      <c r="I58" s="52">
        <f t="shared" si="37"/>
        <v>16.684</v>
      </c>
      <c r="J58" s="52">
        <f t="shared" si="37"/>
        <v>22.66</v>
      </c>
      <c r="K58" s="52">
        <f t="shared" si="37"/>
        <v>68.59681228875743</v>
      </c>
      <c r="L58" s="52">
        <f t="shared" si="37"/>
        <v>63.96305276681364</v>
      </c>
      <c r="M58" s="52">
        <f t="shared" si="37"/>
        <v>61.78208110307208</v>
      </c>
      <c r="N58" s="52">
        <f t="shared" si="37"/>
        <v>59.28074710853288</v>
      </c>
      <c r="O58" s="52">
        <f t="shared" si="37"/>
        <v>54.38075359819452</v>
      </c>
      <c r="P58" s="52">
        <f t="shared" si="37"/>
        <v>46.28192467508311</v>
      </c>
      <c r="Q58" s="52">
        <f t="shared" si="37"/>
        <v>34.55029845694108</v>
      </c>
      <c r="S58" s="52">
        <f>SUM(S55:S57)</f>
        <v>22.66</v>
      </c>
      <c r="U58" s="52">
        <f>SUM(U55:U57)</f>
        <v>68.59681228875743</v>
      </c>
    </row>
    <row r="60" spans="2:21" ht="12">
      <c r="B60" s="19" t="s">
        <v>210</v>
      </c>
      <c r="E60" s="52">
        <f>E58+E53</f>
        <v>14.061</v>
      </c>
      <c r="F60" s="52">
        <f aca="true" t="shared" si="38" ref="F60:Q60">F58+F53</f>
        <v>11.822</v>
      </c>
      <c r="G60" s="52">
        <f t="shared" si="38"/>
        <v>14.33</v>
      </c>
      <c r="H60" s="52">
        <f t="shared" si="38"/>
        <v>16.551000000000002</v>
      </c>
      <c r="I60" s="52">
        <f t="shared" si="38"/>
        <v>20.115000000000002</v>
      </c>
      <c r="J60" s="52">
        <f t="shared" si="38"/>
        <v>30.088</v>
      </c>
      <c r="K60" s="52">
        <f t="shared" si="38"/>
        <v>76.02481228875743</v>
      </c>
      <c r="L60" s="52">
        <f t="shared" si="38"/>
        <v>73.55155593679166</v>
      </c>
      <c r="M60" s="52">
        <f t="shared" si="38"/>
        <v>72.51207978572064</v>
      </c>
      <c r="N60" s="52">
        <f t="shared" si="38"/>
        <v>71.47902224792543</v>
      </c>
      <c r="O60" s="52">
        <f t="shared" si="38"/>
        <v>68.134814471153</v>
      </c>
      <c r="P60" s="52">
        <f t="shared" si="38"/>
        <v>61.684496111328066</v>
      </c>
      <c r="Q60" s="52">
        <f t="shared" si="38"/>
        <v>51.69963168604437</v>
      </c>
      <c r="S60" s="52">
        <f>S58+S53</f>
        <v>30.088</v>
      </c>
      <c r="U60" s="52">
        <f>U58+U53</f>
        <v>76.02481228875743</v>
      </c>
    </row>
    <row r="62" spans="2:21" ht="12">
      <c r="B62" s="20" t="s">
        <v>206</v>
      </c>
      <c r="E62" s="27">
        <f>'Balance Sheet (2)'!B48</f>
        <v>1.733</v>
      </c>
      <c r="F62" s="27">
        <f>'Balance Sheet (2)'!C48</f>
        <v>0.206</v>
      </c>
      <c r="G62" s="27">
        <f>'Balance Sheet (2)'!D48</f>
        <v>0.699</v>
      </c>
      <c r="H62" s="27">
        <f>'Balance Sheet (2)'!E48</f>
        <v>1.778</v>
      </c>
      <c r="I62" s="27">
        <f>'Balance Sheet (2)'!F48</f>
        <v>4.412</v>
      </c>
      <c r="J62" s="27">
        <f>'Balance Sheet (2)'!G48</f>
        <v>8.63</v>
      </c>
      <c r="K62" s="27">
        <f>U62</f>
        <v>77.97213878812646</v>
      </c>
      <c r="L62" s="27">
        <f aca="true" t="shared" si="39" ref="L62:Q62">K62+L29</f>
        <v>80.37247748580712</v>
      </c>
      <c r="M62" s="27">
        <f t="shared" si="39"/>
        <v>83.34259120572214</v>
      </c>
      <c r="N62" s="27">
        <f t="shared" si="39"/>
        <v>87.81118398130255</v>
      </c>
      <c r="O62" s="27">
        <f t="shared" si="39"/>
        <v>96.1523560353655</v>
      </c>
      <c r="P62" s="27">
        <f t="shared" si="39"/>
        <v>107.50686108474082</v>
      </c>
      <c r="Q62" s="27">
        <f t="shared" si="39"/>
        <v>122.31240791960542</v>
      </c>
      <c r="S62" s="27">
        <f>J62</f>
        <v>8.63</v>
      </c>
      <c r="T62" s="27">
        <f>-S62+'Sources &amp; Uses'!E18</f>
        <v>69.34213878812646</v>
      </c>
      <c r="U62" s="27">
        <f>SUM(S62:T62)</f>
        <v>77.97213878812646</v>
      </c>
    </row>
    <row r="63" spans="2:21" ht="12">
      <c r="B63" s="20" t="s">
        <v>207</v>
      </c>
      <c r="E63" s="27">
        <f>'Balance Sheet (2)'!B46+'Balance Sheet (2)'!B47</f>
        <v>0.415</v>
      </c>
      <c r="F63" s="27">
        <f>'Balance Sheet (2)'!C46+'Balance Sheet (2)'!C47</f>
        <v>0.415</v>
      </c>
      <c r="G63" s="27">
        <f>'Balance Sheet (2)'!D46+'Balance Sheet (2)'!D47</f>
        <v>0.415</v>
      </c>
      <c r="H63" s="27">
        <f>'Balance Sheet (2)'!E46+'Balance Sheet (2)'!E47</f>
        <v>0.415</v>
      </c>
      <c r="I63" s="27">
        <f>'Balance Sheet (2)'!F46+'Balance Sheet (2)'!F47</f>
        <v>0.415</v>
      </c>
      <c r="J63" s="27">
        <f>'Balance Sheet (2)'!G46+'Balance Sheet (2)'!G47</f>
        <v>0.415</v>
      </c>
      <c r="K63" s="27">
        <f>U63</f>
        <v>0.415</v>
      </c>
      <c r="L63" s="27">
        <f>J63</f>
        <v>0.415</v>
      </c>
      <c r="M63" s="27">
        <f>L63</f>
        <v>0.415</v>
      </c>
      <c r="N63" s="27">
        <f>M63</f>
        <v>0.415</v>
      </c>
      <c r="O63" s="27">
        <f>N63</f>
        <v>0.415</v>
      </c>
      <c r="P63" s="27">
        <f>O63</f>
        <v>0.415</v>
      </c>
      <c r="Q63" s="27">
        <f>P63</f>
        <v>0.415</v>
      </c>
      <c r="S63" s="27">
        <f>J63</f>
        <v>0.415</v>
      </c>
      <c r="U63" s="27">
        <f>SUM(S63:T63)</f>
        <v>0.415</v>
      </c>
    </row>
    <row r="64" spans="3:21" s="19" customFormat="1" ht="12">
      <c r="C64" s="19" t="s">
        <v>208</v>
      </c>
      <c r="E64" s="52">
        <f>SUM(E62:E63)</f>
        <v>2.148</v>
      </c>
      <c r="F64" s="52">
        <f aca="true" t="shared" si="40" ref="F64:Q64">SUM(F62:F63)</f>
        <v>0.621</v>
      </c>
      <c r="G64" s="52">
        <f t="shared" si="40"/>
        <v>1.1139999999999999</v>
      </c>
      <c r="H64" s="52">
        <f t="shared" si="40"/>
        <v>2.193</v>
      </c>
      <c r="I64" s="52">
        <f t="shared" si="40"/>
        <v>4.827</v>
      </c>
      <c r="J64" s="52">
        <f t="shared" si="40"/>
        <v>9.045</v>
      </c>
      <c r="K64" s="52">
        <f t="shared" si="40"/>
        <v>78.38713878812646</v>
      </c>
      <c r="L64" s="52">
        <f t="shared" si="40"/>
        <v>80.78747748580713</v>
      </c>
      <c r="M64" s="52">
        <f t="shared" si="40"/>
        <v>83.75759120572215</v>
      </c>
      <c r="N64" s="52">
        <f t="shared" si="40"/>
        <v>88.22618398130255</v>
      </c>
      <c r="O64" s="52">
        <f t="shared" si="40"/>
        <v>96.5673560353655</v>
      </c>
      <c r="P64" s="52">
        <f t="shared" si="40"/>
        <v>107.92186108474083</v>
      </c>
      <c r="Q64" s="52">
        <f t="shared" si="40"/>
        <v>122.72740791960543</v>
      </c>
      <c r="S64" s="52">
        <f>SUM(S62:S63)</f>
        <v>9.045</v>
      </c>
      <c r="U64" s="52">
        <f>SUM(U62:U63)</f>
        <v>78.38713878812646</v>
      </c>
    </row>
    <row r="66" spans="2:21" s="19" customFormat="1" ht="12">
      <c r="B66" s="19" t="s">
        <v>209</v>
      </c>
      <c r="E66" s="52">
        <f>E64+E60</f>
        <v>16.209</v>
      </c>
      <c r="F66" s="52">
        <f aca="true" t="shared" si="41" ref="F66:K66">F64+F60</f>
        <v>12.443</v>
      </c>
      <c r="G66" s="52">
        <f t="shared" si="41"/>
        <v>15.443999999999999</v>
      </c>
      <c r="H66" s="52">
        <f t="shared" si="41"/>
        <v>18.744000000000003</v>
      </c>
      <c r="I66" s="52">
        <f t="shared" si="41"/>
        <v>24.942</v>
      </c>
      <c r="J66" s="52">
        <f t="shared" si="41"/>
        <v>39.133</v>
      </c>
      <c r="K66" s="52">
        <f t="shared" si="41"/>
        <v>154.4119510768839</v>
      </c>
      <c r="L66" s="52">
        <f aca="true" t="shared" si="42" ref="L66:Q66">L64+L60</f>
        <v>154.3390334225988</v>
      </c>
      <c r="M66" s="52">
        <f t="shared" si="42"/>
        <v>156.2696709914428</v>
      </c>
      <c r="N66" s="52">
        <f t="shared" si="42"/>
        <v>159.705206229228</v>
      </c>
      <c r="O66" s="52">
        <f t="shared" si="42"/>
        <v>164.7021705065185</v>
      </c>
      <c r="P66" s="52">
        <f t="shared" si="42"/>
        <v>169.6063571960689</v>
      </c>
      <c r="Q66" s="52">
        <f t="shared" si="42"/>
        <v>174.42703960564978</v>
      </c>
      <c r="S66" s="52">
        <f>S60+S64</f>
        <v>39.133</v>
      </c>
      <c r="U66" s="52">
        <f>U60+U64</f>
        <v>154.4119510768839</v>
      </c>
    </row>
    <row r="67" spans="2:21" ht="12">
      <c r="B67" s="53" t="s">
        <v>211</v>
      </c>
      <c r="E67" s="20" t="b">
        <f>E66=E49</f>
        <v>1</v>
      </c>
      <c r="F67" s="20" t="b">
        <f aca="true" t="shared" si="43" ref="F67:K67">F66=F49</f>
        <v>1</v>
      </c>
      <c r="G67" s="20" t="b">
        <f t="shared" si="43"/>
        <v>1</v>
      </c>
      <c r="H67" s="20" t="b">
        <f t="shared" si="43"/>
        <v>1</v>
      </c>
      <c r="I67" s="20" t="b">
        <f t="shared" si="43"/>
        <v>1</v>
      </c>
      <c r="J67" s="20" t="b">
        <f t="shared" si="43"/>
        <v>1</v>
      </c>
      <c r="K67" s="20" t="b">
        <f t="shared" si="43"/>
        <v>1</v>
      </c>
      <c r="L67" s="20" t="b">
        <f aca="true" t="shared" si="44" ref="L67:Q67">L66=L49</f>
        <v>1</v>
      </c>
      <c r="M67" s="20" t="b">
        <f t="shared" si="44"/>
        <v>1</v>
      </c>
      <c r="N67" s="20" t="b">
        <f t="shared" si="44"/>
        <v>1</v>
      </c>
      <c r="O67" s="20" t="b">
        <f t="shared" si="44"/>
        <v>1</v>
      </c>
      <c r="P67" s="20" t="b">
        <f t="shared" si="44"/>
        <v>1</v>
      </c>
      <c r="Q67" s="20" t="b">
        <f t="shared" si="44"/>
        <v>1</v>
      </c>
      <c r="S67" s="20" t="b">
        <f>S66=S49</f>
        <v>1</v>
      </c>
      <c r="U67" s="20" t="b">
        <f>U66=U49</f>
        <v>1</v>
      </c>
    </row>
    <row r="68" spans="2:17" ht="12">
      <c r="B68" s="53"/>
      <c r="L68" s="27"/>
      <c r="M68" s="27"/>
      <c r="N68" s="27"/>
      <c r="O68" s="27"/>
      <c r="P68" s="112"/>
      <c r="Q68" s="27"/>
    </row>
    <row r="70" spans="2:17" ht="12">
      <c r="B70" s="54" t="s">
        <v>215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2" spans="5:17" ht="12">
      <c r="E72" s="22" t="s">
        <v>107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</row>
    <row r="73" spans="2:17" ht="12">
      <c r="B73" s="21" t="s">
        <v>106</v>
      </c>
      <c r="E73" s="23">
        <v>2010</v>
      </c>
      <c r="F73" s="23">
        <f>E73+1</f>
        <v>2011</v>
      </c>
      <c r="G73" s="23">
        <f>F73+1</f>
        <v>2012</v>
      </c>
      <c r="H73" s="23">
        <f>G73+1</f>
        <v>2013</v>
      </c>
      <c r="I73" s="23">
        <f>H73+1</f>
        <v>2014</v>
      </c>
      <c r="J73" s="23">
        <f>I73+1</f>
        <v>2015</v>
      </c>
      <c r="K73" s="24"/>
      <c r="L73" s="25">
        <f>J73+1</f>
        <v>2016</v>
      </c>
      <c r="M73" s="25">
        <f>L73+1</f>
        <v>2017</v>
      </c>
      <c r="N73" s="25">
        <f>M73+1</f>
        <v>2018</v>
      </c>
      <c r="O73" s="25">
        <f>N73+1</f>
        <v>2019</v>
      </c>
      <c r="P73" s="25">
        <f>O73+1</f>
        <v>2020</v>
      </c>
      <c r="Q73" s="25">
        <f>P73+1</f>
        <v>2021</v>
      </c>
    </row>
    <row r="74" spans="2:17" ht="3" customHeight="1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2:17" ht="12">
      <c r="B75" s="20" t="s">
        <v>121</v>
      </c>
      <c r="E75" s="27"/>
      <c r="F75" s="27"/>
      <c r="G75" s="27"/>
      <c r="H75" s="27"/>
      <c r="I75" s="27"/>
      <c r="J75" s="27"/>
      <c r="L75" s="27">
        <f aca="true" t="shared" si="45" ref="L75:Q75">L29</f>
        <v>2.40033869768067</v>
      </c>
      <c r="M75" s="27">
        <f t="shared" si="45"/>
        <v>2.97011371991502</v>
      </c>
      <c r="N75" s="27">
        <f t="shared" si="45"/>
        <v>4.468592775580406</v>
      </c>
      <c r="O75" s="27">
        <f t="shared" si="45"/>
        <v>8.341172054062953</v>
      </c>
      <c r="P75" s="27">
        <f t="shared" si="45"/>
        <v>11.354505049375314</v>
      </c>
      <c r="Q75" s="27">
        <f t="shared" si="45"/>
        <v>14.805546834864602</v>
      </c>
    </row>
    <row r="76" spans="2:17" ht="12">
      <c r="B76" s="20" t="s">
        <v>216</v>
      </c>
      <c r="E76" s="27"/>
      <c r="F76" s="27"/>
      <c r="G76" s="27"/>
      <c r="H76" s="27"/>
      <c r="I76" s="27"/>
      <c r="J76" s="27"/>
      <c r="L76" s="27">
        <f aca="true" t="shared" si="46" ref="L76:Q76">-L19</f>
        <v>4.163411666666667</v>
      </c>
      <c r="M76" s="27">
        <f t="shared" si="46"/>
        <v>5.537823333333333</v>
      </c>
      <c r="N76" s="27">
        <f t="shared" si="46"/>
        <v>6.912235</v>
      </c>
      <c r="O76" s="27">
        <f t="shared" si="46"/>
        <v>5.497646666666666</v>
      </c>
      <c r="P76" s="27">
        <f t="shared" si="46"/>
        <v>5.746016666666668</v>
      </c>
      <c r="Q76" s="27">
        <f t="shared" si="46"/>
        <v>5.994386666666667</v>
      </c>
    </row>
    <row r="77" spans="2:17" ht="12">
      <c r="B77" s="55" t="s">
        <v>217</v>
      </c>
      <c r="F77" s="27"/>
      <c r="G77" s="27"/>
      <c r="H77" s="27"/>
      <c r="I77" s="27"/>
      <c r="J77" s="27"/>
      <c r="L77" s="27">
        <f aca="true" t="shared" si="47" ref="L77:Q77">L107</f>
        <v>5.954009157596461</v>
      </c>
      <c r="M77" s="27">
        <f t="shared" si="47"/>
        <v>1.5570346104932007</v>
      </c>
      <c r="N77" s="27">
        <f t="shared" si="47"/>
        <v>-0.9954937810412012</v>
      </c>
      <c r="O77" s="27">
        <f t="shared" si="47"/>
        <v>-1.0548252103912574</v>
      </c>
      <c r="P77" s="27">
        <f t="shared" si="47"/>
        <v>-1.1176927929305798</v>
      </c>
      <c r="Q77" s="27">
        <f t="shared" si="47"/>
        <v>-1.1843072833892414</v>
      </c>
    </row>
    <row r="78" spans="2:18" ht="12">
      <c r="B78" s="20" t="s">
        <v>460</v>
      </c>
      <c r="F78" s="27"/>
      <c r="G78" s="27"/>
      <c r="H78" s="27"/>
      <c r="I78" s="27"/>
      <c r="J78" s="27"/>
      <c r="L78" s="27">
        <f aca="true" t="shared" si="48" ref="L78:Q78">L133</f>
        <v>1.3890523537077155</v>
      </c>
      <c r="M78" s="27">
        <f t="shared" si="48"/>
        <v>1.5557386361526413</v>
      </c>
      <c r="N78" s="27">
        <f t="shared" si="48"/>
        <v>1.7424272724909584</v>
      </c>
      <c r="O78" s="27">
        <f t="shared" si="48"/>
        <v>1.9515185451898733</v>
      </c>
      <c r="P78" s="27">
        <f t="shared" si="48"/>
        <v>2.1857007706126583</v>
      </c>
      <c r="Q78" s="27">
        <f t="shared" si="48"/>
        <v>2.447984863086177</v>
      </c>
      <c r="R78" s="21" t="s">
        <v>461</v>
      </c>
    </row>
    <row r="79" spans="2:17" ht="12">
      <c r="B79" s="20" t="s">
        <v>218</v>
      </c>
      <c r="F79" s="98">
        <f>-(F44-E44-F19)</f>
        <v>-0.6780000000000006</v>
      </c>
      <c r="G79" s="98">
        <f>-(G44-F44-G19)</f>
        <v>-1.8559999999999999</v>
      </c>
      <c r="H79" s="98">
        <f>-(H44-G44-H19)</f>
        <v>-2.5309999999999997</v>
      </c>
      <c r="I79" s="98">
        <f>-(I44-H44-I19)</f>
        <v>-3.591</v>
      </c>
      <c r="J79" s="98">
        <f>-(J44-I44-J19)</f>
        <v>-5.356</v>
      </c>
      <c r="L79" s="27">
        <f>-'Store Rollout'!L88</f>
        <v>-6.516416666666666</v>
      </c>
      <c r="M79" s="27">
        <f>-'Store Rollout'!M88</f>
        <v>-6.516416666666666</v>
      </c>
      <c r="N79" s="27">
        <f>-'Store Rollout'!N88</f>
        <v>-6.516416666666666</v>
      </c>
      <c r="O79" s="27">
        <f>-'Store Rollout'!O88</f>
        <v>-6.516416666666666</v>
      </c>
      <c r="P79" s="27">
        <f>-'Store Rollout'!P88</f>
        <v>-6.516416666666666</v>
      </c>
      <c r="Q79" s="27">
        <f>-'Store Rollout'!Q88</f>
        <v>-6.516416666666666</v>
      </c>
    </row>
    <row r="80" spans="2:17" ht="12">
      <c r="B80" s="20" t="s">
        <v>420</v>
      </c>
      <c r="F80" s="98">
        <f>-(F46-E46)</f>
        <v>-0.08400000000000002</v>
      </c>
      <c r="G80" s="98">
        <f>-(G46-F46)</f>
        <v>-0.05799999999999997</v>
      </c>
      <c r="H80" s="98">
        <f>-(H46-G46)</f>
        <v>-0.798</v>
      </c>
      <c r="I80" s="98">
        <f>-(I46-H46)</f>
        <v>-1.3609999999999998</v>
      </c>
      <c r="J80" s="98">
        <f>-(J46-I46)</f>
        <v>-1.2350000000000003</v>
      </c>
      <c r="L80" s="27">
        <f>-'Store Rollout'!L74</f>
        <v>-1.3675833333333332</v>
      </c>
      <c r="M80" s="27">
        <f>-'Store Rollout'!M74</f>
        <v>-1.3675833333333332</v>
      </c>
      <c r="N80" s="27">
        <f>-'Store Rollout'!N74</f>
        <v>-1.3675833333333332</v>
      </c>
      <c r="O80" s="27">
        <f>-'Store Rollout'!O74</f>
        <v>-1.3675833333333332</v>
      </c>
      <c r="P80" s="27">
        <f>-'Store Rollout'!P74</f>
        <v>-1.3675833333333332</v>
      </c>
      <c r="Q80" s="27">
        <f>-'Store Rollout'!Q74</f>
        <v>-1.3675833333333332</v>
      </c>
    </row>
    <row r="81" spans="3:17" ht="12">
      <c r="C81" s="20" t="s">
        <v>112</v>
      </c>
      <c r="F81" s="29"/>
      <c r="G81" s="29"/>
      <c r="H81" s="29"/>
      <c r="I81" s="29"/>
      <c r="J81" s="29"/>
      <c r="L81" s="29">
        <f aca="true" t="shared" si="49" ref="L81:Q81">(-SUM(L79:L80))/L8</f>
        <v>0.1359326506949426</v>
      </c>
      <c r="M81" s="29">
        <f t="shared" si="49"/>
        <v>0.12147165070948973</v>
      </c>
      <c r="N81" s="29">
        <f t="shared" si="49"/>
        <v>0.10685040607772986</v>
      </c>
      <c r="O81" s="29">
        <f t="shared" si="49"/>
        <v>0.09476406016600772</v>
      </c>
      <c r="P81" s="29">
        <f t="shared" si="49"/>
        <v>0.08462162681647195</v>
      </c>
      <c r="Q81" s="29">
        <f t="shared" si="49"/>
        <v>0.07600240981264804</v>
      </c>
    </row>
    <row r="82" spans="3:17" ht="12">
      <c r="C82" s="20" t="s">
        <v>440</v>
      </c>
      <c r="F82" s="29">
        <f>-(F19/SUM(F44))</f>
        <v>0.4491773720982646</v>
      </c>
      <c r="G82" s="29">
        <f>-(G19/SUM(G44))</f>
        <v>0.42860385925085126</v>
      </c>
      <c r="H82" s="29">
        <f>-(H19/SUM(H44))</f>
        <v>0.39669754329440193</v>
      </c>
      <c r="I82" s="29">
        <f>-(I19/SUM(I44))</f>
        <v>0.32011724776303613</v>
      </c>
      <c r="J82" s="29">
        <f>-(J19/SUM(J44))</f>
        <v>0.3082108520278484</v>
      </c>
      <c r="L82" s="29"/>
      <c r="M82" s="29"/>
      <c r="N82" s="29"/>
      <c r="O82" s="29"/>
      <c r="P82" s="29"/>
      <c r="Q82" s="29"/>
    </row>
    <row r="83" spans="2:18" ht="12">
      <c r="B83" s="20" t="s">
        <v>219</v>
      </c>
      <c r="F83" s="27"/>
      <c r="G83" s="27"/>
      <c r="H83" s="27"/>
      <c r="I83" s="27"/>
      <c r="J83" s="27"/>
      <c r="L83" s="27">
        <f aca="true" t="shared" si="50" ref="L83:Q83">SUM(L75:L79,L80)</f>
        <v>6.022811875651514</v>
      </c>
      <c r="M83" s="27">
        <f t="shared" si="50"/>
        <v>3.736710299894196</v>
      </c>
      <c r="N83" s="27">
        <f t="shared" si="50"/>
        <v>4.243761267030165</v>
      </c>
      <c r="O83" s="27">
        <f t="shared" si="50"/>
        <v>6.851512055528237</v>
      </c>
      <c r="P83" s="27">
        <f t="shared" si="50"/>
        <v>10.28452969372406</v>
      </c>
      <c r="Q83" s="27">
        <f t="shared" si="50"/>
        <v>14.179611081228206</v>
      </c>
      <c r="R83" s="21" t="s">
        <v>441</v>
      </c>
    </row>
    <row r="85" spans="2:17" ht="12">
      <c r="B85" s="20" t="s">
        <v>254</v>
      </c>
      <c r="L85" s="27">
        <f>L124+L135</f>
        <v>-6.022811875651514</v>
      </c>
      <c r="M85" s="27">
        <f>M124+M135</f>
        <v>-3.736710299894196</v>
      </c>
      <c r="N85" s="27">
        <f>N124+N135</f>
        <v>-4.243761267030165</v>
      </c>
      <c r="O85" s="27">
        <f>O124+O135</f>
        <v>-6.851512055528237</v>
      </c>
      <c r="P85" s="27">
        <f>P124+P135</f>
        <v>-10.28452969372406</v>
      </c>
      <c r="Q85" s="27">
        <f>Q124+Q135</f>
        <v>-14.179611081228206</v>
      </c>
    </row>
    <row r="87" spans="2:17" ht="12">
      <c r="B87" s="20" t="s">
        <v>255</v>
      </c>
      <c r="L87" s="27">
        <f aca="true" t="shared" si="51" ref="L87:Q87">K88</f>
        <v>0</v>
      </c>
      <c r="M87" s="27">
        <f t="shared" si="51"/>
        <v>0</v>
      </c>
      <c r="N87" s="27">
        <f t="shared" si="51"/>
        <v>0</v>
      </c>
      <c r="O87" s="27">
        <f t="shared" si="51"/>
        <v>0</v>
      </c>
      <c r="P87" s="27">
        <f t="shared" si="51"/>
        <v>0</v>
      </c>
      <c r="Q87" s="27">
        <f t="shared" si="51"/>
        <v>0</v>
      </c>
    </row>
    <row r="88" spans="2:17" ht="12">
      <c r="B88" s="20" t="s">
        <v>256</v>
      </c>
      <c r="J88" s="27"/>
      <c r="K88" s="27">
        <f>K38</f>
        <v>0</v>
      </c>
      <c r="L88" s="27">
        <f aca="true" t="shared" si="52" ref="L88:Q88">L87+L89</f>
        <v>0</v>
      </c>
      <c r="M88" s="27">
        <f t="shared" si="52"/>
        <v>0</v>
      </c>
      <c r="N88" s="27">
        <f t="shared" si="52"/>
        <v>0</v>
      </c>
      <c r="O88" s="27">
        <f t="shared" si="52"/>
        <v>0</v>
      </c>
      <c r="P88" s="27">
        <f t="shared" si="52"/>
        <v>0</v>
      </c>
      <c r="Q88" s="27">
        <f t="shared" si="52"/>
        <v>0</v>
      </c>
    </row>
    <row r="89" spans="2:17" ht="12">
      <c r="B89" s="20" t="s">
        <v>257</v>
      </c>
      <c r="L89" s="27">
        <f aca="true" t="shared" si="53" ref="L89:Q89">L83+L85</f>
        <v>0</v>
      </c>
      <c r="M89" s="27">
        <f t="shared" si="53"/>
        <v>0</v>
      </c>
      <c r="N89" s="27">
        <f t="shared" si="53"/>
        <v>0</v>
      </c>
      <c r="O89" s="27">
        <f t="shared" si="53"/>
        <v>0</v>
      </c>
      <c r="P89" s="27">
        <f t="shared" si="53"/>
        <v>0</v>
      </c>
      <c r="Q89" s="27">
        <f t="shared" si="53"/>
        <v>0</v>
      </c>
    </row>
    <row r="92" spans="2:17" ht="12">
      <c r="B92" s="54" t="s">
        <v>212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4" spans="5:17" ht="12">
      <c r="E94" s="22" t="s">
        <v>107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2:17" ht="12">
      <c r="B95" s="21" t="s">
        <v>106</v>
      </c>
      <c r="E95" s="23">
        <v>2010</v>
      </c>
      <c r="F95" s="23">
        <f>E95+1</f>
        <v>2011</v>
      </c>
      <c r="G95" s="23">
        <f>F95+1</f>
        <v>2012</v>
      </c>
      <c r="H95" s="23">
        <f>G95+1</f>
        <v>2013</v>
      </c>
      <c r="I95" s="23">
        <f>H95+1</f>
        <v>2014</v>
      </c>
      <c r="J95" s="23">
        <f>I95+1</f>
        <v>2015</v>
      </c>
      <c r="K95" s="24"/>
      <c r="L95" s="25">
        <f>J95+1</f>
        <v>2016</v>
      </c>
      <c r="M95" s="25">
        <f>L95+1</f>
        <v>2017</v>
      </c>
      <c r="N95" s="25">
        <f>M95+1</f>
        <v>2018</v>
      </c>
      <c r="O95" s="25">
        <f>N95+1</f>
        <v>2019</v>
      </c>
      <c r="P95" s="25">
        <f>O95+1</f>
        <v>2020</v>
      </c>
      <c r="Q95" s="25">
        <f>P95+1</f>
        <v>2021</v>
      </c>
    </row>
    <row r="96" spans="2:17" ht="3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2:17" ht="12">
      <c r="B97" s="20" t="s">
        <v>191</v>
      </c>
      <c r="E97" s="27"/>
      <c r="F97" s="27"/>
      <c r="G97" s="27"/>
      <c r="H97" s="27"/>
      <c r="I97" s="27"/>
      <c r="J97" s="27">
        <f>J39</f>
        <v>5.859</v>
      </c>
      <c r="K97" s="27"/>
      <c r="L97" s="27">
        <f aca="true" t="shared" si="54" ref="L97:Q97">L39</f>
        <v>4.7670666075233745</v>
      </c>
      <c r="M97" s="27">
        <f t="shared" si="54"/>
        <v>5.3345780370577955</v>
      </c>
      <c r="N97" s="27">
        <f t="shared" si="54"/>
        <v>6.064553461112755</v>
      </c>
      <c r="O97" s="27">
        <f t="shared" si="54"/>
        <v>6.838035420441391</v>
      </c>
      <c r="P97" s="27">
        <f t="shared" si="54"/>
        <v>7.657616904546014</v>
      </c>
      <c r="Q97" s="27">
        <f t="shared" si="54"/>
        <v>8.526045445103271</v>
      </c>
    </row>
    <row r="98" spans="2:17" ht="12">
      <c r="B98" s="20" t="s">
        <v>148</v>
      </c>
      <c r="E98" s="27"/>
      <c r="F98" s="27"/>
      <c r="G98" s="27"/>
      <c r="H98" s="27"/>
      <c r="I98" s="27"/>
      <c r="J98" s="27">
        <f aca="true" t="shared" si="55" ref="J98:L99">J40</f>
        <v>12.485</v>
      </c>
      <c r="K98" s="27"/>
      <c r="L98" s="27">
        <f t="shared" si="55"/>
        <v>9.42317238760906</v>
      </c>
      <c r="M98" s="27">
        <f aca="true" t="shared" si="56" ref="M98:Q99">M40</f>
        <v>7.936516966553756</v>
      </c>
      <c r="N98" s="27">
        <f t="shared" si="56"/>
        <v>9.022537697328323</v>
      </c>
      <c r="O98" s="27">
        <f t="shared" si="56"/>
        <v>10.173285263657055</v>
      </c>
      <c r="P98" s="27">
        <f t="shared" si="56"/>
        <v>11.39261738493898</v>
      </c>
      <c r="Q98" s="27">
        <f t="shared" si="56"/>
        <v>12.684621700649306</v>
      </c>
    </row>
    <row r="99" spans="2:17" ht="12">
      <c r="B99" s="20" t="s">
        <v>192</v>
      </c>
      <c r="E99" s="27"/>
      <c r="F99" s="27"/>
      <c r="G99" s="27"/>
      <c r="H99" s="27"/>
      <c r="I99" s="27"/>
      <c r="J99" s="27">
        <f t="shared" si="55"/>
        <v>3.87</v>
      </c>
      <c r="K99" s="27"/>
      <c r="L99" s="27">
        <f t="shared" si="55"/>
        <v>4.2302550172491165</v>
      </c>
      <c r="M99" s="27">
        <f t="shared" si="56"/>
        <v>4.7338599109473485</v>
      </c>
      <c r="N99" s="27">
        <f t="shared" si="56"/>
        <v>5.3816339939030176</v>
      </c>
      <c r="O99" s="27">
        <f t="shared" si="56"/>
        <v>6.068015412202845</v>
      </c>
      <c r="P99" s="27">
        <f t="shared" si="56"/>
        <v>6.795305163033341</v>
      </c>
      <c r="Q99" s="27">
        <f t="shared" si="56"/>
        <v>7.565941383013335</v>
      </c>
    </row>
    <row r="100" spans="3:17" s="19" customFormat="1" ht="12">
      <c r="C100" s="19" t="s">
        <v>194</v>
      </c>
      <c r="E100" s="52"/>
      <c r="F100" s="52"/>
      <c r="G100" s="52"/>
      <c r="H100" s="52"/>
      <c r="I100" s="52"/>
      <c r="J100" s="52">
        <f>SUM(J97:J99)</f>
        <v>22.214000000000002</v>
      </c>
      <c r="K100" s="52"/>
      <c r="L100" s="52">
        <f aca="true" t="shared" si="57" ref="L100:Q100">SUM(L97:L99)</f>
        <v>18.420494012381553</v>
      </c>
      <c r="M100" s="52">
        <f t="shared" si="57"/>
        <v>18.0049549145589</v>
      </c>
      <c r="N100" s="52">
        <f t="shared" si="57"/>
        <v>20.468725152344096</v>
      </c>
      <c r="O100" s="52">
        <f t="shared" si="57"/>
        <v>23.07933609630129</v>
      </c>
      <c r="P100" s="52">
        <f t="shared" si="57"/>
        <v>25.845539452518334</v>
      </c>
      <c r="Q100" s="52">
        <f t="shared" si="57"/>
        <v>28.776608528765912</v>
      </c>
    </row>
    <row r="101" spans="5:17" ht="12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2:17" ht="12">
      <c r="B102" s="20" t="s">
        <v>199</v>
      </c>
      <c r="E102" s="27"/>
      <c r="F102" s="27"/>
      <c r="G102" s="27"/>
      <c r="H102" s="27"/>
      <c r="I102" s="27"/>
      <c r="J102" s="27">
        <f>J51</f>
        <v>2.549</v>
      </c>
      <c r="K102" s="27"/>
      <c r="L102" s="27">
        <f aca="true" t="shared" si="58" ref="L102:Q103">L51</f>
        <v>4.255321198619244</v>
      </c>
      <c r="M102" s="27">
        <f t="shared" si="58"/>
        <v>4.761910179932253</v>
      </c>
      <c r="N102" s="27">
        <f t="shared" si="58"/>
        <v>5.413522618396994</v>
      </c>
      <c r="O102" s="27">
        <f t="shared" si="58"/>
        <v>6.103971158194233</v>
      </c>
      <c r="P102" s="27">
        <f t="shared" si="58"/>
        <v>6.835570430963387</v>
      </c>
      <c r="Q102" s="27">
        <f t="shared" si="58"/>
        <v>7.610773020389583</v>
      </c>
    </row>
    <row r="103" spans="2:17" ht="12">
      <c r="B103" s="20" t="s">
        <v>200</v>
      </c>
      <c r="E103" s="27"/>
      <c r="F103" s="27"/>
      <c r="G103" s="27"/>
      <c r="H103" s="27"/>
      <c r="I103" s="27"/>
      <c r="J103" s="27">
        <f>J52</f>
        <v>4.879</v>
      </c>
      <c r="K103" s="27"/>
      <c r="L103" s="27">
        <f t="shared" si="58"/>
        <v>5.333181971358768</v>
      </c>
      <c r="M103" s="27">
        <f t="shared" si="58"/>
        <v>5.968088502716307</v>
      </c>
      <c r="N103" s="27">
        <f t="shared" si="58"/>
        <v>6.784752520995559</v>
      </c>
      <c r="O103" s="27">
        <f t="shared" si="58"/>
        <v>7.650089714764256</v>
      </c>
      <c r="P103" s="27">
        <f t="shared" si="58"/>
        <v>8.567001005281567</v>
      </c>
      <c r="Q103" s="27">
        <f t="shared" si="58"/>
        <v>9.538560208713708</v>
      </c>
    </row>
    <row r="104" spans="4:17" s="19" customFormat="1" ht="12">
      <c r="D104" s="19" t="s">
        <v>201</v>
      </c>
      <c r="E104" s="52"/>
      <c r="F104" s="52"/>
      <c r="G104" s="52"/>
      <c r="H104" s="52"/>
      <c r="I104" s="52"/>
      <c r="J104" s="52">
        <f>SUM(J102:J103)</f>
        <v>7.427999999999999</v>
      </c>
      <c r="K104" s="52"/>
      <c r="L104" s="52">
        <f aca="true" t="shared" si="59" ref="L104:Q104">SUM(L102:L103)</f>
        <v>9.588503169978011</v>
      </c>
      <c r="M104" s="52">
        <f t="shared" si="59"/>
        <v>10.72999868264856</v>
      </c>
      <c r="N104" s="52">
        <f t="shared" si="59"/>
        <v>12.198275139392553</v>
      </c>
      <c r="O104" s="52">
        <f t="shared" si="59"/>
        <v>13.75406087295849</v>
      </c>
      <c r="P104" s="52">
        <f t="shared" si="59"/>
        <v>15.402571436244955</v>
      </c>
      <c r="Q104" s="52">
        <f t="shared" si="59"/>
        <v>17.14933322910329</v>
      </c>
    </row>
    <row r="105" spans="5:17" ht="12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2:17" ht="12">
      <c r="B106" s="20" t="s">
        <v>213</v>
      </c>
      <c r="E106" s="27"/>
      <c r="F106" s="27"/>
      <c r="G106" s="27"/>
      <c r="H106" s="27"/>
      <c r="I106" s="27"/>
      <c r="J106" s="27">
        <f>J100-J104</f>
        <v>14.786000000000003</v>
      </c>
      <c r="K106" s="27"/>
      <c r="L106" s="27">
        <f aca="true" t="shared" si="60" ref="L106:Q106">L100-L104</f>
        <v>8.831990842403542</v>
      </c>
      <c r="M106" s="27">
        <f t="shared" si="60"/>
        <v>7.274956231910341</v>
      </c>
      <c r="N106" s="27">
        <f t="shared" si="60"/>
        <v>8.270450012951542</v>
      </c>
      <c r="O106" s="27">
        <f t="shared" si="60"/>
        <v>9.3252752233428</v>
      </c>
      <c r="P106" s="27">
        <f t="shared" si="60"/>
        <v>10.44296801627338</v>
      </c>
      <c r="Q106" s="27">
        <f t="shared" si="60"/>
        <v>11.627275299662621</v>
      </c>
    </row>
    <row r="107" spans="2:17" ht="12">
      <c r="B107" s="20" t="s">
        <v>214</v>
      </c>
      <c r="L107" s="27">
        <f>-(L106-J106)</f>
        <v>5.954009157596461</v>
      </c>
      <c r="M107" s="27">
        <f>-(M106-L106)</f>
        <v>1.5570346104932007</v>
      </c>
      <c r="N107" s="27">
        <f>-(N106-M106)</f>
        <v>-0.9954937810412012</v>
      </c>
      <c r="O107" s="27">
        <f>-(O106-N106)</f>
        <v>-1.0548252103912574</v>
      </c>
      <c r="P107" s="27">
        <f>-(P106-O106)</f>
        <v>-1.1176927929305798</v>
      </c>
      <c r="Q107" s="27">
        <f>-(Q106-P106)</f>
        <v>-1.1843072833892414</v>
      </c>
    </row>
    <row r="109" spans="2:17" ht="12">
      <c r="B109" s="54" t="s">
        <v>454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</row>
    <row r="111" spans="5:17" ht="12">
      <c r="E111" s="22" t="s">
        <v>107</v>
      </c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2:17" ht="12">
      <c r="B112" s="21" t="s">
        <v>106</v>
      </c>
      <c r="E112" s="23">
        <v>2010</v>
      </c>
      <c r="F112" s="23">
        <f>E112+1</f>
        <v>2011</v>
      </c>
      <c r="G112" s="23">
        <f>F112+1</f>
        <v>2012</v>
      </c>
      <c r="H112" s="23">
        <f>G112+1</f>
        <v>2013</v>
      </c>
      <c r="I112" s="23">
        <f>H112+1</f>
        <v>2014</v>
      </c>
      <c r="J112" s="23">
        <f>I112+1</f>
        <v>2015</v>
      </c>
      <c r="K112" s="24"/>
      <c r="L112" s="25">
        <f>J112+1</f>
        <v>2016</v>
      </c>
      <c r="M112" s="25">
        <f>L112+1</f>
        <v>2017</v>
      </c>
      <c r="N112" s="25">
        <f>M112+1</f>
        <v>2018</v>
      </c>
      <c r="O112" s="25">
        <f>N112+1</f>
        <v>2019</v>
      </c>
      <c r="P112" s="25">
        <f>O112+1</f>
        <v>2020</v>
      </c>
      <c r="Q112" s="25">
        <f>P112+1</f>
        <v>2021</v>
      </c>
    </row>
    <row r="113" spans="2:17" ht="3" customHeight="1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2:17" ht="12">
      <c r="B114" s="20" t="s">
        <v>446</v>
      </c>
      <c r="E114" s="27">
        <f aca="true" t="shared" si="61" ref="E114:J114">(E39/E8)*365</f>
        <v>40.54637635236069</v>
      </c>
      <c r="F114" s="27">
        <f t="shared" si="61"/>
        <v>31.36256883705863</v>
      </c>
      <c r="G114" s="27">
        <f t="shared" si="61"/>
        <v>41.7502436099243</v>
      </c>
      <c r="H114" s="27">
        <f t="shared" si="61"/>
        <v>43.68595568308625</v>
      </c>
      <c r="I114" s="27">
        <f t="shared" si="61"/>
        <v>34.96490958454997</v>
      </c>
      <c r="J114" s="27">
        <f t="shared" si="61"/>
        <v>40.30408970976253</v>
      </c>
      <c r="L114" s="27">
        <v>30</v>
      </c>
      <c r="M114" s="27">
        <f aca="true" t="shared" si="62" ref="M114:Q115">L114</f>
        <v>30</v>
      </c>
      <c r="N114" s="27">
        <f t="shared" si="62"/>
        <v>30</v>
      </c>
      <c r="O114" s="27">
        <f t="shared" si="62"/>
        <v>30</v>
      </c>
      <c r="P114" s="27">
        <f t="shared" si="62"/>
        <v>30</v>
      </c>
      <c r="Q114" s="27">
        <f t="shared" si="62"/>
        <v>30</v>
      </c>
    </row>
    <row r="115" spans="2:17" ht="12">
      <c r="B115" s="20" t="s">
        <v>447</v>
      </c>
      <c r="E115" s="27">
        <f aca="true" t="shared" si="63" ref="E115:J115">-(E51/E10)*365</f>
        <v>103.60481099656357</v>
      </c>
      <c r="F115" s="27">
        <f t="shared" si="63"/>
        <v>42.714105069548225</v>
      </c>
      <c r="G115" s="27">
        <f t="shared" si="63"/>
        <v>95.48110426159207</v>
      </c>
      <c r="H115" s="27">
        <f t="shared" si="63"/>
        <v>87.66906784216751</v>
      </c>
      <c r="I115" s="27">
        <f t="shared" si="63"/>
        <v>47.020666423889296</v>
      </c>
      <c r="J115" s="27">
        <f t="shared" si="63"/>
        <v>58.9298834557892</v>
      </c>
      <c r="L115" s="27">
        <v>90</v>
      </c>
      <c r="M115" s="27">
        <f t="shared" si="62"/>
        <v>90</v>
      </c>
      <c r="N115" s="27">
        <f t="shared" si="62"/>
        <v>90</v>
      </c>
      <c r="O115" s="27">
        <f t="shared" si="62"/>
        <v>90</v>
      </c>
      <c r="P115" s="27">
        <f t="shared" si="62"/>
        <v>90</v>
      </c>
      <c r="Q115" s="27">
        <f t="shared" si="62"/>
        <v>90</v>
      </c>
    </row>
    <row r="116" spans="2:17" ht="12">
      <c r="B116" s="20" t="s">
        <v>448</v>
      </c>
      <c r="E116" s="27">
        <f aca="true" t="shared" si="64" ref="E116:J116">-(E40/E10)*365</f>
        <v>271.1786941580756</v>
      </c>
      <c r="F116" s="27">
        <f t="shared" si="64"/>
        <v>162.92619841361076</v>
      </c>
      <c r="G116" s="27">
        <f t="shared" si="64"/>
        <v>245.35513267220585</v>
      </c>
      <c r="H116" s="27">
        <f t="shared" si="64"/>
        <v>198.02064294161917</v>
      </c>
      <c r="I116" s="27">
        <f t="shared" si="64"/>
        <v>277.0730152949745</v>
      </c>
      <c r="J116" s="27">
        <f t="shared" si="64"/>
        <v>288.63852292880665</v>
      </c>
      <c r="L116" s="27">
        <v>199.3</v>
      </c>
      <c r="M116" s="27">
        <v>150</v>
      </c>
      <c r="N116" s="27">
        <f>M116</f>
        <v>150</v>
      </c>
      <c r="O116" s="27">
        <f>N116</f>
        <v>150</v>
      </c>
      <c r="P116" s="27">
        <f>O116</f>
        <v>150</v>
      </c>
      <c r="Q116" s="27">
        <f>P116</f>
        <v>150</v>
      </c>
    </row>
    <row r="118" spans="2:17" ht="12">
      <c r="B118" s="54" t="s">
        <v>444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</row>
    <row r="120" spans="5:17" ht="12">
      <c r="E120" s="22" t="s">
        <v>107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2:17" ht="12">
      <c r="B121" s="21" t="s">
        <v>106</v>
      </c>
      <c r="E121" s="23">
        <v>2010</v>
      </c>
      <c r="F121" s="23">
        <f>E121+1</f>
        <v>2011</v>
      </c>
      <c r="G121" s="23">
        <f>F121+1</f>
        <v>2012</v>
      </c>
      <c r="H121" s="23">
        <f>G121+1</f>
        <v>2013</v>
      </c>
      <c r="I121" s="23">
        <f>H121+1</f>
        <v>2014</v>
      </c>
      <c r="J121" s="23">
        <f>I121+1</f>
        <v>2015</v>
      </c>
      <c r="K121" s="24"/>
      <c r="L121" s="25">
        <f>J121+1</f>
        <v>2016</v>
      </c>
      <c r="M121" s="25">
        <f>L121+1</f>
        <v>2017</v>
      </c>
      <c r="N121" s="25">
        <f>M121+1</f>
        <v>2018</v>
      </c>
      <c r="O121" s="25">
        <f>N121+1</f>
        <v>2019</v>
      </c>
      <c r="P121" s="25">
        <f>O121+1</f>
        <v>2020</v>
      </c>
      <c r="Q121" s="25">
        <f>P121+1</f>
        <v>2021</v>
      </c>
    </row>
    <row r="122" spans="2:17" ht="3" customHeight="1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2:17" ht="12">
      <c r="B123" s="20" t="s">
        <v>456</v>
      </c>
      <c r="K123" s="27"/>
      <c r="L123" s="27">
        <f aca="true" t="shared" si="65" ref="L123:Q123">K125</f>
        <v>49.77437600785981</v>
      </c>
      <c r="M123" s="27">
        <f t="shared" si="65"/>
        <v>43.751564132208294</v>
      </c>
      <c r="N123" s="27">
        <f t="shared" si="65"/>
        <v>40.014853832314095</v>
      </c>
      <c r="O123" s="27">
        <f t="shared" si="65"/>
        <v>35.77109256528393</v>
      </c>
      <c r="P123" s="27">
        <f t="shared" si="65"/>
        <v>28.919580509755693</v>
      </c>
      <c r="Q123" s="27">
        <f t="shared" si="65"/>
        <v>18.635050816031633</v>
      </c>
    </row>
    <row r="124" spans="2:17" ht="12">
      <c r="B124" s="20" t="s">
        <v>445</v>
      </c>
      <c r="K124" s="27"/>
      <c r="L124" s="27">
        <f aca="true" t="shared" si="66" ref="L124:Q124">-MIN(L123,L83)</f>
        <v>-6.022811875651514</v>
      </c>
      <c r="M124" s="27">
        <f t="shared" si="66"/>
        <v>-3.736710299894196</v>
      </c>
      <c r="N124" s="27">
        <f t="shared" si="66"/>
        <v>-4.243761267030165</v>
      </c>
      <c r="O124" s="27">
        <f t="shared" si="66"/>
        <v>-6.851512055528237</v>
      </c>
      <c r="P124" s="27">
        <f t="shared" si="66"/>
        <v>-10.28452969372406</v>
      </c>
      <c r="Q124" s="27">
        <f t="shared" si="66"/>
        <v>-14.179611081228206</v>
      </c>
    </row>
    <row r="125" spans="2:17" ht="12">
      <c r="B125" s="20" t="s">
        <v>457</v>
      </c>
      <c r="K125" s="27">
        <f>'Sources &amp; Uses'!E28</f>
        <v>49.77437600785981</v>
      </c>
      <c r="L125" s="27">
        <f aca="true" t="shared" si="67" ref="L125:Q125">SUM(L123:L124)</f>
        <v>43.751564132208294</v>
      </c>
      <c r="M125" s="27">
        <f t="shared" si="67"/>
        <v>40.014853832314095</v>
      </c>
      <c r="N125" s="27">
        <f t="shared" si="67"/>
        <v>35.77109256528393</v>
      </c>
      <c r="O125" s="27">
        <f t="shared" si="67"/>
        <v>28.919580509755693</v>
      </c>
      <c r="P125" s="27">
        <f t="shared" si="67"/>
        <v>18.635050816031633</v>
      </c>
      <c r="Q125" s="27">
        <f t="shared" si="67"/>
        <v>4.455439734803427</v>
      </c>
    </row>
    <row r="126" ht="3" customHeight="1"/>
    <row r="127" spans="2:17" ht="12">
      <c r="B127" s="20" t="s">
        <v>458</v>
      </c>
      <c r="L127" s="27">
        <f>L123*'Sources &amp; Uses'!$I$28</f>
        <v>2.82080845967983</v>
      </c>
      <c r="M127" s="27">
        <f>M123*'Sources &amp; Uses'!$I$28</f>
        <v>2.479484267344095</v>
      </c>
      <c r="N127" s="27">
        <f>N123*'Sources &amp; Uses'!$I$28</f>
        <v>2.267717794899521</v>
      </c>
      <c r="O127" s="27">
        <f>O123*'Sources &amp; Uses'!$I$28</f>
        <v>2.027215780750514</v>
      </c>
      <c r="P127" s="27">
        <f>P123*'Sources &amp; Uses'!$I$28</f>
        <v>1.6389275746908236</v>
      </c>
      <c r="Q127" s="27">
        <f>Q123*'Sources &amp; Uses'!$I$28</f>
        <v>1.0560837363410631</v>
      </c>
    </row>
    <row r="128" spans="2:17" ht="12">
      <c r="B128" s="20" t="s">
        <v>488</v>
      </c>
      <c r="L128" s="27">
        <f aca="true" t="shared" si="68" ref="L128:Q128">L83+L124</f>
        <v>0</v>
      </c>
      <c r="M128" s="27">
        <f t="shared" si="68"/>
        <v>0</v>
      </c>
      <c r="N128" s="27">
        <f t="shared" si="68"/>
        <v>0</v>
      </c>
      <c r="O128" s="27">
        <f t="shared" si="68"/>
        <v>0</v>
      </c>
      <c r="P128" s="27">
        <f t="shared" si="68"/>
        <v>0</v>
      </c>
      <c r="Q128" s="27">
        <f t="shared" si="68"/>
        <v>0</v>
      </c>
    </row>
    <row r="130" spans="2:17" ht="12">
      <c r="B130" s="20" t="s">
        <v>459</v>
      </c>
      <c r="K130" s="27"/>
      <c r="L130" s="27">
        <f>K131</f>
        <v>11.57543628089763</v>
      </c>
      <c r="M130" s="27">
        <f>L134</f>
        <v>12.964488634605345</v>
      </c>
      <c r="N130" s="27">
        <f>M134</f>
        <v>14.520227270757987</v>
      </c>
      <c r="O130" s="27">
        <f>N134</f>
        <v>16.262654543248946</v>
      </c>
      <c r="P130" s="27">
        <f>O134</f>
        <v>18.21417308843882</v>
      </c>
      <c r="Q130" s="27">
        <f>P134</f>
        <v>20.39987385905148</v>
      </c>
    </row>
    <row r="131" spans="2:17" ht="12">
      <c r="B131" s="20" t="s">
        <v>457</v>
      </c>
      <c r="K131" s="27">
        <f>'Sources &amp; Uses'!E29</f>
        <v>11.57543628089763</v>
      </c>
      <c r="L131" s="27">
        <f aca="true" t="shared" si="69" ref="L131:Q131">SUM(L130:L130)</f>
        <v>11.57543628089763</v>
      </c>
      <c r="M131" s="27">
        <f t="shared" si="69"/>
        <v>12.964488634605345</v>
      </c>
      <c r="N131" s="27">
        <f t="shared" si="69"/>
        <v>14.520227270757987</v>
      </c>
      <c r="O131" s="27">
        <f t="shared" si="69"/>
        <v>16.262654543248946</v>
      </c>
      <c r="P131" s="27">
        <f t="shared" si="69"/>
        <v>18.21417308843882</v>
      </c>
      <c r="Q131" s="27">
        <f t="shared" si="69"/>
        <v>20.39987385905148</v>
      </c>
    </row>
    <row r="132" ht="3" customHeight="1"/>
    <row r="133" spans="2:17" ht="12">
      <c r="B133" s="20" t="s">
        <v>458</v>
      </c>
      <c r="L133" s="27">
        <f>L130*'Sources &amp; Uses'!$I$30</f>
        <v>1.3890523537077155</v>
      </c>
      <c r="M133" s="27">
        <f>M130*'Sources &amp; Uses'!$I$30</f>
        <v>1.5557386361526413</v>
      </c>
      <c r="N133" s="27">
        <f>N130*'Sources &amp; Uses'!$I$30</f>
        <v>1.7424272724909584</v>
      </c>
      <c r="O133" s="27">
        <f>O130*'Sources &amp; Uses'!$I$30</f>
        <v>1.9515185451898733</v>
      </c>
      <c r="P133" s="27">
        <f>P130*'Sources &amp; Uses'!$I$30</f>
        <v>2.1857007706126583</v>
      </c>
      <c r="Q133" s="27">
        <f>Q130*'Sources &amp; Uses'!$I$30</f>
        <v>2.447984863086177</v>
      </c>
    </row>
    <row r="134" spans="2:17" ht="12">
      <c r="B134" s="20" t="s">
        <v>486</v>
      </c>
      <c r="L134" s="27">
        <f>L131+L133</f>
        <v>12.964488634605345</v>
      </c>
      <c r="M134" s="27">
        <f>L136+M133</f>
        <v>14.520227270757987</v>
      </c>
      <c r="N134" s="27">
        <f>M136+N133</f>
        <v>16.262654543248946</v>
      </c>
      <c r="O134" s="27">
        <f>N136+O133</f>
        <v>18.21417308843882</v>
      </c>
      <c r="P134" s="27">
        <f>O136+P133</f>
        <v>20.39987385905148</v>
      </c>
      <c r="Q134" s="27">
        <f>P136+Q133</f>
        <v>22.847858722137655</v>
      </c>
    </row>
    <row r="135" spans="2:17" ht="12">
      <c r="B135" s="20" t="s">
        <v>487</v>
      </c>
      <c r="L135" s="27"/>
      <c r="M135" s="27"/>
      <c r="N135" s="27"/>
      <c r="O135" s="27"/>
      <c r="P135" s="27"/>
      <c r="Q135" s="27"/>
    </row>
    <row r="136" spans="2:17" ht="12">
      <c r="B136" s="20" t="s">
        <v>457</v>
      </c>
      <c r="L136" s="27">
        <f>SUM(L134:L135)</f>
        <v>12.964488634605345</v>
      </c>
      <c r="M136" s="27">
        <f>SUM(M134:M135)</f>
        <v>14.520227270757987</v>
      </c>
      <c r="N136" s="27">
        <f>SUM(N134:N135)</f>
        <v>16.262654543248946</v>
      </c>
      <c r="O136" s="27">
        <f>SUM(O134:O135)</f>
        <v>18.21417308843882</v>
      </c>
      <c r="P136" s="27">
        <f>SUM(P134:P135)</f>
        <v>20.39987385905148</v>
      </c>
      <c r="Q136" s="27">
        <f>SUM(Q134:Q135)</f>
        <v>22.847858722137655</v>
      </c>
    </row>
    <row r="138" spans="2:17" ht="12">
      <c r="B138" s="54" t="s">
        <v>444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</row>
    <row r="140" spans="5:17" ht="12">
      <c r="E140" s="22" t="s">
        <v>107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2:17" ht="12">
      <c r="B141" s="21" t="s">
        <v>106</v>
      </c>
      <c r="E141" s="23">
        <v>2010</v>
      </c>
      <c r="F141" s="23">
        <f>E141+1</f>
        <v>2011</v>
      </c>
      <c r="G141" s="23">
        <f>F141+1</f>
        <v>2012</v>
      </c>
      <c r="H141" s="23">
        <f>G141+1</f>
        <v>2013</v>
      </c>
      <c r="I141" s="23">
        <f>H141+1</f>
        <v>2014</v>
      </c>
      <c r="J141" s="23">
        <f>I141+1</f>
        <v>2015</v>
      </c>
      <c r="K141" s="24"/>
      <c r="L141" s="25">
        <f>J141+1</f>
        <v>2016</v>
      </c>
      <c r="M141" s="25">
        <f>L141+1</f>
        <v>2017</v>
      </c>
      <c r="N141" s="25">
        <f>M141+1</f>
        <v>2018</v>
      </c>
      <c r="O141" s="25">
        <f>N141+1</f>
        <v>2019</v>
      </c>
      <c r="P141" s="25">
        <f>O141+1</f>
        <v>2020</v>
      </c>
      <c r="Q141" s="25">
        <f>P141+1</f>
        <v>2021</v>
      </c>
    </row>
    <row r="142" spans="2:17" ht="3" customHeight="1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2:17" ht="12">
      <c r="B143" s="20" t="s">
        <v>464</v>
      </c>
      <c r="L143" s="27">
        <f>(L56-L38)/L16</f>
        <v>4.899690291622902</v>
      </c>
      <c r="M143" s="27">
        <f>(M56-M38)/M16</f>
        <v>4.029095375166046</v>
      </c>
      <c r="N143" s="27">
        <f>(N56-N38)/N16</f>
        <v>3.0818940124989287</v>
      </c>
      <c r="O143" s="27">
        <f>(O56-O38)/O16</f>
        <v>2.287613905880366</v>
      </c>
      <c r="P143" s="27"/>
      <c r="Q143" s="27"/>
    </row>
    <row r="144" spans="2:17" ht="12">
      <c r="B144" s="20" t="s">
        <v>465</v>
      </c>
      <c r="L144" s="27">
        <f>L56/L16</f>
        <v>4.899690291622902</v>
      </c>
      <c r="M144" s="27">
        <f>M56/M16</f>
        <v>4.029095375166046</v>
      </c>
      <c r="N144" s="27">
        <f>N56/N16</f>
        <v>3.0818940124989287</v>
      </c>
      <c r="O144" s="27">
        <f>O56/O16</f>
        <v>2.287613905880366</v>
      </c>
      <c r="P144" s="27"/>
      <c r="Q144" s="27"/>
    </row>
    <row r="145" spans="2:17" ht="12">
      <c r="B145" s="20" t="s">
        <v>467</v>
      </c>
      <c r="L145" s="27">
        <f>(L56-L38)/(L16+L79+L80)</f>
        <v>15.36422369263333</v>
      </c>
      <c r="M145" s="27">
        <f>(M56-M38)/(M16+M79+M80)</f>
        <v>9.649978217181442</v>
      </c>
      <c r="N145" s="27">
        <f>(N56-N38)/(N16+N79+N80)</f>
        <v>5.781725773411674</v>
      </c>
      <c r="O145" s="27">
        <f>(O56-O38)/(O16+O79+O80)</f>
        <v>3.705514758618004</v>
      </c>
      <c r="P145" s="27"/>
      <c r="Q145" s="27"/>
    </row>
    <row r="146" spans="2:17" ht="12">
      <c r="B146" s="20" t="s">
        <v>466</v>
      </c>
      <c r="L146" s="27">
        <f>L56/(L16+L79+L80)</f>
        <v>15.36422369263333</v>
      </c>
      <c r="M146" s="27">
        <f>M56/(M16+M79+M80)</f>
        <v>9.649978217181442</v>
      </c>
      <c r="N146" s="27">
        <f>N56/(N16+N79+N80)</f>
        <v>5.781725773411674</v>
      </c>
      <c r="O146" s="27">
        <f>O56/(O16+O79+O80)</f>
        <v>3.705514758618004</v>
      </c>
      <c r="P146" s="27"/>
      <c r="Q146" s="27"/>
    </row>
    <row r="147" spans="2:17" ht="12">
      <c r="B147" s="20" t="s">
        <v>468</v>
      </c>
      <c r="L147" s="27">
        <f>-(L16/L24)</f>
        <v>2.749600709858916</v>
      </c>
      <c r="M147" s="27">
        <f>-(M16/M24)</f>
        <v>3.3542921473221714</v>
      </c>
      <c r="N147" s="27">
        <f>-(N16/N24)</f>
        <v>4.21024451995833</v>
      </c>
      <c r="O147" s="27">
        <f>-(O16/O24)</f>
        <v>5.17850450636841</v>
      </c>
      <c r="P147" s="27"/>
      <c r="Q147" s="27"/>
    </row>
    <row r="148" spans="2:17" ht="12">
      <c r="B148" s="20" t="s">
        <v>493</v>
      </c>
      <c r="L148" s="29">
        <f>(L16+L79+L80)/L16</f>
        <v>0.31890256153795477</v>
      </c>
      <c r="M148" s="29">
        <f>(M16+M79+M80)/M16</f>
        <v>0.41752377927572776</v>
      </c>
      <c r="N148" s="29">
        <f>(N16+N79+N80)/N16</f>
        <v>0.5330405026595317</v>
      </c>
      <c r="O148" s="29">
        <f>(O16+O79+O80)/O16</f>
        <v>0.6173538779085977</v>
      </c>
      <c r="P148" s="29"/>
      <c r="Q148" s="29"/>
    </row>
    <row r="153" spans="11:17" ht="12">
      <c r="K153" s="20" t="s">
        <v>510</v>
      </c>
      <c r="L153" s="27">
        <f>L83</f>
        <v>6.022811875651514</v>
      </c>
      <c r="M153" s="27">
        <f>M83</f>
        <v>3.736710299894196</v>
      </c>
      <c r="N153" s="27">
        <f>N83</f>
        <v>4.243761267030165</v>
      </c>
      <c r="O153" s="27">
        <f>O83</f>
        <v>6.851512055528237</v>
      </c>
      <c r="P153" s="27">
        <f>P83</f>
        <v>10.28452969372406</v>
      </c>
      <c r="Q153" s="27">
        <f>Q83</f>
        <v>14.179611081228206</v>
      </c>
    </row>
    <row r="154" spans="11:17" ht="12">
      <c r="K154" s="20" t="s">
        <v>511</v>
      </c>
      <c r="L154" s="27">
        <f>L125</f>
        <v>43.751564132208294</v>
      </c>
      <c r="M154" s="27">
        <f>M125</f>
        <v>40.014853832314095</v>
      </c>
      <c r="N154" s="27">
        <f>N125</f>
        <v>35.77109256528393</v>
      </c>
      <c r="O154" s="27">
        <f>O125</f>
        <v>28.919580509755693</v>
      </c>
      <c r="P154" s="27">
        <f>P125</f>
        <v>18.635050816031633</v>
      </c>
      <c r="Q154" s="27">
        <f>Q125</f>
        <v>4.455439734803427</v>
      </c>
    </row>
    <row r="155" spans="11:17" ht="12">
      <c r="K155" s="20" t="s">
        <v>376</v>
      </c>
      <c r="L155" s="27">
        <f>L136</f>
        <v>12.964488634605345</v>
      </c>
      <c r="M155" s="27">
        <f>M136</f>
        <v>14.520227270757987</v>
      </c>
      <c r="N155" s="27">
        <f>N136</f>
        <v>16.262654543248946</v>
      </c>
      <c r="O155" s="27">
        <f>O136</f>
        <v>18.21417308843882</v>
      </c>
      <c r="P155" s="27">
        <f>P136</f>
        <v>20.39987385905148</v>
      </c>
      <c r="Q155" s="27">
        <f>Q136</f>
        <v>22.847858722137655</v>
      </c>
    </row>
    <row r="156" spans="11:17" ht="12">
      <c r="K156" s="20" t="s">
        <v>512</v>
      </c>
      <c r="L156" s="111">
        <f>((($K$125+$K$131)-(L125+L134))/($K$125+$K$131))</f>
        <v>0.07553013365605597</v>
      </c>
      <c r="M156" s="111">
        <f>(($K$125-M125)/$K$125)</f>
        <v>0.19607522902958338</v>
      </c>
      <c r="N156" s="111">
        <f>(($K$125-N125)/$K$125)</f>
        <v>0.2813351882174201</v>
      </c>
      <c r="O156" s="111">
        <f>(($K$125-O125)/$K$125)</f>
        <v>0.41898657845175113</v>
      </c>
      <c r="P156" s="111">
        <f>(($K$125-P125)/$K$125)</f>
        <v>0.6256095543399882</v>
      </c>
      <c r="Q156" s="111">
        <f>(($K$125-Q125)/$K$125)</f>
        <v>0.9104872809636052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151"/>
  <sheetViews>
    <sheetView zoomScalePageLayoutView="0" workbookViewId="0" topLeftCell="L1">
      <selection activeCell="W19" sqref="W19"/>
    </sheetView>
  </sheetViews>
  <sheetFormatPr defaultColWidth="9.140625" defaultRowHeight="15"/>
  <cols>
    <col min="1" max="1" width="9.140625" style="63" customWidth="1"/>
    <col min="2" max="3" width="1.7109375" style="63" customWidth="1"/>
    <col min="4" max="4" width="11.140625" style="63" customWidth="1"/>
    <col min="5" max="5" width="9.140625" style="63" customWidth="1"/>
    <col min="6" max="9" width="12.8515625" style="63" bestFit="1" customWidth="1"/>
    <col min="10" max="10" width="7.7109375" style="63" bestFit="1" customWidth="1"/>
    <col min="11" max="11" width="9.140625" style="63" customWidth="1"/>
    <col min="12" max="12" width="7.7109375" style="63" bestFit="1" customWidth="1"/>
    <col min="13" max="16384" width="9.140625" style="63" customWidth="1"/>
  </cols>
  <sheetData>
    <row r="2" ht="15.75">
      <c r="B2" s="18" t="s">
        <v>104</v>
      </c>
    </row>
    <row r="3" ht="12.75">
      <c r="B3" s="17" t="s">
        <v>379</v>
      </c>
    </row>
    <row r="5" spans="2:17" ht="12">
      <c r="B5" s="20"/>
      <c r="C5" s="20"/>
      <c r="D5" s="20"/>
      <c r="E5" s="22" t="s">
        <v>107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ht="12">
      <c r="B6" s="21" t="s">
        <v>106</v>
      </c>
      <c r="C6" s="20"/>
      <c r="D6" s="20"/>
      <c r="E6" s="23">
        <v>2010</v>
      </c>
      <c r="F6" s="23">
        <f>E6+1</f>
        <v>2011</v>
      </c>
      <c r="G6" s="23">
        <f>F6+1</f>
        <v>2012</v>
      </c>
      <c r="H6" s="23">
        <f>G6+1</f>
        <v>2013</v>
      </c>
      <c r="I6" s="23">
        <f>H6+1</f>
        <v>2014</v>
      </c>
      <c r="J6" s="23">
        <f>I6+1</f>
        <v>2015</v>
      </c>
      <c r="K6" s="24"/>
      <c r="L6" s="25">
        <f>J6+1</f>
        <v>2016</v>
      </c>
      <c r="M6" s="25">
        <f>L6+1</f>
        <v>2017</v>
      </c>
      <c r="N6" s="25">
        <f>M6+1</f>
        <v>2018</v>
      </c>
      <c r="O6" s="25">
        <f>N6+1</f>
        <v>2019</v>
      </c>
      <c r="P6" s="25">
        <f>O6+1</f>
        <v>2020</v>
      </c>
      <c r="Q6" s="25">
        <f>P6+1</f>
        <v>2021</v>
      </c>
    </row>
    <row r="7" spans="2:17" ht="12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2:17" ht="12">
      <c r="B8" s="100" t="s">
        <v>396</v>
      </c>
      <c r="C8" s="99"/>
      <c r="D8" s="99"/>
      <c r="E8" s="66">
        <f>OpMod!E8</f>
        <v>22.091</v>
      </c>
      <c r="F8" s="66">
        <f>OpMod!F8</f>
        <v>24.696</v>
      </c>
      <c r="G8" s="66">
        <f>OpMod!G8</f>
        <v>26.682</v>
      </c>
      <c r="H8" s="66">
        <f>OpMod!H8</f>
        <v>31.365</v>
      </c>
      <c r="I8" s="66">
        <f>OpMod!I8</f>
        <v>39.042</v>
      </c>
      <c r="J8" s="66">
        <f>OpMod!J8</f>
        <v>53.06</v>
      </c>
      <c r="K8" s="99"/>
      <c r="L8" s="66">
        <f>J8*(1+L10)</f>
        <v>56.222376000000004</v>
      </c>
      <c r="M8" s="66">
        <f>L8*(1+M10)</f>
        <v>59.57322960960001</v>
      </c>
      <c r="N8" s="66">
        <f>M8*(1+N10)</f>
        <v>63.123794094332176</v>
      </c>
      <c r="O8" s="66">
        <f>N8*(1+O10)</f>
        <v>66.88597222235438</v>
      </c>
      <c r="P8" s="66">
        <f>O8*(1+P10)</f>
        <v>70.87237616680672</v>
      </c>
      <c r="Q8" s="66">
        <f>P8*(1+Q10)</f>
        <v>75.0963697863484</v>
      </c>
    </row>
    <row r="9" spans="2:17" ht="12">
      <c r="B9" s="100"/>
      <c r="C9" s="100" t="s">
        <v>397</v>
      </c>
      <c r="D9" s="99"/>
      <c r="E9" s="66"/>
      <c r="F9" s="73">
        <v>0.05</v>
      </c>
      <c r="G9" s="73">
        <v>0.058</v>
      </c>
      <c r="H9" s="73">
        <v>0.05</v>
      </c>
      <c r="I9" s="73">
        <v>0.07</v>
      </c>
      <c r="J9" s="73">
        <v>0.07</v>
      </c>
      <c r="K9" s="99"/>
      <c r="L9" s="99"/>
      <c r="M9" s="99"/>
      <c r="N9" s="99"/>
      <c r="O9" s="99"/>
      <c r="P9" s="99"/>
      <c r="Q9" s="99"/>
    </row>
    <row r="10" spans="2:17" ht="12">
      <c r="B10" s="100"/>
      <c r="C10" s="100"/>
      <c r="D10" s="99"/>
      <c r="E10" s="66"/>
      <c r="F10" s="66"/>
      <c r="G10" s="66"/>
      <c r="H10" s="66"/>
      <c r="I10" s="73"/>
      <c r="J10" s="73">
        <f>AVERAGE(F9:J9)</f>
        <v>0.05960000000000001</v>
      </c>
      <c r="K10" s="99"/>
      <c r="L10" s="101">
        <f>J10</f>
        <v>0.05960000000000001</v>
      </c>
      <c r="M10" s="101">
        <f>L10</f>
        <v>0.05960000000000001</v>
      </c>
      <c r="N10" s="101">
        <f>M10</f>
        <v>0.05960000000000001</v>
      </c>
      <c r="O10" s="101">
        <f>N10</f>
        <v>0.05960000000000001</v>
      </c>
      <c r="P10" s="101">
        <f>O10</f>
        <v>0.05960000000000001</v>
      </c>
      <c r="Q10" s="101">
        <f>P10</f>
        <v>0.05960000000000001</v>
      </c>
    </row>
    <row r="11" spans="2:17" ht="12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2:17" ht="12">
      <c r="B12" s="100" t="s">
        <v>387</v>
      </c>
      <c r="C12" s="99"/>
      <c r="D12" s="99"/>
      <c r="E12" s="66"/>
      <c r="F12" s="66"/>
      <c r="G12" s="66"/>
      <c r="H12" s="66"/>
      <c r="I12" s="97"/>
      <c r="J12" s="66">
        <v>14.585</v>
      </c>
      <c r="K12" s="66"/>
      <c r="L12" s="66"/>
      <c r="M12" s="66"/>
      <c r="N12" s="66"/>
      <c r="O12" s="66"/>
      <c r="P12" s="66"/>
      <c r="Q12" s="66"/>
    </row>
    <row r="13" spans="2:17" ht="12">
      <c r="B13" s="100" t="s">
        <v>388</v>
      </c>
      <c r="C13" s="99"/>
      <c r="D13" s="99"/>
      <c r="E13" s="66"/>
      <c r="F13" s="66"/>
      <c r="G13" s="66"/>
      <c r="H13" s="66"/>
      <c r="I13" s="97"/>
      <c r="J13" s="66">
        <v>22.192</v>
      </c>
      <c r="K13" s="66"/>
      <c r="L13" s="66"/>
      <c r="M13" s="66"/>
      <c r="N13" s="66"/>
      <c r="O13" s="66"/>
      <c r="P13" s="66"/>
      <c r="Q13" s="66"/>
    </row>
    <row r="14" spans="2:17" ht="12">
      <c r="B14" s="100" t="s">
        <v>389</v>
      </c>
      <c r="C14" s="99"/>
      <c r="D14" s="99"/>
      <c r="E14" s="66"/>
      <c r="F14" s="66"/>
      <c r="G14" s="66"/>
      <c r="H14" s="66"/>
      <c r="I14" s="97"/>
      <c r="J14" s="66">
        <v>16.283</v>
      </c>
      <c r="K14" s="66"/>
      <c r="L14" s="66"/>
      <c r="M14" s="66"/>
      <c r="N14" s="66"/>
      <c r="O14" s="66"/>
      <c r="P14" s="66"/>
      <c r="Q14" s="66"/>
    </row>
    <row r="15" spans="2:17" ht="12">
      <c r="B15" s="100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2:17" ht="12">
      <c r="B16" s="100" t="s">
        <v>390</v>
      </c>
      <c r="C16" s="99"/>
      <c r="D16" s="99"/>
      <c r="E16" s="99"/>
      <c r="F16" s="99"/>
      <c r="G16" s="99"/>
      <c r="H16" s="99"/>
      <c r="I16" s="99"/>
      <c r="J16" s="66">
        <v>18</v>
      </c>
      <c r="K16" s="99"/>
      <c r="L16" s="99"/>
      <c r="M16" s="99"/>
      <c r="N16" s="99"/>
      <c r="O16" s="99"/>
      <c r="P16" s="99"/>
      <c r="Q16" s="99"/>
    </row>
    <row r="17" spans="2:17" ht="12">
      <c r="B17" s="100" t="s">
        <v>391</v>
      </c>
      <c r="C17" s="99"/>
      <c r="D17" s="99"/>
      <c r="E17" s="99"/>
      <c r="F17" s="99"/>
      <c r="G17" s="99"/>
      <c r="H17" s="99"/>
      <c r="I17" s="99"/>
      <c r="J17" s="66">
        <v>12</v>
      </c>
      <c r="K17" s="99"/>
      <c r="L17" s="99"/>
      <c r="M17" s="99"/>
      <c r="N17" s="99"/>
      <c r="O17" s="99"/>
      <c r="P17" s="99"/>
      <c r="Q17" s="99"/>
    </row>
    <row r="18" spans="2:17" ht="12">
      <c r="B18" s="100" t="s">
        <v>392</v>
      </c>
      <c r="C18" s="99"/>
      <c r="D18" s="99"/>
      <c r="E18" s="99"/>
      <c r="F18" s="99"/>
      <c r="G18" s="99"/>
      <c r="H18" s="99"/>
      <c r="I18" s="99"/>
      <c r="J18" s="66">
        <v>70</v>
      </c>
      <c r="K18" s="99"/>
      <c r="L18" s="99"/>
      <c r="M18" s="99"/>
      <c r="N18" s="99"/>
      <c r="O18" s="99"/>
      <c r="P18" s="99"/>
      <c r="Q18" s="99"/>
    </row>
    <row r="19" spans="2:24" ht="12">
      <c r="B19" s="99"/>
      <c r="C19" s="99"/>
      <c r="D19" s="99"/>
      <c r="E19" s="99"/>
      <c r="F19" s="99"/>
      <c r="G19" s="99"/>
      <c r="H19" s="99"/>
      <c r="I19" s="99"/>
      <c r="J19" s="66"/>
      <c r="K19" s="99"/>
      <c r="L19" s="99"/>
      <c r="M19" s="99"/>
      <c r="N19" s="99"/>
      <c r="O19" s="99"/>
      <c r="P19" s="99"/>
      <c r="Q19" s="99"/>
      <c r="S19" s="63">
        <v>12</v>
      </c>
      <c r="T19" s="63">
        <v>12</v>
      </c>
      <c r="U19" s="63">
        <v>12</v>
      </c>
      <c r="V19" s="63">
        <v>12</v>
      </c>
      <c r="W19" s="63">
        <v>12</v>
      </c>
      <c r="X19" s="63">
        <v>12</v>
      </c>
    </row>
    <row r="20" spans="2:17" ht="12">
      <c r="B20" s="100" t="s">
        <v>393</v>
      </c>
      <c r="C20" s="99"/>
      <c r="D20" s="99"/>
      <c r="E20" s="99"/>
      <c r="F20" s="99"/>
      <c r="G20" s="99"/>
      <c r="H20" s="99"/>
      <c r="I20" s="99"/>
      <c r="J20" s="66">
        <f>J12/J16</f>
        <v>0.8102777777777779</v>
      </c>
      <c r="K20" s="99"/>
      <c r="L20" s="104">
        <f>$J$20*(1+L10)</f>
        <v>0.8585703333333335</v>
      </c>
      <c r="M20" s="104">
        <f>L20*(1+M10)</f>
        <v>0.9097411252000003</v>
      </c>
      <c r="N20" s="104">
        <f>M20*(1+N10)</f>
        <v>0.9639616962619204</v>
      </c>
      <c r="O20" s="104">
        <f>N20*(1+O10)</f>
        <v>1.021413813359131</v>
      </c>
      <c r="P20" s="104">
        <f>O20*(1+P10)</f>
        <v>1.0822900766353354</v>
      </c>
      <c r="Q20" s="104">
        <f>P20*(1+Q10)</f>
        <v>1.1467945652028015</v>
      </c>
    </row>
    <row r="21" spans="2:17" ht="12">
      <c r="B21" s="100" t="s">
        <v>394</v>
      </c>
      <c r="C21" s="99"/>
      <c r="D21" s="99"/>
      <c r="E21" s="99"/>
      <c r="F21" s="99"/>
      <c r="G21" s="99"/>
      <c r="H21" s="99"/>
      <c r="I21" s="99"/>
      <c r="J21" s="66">
        <f>J13/J17</f>
        <v>1.8493333333333333</v>
      </c>
      <c r="K21" s="99"/>
      <c r="L21" s="104">
        <f>$J$21*(1+L10)</f>
        <v>1.9595536</v>
      </c>
      <c r="M21" s="104">
        <f>L21*(1+M10)</f>
        <v>2.07634299456</v>
      </c>
      <c r="N21" s="104">
        <f>M21*(1+N10)</f>
        <v>2.200093037035776</v>
      </c>
      <c r="O21" s="104">
        <f>N21*(1+O10)</f>
        <v>2.3312185820431086</v>
      </c>
      <c r="P21" s="104">
        <f>O21*(1+P10)</f>
        <v>2.470159209532878</v>
      </c>
      <c r="Q21" s="104">
        <f>P21*(1+Q10)</f>
        <v>2.6173806984210377</v>
      </c>
    </row>
    <row r="22" spans="2:17" ht="12">
      <c r="B22" s="100" t="s">
        <v>395</v>
      </c>
      <c r="C22" s="99"/>
      <c r="D22" s="99"/>
      <c r="E22" s="99"/>
      <c r="F22" s="99"/>
      <c r="G22" s="99"/>
      <c r="H22" s="99"/>
      <c r="I22" s="99"/>
      <c r="J22" s="66">
        <f>J14/J18</f>
        <v>0.23261428571428575</v>
      </c>
      <c r="K22" s="99"/>
      <c r="L22" s="104">
        <f>$J$22*(1+L10)</f>
        <v>0.2464780971428572</v>
      </c>
      <c r="M22" s="104">
        <f>L22*(1+M10)</f>
        <v>0.2611681917325715</v>
      </c>
      <c r="N22" s="104">
        <f>M22*(1+N10)</f>
        <v>0.27673381595983276</v>
      </c>
      <c r="O22" s="104">
        <f>N22*(1+O10)</f>
        <v>0.29322715139103883</v>
      </c>
      <c r="P22" s="104">
        <f>O22*(1+P10)</f>
        <v>0.3107034896139448</v>
      </c>
      <c r="Q22" s="104">
        <f>P22*(1+Q10)</f>
        <v>0.32922141759493595</v>
      </c>
    </row>
    <row r="23" spans="2:24" ht="12">
      <c r="B23" s="100"/>
      <c r="C23" s="100" t="s">
        <v>399</v>
      </c>
      <c r="D23" s="99"/>
      <c r="E23" s="99"/>
      <c r="F23" s="99"/>
      <c r="G23" s="99"/>
      <c r="H23" s="99"/>
      <c r="I23" s="99"/>
      <c r="J23" s="66">
        <v>0.18</v>
      </c>
      <c r="K23" s="99"/>
      <c r="L23" s="66">
        <f>ROUND(($J$23*$S$19),0)</f>
        <v>2</v>
      </c>
      <c r="M23" s="66">
        <f>ROUND(($J$23*$T$19),0)</f>
        <v>2</v>
      </c>
      <c r="N23" s="66">
        <f>ROUND(($J$23*$U$19),0)</f>
        <v>2</v>
      </c>
      <c r="O23" s="66">
        <f>ROUND(($J$23*$V$19),0)</f>
        <v>2</v>
      </c>
      <c r="P23" s="66">
        <f>ROUND(($J$23*$W$19),0)</f>
        <v>2</v>
      </c>
      <c r="Q23" s="66">
        <f>ROUND(($J$23*$X$19),0)</f>
        <v>2</v>
      </c>
      <c r="S23" s="106">
        <v>15</v>
      </c>
      <c r="T23" s="68" t="s">
        <v>439</v>
      </c>
      <c r="X23" s="63" t="s">
        <v>442</v>
      </c>
    </row>
    <row r="24" spans="2:20" ht="12">
      <c r="B24" s="100"/>
      <c r="C24" s="100" t="s">
        <v>400</v>
      </c>
      <c r="D24" s="99"/>
      <c r="E24" s="99"/>
      <c r="F24" s="99"/>
      <c r="G24" s="99"/>
      <c r="H24" s="99"/>
      <c r="I24" s="99"/>
      <c r="J24" s="66">
        <v>0.12</v>
      </c>
      <c r="K24" s="99"/>
      <c r="L24" s="66">
        <f>ROUND(($J$24*$S$19),0)</f>
        <v>1</v>
      </c>
      <c r="M24" s="66">
        <f>ROUND(($J$24*$T$19),0)</f>
        <v>1</v>
      </c>
      <c r="N24" s="66">
        <f>ROUND(($J$24*$U$19),0)</f>
        <v>1</v>
      </c>
      <c r="O24" s="66">
        <f>ROUND(($J$24*$V$19),0)</f>
        <v>1</v>
      </c>
      <c r="P24" s="66">
        <f>ROUND(($J$24*$W$19),0)</f>
        <v>1</v>
      </c>
      <c r="Q24" s="66">
        <f>ROUND(($J$24*$X$19),0)</f>
        <v>1</v>
      </c>
      <c r="S24" s="106">
        <v>10</v>
      </c>
      <c r="T24" s="63" t="s">
        <v>443</v>
      </c>
    </row>
    <row r="25" spans="2:17" ht="12">
      <c r="B25" s="100"/>
      <c r="C25" s="100" t="s">
        <v>401</v>
      </c>
      <c r="D25" s="99"/>
      <c r="E25" s="99"/>
      <c r="F25" s="99"/>
      <c r="G25" s="99"/>
      <c r="H25" s="99"/>
      <c r="I25" s="99"/>
      <c r="J25" s="66">
        <v>0.7</v>
      </c>
      <c r="K25" s="99"/>
      <c r="L25" s="66">
        <f>ROUND(($J$25*$S$19),0)</f>
        <v>8</v>
      </c>
      <c r="M25" s="66">
        <f>ROUND(($J$25*$T$19),0)</f>
        <v>8</v>
      </c>
      <c r="N25" s="66">
        <f>ROUND(($J$25*$U$19),0)</f>
        <v>8</v>
      </c>
      <c r="O25" s="66">
        <f>ROUND(($J$25*$V$19),0)</f>
        <v>8</v>
      </c>
      <c r="P25" s="66">
        <f>ROUND(($J$25*$W$19),0)</f>
        <v>8</v>
      </c>
      <c r="Q25" s="66">
        <f>ROUND(($J$25*$X$19),0)</f>
        <v>8</v>
      </c>
    </row>
    <row r="26" spans="2:17" ht="12">
      <c r="B26" s="100"/>
      <c r="C26" s="100"/>
      <c r="D26" s="99"/>
      <c r="E26" s="99"/>
      <c r="F26" s="99"/>
      <c r="G26" s="99"/>
      <c r="H26" s="99"/>
      <c r="I26" s="99"/>
      <c r="J26" s="66"/>
      <c r="K26" s="99"/>
      <c r="L26" s="66"/>
      <c r="M26" s="66"/>
      <c r="N26" s="66"/>
      <c r="O26" s="66"/>
      <c r="P26" s="66"/>
      <c r="Q26" s="66"/>
    </row>
    <row r="27" spans="2:17" ht="12">
      <c r="B27" s="100" t="s">
        <v>409</v>
      </c>
      <c r="C27" s="100"/>
      <c r="D27" s="99"/>
      <c r="E27" s="99"/>
      <c r="F27" s="99"/>
      <c r="G27" s="99"/>
      <c r="H27" s="66">
        <v>67</v>
      </c>
      <c r="I27" s="66">
        <v>88</v>
      </c>
      <c r="J27" s="66">
        <v>100</v>
      </c>
      <c r="K27" s="99"/>
      <c r="L27" s="66"/>
      <c r="M27" s="66"/>
      <c r="N27" s="66"/>
      <c r="O27" s="66"/>
      <c r="P27" s="66"/>
      <c r="Q27" s="66"/>
    </row>
    <row r="28" spans="2:17" ht="12">
      <c r="B28" s="100" t="s">
        <v>410</v>
      </c>
      <c r="C28" s="100"/>
      <c r="D28" s="99"/>
      <c r="E28" s="99"/>
      <c r="F28" s="99"/>
      <c r="G28" s="99"/>
      <c r="H28" s="99"/>
      <c r="I28" s="66">
        <f>I27-H27</f>
        <v>21</v>
      </c>
      <c r="J28" s="66">
        <f>J27-I27</f>
        <v>12</v>
      </c>
      <c r="K28" s="99"/>
      <c r="L28" s="66"/>
      <c r="M28" s="66"/>
      <c r="N28" s="66"/>
      <c r="O28" s="66"/>
      <c r="P28" s="66"/>
      <c r="Q28" s="66"/>
    </row>
    <row r="29" spans="2:17" ht="12">
      <c r="B29" s="100"/>
      <c r="C29" s="99"/>
      <c r="D29" s="99"/>
      <c r="E29" s="99"/>
      <c r="F29" s="99"/>
      <c r="G29" s="99"/>
      <c r="H29" s="99"/>
      <c r="I29" s="99"/>
      <c r="J29" s="66"/>
      <c r="K29" s="99"/>
      <c r="L29" s="99"/>
      <c r="M29" s="99"/>
      <c r="N29" s="99"/>
      <c r="O29" s="99"/>
      <c r="P29" s="99"/>
      <c r="Q29" s="99"/>
    </row>
    <row r="30" spans="2:17" ht="12">
      <c r="B30" s="100"/>
      <c r="C30" s="99"/>
      <c r="D30" s="99"/>
      <c r="E30" s="99"/>
      <c r="F30" s="99"/>
      <c r="G30" s="99"/>
      <c r="H30" s="99"/>
      <c r="I30" s="99"/>
      <c r="J30" s="66"/>
      <c r="K30" s="99"/>
      <c r="L30" s="99"/>
      <c r="M30" s="99"/>
      <c r="N30" s="99"/>
      <c r="O30" s="99"/>
      <c r="P30" s="99"/>
      <c r="Q30" s="99"/>
    </row>
    <row r="31" spans="2:17" ht="12">
      <c r="B31" s="100" t="s">
        <v>398</v>
      </c>
      <c r="C31" s="99"/>
      <c r="D31" s="99"/>
      <c r="E31" s="99"/>
      <c r="F31" s="99"/>
      <c r="G31" s="99"/>
      <c r="H31" s="99"/>
      <c r="I31" s="99"/>
      <c r="J31" s="66">
        <f>J8/SUM(J16:J18)</f>
        <v>0.5306000000000001</v>
      </c>
      <c r="K31" s="99"/>
      <c r="L31" s="99"/>
      <c r="M31" s="99"/>
      <c r="N31" s="99"/>
      <c r="O31" s="99"/>
      <c r="P31" s="99"/>
      <c r="Q31" s="99"/>
    </row>
    <row r="32" spans="2:17" ht="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 ht="11.25">
      <c r="B33" s="63" t="s">
        <v>402</v>
      </c>
      <c r="E33" s="66"/>
      <c r="F33" s="66"/>
      <c r="G33" s="66"/>
      <c r="H33" s="66"/>
      <c r="I33" s="66"/>
      <c r="J33" s="66"/>
      <c r="K33" s="66"/>
      <c r="L33" s="96"/>
      <c r="M33" s="96"/>
      <c r="N33" s="96"/>
      <c r="O33" s="96"/>
      <c r="P33" s="96"/>
      <c r="Q33" s="96"/>
    </row>
    <row r="34" spans="2:17" ht="11.25">
      <c r="B34" s="63" t="s">
        <v>377</v>
      </c>
      <c r="E34" s="66"/>
      <c r="F34" s="66"/>
      <c r="G34" s="66"/>
      <c r="H34" s="66"/>
      <c r="I34" s="66"/>
      <c r="J34" s="66"/>
      <c r="K34" s="66"/>
      <c r="L34" s="66">
        <f>($L$23*$J$20)*1/3</f>
        <v>0.5401851851851852</v>
      </c>
      <c r="M34" s="66">
        <f>($L$23*$J$20)*2/3</f>
        <v>1.0803703703703704</v>
      </c>
      <c r="N34" s="66">
        <f>($L$23*J20)</f>
        <v>1.6205555555555557</v>
      </c>
      <c r="O34" s="66">
        <f>N34*(1+$O$10)</f>
        <v>1.717140666666667</v>
      </c>
      <c r="P34" s="66">
        <f>O34*(1+$O$10)</f>
        <v>1.8194822504000006</v>
      </c>
      <c r="Q34" s="66">
        <f>P34*(1+$O$10)</f>
        <v>1.9279233925238408</v>
      </c>
    </row>
    <row r="35" spans="2:18" ht="11.25">
      <c r="B35" s="63" t="s">
        <v>380</v>
      </c>
      <c r="E35" s="66"/>
      <c r="F35" s="66"/>
      <c r="H35" s="66"/>
      <c r="I35" s="66"/>
      <c r="J35" s="66"/>
      <c r="K35" s="66"/>
      <c r="L35" s="66"/>
      <c r="M35" s="66">
        <f>($L$23*$J$20)*1/3</f>
        <v>0.5401851851851852</v>
      </c>
      <c r="N35" s="66">
        <f>($L$23*$J$20)*2/3</f>
        <v>1.0803703703703704</v>
      </c>
      <c r="O35" s="66">
        <f>($L$23*$J$20)</f>
        <v>1.6205555555555557</v>
      </c>
      <c r="P35" s="66">
        <f>O35*(1+$O$10)</f>
        <v>1.717140666666667</v>
      </c>
      <c r="Q35" s="66">
        <f>P35*(1+$O$10)</f>
        <v>1.8194822504000006</v>
      </c>
      <c r="R35" s="66"/>
    </row>
    <row r="36" spans="2:19" ht="11.25">
      <c r="B36" s="63" t="s">
        <v>381</v>
      </c>
      <c r="E36" s="66"/>
      <c r="F36" s="66"/>
      <c r="H36" s="66"/>
      <c r="I36" s="66"/>
      <c r="J36" s="66"/>
      <c r="K36" s="66"/>
      <c r="L36" s="66"/>
      <c r="M36" s="66"/>
      <c r="N36" s="66">
        <f>($L$23*$J$20)*1/3</f>
        <v>0.5401851851851852</v>
      </c>
      <c r="O36" s="66">
        <f>($L$23*$J$20)*2/3</f>
        <v>1.0803703703703704</v>
      </c>
      <c r="P36" s="66">
        <f>($L$23*$J$20)</f>
        <v>1.6205555555555557</v>
      </c>
      <c r="Q36" s="66">
        <f>P36*(1+$O$10)</f>
        <v>1.717140666666667</v>
      </c>
      <c r="R36" s="66"/>
      <c r="S36" s="66"/>
    </row>
    <row r="37" spans="2:20" ht="11.25">
      <c r="B37" s="63" t="s">
        <v>382</v>
      </c>
      <c r="E37" s="66"/>
      <c r="F37" s="66"/>
      <c r="H37" s="66"/>
      <c r="I37" s="66"/>
      <c r="J37" s="66"/>
      <c r="K37" s="66"/>
      <c r="L37" s="66"/>
      <c r="M37" s="66"/>
      <c r="N37" s="66"/>
      <c r="O37" s="66">
        <f>($L$23*$J$20)*1/3</f>
        <v>0.5401851851851852</v>
      </c>
      <c r="P37" s="66">
        <f>($L$23*$J$20)*2/3</f>
        <v>1.0803703703703704</v>
      </c>
      <c r="Q37" s="66">
        <f>($L$23*$J$20)</f>
        <v>1.6205555555555557</v>
      </c>
      <c r="R37" s="66"/>
      <c r="S37" s="66"/>
      <c r="T37" s="66"/>
    </row>
    <row r="38" spans="2:21" ht="11.25">
      <c r="B38" s="63" t="s">
        <v>383</v>
      </c>
      <c r="E38" s="66"/>
      <c r="F38" s="66"/>
      <c r="H38" s="66"/>
      <c r="I38" s="66"/>
      <c r="J38" s="66"/>
      <c r="K38" s="66"/>
      <c r="L38" s="66"/>
      <c r="M38" s="66"/>
      <c r="N38" s="66"/>
      <c r="O38" s="66"/>
      <c r="P38" s="66">
        <f>($L$23*$J$20)*1/3</f>
        <v>0.5401851851851852</v>
      </c>
      <c r="Q38" s="66">
        <f>($L$23*$J$20)*2/3</f>
        <v>1.0803703703703704</v>
      </c>
      <c r="R38" s="105"/>
      <c r="S38" s="66"/>
      <c r="T38" s="66"/>
      <c r="U38" s="66"/>
    </row>
    <row r="39" spans="2:22" ht="11.25">
      <c r="B39" s="63" t="s">
        <v>384</v>
      </c>
      <c r="E39" s="66"/>
      <c r="F39" s="66"/>
      <c r="H39" s="66"/>
      <c r="I39" s="66"/>
      <c r="J39" s="66"/>
      <c r="K39" s="66"/>
      <c r="L39" s="66"/>
      <c r="M39" s="66"/>
      <c r="N39" s="66"/>
      <c r="O39" s="66"/>
      <c r="P39" s="66"/>
      <c r="Q39" s="66">
        <f>($L$23*$J$20)*1/3</f>
        <v>0.5401851851851852</v>
      </c>
      <c r="R39" s="105"/>
      <c r="S39" s="105"/>
      <c r="T39" s="66"/>
      <c r="U39" s="66"/>
      <c r="V39" s="66"/>
    </row>
    <row r="40" spans="2:17" s="65" customFormat="1" ht="11.25">
      <c r="B40" s="65" t="s">
        <v>361</v>
      </c>
      <c r="E40" s="91"/>
      <c r="F40" s="91"/>
      <c r="H40" s="91"/>
      <c r="I40" s="91"/>
      <c r="J40" s="91"/>
      <c r="K40" s="91"/>
      <c r="L40" s="91">
        <f aca="true" t="shared" si="0" ref="L40:Q40">SUM(L34:L39)</f>
        <v>0.5401851851851852</v>
      </c>
      <c r="M40" s="91">
        <f t="shared" si="0"/>
        <v>1.6205555555555557</v>
      </c>
      <c r="N40" s="91">
        <f t="shared" si="0"/>
        <v>3.241111111111111</v>
      </c>
      <c r="O40" s="91">
        <f t="shared" si="0"/>
        <v>4.958251777777779</v>
      </c>
      <c r="P40" s="91">
        <f t="shared" si="0"/>
        <v>6.777734028177779</v>
      </c>
      <c r="Q40" s="91">
        <f t="shared" si="0"/>
        <v>8.70565742070162</v>
      </c>
    </row>
    <row r="41" spans="5:17" ht="11.25">
      <c r="E41" s="66"/>
      <c r="F41" s="66"/>
      <c r="H41" s="66"/>
      <c r="I41" s="66"/>
      <c r="J41" s="66"/>
      <c r="K41" s="66"/>
      <c r="L41" s="66"/>
      <c r="M41" s="66"/>
      <c r="N41" s="66"/>
      <c r="O41" s="66"/>
      <c r="P41" s="96"/>
      <c r="Q41" s="66"/>
    </row>
    <row r="42" spans="2:17" ht="11.25">
      <c r="B42" s="63" t="s">
        <v>403</v>
      </c>
      <c r="E42" s="66"/>
      <c r="F42" s="66"/>
      <c r="H42" s="66"/>
      <c r="I42" s="66"/>
      <c r="J42" s="66"/>
      <c r="K42" s="66"/>
      <c r="L42" s="66"/>
      <c r="M42" s="66"/>
      <c r="N42" s="66"/>
      <c r="O42" s="66"/>
      <c r="P42" s="66"/>
      <c r="Q42" s="96"/>
    </row>
    <row r="43" spans="2:17" ht="11.25">
      <c r="B43" s="63" t="s">
        <v>377</v>
      </c>
      <c r="E43" s="66"/>
      <c r="F43" s="66"/>
      <c r="H43" s="66"/>
      <c r="I43" s="66"/>
      <c r="J43" s="66"/>
      <c r="K43" s="66"/>
      <c r="L43" s="66">
        <f>($L$24*$J$21)*(1/3)</f>
        <v>0.6164444444444444</v>
      </c>
      <c r="M43" s="66">
        <f>($L$24*J21)*(2/3)</f>
        <v>1.2328888888888887</v>
      </c>
      <c r="N43" s="66">
        <f>($L$24*J21)</f>
        <v>1.8493333333333333</v>
      </c>
      <c r="O43" s="66">
        <f>N43*(1+$O$10)</f>
        <v>1.9595536</v>
      </c>
      <c r="P43" s="66">
        <f>O43*(1+$O$10)</f>
        <v>2.07634299456</v>
      </c>
      <c r="Q43" s="66">
        <f>P43*(1+$O$10)</f>
        <v>2.200093037035776</v>
      </c>
    </row>
    <row r="44" spans="2:18" ht="11.25">
      <c r="B44" s="63" t="s">
        <v>380</v>
      </c>
      <c r="E44" s="66"/>
      <c r="F44" s="66"/>
      <c r="H44" s="66"/>
      <c r="I44" s="66"/>
      <c r="J44" s="66"/>
      <c r="K44" s="66"/>
      <c r="L44" s="66"/>
      <c r="M44" s="66">
        <f>($L$24*$J$21)*(1/3)</f>
        <v>0.6164444444444444</v>
      </c>
      <c r="N44" s="66">
        <f>($L$24*$J$21)*(2/3)</f>
        <v>1.2328888888888887</v>
      </c>
      <c r="O44" s="66">
        <f>($L$24*$J$21)</f>
        <v>1.8493333333333333</v>
      </c>
      <c r="P44" s="66">
        <f>O44*(1+$O$10)</f>
        <v>1.9595536</v>
      </c>
      <c r="Q44" s="66">
        <f>P44*(1+$O$10)</f>
        <v>2.07634299456</v>
      </c>
      <c r="R44" s="66"/>
    </row>
    <row r="45" spans="2:19" ht="11.25">
      <c r="B45" s="63" t="s">
        <v>381</v>
      </c>
      <c r="E45" s="66"/>
      <c r="F45" s="66"/>
      <c r="H45" s="66"/>
      <c r="I45" s="66"/>
      <c r="J45" s="66"/>
      <c r="K45" s="66"/>
      <c r="L45" s="66"/>
      <c r="M45" s="66"/>
      <c r="N45" s="66">
        <f>($L$24*$J$21)*(1/3)</f>
        <v>0.6164444444444444</v>
      </c>
      <c r="O45" s="66">
        <f>($L$24*$J$21)*(2/3)</f>
        <v>1.2328888888888887</v>
      </c>
      <c r="P45" s="66">
        <f>($L$24*$J$21)</f>
        <v>1.8493333333333333</v>
      </c>
      <c r="Q45" s="66">
        <f>P45*(1+$O$10)</f>
        <v>1.9595536</v>
      </c>
      <c r="R45" s="66"/>
      <c r="S45" s="66"/>
    </row>
    <row r="46" spans="2:20" ht="11.25">
      <c r="B46" s="63" t="s">
        <v>382</v>
      </c>
      <c r="E46" s="66"/>
      <c r="F46" s="66"/>
      <c r="H46" s="66"/>
      <c r="I46" s="66"/>
      <c r="J46" s="66"/>
      <c r="K46" s="66"/>
      <c r="L46" s="66"/>
      <c r="M46" s="66"/>
      <c r="N46" s="66"/>
      <c r="O46" s="66">
        <f>($L$24*$J$21)*(1/3)</f>
        <v>0.6164444444444444</v>
      </c>
      <c r="P46" s="66">
        <f>($L$24*$J$21)*(2/3)</f>
        <v>1.2328888888888887</v>
      </c>
      <c r="Q46" s="66">
        <f>($L$24*$J$21)</f>
        <v>1.8493333333333333</v>
      </c>
      <c r="R46" s="66"/>
      <c r="S46" s="66"/>
      <c r="T46" s="66"/>
    </row>
    <row r="47" spans="2:21" ht="11.25">
      <c r="B47" s="63" t="s">
        <v>383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>
        <f>($L$24*$J$21)*(1/3)</f>
        <v>0.6164444444444444</v>
      </c>
      <c r="Q47" s="66">
        <f>($L$24*$J$21)*(2/3)</f>
        <v>1.2328888888888887</v>
      </c>
      <c r="R47" s="66"/>
      <c r="S47" s="66"/>
      <c r="T47" s="66"/>
      <c r="U47" s="66"/>
    </row>
    <row r="48" spans="2:22" ht="11.25">
      <c r="B48" s="63" t="s">
        <v>384</v>
      </c>
      <c r="Q48" s="66">
        <f>($L$24*$J$21)*(1/3)</f>
        <v>0.6164444444444444</v>
      </c>
      <c r="R48" s="66"/>
      <c r="S48" s="66"/>
      <c r="T48" s="66"/>
      <c r="U48" s="66"/>
      <c r="V48" s="66"/>
    </row>
    <row r="49" spans="2:17" s="65" customFormat="1" ht="11.25">
      <c r="B49" s="65" t="s">
        <v>361</v>
      </c>
      <c r="F49" s="91"/>
      <c r="G49" s="91"/>
      <c r="H49" s="91"/>
      <c r="I49" s="91"/>
      <c r="J49" s="91"/>
      <c r="L49" s="91">
        <f aca="true" t="shared" si="1" ref="L49:Q49">SUM(L43:L48)</f>
        <v>0.6164444444444444</v>
      </c>
      <c r="M49" s="91">
        <f t="shared" si="1"/>
        <v>1.849333333333333</v>
      </c>
      <c r="N49" s="91">
        <f t="shared" si="1"/>
        <v>3.698666666666666</v>
      </c>
      <c r="O49" s="91">
        <f t="shared" si="1"/>
        <v>5.6582202666666666</v>
      </c>
      <c r="P49" s="91">
        <f t="shared" si="1"/>
        <v>7.734563261226667</v>
      </c>
      <c r="Q49" s="91">
        <f t="shared" si="1"/>
        <v>9.934656298262443</v>
      </c>
    </row>
    <row r="50" spans="6:10" ht="11.25">
      <c r="F50" s="66"/>
      <c r="G50" s="66"/>
      <c r="H50" s="66"/>
      <c r="I50" s="66"/>
      <c r="J50" s="66"/>
    </row>
    <row r="51" spans="2:10" ht="11.25">
      <c r="B51" s="63" t="s">
        <v>404</v>
      </c>
      <c r="F51" s="66"/>
      <c r="G51" s="66"/>
      <c r="H51" s="66"/>
      <c r="I51" s="66"/>
      <c r="J51" s="66"/>
    </row>
    <row r="52" spans="2:17" ht="11.25">
      <c r="B52" s="63" t="s">
        <v>377</v>
      </c>
      <c r="J52" s="96"/>
      <c r="L52" s="66">
        <f>($L$25*$J$22)*(1/3)</f>
        <v>0.6203047619047619</v>
      </c>
      <c r="M52" s="66">
        <f>($L$25*$J$22)*(2/3)</f>
        <v>1.2406095238095238</v>
      </c>
      <c r="N52" s="66">
        <f>($L$25*J22)</f>
        <v>1.860914285714286</v>
      </c>
      <c r="O52" s="66">
        <f>N52*(1+$O$10)</f>
        <v>1.9718247771428576</v>
      </c>
      <c r="P52" s="66">
        <f>O52*(1+$O$10)</f>
        <v>2.089345533860572</v>
      </c>
      <c r="Q52" s="66">
        <f>P52*(1+$O$10)</f>
        <v>2.213870527678662</v>
      </c>
    </row>
    <row r="53" spans="2:18" ht="11.25">
      <c r="B53" s="63" t="s">
        <v>380</v>
      </c>
      <c r="M53" s="66">
        <f>($L$25*$J$22)*(1/3)</f>
        <v>0.6203047619047619</v>
      </c>
      <c r="N53" s="66">
        <f>($L$25*$J$22)*(2/3)</f>
        <v>1.2406095238095238</v>
      </c>
      <c r="O53" s="66">
        <f>($L$25*$J$22)</f>
        <v>1.860914285714286</v>
      </c>
      <c r="P53" s="66">
        <f>O53*(1+$O$10)</f>
        <v>1.9718247771428576</v>
      </c>
      <c r="Q53" s="66">
        <f>P53*(1+$O$10)</f>
        <v>2.089345533860572</v>
      </c>
      <c r="R53" s="66"/>
    </row>
    <row r="54" spans="2:19" ht="11.25">
      <c r="B54" s="63" t="s">
        <v>381</v>
      </c>
      <c r="N54" s="66">
        <f>($L$25*$J$22)*(1/3)</f>
        <v>0.6203047619047619</v>
      </c>
      <c r="O54" s="66">
        <f>($L$25*$J$22)*(2/3)</f>
        <v>1.2406095238095238</v>
      </c>
      <c r="P54" s="66">
        <f>($L$25*$J$22)</f>
        <v>1.860914285714286</v>
      </c>
      <c r="Q54" s="66">
        <f>P54*(1+$O$10)</f>
        <v>1.9718247771428576</v>
      </c>
      <c r="R54" s="66"/>
      <c r="S54" s="66"/>
    </row>
    <row r="55" spans="2:20" ht="11.25">
      <c r="B55" s="63" t="s">
        <v>382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>
        <f>($L$25*$J$22)*(1/3)</f>
        <v>0.6203047619047619</v>
      </c>
      <c r="P55" s="66">
        <f>($L$25*$J$22)*(2/3)</f>
        <v>1.2406095238095238</v>
      </c>
      <c r="Q55" s="66">
        <f>($L$25*$J$22)</f>
        <v>1.860914285714286</v>
      </c>
      <c r="R55" s="66"/>
      <c r="S55" s="66"/>
      <c r="T55" s="66"/>
    </row>
    <row r="56" spans="2:21" ht="11.25">
      <c r="B56" s="63" t="s">
        <v>383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>
        <f>($L$25*$J$22)*(1/3)</f>
        <v>0.6203047619047619</v>
      </c>
      <c r="Q56" s="66">
        <f>($L$25*$J$22)*(2/3)</f>
        <v>1.2406095238095238</v>
      </c>
      <c r="R56" s="66"/>
      <c r="S56" s="66"/>
      <c r="T56" s="66"/>
      <c r="U56" s="66"/>
    </row>
    <row r="57" spans="2:22" ht="11.25">
      <c r="B57" s="63" t="s">
        <v>384</v>
      </c>
      <c r="M57" s="66"/>
      <c r="N57" s="66"/>
      <c r="O57" s="66"/>
      <c r="P57" s="66"/>
      <c r="Q57" s="66">
        <f>($L$25*$J$22)*(1/3)</f>
        <v>0.6203047619047619</v>
      </c>
      <c r="R57" s="66"/>
      <c r="S57" s="66"/>
      <c r="T57" s="66"/>
      <c r="U57" s="66"/>
      <c r="V57" s="66"/>
    </row>
    <row r="58" spans="2:17" s="65" customFormat="1" ht="11.25">
      <c r="B58" s="65" t="s">
        <v>361</v>
      </c>
      <c r="L58" s="91">
        <f aca="true" t="shared" si="2" ref="L58:Q58">SUM(L52:L57)</f>
        <v>0.6203047619047619</v>
      </c>
      <c r="M58" s="91">
        <f t="shared" si="2"/>
        <v>1.8609142857142857</v>
      </c>
      <c r="N58" s="91">
        <f t="shared" si="2"/>
        <v>3.721828571428572</v>
      </c>
      <c r="O58" s="91">
        <f t="shared" si="2"/>
        <v>5.693653348571429</v>
      </c>
      <c r="P58" s="91">
        <f t="shared" si="2"/>
        <v>7.782998882432002</v>
      </c>
      <c r="Q58" s="91">
        <f t="shared" si="2"/>
        <v>9.996869410110662</v>
      </c>
    </row>
    <row r="59" spans="15:17" ht="11.25">
      <c r="O59" s="66"/>
      <c r="P59" s="66"/>
      <c r="Q59" s="66"/>
    </row>
    <row r="60" spans="2:18" ht="11.25">
      <c r="B60" s="65" t="s">
        <v>396</v>
      </c>
      <c r="J60" s="66">
        <f>J8</f>
        <v>53.06</v>
      </c>
      <c r="L60" s="91">
        <f aca="true" t="shared" si="3" ref="L60:Q60">L58+L49+L40+L8</f>
        <v>57.999310391534394</v>
      </c>
      <c r="M60" s="91">
        <f t="shared" si="3"/>
        <v>64.90403278420318</v>
      </c>
      <c r="N60" s="91">
        <f t="shared" si="3"/>
        <v>73.78540044353852</v>
      </c>
      <c r="O60" s="91">
        <f t="shared" si="3"/>
        <v>83.19609761537026</v>
      </c>
      <c r="P60" s="91">
        <f t="shared" si="3"/>
        <v>93.16767233864317</v>
      </c>
      <c r="Q60" s="91">
        <f t="shared" si="3"/>
        <v>103.73355291542313</v>
      </c>
      <c r="R60" s="66"/>
    </row>
    <row r="61" spans="12:19" ht="11.25">
      <c r="L61" s="97">
        <f>L60/J60-1</f>
        <v>0.0930891517439576</v>
      </c>
      <c r="M61" s="97">
        <f>M60/L60-1</f>
        <v>0.1190483532658797</v>
      </c>
      <c r="N61" s="97">
        <f>N60/M60-1</f>
        <v>0.13683845638474645</v>
      </c>
      <c r="O61" s="97">
        <f>O60/N60-1</f>
        <v>0.12754145285194896</v>
      </c>
      <c r="P61" s="97">
        <f>P60/O60-1</f>
        <v>0.11985627942999444</v>
      </c>
      <c r="Q61" s="97">
        <f>Q60/P60-1</f>
        <v>0.11340715412933577</v>
      </c>
      <c r="R61" s="66"/>
      <c r="S61" s="66"/>
    </row>
    <row r="62" spans="2:19" ht="11.25">
      <c r="B62" s="65" t="s">
        <v>405</v>
      </c>
      <c r="J62" s="66"/>
      <c r="L62" s="66"/>
      <c r="M62" s="66"/>
      <c r="N62" s="66"/>
      <c r="O62" s="66"/>
      <c r="P62" s="66"/>
      <c r="Q62" s="66"/>
      <c r="R62" s="66"/>
      <c r="S62" s="66"/>
    </row>
    <row r="63" spans="2:17" ht="11.25">
      <c r="B63" s="63" t="s">
        <v>406</v>
      </c>
      <c r="L63" s="97"/>
      <c r="M63" s="97"/>
      <c r="N63" s="97"/>
      <c r="O63" s="97"/>
      <c r="P63" s="97"/>
      <c r="Q63" s="97"/>
    </row>
    <row r="65" spans="2:17" ht="11.25">
      <c r="B65" s="63" t="s">
        <v>407</v>
      </c>
      <c r="E65" s="63">
        <v>50</v>
      </c>
      <c r="J65" s="66">
        <v>1.222</v>
      </c>
      <c r="L65" s="66">
        <f>J66*SUM(L23:L25)</f>
        <v>1.1201666666666665</v>
      </c>
      <c r="M65" s="66">
        <f>L65</f>
        <v>1.1201666666666665</v>
      </c>
      <c r="N65" s="66">
        <f>M65</f>
        <v>1.1201666666666665</v>
      </c>
      <c r="O65" s="66">
        <f>N65</f>
        <v>1.1201666666666665</v>
      </c>
      <c r="P65" s="66">
        <f>O65</f>
        <v>1.1201666666666665</v>
      </c>
      <c r="Q65" s="66">
        <f>P65</f>
        <v>1.1201666666666665</v>
      </c>
    </row>
    <row r="66" spans="3:10" ht="11.25">
      <c r="C66" s="63" t="s">
        <v>408</v>
      </c>
      <c r="E66" s="66"/>
      <c r="J66" s="66">
        <f>J65/J28</f>
        <v>0.10183333333333333</v>
      </c>
    </row>
    <row r="67" ht="11.25">
      <c r="L67" s="66"/>
    </row>
    <row r="68" spans="2:17" ht="11.25">
      <c r="B68" s="63" t="s">
        <v>411</v>
      </c>
      <c r="E68" s="63">
        <v>4</v>
      </c>
      <c r="J68" s="66">
        <v>0.268</v>
      </c>
      <c r="L68" s="66">
        <f aca="true" t="shared" si="4" ref="L68:Q68">$J$69*L25</f>
        <v>0.17866666666666667</v>
      </c>
      <c r="M68" s="66">
        <f t="shared" si="4"/>
        <v>0.17866666666666667</v>
      </c>
      <c r="N68" s="66">
        <f t="shared" si="4"/>
        <v>0.17866666666666667</v>
      </c>
      <c r="O68" s="66">
        <f t="shared" si="4"/>
        <v>0.17866666666666667</v>
      </c>
      <c r="P68" s="66">
        <f t="shared" si="4"/>
        <v>0.17866666666666667</v>
      </c>
      <c r="Q68" s="66">
        <f t="shared" si="4"/>
        <v>0.17866666666666667</v>
      </c>
    </row>
    <row r="69" spans="3:14" ht="11.25">
      <c r="C69" s="63" t="s">
        <v>408</v>
      </c>
      <c r="J69" s="66">
        <f>J68/J28</f>
        <v>0.022333333333333334</v>
      </c>
      <c r="N69" s="66"/>
    </row>
    <row r="70" ht="11.25">
      <c r="O70" s="66"/>
    </row>
    <row r="71" spans="2:17" ht="11.25">
      <c r="B71" s="63" t="s">
        <v>412</v>
      </c>
      <c r="E71" s="63">
        <v>10</v>
      </c>
      <c r="J71" s="66">
        <v>0.075</v>
      </c>
      <c r="L71" s="66">
        <f aca="true" t="shared" si="5" ref="L71:Q71">$J$72*SUM(L23:L25)</f>
        <v>0.06874999999999999</v>
      </c>
      <c r="M71" s="66">
        <f t="shared" si="5"/>
        <v>0.06874999999999999</v>
      </c>
      <c r="N71" s="66">
        <f t="shared" si="5"/>
        <v>0.06874999999999999</v>
      </c>
      <c r="O71" s="66">
        <f t="shared" si="5"/>
        <v>0.06874999999999999</v>
      </c>
      <c r="P71" s="66">
        <f t="shared" si="5"/>
        <v>0.06874999999999999</v>
      </c>
      <c r="Q71" s="66">
        <f t="shared" si="5"/>
        <v>0.06874999999999999</v>
      </c>
    </row>
    <row r="72" spans="3:17" ht="11.25">
      <c r="C72" s="63" t="s">
        <v>408</v>
      </c>
      <c r="J72" s="66">
        <f>J71/J28</f>
        <v>0.0062499999999999995</v>
      </c>
      <c r="Q72" s="66"/>
    </row>
    <row r="74" spans="2:17" s="65" customFormat="1" ht="11.25">
      <c r="B74" s="65" t="s">
        <v>413</v>
      </c>
      <c r="L74" s="91">
        <f aca="true" t="shared" si="6" ref="L74:Q74">L71+L68+L65</f>
        <v>1.3675833333333332</v>
      </c>
      <c r="M74" s="91">
        <f t="shared" si="6"/>
        <v>1.3675833333333332</v>
      </c>
      <c r="N74" s="91">
        <f t="shared" si="6"/>
        <v>1.3675833333333332</v>
      </c>
      <c r="O74" s="91">
        <f t="shared" si="6"/>
        <v>1.3675833333333332</v>
      </c>
      <c r="P74" s="91">
        <f t="shared" si="6"/>
        <v>1.3675833333333332</v>
      </c>
      <c r="Q74" s="91">
        <f t="shared" si="6"/>
        <v>1.3675833333333332</v>
      </c>
    </row>
    <row r="76" ht="11.25">
      <c r="B76" s="63" t="s">
        <v>414</v>
      </c>
    </row>
    <row r="78" spans="2:17" ht="11.25">
      <c r="B78" s="63" t="s">
        <v>415</v>
      </c>
      <c r="J78" s="66">
        <v>0.431</v>
      </c>
      <c r="L78" s="66">
        <f aca="true" t="shared" si="7" ref="L78:Q78">$J$79*SUM(L23:L25,($J$27/2))</f>
        <v>2.190916666666667</v>
      </c>
      <c r="M78" s="66">
        <f t="shared" si="7"/>
        <v>2.190916666666667</v>
      </c>
      <c r="N78" s="66">
        <f t="shared" si="7"/>
        <v>2.190916666666667</v>
      </c>
      <c r="O78" s="66">
        <f t="shared" si="7"/>
        <v>2.190916666666667</v>
      </c>
      <c r="P78" s="66">
        <f t="shared" si="7"/>
        <v>2.190916666666667</v>
      </c>
      <c r="Q78" s="66">
        <f t="shared" si="7"/>
        <v>2.190916666666667</v>
      </c>
    </row>
    <row r="79" spans="3:10" ht="11.25">
      <c r="C79" s="63" t="s">
        <v>408</v>
      </c>
      <c r="E79" s="63">
        <v>10</v>
      </c>
      <c r="J79" s="66">
        <f>J78/J28</f>
        <v>0.035916666666666666</v>
      </c>
    </row>
    <row r="81" spans="2:17" ht="11.25">
      <c r="B81" s="63" t="s">
        <v>416</v>
      </c>
      <c r="E81" s="63">
        <v>4</v>
      </c>
      <c r="J81" s="66">
        <v>0.228</v>
      </c>
      <c r="L81" s="66">
        <f>J81</f>
        <v>0.228</v>
      </c>
      <c r="M81" s="66">
        <f>L81</f>
        <v>0.228</v>
      </c>
      <c r="N81" s="66">
        <f>M81</f>
        <v>0.228</v>
      </c>
      <c r="O81" s="66">
        <f>N81</f>
        <v>0.228</v>
      </c>
      <c r="P81" s="66">
        <f>O81</f>
        <v>0.228</v>
      </c>
      <c r="Q81" s="66">
        <f>P81</f>
        <v>0.228</v>
      </c>
    </row>
    <row r="83" spans="2:17" ht="11.25">
      <c r="B83" s="63" t="s">
        <v>417</v>
      </c>
      <c r="E83" s="63">
        <v>4</v>
      </c>
      <c r="J83" s="66">
        <v>4.47</v>
      </c>
      <c r="L83" s="66">
        <f aca="true" t="shared" si="8" ref="L83:Q83">$J$84*SUM(L23:L25)</f>
        <v>4.0975</v>
      </c>
      <c r="M83" s="66">
        <f t="shared" si="8"/>
        <v>4.0975</v>
      </c>
      <c r="N83" s="66">
        <f t="shared" si="8"/>
        <v>4.0975</v>
      </c>
      <c r="O83" s="66">
        <f t="shared" si="8"/>
        <v>4.0975</v>
      </c>
      <c r="P83" s="66">
        <f t="shared" si="8"/>
        <v>4.0975</v>
      </c>
      <c r="Q83" s="66">
        <f t="shared" si="8"/>
        <v>4.0975</v>
      </c>
    </row>
    <row r="84" spans="3:10" ht="11.25">
      <c r="C84" s="63" t="s">
        <v>408</v>
      </c>
      <c r="J84" s="66">
        <f>J83/J28</f>
        <v>0.3725</v>
      </c>
    </row>
    <row r="86" spans="2:17" ht="11.25">
      <c r="B86" s="63" t="s">
        <v>418</v>
      </c>
      <c r="E86" s="63">
        <v>4</v>
      </c>
      <c r="J86" s="66">
        <v>0</v>
      </c>
      <c r="L86" s="66">
        <f>J86</f>
        <v>0</v>
      </c>
      <c r="M86" s="66">
        <f>L86</f>
        <v>0</v>
      </c>
      <c r="N86" s="66">
        <f>M86</f>
        <v>0</v>
      </c>
      <c r="O86" s="66">
        <f>N86</f>
        <v>0</v>
      </c>
      <c r="P86" s="66">
        <f>O86</f>
        <v>0</v>
      </c>
      <c r="Q86" s="66">
        <f>P86</f>
        <v>0</v>
      </c>
    </row>
    <row r="88" spans="2:17" s="65" customFormat="1" ht="11.25">
      <c r="B88" s="65" t="s">
        <v>419</v>
      </c>
      <c r="L88" s="91">
        <f aca="true" t="shared" si="9" ref="L88:Q88">L86+L83+L81+L78</f>
        <v>6.516416666666666</v>
      </c>
      <c r="M88" s="91">
        <f t="shared" si="9"/>
        <v>6.516416666666666</v>
      </c>
      <c r="N88" s="91">
        <f t="shared" si="9"/>
        <v>6.516416666666666</v>
      </c>
      <c r="O88" s="91">
        <f t="shared" si="9"/>
        <v>6.516416666666666</v>
      </c>
      <c r="P88" s="91">
        <f t="shared" si="9"/>
        <v>6.516416666666666</v>
      </c>
      <c r="Q88" s="91">
        <f t="shared" si="9"/>
        <v>6.516416666666666</v>
      </c>
    </row>
    <row r="89" spans="12:17" s="65" customFormat="1" ht="11.25">
      <c r="L89" s="91"/>
      <c r="M89" s="91"/>
      <c r="N89" s="91"/>
      <c r="O89" s="91"/>
      <c r="P89" s="91"/>
      <c r="Q89" s="91"/>
    </row>
    <row r="90" spans="2:17" s="65" customFormat="1" ht="11.25">
      <c r="B90" s="66" t="str">
        <f>OpMod!B44</f>
        <v>PP&amp;E, net</v>
      </c>
      <c r="E90" s="66">
        <f>OpMod!E44</f>
        <v>5.752</v>
      </c>
      <c r="F90" s="66">
        <f>OpMod!F44</f>
        <v>4.437</v>
      </c>
      <c r="G90" s="66">
        <f>OpMod!G44</f>
        <v>4.405</v>
      </c>
      <c r="H90" s="66">
        <f>OpMod!H44</f>
        <v>4.966</v>
      </c>
      <c r="I90" s="66">
        <f>OpMod!I44</f>
        <v>6.482</v>
      </c>
      <c r="J90" s="66">
        <f>OpMod!J44</f>
        <v>9.049</v>
      </c>
      <c r="L90" s="66">
        <f>OpMod!L44</f>
        <v>11.402004999999999</v>
      </c>
      <c r="M90" s="66">
        <f>OpMod!M44</f>
        <v>12.380598333333335</v>
      </c>
      <c r="N90" s="66">
        <f>OpMod!N44</f>
        <v>11.984780000000004</v>
      </c>
      <c r="O90" s="66">
        <f>OpMod!O44</f>
        <v>13.003550000000006</v>
      </c>
      <c r="P90" s="66">
        <f>OpMod!P44</f>
        <v>13.773950000000005</v>
      </c>
      <c r="Q90" s="66">
        <f>OpMod!Q44</f>
        <v>14.295980000000004</v>
      </c>
    </row>
    <row r="91" spans="2:17" s="65" customFormat="1" ht="11.25">
      <c r="B91" s="66" t="s">
        <v>183</v>
      </c>
      <c r="E91" s="66">
        <f>OpMod!E46</f>
        <v>0.144</v>
      </c>
      <c r="F91" s="66">
        <f>OpMod!F46</f>
        <v>0.228</v>
      </c>
      <c r="G91" s="66">
        <f>OpMod!G46</f>
        <v>0.286</v>
      </c>
      <c r="H91" s="66">
        <f>OpMod!H46</f>
        <v>1.084</v>
      </c>
      <c r="I91" s="66">
        <f>OpMod!I46</f>
        <v>2.445</v>
      </c>
      <c r="J91" s="66">
        <f>OpMod!J46</f>
        <v>3.68</v>
      </c>
      <c r="L91" s="66">
        <f>OpMod!L46</f>
        <v>5.047583333333334</v>
      </c>
      <c r="M91" s="66">
        <f>OpMod!M46</f>
        <v>6.415166666666667</v>
      </c>
      <c r="N91" s="66">
        <f>OpMod!N46</f>
        <v>7.78275</v>
      </c>
      <c r="O91" s="66">
        <f>OpMod!O46</f>
        <v>9.150333333333332</v>
      </c>
      <c r="P91" s="66">
        <f>OpMod!P46</f>
        <v>10.517916666666665</v>
      </c>
      <c r="Q91" s="66">
        <f>OpMod!Q46</f>
        <v>11.885499999999997</v>
      </c>
    </row>
    <row r="92" spans="12:17" s="65" customFormat="1" ht="11.25">
      <c r="L92" s="91"/>
      <c r="M92" s="91"/>
      <c r="N92" s="91"/>
      <c r="O92" s="91"/>
      <c r="P92" s="91"/>
      <c r="Q92" s="91"/>
    </row>
    <row r="93" spans="2:17" s="65" customFormat="1" ht="11.25">
      <c r="B93" s="63" t="s">
        <v>421</v>
      </c>
      <c r="E93" s="66">
        <v>1.592</v>
      </c>
      <c r="F93" s="66">
        <v>1.936</v>
      </c>
      <c r="G93" s="66">
        <v>1.829</v>
      </c>
      <c r="H93" s="66">
        <v>1.882</v>
      </c>
      <c r="I93" s="66">
        <v>1.869</v>
      </c>
      <c r="J93" s="66">
        <v>2.5</v>
      </c>
      <c r="L93" s="91"/>
      <c r="M93" s="91"/>
      <c r="N93" s="91"/>
      <c r="O93" s="91"/>
      <c r="P93" s="91"/>
      <c r="Q93" s="91"/>
    </row>
    <row r="94" spans="2:17" s="65" customFormat="1" ht="11.25">
      <c r="B94" s="63"/>
      <c r="E94" s="73">
        <f aca="true" t="shared" si="10" ref="E94:J94">E93/E90</f>
        <v>0.2767732962447845</v>
      </c>
      <c r="F94" s="73">
        <f t="shared" si="10"/>
        <v>0.43633085418075274</v>
      </c>
      <c r="G94" s="73">
        <f t="shared" si="10"/>
        <v>0.4152099886492622</v>
      </c>
      <c r="H94" s="73">
        <f t="shared" si="10"/>
        <v>0.37897704389850984</v>
      </c>
      <c r="I94" s="73">
        <f t="shared" si="10"/>
        <v>0.28833693304535635</v>
      </c>
      <c r="J94" s="73">
        <f t="shared" si="10"/>
        <v>0.27627362139462924</v>
      </c>
      <c r="L94" s="91"/>
      <c r="M94" s="91"/>
      <c r="N94" s="91"/>
      <c r="O94" s="91"/>
      <c r="P94" s="91"/>
      <c r="Q94" s="91"/>
    </row>
    <row r="95" spans="2:17" s="65" customFormat="1" ht="11.25">
      <c r="B95" s="63"/>
      <c r="H95" s="73"/>
      <c r="I95" s="73"/>
      <c r="J95" s="73">
        <f>AVERAGE(E94:J94)</f>
        <v>0.34531695623554914</v>
      </c>
      <c r="L95" s="91"/>
      <c r="M95" s="91"/>
      <c r="N95" s="91"/>
      <c r="O95" s="91"/>
      <c r="P95" s="91"/>
      <c r="Q95" s="91"/>
    </row>
    <row r="96" spans="2:17" s="65" customFormat="1" ht="11.25">
      <c r="B96" s="63" t="s">
        <v>422</v>
      </c>
      <c r="E96" s="66">
        <v>0.031</v>
      </c>
      <c r="F96" s="66">
        <v>0.056</v>
      </c>
      <c r="G96" s="66">
        <v>0.059</v>
      </c>
      <c r="H96" s="66">
        <v>0.088</v>
      </c>
      <c r="I96" s="66">
        <v>0.206</v>
      </c>
      <c r="J96" s="66">
        <f>J119</f>
        <v>0.312</v>
      </c>
      <c r="L96" s="91"/>
      <c r="M96" s="91"/>
      <c r="N96" s="91"/>
      <c r="O96" s="91"/>
      <c r="P96" s="91"/>
      <c r="Q96" s="91"/>
    </row>
    <row r="97" spans="2:17" s="65" customFormat="1" ht="11.25">
      <c r="B97" s="63"/>
      <c r="E97" s="73">
        <f aca="true" t="shared" si="11" ref="E97:J97">E96/E91</f>
        <v>0.2152777777777778</v>
      </c>
      <c r="F97" s="73">
        <f t="shared" si="11"/>
        <v>0.24561403508771928</v>
      </c>
      <c r="G97" s="73">
        <f t="shared" si="11"/>
        <v>0.2062937062937063</v>
      </c>
      <c r="H97" s="73">
        <f t="shared" si="11"/>
        <v>0.08118081180811806</v>
      </c>
      <c r="I97" s="73">
        <f t="shared" si="11"/>
        <v>0.08425357873210634</v>
      </c>
      <c r="J97" s="73">
        <f t="shared" si="11"/>
        <v>0.08478260869565217</v>
      </c>
      <c r="L97" s="91"/>
      <c r="M97" s="91"/>
      <c r="N97" s="91"/>
      <c r="O97" s="91"/>
      <c r="P97" s="91"/>
      <c r="Q97" s="91"/>
    </row>
    <row r="98" ht="11.25">
      <c r="J98" s="73">
        <f>AVERAGE(E97:J97)</f>
        <v>0.1529004197325133</v>
      </c>
    </row>
    <row r="99" ht="11.25">
      <c r="J99" s="73"/>
    </row>
    <row r="100" spans="2:15" ht="11.25">
      <c r="B100" s="63" t="s">
        <v>344</v>
      </c>
      <c r="J100" s="66"/>
      <c r="L100" s="66"/>
      <c r="M100" s="66"/>
      <c r="N100" s="66"/>
      <c r="O100" s="66"/>
    </row>
    <row r="101" spans="2:15" ht="11.25">
      <c r="B101" s="63" t="s">
        <v>377</v>
      </c>
      <c r="J101" s="73"/>
      <c r="L101" s="66"/>
      <c r="M101" s="66"/>
      <c r="N101" s="66"/>
      <c r="O101" s="66"/>
    </row>
    <row r="102" spans="2:10" ht="11.25">
      <c r="B102" s="63" t="s">
        <v>380</v>
      </c>
      <c r="J102" s="73"/>
    </row>
    <row r="103" spans="2:10" ht="11.25">
      <c r="B103" s="63" t="s">
        <v>381</v>
      </c>
      <c r="J103" s="73"/>
    </row>
    <row r="104" spans="2:10" ht="11.25">
      <c r="B104" s="63" t="s">
        <v>382</v>
      </c>
      <c r="J104" s="73"/>
    </row>
    <row r="105" spans="2:10" ht="11.25">
      <c r="B105" s="63" t="s">
        <v>383</v>
      </c>
      <c r="J105" s="73"/>
    </row>
    <row r="106" spans="2:10" ht="11.25">
      <c r="B106" s="63" t="s">
        <v>384</v>
      </c>
      <c r="J106" s="73"/>
    </row>
    <row r="107" ht="11.25">
      <c r="J107" s="73"/>
    </row>
    <row r="108" ht="11.25">
      <c r="B108" s="65" t="s">
        <v>421</v>
      </c>
    </row>
    <row r="109" spans="2:17" ht="11.25">
      <c r="B109" s="63" t="s">
        <v>344</v>
      </c>
      <c r="J109" s="66">
        <v>2.477</v>
      </c>
      <c r="L109" s="66">
        <f>J109</f>
        <v>2.477</v>
      </c>
      <c r="M109" s="66">
        <f>L109</f>
        <v>2.477</v>
      </c>
      <c r="N109" s="66">
        <f>M109</f>
        <v>2.477</v>
      </c>
      <c r="O109" s="66"/>
      <c r="P109" s="66"/>
      <c r="Q109" s="66"/>
    </row>
    <row r="110" spans="2:17" ht="11.25">
      <c r="B110" s="63" t="s">
        <v>377</v>
      </c>
      <c r="L110" s="66">
        <f>($L$83/$E$83)+($L$81/$E$81)+($L$78/$E$79)</f>
        <v>1.3004666666666667</v>
      </c>
      <c r="M110" s="66">
        <f>L110</f>
        <v>1.3004666666666667</v>
      </c>
      <c r="N110" s="66">
        <f>M110</f>
        <v>1.3004666666666667</v>
      </c>
      <c r="O110" s="66">
        <f>N110</f>
        <v>1.3004666666666667</v>
      </c>
      <c r="P110" s="66">
        <f>$L$78/$E$79</f>
        <v>0.21909166666666668</v>
      </c>
      <c r="Q110" s="66">
        <f>P110</f>
        <v>0.21909166666666668</v>
      </c>
    </row>
    <row r="111" spans="2:17" ht="11.25">
      <c r="B111" s="63" t="s">
        <v>380</v>
      </c>
      <c r="L111" s="66"/>
      <c r="M111" s="66">
        <f>($L$83/$E$83)+($L$81/$E$81)+($L$78/$E$79)</f>
        <v>1.3004666666666667</v>
      </c>
      <c r="N111" s="66">
        <f>M111</f>
        <v>1.3004666666666667</v>
      </c>
      <c r="O111" s="66">
        <f>N111</f>
        <v>1.3004666666666667</v>
      </c>
      <c r="P111" s="66">
        <f>O111</f>
        <v>1.3004666666666667</v>
      </c>
      <c r="Q111" s="66">
        <f>M78/E79</f>
        <v>0.21909166666666668</v>
      </c>
    </row>
    <row r="112" spans="2:17" ht="11.25">
      <c r="B112" s="63" t="s">
        <v>381</v>
      </c>
      <c r="L112" s="66"/>
      <c r="M112" s="66"/>
      <c r="N112" s="66">
        <f>($L$83/$E$83)+($L$81/$E$81)+($L$78/$E$79)</f>
        <v>1.3004666666666667</v>
      </c>
      <c r="O112" s="66">
        <f>N112</f>
        <v>1.3004666666666667</v>
      </c>
      <c r="P112" s="66">
        <f>O112</f>
        <v>1.3004666666666667</v>
      </c>
      <c r="Q112" s="66">
        <f>P112</f>
        <v>1.3004666666666667</v>
      </c>
    </row>
    <row r="113" spans="2:18" ht="11.25">
      <c r="B113" s="63" t="s">
        <v>382</v>
      </c>
      <c r="L113" s="66"/>
      <c r="M113" s="66"/>
      <c r="N113" s="66"/>
      <c r="O113" s="66">
        <f>($L$83/$E$83)+($L$81/$E$81)+($L$78/$E$79)</f>
        <v>1.3004666666666667</v>
      </c>
      <c r="P113" s="66">
        <f>O113</f>
        <v>1.3004666666666667</v>
      </c>
      <c r="Q113" s="66">
        <f>P113</f>
        <v>1.3004666666666667</v>
      </c>
      <c r="R113" s="66"/>
    </row>
    <row r="114" spans="2:19" ht="11.25">
      <c r="B114" s="63" t="s">
        <v>383</v>
      </c>
      <c r="L114" s="66"/>
      <c r="M114" s="66"/>
      <c r="N114" s="66"/>
      <c r="O114" s="66"/>
      <c r="P114" s="66">
        <f>($L$83/$E$83)+($L$81/$E$81)+($L$78/$E$79)</f>
        <v>1.3004666666666667</v>
      </c>
      <c r="Q114" s="66">
        <f>P114</f>
        <v>1.3004666666666667</v>
      </c>
      <c r="R114" s="66"/>
      <c r="S114" s="66"/>
    </row>
    <row r="115" spans="2:20" ht="11.25">
      <c r="B115" s="63" t="s">
        <v>384</v>
      </c>
      <c r="L115" s="66"/>
      <c r="M115" s="66"/>
      <c r="N115" s="66"/>
      <c r="O115" s="66"/>
      <c r="P115" s="66"/>
      <c r="Q115" s="66">
        <f>($L$83/$E$83)+($L$81/$E$81)+($L$78/$E$79)</f>
        <v>1.3004666666666667</v>
      </c>
      <c r="R115" s="66"/>
      <c r="S115" s="66"/>
      <c r="T115" s="66"/>
    </row>
    <row r="116" spans="2:20" ht="11.25">
      <c r="B116" s="65" t="s">
        <v>361</v>
      </c>
      <c r="L116" s="66">
        <f aca="true" t="shared" si="12" ref="L116:Q116">SUM(L109:L115)</f>
        <v>3.7774666666666663</v>
      </c>
      <c r="M116" s="66">
        <f t="shared" si="12"/>
        <v>5.077933333333333</v>
      </c>
      <c r="N116" s="66">
        <f t="shared" si="12"/>
        <v>6.3784</v>
      </c>
      <c r="O116" s="66">
        <f t="shared" si="12"/>
        <v>5.201866666666667</v>
      </c>
      <c r="P116" s="66">
        <f t="shared" si="12"/>
        <v>5.420958333333334</v>
      </c>
      <c r="Q116" s="66">
        <f t="shared" si="12"/>
        <v>5.6400500000000005</v>
      </c>
      <c r="R116" s="66"/>
      <c r="S116" s="66"/>
      <c r="T116" s="66"/>
    </row>
    <row r="118" ht="11.25">
      <c r="B118" s="65" t="s">
        <v>422</v>
      </c>
    </row>
    <row r="119" spans="2:17" ht="11.25">
      <c r="B119" s="63" t="s">
        <v>344</v>
      </c>
      <c r="J119" s="66">
        <v>0.312</v>
      </c>
      <c r="L119" s="66">
        <f>J119</f>
        <v>0.312</v>
      </c>
      <c r="M119" s="66">
        <f>L119</f>
        <v>0.312</v>
      </c>
      <c r="N119" s="66">
        <f>M119</f>
        <v>0.312</v>
      </c>
      <c r="O119" s="66"/>
      <c r="P119" s="66"/>
      <c r="Q119" s="66"/>
    </row>
    <row r="120" spans="2:17" ht="11.25">
      <c r="B120" s="63" t="s">
        <v>377</v>
      </c>
      <c r="L120" s="66">
        <f>($L$65/$E$65)+($L$68/$E$68)+($L$71/$E$71)</f>
        <v>0.07394499999999998</v>
      </c>
      <c r="M120" s="66">
        <f aca="true" t="shared" si="13" ref="M120:Q124">($L$65/$E$65)+($L$68/$E$68)+($L$71/$E$71)</f>
        <v>0.07394499999999998</v>
      </c>
      <c r="N120" s="66">
        <f t="shared" si="13"/>
        <v>0.07394499999999998</v>
      </c>
      <c r="O120" s="66">
        <f t="shared" si="13"/>
        <v>0.07394499999999998</v>
      </c>
      <c r="P120" s="66">
        <f>($L$65/$E$65)+($L$71/$E$71)</f>
        <v>0.02927833333333333</v>
      </c>
      <c r="Q120" s="66">
        <f>P120</f>
        <v>0.02927833333333333</v>
      </c>
    </row>
    <row r="121" spans="2:17" ht="11.25">
      <c r="B121" s="63" t="s">
        <v>380</v>
      </c>
      <c r="M121" s="66">
        <f>($L$65/$E$65)+($L$68/$E$68)+($L$71/$E$71)</f>
        <v>0.07394499999999998</v>
      </c>
      <c r="N121" s="66">
        <f t="shared" si="13"/>
        <v>0.07394499999999998</v>
      </c>
      <c r="O121" s="66">
        <f t="shared" si="13"/>
        <v>0.07394499999999998</v>
      </c>
      <c r="P121" s="66">
        <f t="shared" si="13"/>
        <v>0.07394499999999998</v>
      </c>
      <c r="Q121" s="66">
        <f>($L$65/$E$65)+($L$71/$E$71)</f>
        <v>0.02927833333333333</v>
      </c>
    </row>
    <row r="122" spans="2:17" ht="11.25">
      <c r="B122" s="63" t="s">
        <v>381</v>
      </c>
      <c r="N122" s="66">
        <f>($L$65/$E$65)+($L$68/$E$68)+($L$71/$E$71)</f>
        <v>0.07394499999999998</v>
      </c>
      <c r="O122" s="66">
        <f t="shared" si="13"/>
        <v>0.07394499999999998</v>
      </c>
      <c r="P122" s="66">
        <f t="shared" si="13"/>
        <v>0.07394499999999998</v>
      </c>
      <c r="Q122" s="66">
        <f t="shared" si="13"/>
        <v>0.07394499999999998</v>
      </c>
    </row>
    <row r="123" spans="2:18" ht="11.25">
      <c r="B123" s="63" t="s">
        <v>382</v>
      </c>
      <c r="O123" s="66">
        <f>($L$65/$E$65)+($L$68/$E$68)+($L$71/$E$71)</f>
        <v>0.07394499999999998</v>
      </c>
      <c r="P123" s="66">
        <f t="shared" si="13"/>
        <v>0.07394499999999998</v>
      </c>
      <c r="Q123" s="66">
        <f t="shared" si="13"/>
        <v>0.07394499999999998</v>
      </c>
      <c r="R123" s="66"/>
    </row>
    <row r="124" spans="2:19" ht="11.25">
      <c r="B124" s="63" t="s">
        <v>383</v>
      </c>
      <c r="P124" s="66">
        <f>($L$65/$E$65)+($L$68/$E$68)+($L$71/$E$71)</f>
        <v>0.07394499999999998</v>
      </c>
      <c r="Q124" s="66">
        <f t="shared" si="13"/>
        <v>0.07394499999999998</v>
      </c>
      <c r="R124" s="66"/>
      <c r="S124" s="66"/>
    </row>
    <row r="125" spans="2:20" ht="11.25">
      <c r="B125" s="63" t="s">
        <v>384</v>
      </c>
      <c r="Q125" s="66">
        <f>($L$65/$E$65)+($L$68/$E$68)+($L$71/$E$71)</f>
        <v>0.07394499999999998</v>
      </c>
      <c r="R125" s="66"/>
      <c r="S125" s="66"/>
      <c r="T125" s="66"/>
    </row>
    <row r="126" spans="2:17" ht="11.25">
      <c r="B126" s="65" t="s">
        <v>361</v>
      </c>
      <c r="L126" s="66">
        <f aca="true" t="shared" si="14" ref="L126:Q126">SUM(L119:L125)</f>
        <v>0.385945</v>
      </c>
      <c r="M126" s="66">
        <f t="shared" si="14"/>
        <v>0.45988999999999997</v>
      </c>
      <c r="N126" s="66">
        <f t="shared" si="14"/>
        <v>0.533835</v>
      </c>
      <c r="O126" s="66">
        <f t="shared" si="14"/>
        <v>0.29577999999999993</v>
      </c>
      <c r="P126" s="66">
        <f t="shared" si="14"/>
        <v>0.3250583333333333</v>
      </c>
      <c r="Q126" s="66">
        <f t="shared" si="14"/>
        <v>0.3543366666666666</v>
      </c>
    </row>
    <row r="128" spans="2:17" ht="11.25">
      <c r="B128" s="65" t="s">
        <v>423</v>
      </c>
      <c r="L128" s="66">
        <f aca="true" t="shared" si="15" ref="L128:Q128">L126+L116</f>
        <v>4.163411666666667</v>
      </c>
      <c r="M128" s="66">
        <f t="shared" si="15"/>
        <v>5.537823333333333</v>
      </c>
      <c r="N128" s="66">
        <f t="shared" si="15"/>
        <v>6.912235</v>
      </c>
      <c r="O128" s="66">
        <f t="shared" si="15"/>
        <v>5.497646666666666</v>
      </c>
      <c r="P128" s="66">
        <f t="shared" si="15"/>
        <v>5.746016666666668</v>
      </c>
      <c r="Q128" s="66">
        <f t="shared" si="15"/>
        <v>5.994386666666667</v>
      </c>
    </row>
    <row r="130" spans="2:10" ht="11.25">
      <c r="B130" s="65" t="s">
        <v>114</v>
      </c>
      <c r="E130" s="66">
        <f>-OpMod!E14</f>
        <v>13.964</v>
      </c>
      <c r="F130" s="66">
        <f>-OpMod!F14</f>
        <v>15.515</v>
      </c>
      <c r="G130" s="66">
        <f>-OpMod!G14</f>
        <v>16</v>
      </c>
      <c r="H130" s="66">
        <f>-OpMod!H14</f>
        <v>18.142</v>
      </c>
      <c r="I130" s="66">
        <f>-OpMod!I14</f>
        <v>21.863</v>
      </c>
      <c r="J130" s="66">
        <f>-OpMod!J14</f>
        <v>27.683</v>
      </c>
    </row>
    <row r="131" spans="3:10" ht="11.25">
      <c r="C131" s="63" t="s">
        <v>432</v>
      </c>
      <c r="E131" s="66">
        <v>6.1</v>
      </c>
      <c r="F131" s="66">
        <v>7.2</v>
      </c>
      <c r="G131" s="66">
        <v>7.2</v>
      </c>
      <c r="H131" s="66">
        <v>8.1</v>
      </c>
      <c r="I131" s="66">
        <v>9.439</v>
      </c>
      <c r="J131" s="66">
        <v>12.326</v>
      </c>
    </row>
    <row r="132" spans="3:10" ht="11.25">
      <c r="C132" s="63" t="s">
        <v>434</v>
      </c>
      <c r="E132" s="73">
        <f aca="true" t="shared" si="16" ref="E132:J132">E131/E130</f>
        <v>0.43683758235462616</v>
      </c>
      <c r="F132" s="73">
        <f t="shared" si="16"/>
        <v>0.46406703190460846</v>
      </c>
      <c r="G132" s="73">
        <f t="shared" si="16"/>
        <v>0.45</v>
      </c>
      <c r="H132" s="73">
        <f t="shared" si="16"/>
        <v>0.4464777863521111</v>
      </c>
      <c r="I132" s="73">
        <f t="shared" si="16"/>
        <v>0.4317339797831954</v>
      </c>
      <c r="J132" s="73">
        <f t="shared" si="16"/>
        <v>0.44525521077917857</v>
      </c>
    </row>
    <row r="133" spans="3:10" ht="11.25">
      <c r="C133" s="63" t="s">
        <v>436</v>
      </c>
      <c r="E133" s="73"/>
      <c r="F133" s="73"/>
      <c r="G133" s="73"/>
      <c r="H133" s="73"/>
      <c r="I133" s="73"/>
      <c r="J133" s="73">
        <f>AVERAGE(E132:J132)</f>
        <v>0.44572859852895325</v>
      </c>
    </row>
    <row r="134" spans="5:10" ht="11.25">
      <c r="E134" s="73"/>
      <c r="F134" s="73"/>
      <c r="G134" s="73"/>
      <c r="H134" s="73"/>
      <c r="I134" s="73"/>
      <c r="J134" s="73"/>
    </row>
    <row r="135" spans="3:10" ht="11.25">
      <c r="C135" s="63" t="s">
        <v>433</v>
      </c>
      <c r="E135" s="66">
        <f aca="true" t="shared" si="17" ref="E135:J135">E130-E131</f>
        <v>7.864000000000001</v>
      </c>
      <c r="F135" s="66">
        <f t="shared" si="17"/>
        <v>8.315000000000001</v>
      </c>
      <c r="G135" s="66">
        <f t="shared" si="17"/>
        <v>8.8</v>
      </c>
      <c r="H135" s="66">
        <f t="shared" si="17"/>
        <v>10.042</v>
      </c>
      <c r="I135" s="66">
        <f t="shared" si="17"/>
        <v>12.424</v>
      </c>
      <c r="J135" s="66">
        <f t="shared" si="17"/>
        <v>15.357</v>
      </c>
    </row>
    <row r="136" spans="3:10" ht="11.25">
      <c r="C136" s="63" t="s">
        <v>434</v>
      </c>
      <c r="E136" s="73">
        <f aca="true" t="shared" si="18" ref="E136:J136">E135/E130</f>
        <v>0.5631624176453739</v>
      </c>
      <c r="F136" s="73">
        <f t="shared" si="18"/>
        <v>0.5359329680953916</v>
      </c>
      <c r="G136" s="73">
        <f t="shared" si="18"/>
        <v>0.55</v>
      </c>
      <c r="H136" s="73">
        <f t="shared" si="18"/>
        <v>0.5535222136478889</v>
      </c>
      <c r="I136" s="73">
        <f t="shared" si="18"/>
        <v>0.5682660202168046</v>
      </c>
      <c r="J136" s="73">
        <f t="shared" si="18"/>
        <v>0.5547447892208214</v>
      </c>
    </row>
    <row r="137" spans="3:10" ht="11.25">
      <c r="C137" s="63" t="s">
        <v>436</v>
      </c>
      <c r="J137" s="73">
        <f>AVERAGE(E136:J136)</f>
        <v>0.5542714014710467</v>
      </c>
    </row>
    <row r="140" spans="2:10" ht="11.25">
      <c r="B140" s="63" t="s">
        <v>424</v>
      </c>
      <c r="E140" s="66">
        <f>'Balance sheet'!C42</f>
        <v>236</v>
      </c>
      <c r="F140" s="66">
        <f>'Balance sheet'!D42</f>
        <v>247</v>
      </c>
      <c r="G140" s="66">
        <f>'Balance sheet'!E42</f>
        <v>260</v>
      </c>
      <c r="H140" s="66">
        <v>283</v>
      </c>
      <c r="I140" s="66">
        <v>327</v>
      </c>
      <c r="J140" s="66">
        <v>389</v>
      </c>
    </row>
    <row r="141" spans="3:10" ht="11.25">
      <c r="C141" s="68" t="s">
        <v>427</v>
      </c>
      <c r="E141" s="66"/>
      <c r="F141" s="66">
        <f>F140-E140</f>
        <v>11</v>
      </c>
      <c r="G141" s="66">
        <f>G140-F140</f>
        <v>13</v>
      </c>
      <c r="H141" s="66">
        <f>H140-G140</f>
        <v>23</v>
      </c>
      <c r="I141" s="66">
        <f>I140-H140</f>
        <v>44</v>
      </c>
      <c r="J141" s="66">
        <f>J140-I140</f>
        <v>62</v>
      </c>
    </row>
    <row r="142" spans="3:10" ht="11.25">
      <c r="C142" s="63" t="s">
        <v>428</v>
      </c>
      <c r="F142" s="66"/>
      <c r="G142" s="66"/>
      <c r="H142" s="66">
        <f>H140/H27</f>
        <v>4.223880597014926</v>
      </c>
      <c r="I142" s="66">
        <f>I140/I27</f>
        <v>3.715909090909091</v>
      </c>
      <c r="J142" s="66">
        <f>J140/J27</f>
        <v>3.89</v>
      </c>
    </row>
    <row r="143" spans="8:10" ht="11.25">
      <c r="H143" s="66"/>
      <c r="I143" s="66"/>
      <c r="J143" s="66">
        <f>AVERAGE(H142:J142)</f>
        <v>3.9432632293080054</v>
      </c>
    </row>
    <row r="144" spans="9:10" ht="11.25">
      <c r="I144" s="66"/>
      <c r="J144" s="66"/>
    </row>
    <row r="145" spans="2:10" ht="11.25">
      <c r="B145" s="63" t="s">
        <v>425</v>
      </c>
      <c r="H145" s="66">
        <v>7.17</v>
      </c>
      <c r="I145" s="66">
        <v>8.23</v>
      </c>
      <c r="J145" s="66">
        <v>10.633</v>
      </c>
    </row>
    <row r="146" spans="2:10" ht="11.25">
      <c r="B146" s="63" t="s">
        <v>426</v>
      </c>
      <c r="H146" s="66">
        <v>0.91</v>
      </c>
      <c r="I146" s="66">
        <v>1.209</v>
      </c>
      <c r="J146" s="66">
        <v>1.693</v>
      </c>
    </row>
    <row r="147" spans="3:10" ht="11.25">
      <c r="C147" s="63" t="s">
        <v>429</v>
      </c>
      <c r="H147" s="66">
        <f>SUM(H145:H146)/H140</f>
        <v>0.02855123674911661</v>
      </c>
      <c r="I147" s="66">
        <f>SUM(I145:I146)/I140</f>
        <v>0.028865443425076454</v>
      </c>
      <c r="J147" s="66">
        <f>SUM(J145:J146)/J140</f>
        <v>0.03168637532133676</v>
      </c>
    </row>
    <row r="148" ht="11.25">
      <c r="J148" s="66">
        <f>AVERAGE(H147:J147)</f>
        <v>0.02970101849850994</v>
      </c>
    </row>
    <row r="149" spans="2:17" ht="11.25">
      <c r="B149" s="63" t="s">
        <v>430</v>
      </c>
      <c r="L149" s="66">
        <f>$J$143*($J$27+L23+L24+L25)</f>
        <v>437.7022184531886</v>
      </c>
      <c r="M149" s="66">
        <f>$J$143*(($J$27+M23+M24+M25)+(L23+L24+L25))</f>
        <v>481.0781139755767</v>
      </c>
      <c r="N149" s="66">
        <f>$J$143*(($J$27+N23+N24+N25)+(M23+M24+M25)+(L23+L24+L25))</f>
        <v>524.4540094979648</v>
      </c>
      <c r="O149" s="66">
        <f>$J$143*(($J$27+O23+O24+O25)+(N23+N24+N25)+(M23+M24+M25)+(L23+L24+L25))</f>
        <v>567.8299050203527</v>
      </c>
      <c r="P149" s="66">
        <f>$J$143*(($J$27+P23+P24+P25)+(O23+O24+O25)+(N23+N24+N25)+(M23+M24+M25)+(L23+L24+L25))</f>
        <v>611.2058005427408</v>
      </c>
      <c r="Q149" s="66">
        <f>$J$143*(($J$27+Q23+Q24+Q25)+(P23+P24+P25)+(O23+O24+O25)+(N23+N24+N25)+(M23+M24+M25)+(L23+L24+L25))</f>
        <v>654.5816960651289</v>
      </c>
    </row>
    <row r="150" spans="2:17" ht="11.25">
      <c r="B150" s="63" t="s">
        <v>431</v>
      </c>
      <c r="L150" s="66">
        <f aca="true" t="shared" si="19" ref="L150:Q150">L149*$J$148</f>
        <v>13.000201687116993</v>
      </c>
      <c r="M150" s="66">
        <f t="shared" si="19"/>
        <v>14.288509962416876</v>
      </c>
      <c r="N150" s="66">
        <f t="shared" si="19"/>
        <v>15.57681823771676</v>
      </c>
      <c r="O150" s="66">
        <f t="shared" si="19"/>
        <v>16.86512651301664</v>
      </c>
      <c r="P150" s="66">
        <f t="shared" si="19"/>
        <v>18.15343478831652</v>
      </c>
      <c r="Q150" s="66">
        <f t="shared" si="19"/>
        <v>19.441743063616403</v>
      </c>
    </row>
    <row r="151" spans="2:17" ht="11.25">
      <c r="B151" s="63" t="s">
        <v>435</v>
      </c>
      <c r="E151" s="63" t="s">
        <v>437</v>
      </c>
      <c r="L151" s="66">
        <f aca="true" t="shared" si="20" ref="L151:Q151">L150/$J$133</f>
        <v>29.166182582903165</v>
      </c>
      <c r="M151" s="66">
        <f t="shared" si="20"/>
        <v>32.0565250010287</v>
      </c>
      <c r="N151" s="66">
        <f t="shared" si="20"/>
        <v>34.946867419154245</v>
      </c>
      <c r="O151" s="66">
        <f t="shared" si="20"/>
        <v>37.83720983727979</v>
      </c>
      <c r="P151" s="66">
        <f t="shared" si="20"/>
        <v>40.727552255405314</v>
      </c>
      <c r="Q151" s="66">
        <f t="shared" si="20"/>
        <v>43.617894673530856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D27" sqref="D27"/>
    </sheetView>
  </sheetViews>
  <sheetFormatPr defaultColWidth="9.140625" defaultRowHeight="15"/>
  <cols>
    <col min="1" max="1" width="2.421875" style="1" customWidth="1"/>
    <col min="2" max="2" width="44.421875" style="1" customWidth="1"/>
    <col min="3" max="8" width="13.421875" style="1" customWidth="1"/>
  </cols>
  <sheetData>
    <row r="1" spans="1:8" ht="14.25" customHeight="1">
      <c r="A1" s="15" t="s">
        <v>0</v>
      </c>
      <c r="B1" s="16"/>
      <c r="C1" s="16"/>
      <c r="D1" s="16"/>
      <c r="E1" s="16"/>
      <c r="F1" s="16"/>
      <c r="G1" s="16"/>
      <c r="H1" s="16"/>
    </row>
    <row r="2" spans="1:8" ht="12" customHeight="1">
      <c r="A2" s="16"/>
      <c r="B2" s="16"/>
      <c r="C2" s="16"/>
      <c r="D2" s="16"/>
      <c r="E2" s="16"/>
      <c r="F2" s="16"/>
      <c r="G2" s="16"/>
      <c r="H2" s="16"/>
    </row>
    <row r="3" spans="1:8" ht="15" customHeight="1">
      <c r="A3" s="2"/>
      <c r="B3" s="3" t="s">
        <v>40</v>
      </c>
      <c r="C3" s="2"/>
      <c r="D3" s="2"/>
      <c r="E3" s="2"/>
      <c r="F3" s="2"/>
      <c r="G3" s="2"/>
      <c r="H3" s="2"/>
    </row>
    <row r="4" spans="1:8" ht="26.25" customHeight="1">
      <c r="A4" s="4"/>
      <c r="B4" s="5" t="s">
        <v>2</v>
      </c>
      <c r="C4" s="6" t="s">
        <v>7</v>
      </c>
      <c r="D4" s="6" t="s">
        <v>6</v>
      </c>
      <c r="E4" s="6" t="s">
        <v>5</v>
      </c>
      <c r="F4" s="6" t="s">
        <v>4</v>
      </c>
      <c r="G4" s="6" t="s">
        <v>3</v>
      </c>
      <c r="H4" s="6" t="s">
        <v>108</v>
      </c>
    </row>
    <row r="5" spans="1:8" ht="26.25" customHeight="1">
      <c r="A5" s="7"/>
      <c r="B5" s="7"/>
      <c r="C5" s="8" t="s">
        <v>9</v>
      </c>
      <c r="D5" s="8" t="s">
        <v>9</v>
      </c>
      <c r="E5" s="8" t="s">
        <v>9</v>
      </c>
      <c r="F5" s="8" t="s">
        <v>9</v>
      </c>
      <c r="G5" s="8" t="s">
        <v>9</v>
      </c>
      <c r="H5" s="8" t="s">
        <v>9</v>
      </c>
    </row>
    <row r="6" spans="1:8" ht="15" customHeight="1">
      <c r="A6" s="9"/>
      <c r="B6" s="10" t="s">
        <v>41</v>
      </c>
      <c r="C6" s="11">
        <v>22091</v>
      </c>
      <c r="D6" s="11">
        <v>24696</v>
      </c>
      <c r="E6" s="11">
        <v>26682</v>
      </c>
      <c r="F6" s="11">
        <v>31365</v>
      </c>
      <c r="G6" s="11">
        <v>39042</v>
      </c>
      <c r="H6" s="11">
        <v>53060</v>
      </c>
    </row>
    <row r="7" spans="1:8" ht="15" customHeight="1">
      <c r="A7" s="9"/>
      <c r="B7" s="10" t="s">
        <v>42</v>
      </c>
      <c r="C7" s="12" t="s">
        <v>38</v>
      </c>
      <c r="D7" s="12" t="s">
        <v>38</v>
      </c>
      <c r="E7" s="12" t="s">
        <v>38</v>
      </c>
      <c r="F7" s="12" t="s">
        <v>38</v>
      </c>
      <c r="G7" s="12" t="s">
        <v>38</v>
      </c>
      <c r="H7" s="12" t="s">
        <v>38</v>
      </c>
    </row>
    <row r="8" spans="1:8" ht="15" customHeight="1">
      <c r="A8" s="9"/>
      <c r="B8" s="10" t="s">
        <v>43</v>
      </c>
      <c r="C8" s="11">
        <v>7275</v>
      </c>
      <c r="D8" s="11">
        <v>8699</v>
      </c>
      <c r="E8" s="11">
        <v>7462</v>
      </c>
      <c r="F8" s="11">
        <v>9301</v>
      </c>
      <c r="G8" s="11">
        <v>10984</v>
      </c>
      <c r="H8" s="11">
        <v>15788</v>
      </c>
    </row>
    <row r="9" spans="1:8" ht="15" customHeight="1">
      <c r="A9" s="9"/>
      <c r="B9" s="10" t="s">
        <v>44</v>
      </c>
      <c r="C9" s="11">
        <v>14816</v>
      </c>
      <c r="D9" s="11">
        <v>15997</v>
      </c>
      <c r="E9" s="11">
        <v>19220</v>
      </c>
      <c r="F9" s="11">
        <v>22064</v>
      </c>
      <c r="G9" s="11">
        <v>28058</v>
      </c>
      <c r="H9" s="11">
        <v>37272</v>
      </c>
    </row>
    <row r="10" spans="1:8" ht="15" customHeight="1">
      <c r="A10" s="9"/>
      <c r="B10" s="10" t="s">
        <v>45</v>
      </c>
      <c r="C10" s="11">
        <v>15587</v>
      </c>
      <c r="D10" s="11">
        <v>17508</v>
      </c>
      <c r="E10" s="11">
        <v>17888</v>
      </c>
      <c r="F10" s="11">
        <v>20112</v>
      </c>
      <c r="G10" s="11">
        <v>23938</v>
      </c>
      <c r="H10" s="11">
        <v>30472</v>
      </c>
    </row>
    <row r="11" spans="1:8" ht="15" customHeight="1">
      <c r="A11" s="9"/>
      <c r="B11" s="10" t="s">
        <v>46</v>
      </c>
      <c r="C11" s="11">
        <v>-771</v>
      </c>
      <c r="D11" s="11">
        <v>-1511</v>
      </c>
      <c r="E11" s="11">
        <v>1332</v>
      </c>
      <c r="F11" s="11">
        <v>1952</v>
      </c>
      <c r="G11" s="11">
        <v>4120</v>
      </c>
      <c r="H11" s="11">
        <v>6800</v>
      </c>
    </row>
    <row r="12" spans="1:8" ht="15" customHeight="1">
      <c r="A12" s="9"/>
      <c r="B12" s="10" t="s">
        <v>47</v>
      </c>
      <c r="C12" s="11">
        <v>27</v>
      </c>
      <c r="D12" s="11">
        <v>2</v>
      </c>
      <c r="E12" s="11">
        <v>1</v>
      </c>
      <c r="F12" s="11">
        <v>1</v>
      </c>
      <c r="G12" s="12">
        <v>0</v>
      </c>
      <c r="H12" s="12">
        <v>0</v>
      </c>
    </row>
    <row r="13" spans="1:8" ht="15" customHeight="1">
      <c r="A13" s="9"/>
      <c r="B13" s="10" t="s">
        <v>48</v>
      </c>
      <c r="C13" s="11">
        <v>332</v>
      </c>
      <c r="D13" s="11">
        <v>310</v>
      </c>
      <c r="E13" s="11">
        <v>265</v>
      </c>
      <c r="F13" s="11">
        <v>288</v>
      </c>
      <c r="G13" s="11">
        <v>323</v>
      </c>
      <c r="H13" s="11">
        <v>566</v>
      </c>
    </row>
    <row r="14" spans="1:8" ht="15" customHeight="1">
      <c r="A14" s="9"/>
      <c r="B14" s="10" t="s">
        <v>49</v>
      </c>
      <c r="C14" s="11">
        <v>-305</v>
      </c>
      <c r="D14" s="11">
        <v>-308</v>
      </c>
      <c r="E14" s="11">
        <v>-264</v>
      </c>
      <c r="F14" s="11">
        <v>-287</v>
      </c>
      <c r="G14" s="11">
        <v>-323</v>
      </c>
      <c r="H14" s="11">
        <v>-566</v>
      </c>
    </row>
    <row r="15" spans="1:8" ht="15" customHeight="1">
      <c r="A15" s="9"/>
      <c r="B15" s="10" t="s">
        <v>50</v>
      </c>
      <c r="C15" s="11">
        <v>-1076</v>
      </c>
      <c r="D15" s="11">
        <v>-1819</v>
      </c>
      <c r="E15" s="11">
        <v>1068</v>
      </c>
      <c r="F15" s="11">
        <v>1665</v>
      </c>
      <c r="G15" s="11">
        <v>3797</v>
      </c>
      <c r="H15" s="11">
        <v>6234</v>
      </c>
    </row>
    <row r="16" spans="1:8" ht="15" customHeight="1">
      <c r="A16" s="9"/>
      <c r="B16" s="10" t="s">
        <v>51</v>
      </c>
      <c r="C16" s="11">
        <v>-400</v>
      </c>
      <c r="D16" s="11">
        <v>-78</v>
      </c>
      <c r="E16" s="11">
        <v>396</v>
      </c>
      <c r="F16" s="11">
        <v>595</v>
      </c>
      <c r="G16" s="11">
        <v>1158</v>
      </c>
      <c r="H16" s="11">
        <v>1561</v>
      </c>
    </row>
    <row r="17" spans="1:8" ht="15" customHeight="1">
      <c r="A17" s="9"/>
      <c r="B17" s="10" t="s">
        <v>52</v>
      </c>
      <c r="C17" s="11">
        <v>-676</v>
      </c>
      <c r="D17" s="11">
        <v>-1741</v>
      </c>
      <c r="E17" s="11">
        <v>672</v>
      </c>
      <c r="F17" s="11">
        <v>1070</v>
      </c>
      <c r="G17" s="11">
        <v>2639</v>
      </c>
      <c r="H17" s="11">
        <v>4673</v>
      </c>
    </row>
    <row r="18" spans="1:8" ht="15" customHeight="1">
      <c r="A18" s="9"/>
      <c r="B18" s="10" t="s">
        <v>53</v>
      </c>
      <c r="C18" s="12" t="s">
        <v>38</v>
      </c>
      <c r="D18" s="12" t="s">
        <v>38</v>
      </c>
      <c r="E18" s="12" t="s">
        <v>38</v>
      </c>
      <c r="F18" s="12" t="s">
        <v>38</v>
      </c>
      <c r="G18" s="12" t="s">
        <v>38</v>
      </c>
      <c r="H18" s="12" t="s">
        <v>38</v>
      </c>
    </row>
    <row r="19" spans="1:8" ht="15" customHeight="1">
      <c r="A19" s="9"/>
      <c r="B19" s="10" t="s">
        <v>54</v>
      </c>
      <c r="C19" s="12" t="s">
        <v>38</v>
      </c>
      <c r="D19" s="12" t="s">
        <v>38</v>
      </c>
      <c r="E19" s="12" t="s">
        <v>38</v>
      </c>
      <c r="F19" s="12" t="s">
        <v>38</v>
      </c>
      <c r="G19" s="12" t="s">
        <v>38</v>
      </c>
      <c r="H19" s="12" t="s">
        <v>38</v>
      </c>
    </row>
    <row r="20" spans="1:8" ht="15" customHeight="1">
      <c r="A20" s="9"/>
      <c r="B20" s="10" t="s">
        <v>55</v>
      </c>
      <c r="C20" s="12" t="s">
        <v>38</v>
      </c>
      <c r="D20" s="12" t="s">
        <v>38</v>
      </c>
      <c r="E20" s="12" t="s">
        <v>38</v>
      </c>
      <c r="F20" s="12" t="s">
        <v>38</v>
      </c>
      <c r="G20" s="12" t="s">
        <v>38</v>
      </c>
      <c r="H20" s="12" t="s">
        <v>38</v>
      </c>
    </row>
    <row r="21" spans="1:8" ht="15" customHeight="1">
      <c r="A21" s="9"/>
      <c r="B21" s="10" t="s">
        <v>56</v>
      </c>
      <c r="C21" s="11">
        <v>-676</v>
      </c>
      <c r="D21" s="11">
        <v>-1741</v>
      </c>
      <c r="E21" s="11">
        <v>672</v>
      </c>
      <c r="F21" s="11">
        <v>1070</v>
      </c>
      <c r="G21" s="11">
        <v>2639</v>
      </c>
      <c r="H21" s="11">
        <v>4673</v>
      </c>
    </row>
    <row r="22" spans="1:8" ht="15" customHeight="1">
      <c r="A22" s="9"/>
      <c r="B22" s="9"/>
      <c r="C22" s="9"/>
      <c r="D22" s="9"/>
      <c r="E22" s="9"/>
      <c r="F22" s="9"/>
      <c r="G22" s="9"/>
      <c r="H22" s="9"/>
    </row>
    <row r="23" spans="1:8" ht="15" customHeight="1">
      <c r="A23" s="2"/>
      <c r="B23" s="3" t="s">
        <v>34</v>
      </c>
      <c r="C23" s="2"/>
      <c r="D23" s="2"/>
      <c r="E23" s="2"/>
      <c r="F23" s="2"/>
      <c r="G23" s="2"/>
      <c r="H23" s="2"/>
    </row>
    <row r="24" spans="1:8" ht="15" customHeight="1">
      <c r="A24" s="9"/>
      <c r="B24" s="10" t="s">
        <v>57</v>
      </c>
      <c r="C24" s="11">
        <v>9103</v>
      </c>
      <c r="D24" s="11">
        <v>10591</v>
      </c>
      <c r="E24" s="11">
        <v>13334</v>
      </c>
      <c r="F24" s="11">
        <v>17259</v>
      </c>
      <c r="G24" s="11">
        <v>22862</v>
      </c>
      <c r="H24" s="11">
        <v>30868</v>
      </c>
    </row>
    <row r="25" spans="1:8" ht="15" customHeight="1">
      <c r="A25" s="9"/>
      <c r="B25" s="10" t="s">
        <v>58</v>
      </c>
      <c r="C25" s="12" t="s">
        <v>38</v>
      </c>
      <c r="D25" s="12" t="s">
        <v>38</v>
      </c>
      <c r="E25" s="12" t="s">
        <v>38</v>
      </c>
      <c r="F25" s="12" t="s">
        <v>38</v>
      </c>
      <c r="G25" s="12" t="s">
        <v>38</v>
      </c>
      <c r="H25" s="12" t="s">
        <v>38</v>
      </c>
    </row>
    <row r="26" spans="1:8" ht="15" customHeight="1">
      <c r="A26" s="9"/>
      <c r="B26" s="10" t="s">
        <v>59</v>
      </c>
      <c r="C26" s="11">
        <v>6083</v>
      </c>
      <c r="D26" s="11">
        <v>7210</v>
      </c>
      <c r="E26" s="11">
        <v>7185</v>
      </c>
      <c r="F26" s="11">
        <v>8080</v>
      </c>
      <c r="G26" s="11">
        <v>9439</v>
      </c>
      <c r="H26" s="11">
        <v>12326</v>
      </c>
    </row>
    <row r="27" spans="1:8" ht="15" customHeight="1">
      <c r="A27" s="9"/>
      <c r="B27" s="10" t="s">
        <v>60</v>
      </c>
      <c r="C27" s="11">
        <v>1623</v>
      </c>
      <c r="D27" s="11">
        <v>1993</v>
      </c>
      <c r="E27" s="11">
        <v>1888</v>
      </c>
      <c r="F27" s="11">
        <v>1970</v>
      </c>
      <c r="G27" s="11">
        <v>2075</v>
      </c>
      <c r="H27" s="11">
        <v>2789</v>
      </c>
    </row>
    <row r="28" spans="1:8" ht="15" customHeight="1">
      <c r="A28" s="9"/>
      <c r="B28" s="10" t="s">
        <v>61</v>
      </c>
      <c r="C28" s="11">
        <v>332</v>
      </c>
      <c r="D28" s="11">
        <v>310</v>
      </c>
      <c r="E28" s="11">
        <v>265</v>
      </c>
      <c r="F28" s="11">
        <v>288</v>
      </c>
      <c r="G28" s="11">
        <v>323</v>
      </c>
      <c r="H28" s="11">
        <v>566</v>
      </c>
    </row>
    <row r="29" spans="1:8" ht="15" customHeight="1">
      <c r="A29" s="9"/>
      <c r="B29" s="10" t="s">
        <v>62</v>
      </c>
      <c r="C29" s="12" t="s">
        <v>38</v>
      </c>
      <c r="D29" s="12" t="s">
        <v>38</v>
      </c>
      <c r="E29" s="12" t="s">
        <v>38</v>
      </c>
      <c r="F29" s="12" t="s">
        <v>38</v>
      </c>
      <c r="G29" s="12" t="s">
        <v>38</v>
      </c>
      <c r="H29" s="12" t="s">
        <v>38</v>
      </c>
    </row>
    <row r="30" spans="1:8" ht="15" customHeight="1">
      <c r="A30" s="9"/>
      <c r="B30" s="9"/>
      <c r="C30" s="9"/>
      <c r="D30" s="9"/>
      <c r="E30" s="9"/>
      <c r="F30" s="9"/>
      <c r="G30" s="9"/>
      <c r="H30" s="9"/>
    </row>
    <row r="31" spans="1:8" ht="15" customHeight="1">
      <c r="A31" s="9"/>
      <c r="B31" s="10" t="s">
        <v>63</v>
      </c>
      <c r="C31" s="11">
        <v>947</v>
      </c>
      <c r="D31" s="11">
        <v>252</v>
      </c>
      <c r="E31" s="11">
        <v>2560</v>
      </c>
      <c r="F31" s="11">
        <v>3040</v>
      </c>
      <c r="G31" s="11">
        <v>4714</v>
      </c>
      <c r="H31" s="11">
        <v>7462</v>
      </c>
    </row>
    <row r="32" spans="1:8" ht="15" customHeight="1">
      <c r="A32" s="9"/>
      <c r="B32" s="10" t="s">
        <v>64</v>
      </c>
      <c r="C32" s="11">
        <v>6962</v>
      </c>
      <c r="D32" s="11">
        <v>7694</v>
      </c>
      <c r="E32" s="11">
        <v>10406</v>
      </c>
      <c r="F32" s="11">
        <v>12003</v>
      </c>
      <c r="G32" s="11">
        <v>15634</v>
      </c>
      <c r="H32" s="11">
        <v>21915</v>
      </c>
    </row>
    <row r="33" spans="1:8" ht="15" customHeight="1">
      <c r="A33" s="9"/>
      <c r="B33" s="10" t="s">
        <v>65</v>
      </c>
      <c r="C33" s="11">
        <v>852</v>
      </c>
      <c r="D33" s="11">
        <v>482</v>
      </c>
      <c r="E33" s="11">
        <v>3220</v>
      </c>
      <c r="F33" s="11">
        <v>3922</v>
      </c>
      <c r="G33" s="11">
        <v>6195</v>
      </c>
      <c r="H33" s="11">
        <v>9589</v>
      </c>
    </row>
    <row r="34" spans="1:8" ht="15" customHeight="1">
      <c r="A34" s="9"/>
      <c r="B34" s="9"/>
      <c r="C34" s="9"/>
      <c r="D34" s="9"/>
      <c r="E34" s="9"/>
      <c r="F34" s="9"/>
      <c r="G34" s="9"/>
      <c r="H34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2015-05-17T16:00:53Z</dcterms:created>
  <dcterms:modified xsi:type="dcterms:W3CDTF">2015-06-07T12:20:16Z</dcterms:modified>
  <cp:category/>
  <cp:version/>
  <cp:contentType/>
  <cp:contentStatus/>
</cp:coreProperties>
</file>