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370" windowWidth="24375" windowHeight="11700" activeTab="0"/>
  </bookViews>
  <sheets>
    <sheet name="Rental Income Analys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Jeremy</author>
  </authors>
  <commentList>
    <comment ref="E44" authorId="0">
      <text>
        <r>
          <rPr>
            <b/>
            <sz val="9"/>
            <rFont val="Tahoma"/>
            <family val="2"/>
          </rPr>
          <t xml:space="preserve">Jeremy: 
</t>
        </r>
        <r>
          <rPr>
            <sz val="9"/>
            <rFont val="Tahoma"/>
            <family val="2"/>
          </rPr>
          <t>Assume 1%
Source for Assumption: https://www.gobankingrates.com/mortgage-rates/heres-costs-1126-month-maintain-average-american-home/</t>
        </r>
      </text>
    </comment>
    <comment ref="E45" authorId="0">
      <text>
        <r>
          <rPr>
            <b/>
            <sz val="9"/>
            <rFont val="Tahoma"/>
            <family val="2"/>
          </rPr>
          <t xml:space="preserve">Jeremy: 
</t>
        </r>
        <r>
          <rPr>
            <sz val="9"/>
            <rFont val="Tahoma"/>
            <family val="2"/>
          </rPr>
          <t>Assume 0.35% per $100,000 building value (exclude land)
Source for Assumption: https://www.gobankingrates.com/mortgage-rates/heres-costs-1126-month-maintain-average-american-home/</t>
        </r>
      </text>
    </comment>
    <comment ref="E46" authorId="0">
      <text>
        <r>
          <rPr>
            <b/>
            <sz val="9"/>
            <rFont val="Tahoma"/>
            <family val="2"/>
          </rPr>
          <t xml:space="preserve">Jeremy: 
</t>
        </r>
        <r>
          <rPr>
            <sz val="9"/>
            <rFont val="Tahoma"/>
            <family val="2"/>
          </rPr>
          <t>Assume 1%
Sources for Assumption: https://www.gobankingrates.com/mortgage-rates/heres-costs-1126-month-maintain-average-american-home/
http://www.zillow.com/blog/investing-101-estimating-rental-property-expenses-94824/</t>
        </r>
      </text>
    </comment>
    <comment ref="E47" authorId="0">
      <text>
        <r>
          <rPr>
            <b/>
            <sz val="9"/>
            <rFont val="Tahoma"/>
            <family val="2"/>
          </rPr>
          <t xml:space="preserve">Jeremy: 
</t>
        </r>
        <r>
          <rPr>
            <sz val="9"/>
            <rFont val="Tahoma"/>
            <family val="2"/>
          </rPr>
          <t>Assume average single family utilities expense holds true
Source for Assumption: https://www.gobankingrates.com/mortgage-rates/heres-costs-1126-month-maintain-average-american-home/</t>
        </r>
      </text>
    </comment>
    <comment ref="E48" authorId="0">
      <text>
        <r>
          <rPr>
            <b/>
            <sz val="9"/>
            <rFont val="Tahoma"/>
            <family val="2"/>
          </rPr>
          <t>Jeremy:</t>
        </r>
        <r>
          <rPr>
            <sz val="9"/>
            <rFont val="Tahoma"/>
            <family val="2"/>
          </rPr>
          <t xml:space="preserve">
De minimis</t>
        </r>
      </text>
    </comment>
    <comment ref="D14" authorId="0">
      <text>
        <r>
          <rPr>
            <b/>
            <sz val="9"/>
            <rFont val="Tahoma"/>
            <family val="2"/>
          </rPr>
          <t>Jeremy:</t>
        </r>
        <r>
          <rPr>
            <sz val="9"/>
            <rFont val="Tahoma"/>
            <family val="2"/>
          </rPr>
          <t xml:space="preserve">
Assumes closing costs are 3.5% of purchase price
Source for Assumption:
http://www.zillow.com/mortgage-learning/closing-costs/</t>
        </r>
      </text>
    </comment>
    <comment ref="D4" authorId="0">
      <text>
        <r>
          <rPr>
            <b/>
            <sz val="9"/>
            <rFont val="Tahoma"/>
            <family val="2"/>
          </rPr>
          <t>Jeremy:</t>
        </r>
        <r>
          <rPr>
            <sz val="9"/>
            <rFont val="Tahoma"/>
            <family val="2"/>
          </rPr>
          <t xml:space="preserve">
Assumes rent is 1.25% of the purchase price
Source for Assumption:
http://www.zillow.com/research/data/</t>
        </r>
      </text>
    </comment>
    <comment ref="D3" authorId="0">
      <text>
        <r>
          <rPr>
            <b/>
            <sz val="9"/>
            <rFont val="Tahoma"/>
            <family val="2"/>
          </rPr>
          <t>Jeremy:</t>
        </r>
        <r>
          <rPr>
            <sz val="9"/>
            <rFont val="Tahoma"/>
            <family val="2"/>
          </rPr>
          <t xml:space="preserve">
Assumes rent is 1.25% of the purchase price
Source for Assumption:
http://www.zillow.com/research/data/</t>
        </r>
      </text>
    </comment>
  </commentList>
</comments>
</file>

<file path=xl/sharedStrings.xml><?xml version="1.0" encoding="utf-8"?>
<sst xmlns="http://schemas.openxmlformats.org/spreadsheetml/2006/main" count="163" uniqueCount="91">
  <si>
    <t>Cost Assumptions</t>
  </si>
  <si>
    <t>Financing Assumptions</t>
  </si>
  <si>
    <t>Revenue Assumptions</t>
  </si>
  <si>
    <t>Purchase Price</t>
  </si>
  <si>
    <t>Downpayment</t>
  </si>
  <si>
    <t>Monthly Rent</t>
  </si>
  <si>
    <t>Finance Amt</t>
  </si>
  <si>
    <t>Vacancy Rate</t>
  </si>
  <si>
    <t>Improvements</t>
  </si>
  <si>
    <t>Interest Rate</t>
  </si>
  <si>
    <t>Closing Costs</t>
  </si>
  <si>
    <t>Mortgage (Years)</t>
  </si>
  <si>
    <t>Annual Cash Flow</t>
  </si>
  <si>
    <t xml:space="preserve">Total Cost </t>
  </si>
  <si>
    <t>Mortgage Payment</t>
  </si>
  <si>
    <t>Cash ROI</t>
  </si>
  <si>
    <t>Cash Outlay</t>
  </si>
  <si>
    <t>Total ROI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</si>
  <si>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</si>
  <si>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</si>
  <si>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</si>
  <si>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</si>
  <si>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</si>
  <si>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</si>
  <si>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</si>
  <si>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</si>
  <si>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</si>
  <si>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</si>
  <si>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</si>
  <si>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</si>
  <si>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</si>
  <si>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</si>
  <si>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</si>
  <si>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</si>
  <si>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</si>
  <si>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</si>
  <si>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</si>
  <si>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</si>
  <si>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</si>
  <si>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</si>
  <si>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</si>
  <si>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</si>
  <si>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</si>
  <si>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</si>
  <si>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</si>
  <si>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</si>
  <si>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</si>
  <si>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</si>
  <si>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Annual Revenue Increase</t>
  </si>
  <si>
    <t>Annual Operating Expense Increase</t>
  </si>
  <si>
    <t>Monthly</t>
  </si>
  <si>
    <t>Revenues</t>
  </si>
  <si>
    <t>Rental Income</t>
  </si>
  <si>
    <t>Vacancy/Loss Rate</t>
  </si>
  <si>
    <t>Vacancy/Loss Value</t>
  </si>
  <si>
    <t>Gross Income</t>
  </si>
  <si>
    <t>Expenses</t>
  </si>
  <si>
    <t>Property Taxes</t>
  </si>
  <si>
    <t>Annual</t>
  </si>
  <si>
    <t>Insurance</t>
  </si>
  <si>
    <t>Maintenance &amp; Repairs</t>
  </si>
  <si>
    <t>Utilities</t>
  </si>
  <si>
    <t>Advertising</t>
  </si>
  <si>
    <t>Administrative</t>
  </si>
  <si>
    <t>Variable Cost PM</t>
  </si>
  <si>
    <t>(% Income)</t>
  </si>
  <si>
    <t>Fixed Cost PM</t>
  </si>
  <si>
    <t>Other 1</t>
  </si>
  <si>
    <t>Other 2</t>
  </si>
  <si>
    <t>Total Expenses</t>
  </si>
  <si>
    <t>Net Operating Income (NOI)</t>
  </si>
  <si>
    <t>Cash Flow</t>
  </si>
  <si>
    <t>NOI (Cash Available)</t>
  </si>
  <si>
    <t>Mortgage</t>
  </si>
  <si>
    <t>Total Cash Flow</t>
  </si>
  <si>
    <t>Equity Accrued</t>
  </si>
  <si>
    <t>Total Return</t>
  </si>
  <si>
    <t>Cash Flow / Mortgage Ratio</t>
  </si>
  <si>
    <t>Total Equity Accrued</t>
  </si>
  <si>
    <t>Loan Payoff Amount</t>
  </si>
  <si>
    <t>Expenses (Incl Vacancy) as % of Gross Income</t>
  </si>
  <si>
    <t>Building Value</t>
  </si>
  <si>
    <t>Land Value</t>
  </si>
  <si>
    <t>Land Value (%)</t>
  </si>
  <si>
    <t>Building Value (%)</t>
  </si>
  <si>
    <t>Down Payment Amt</t>
  </si>
  <si>
    <t>.</t>
  </si>
  <si>
    <t>(% of PP)</t>
  </si>
  <si>
    <t>Choose Year (1-30)</t>
  </si>
  <si>
    <t>Total Equity Accrued (%)</t>
  </si>
  <si>
    <t>Rent/Purchase Price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</si>
</sst>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&quot;$&quot;#,##0"/>
    <numFmt numFmtId="168" formatCode="0.0%"/>
    <numFmt numFmtId="169" formatCode="0.00%\ ;\(0.00%\)"/>
    <numFmt numFmtId="170" formatCode="#,##0\ ;[Red]\(#,##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165" fontId="47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9" fontId="47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1"/>
    </xf>
    <xf numFmtId="9" fontId="47" fillId="0" borderId="12" xfId="0" applyNumberFormat="1" applyFont="1" applyFill="1" applyBorder="1" applyAlignment="1">
      <alignment/>
    </xf>
    <xf numFmtId="0" fontId="3" fillId="0" borderId="11" xfId="0" applyFont="1" applyBorder="1" applyAlignment="1">
      <alignment horizontal="left" indent="2"/>
    </xf>
    <xf numFmtId="167" fontId="3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8" fontId="47" fillId="0" borderId="12" xfId="0" applyNumberFormat="1" applyFont="1" applyFill="1" applyBorder="1" applyAlignment="1">
      <alignment/>
    </xf>
    <xf numFmtId="1" fontId="47" fillId="0" borderId="12" xfId="0" applyNumberFormat="1" applyFont="1" applyFill="1" applyBorder="1" applyAlignment="1">
      <alignment/>
    </xf>
    <xf numFmtId="165" fontId="47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3" fillId="0" borderId="14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168" fontId="8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170" fontId="4" fillId="0" borderId="13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4" fillId="0" borderId="17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9" fontId="4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9" fontId="47" fillId="0" borderId="14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68" fontId="3" fillId="0" borderId="2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8" fontId="3" fillId="0" borderId="16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3" fillId="0" borderId="19" xfId="0" applyNumberFormat="1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7" fontId="4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0" fontId="3" fillId="0" borderId="19" xfId="0" applyNumberFormat="1" applyFont="1" applyFill="1" applyBorder="1" applyAlignment="1">
      <alignment horizontal="center"/>
    </xf>
    <xf numFmtId="170" fontId="3" fillId="0" borderId="19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37" fontId="46" fillId="0" borderId="0" xfId="0" applyNumberFormat="1" applyFont="1" applyFill="1" applyAlignment="1">
      <alignment/>
    </xf>
    <xf numFmtId="37" fontId="46" fillId="0" borderId="0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170" fontId="3" fillId="33" borderId="23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10" fontId="3" fillId="33" borderId="23" xfId="0" applyNumberFormat="1" applyFont="1" applyFill="1" applyBorder="1" applyAlignment="1">
      <alignment/>
    </xf>
    <xf numFmtId="37" fontId="4" fillId="33" borderId="22" xfId="0" applyNumberFormat="1" applyFont="1" applyFill="1" applyBorder="1" applyAlignment="1">
      <alignment/>
    </xf>
    <xf numFmtId="0" fontId="46" fillId="33" borderId="23" xfId="0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0" fontId="4" fillId="33" borderId="23" xfId="0" applyNumberFormat="1" applyFont="1" applyFill="1" applyBorder="1" applyAlignment="1">
      <alignment/>
    </xf>
    <xf numFmtId="170" fontId="3" fillId="33" borderId="25" xfId="0" applyNumberFormat="1" applyFont="1" applyFill="1" applyBorder="1" applyAlignment="1">
      <alignment/>
    </xf>
    <xf numFmtId="10" fontId="4" fillId="33" borderId="24" xfId="0" applyNumberFormat="1" applyFont="1" applyFill="1" applyBorder="1" applyAlignment="1">
      <alignment/>
    </xf>
    <xf numFmtId="37" fontId="46" fillId="33" borderId="23" xfId="0" applyNumberFormat="1" applyFont="1" applyFill="1" applyBorder="1" applyAlignment="1">
      <alignment/>
    </xf>
    <xf numFmtId="9" fontId="4" fillId="33" borderId="22" xfId="0" applyNumberFormat="1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9" fillId="34" borderId="22" xfId="0" applyFont="1" applyFill="1" applyBorder="1" applyAlignment="1">
      <alignment/>
    </xf>
    <xf numFmtId="170" fontId="47" fillId="0" borderId="0" xfId="0" applyNumberFormat="1" applyFont="1" applyFill="1" applyBorder="1" applyAlignment="1">
      <alignment/>
    </xf>
    <xf numFmtId="168" fontId="47" fillId="0" borderId="0" xfId="59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47" fillId="0" borderId="10" xfId="0" applyNumberFormat="1" applyFont="1" applyFill="1" applyBorder="1" applyAlignment="1">
      <alignment/>
    </xf>
    <xf numFmtId="168" fontId="47" fillId="0" borderId="21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10" fillId="0" borderId="0" xfId="0" applyFont="1" applyAlignment="1">
      <alignment horizontal="left" indent="1"/>
    </xf>
    <xf numFmtId="168" fontId="10" fillId="0" borderId="0" xfId="59" applyNumberFormat="1" applyFont="1" applyAlignment="1">
      <alignment/>
    </xf>
    <xf numFmtId="168" fontId="46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164" fontId="4" fillId="0" borderId="21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3" xfId="0" applyFont="1" applyFill="1" applyBorder="1" applyAlignment="1">
      <alignment/>
    </xf>
    <xf numFmtId="167" fontId="3" fillId="0" borderId="29" xfId="0" applyNumberFormat="1" applyFont="1" applyFill="1" applyBorder="1" applyAlignment="1">
      <alignment/>
    </xf>
    <xf numFmtId="165" fontId="4" fillId="0" borderId="21" xfId="0" applyNumberFormat="1" applyFont="1" applyBorder="1" applyAlignment="1">
      <alignment/>
    </xf>
    <xf numFmtId="8" fontId="46" fillId="0" borderId="0" xfId="0" applyNumberFormat="1" applyFont="1" applyAlignment="1">
      <alignment/>
    </xf>
    <xf numFmtId="168" fontId="3" fillId="33" borderId="23" xfId="0" applyNumberFormat="1" applyFont="1" applyFill="1" applyBorder="1" applyAlignment="1">
      <alignment/>
    </xf>
    <xf numFmtId="10" fontId="47" fillId="0" borderId="12" xfId="59" applyNumberFormat="1" applyFont="1" applyFill="1" applyBorder="1" applyAlignment="1">
      <alignment/>
    </xf>
    <xf numFmtId="165" fontId="3" fillId="0" borderId="2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3" fillId="0" borderId="3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48" fillId="34" borderId="31" xfId="0" applyFont="1" applyFill="1" applyBorder="1" applyAlignment="1">
      <alignment horizontal="center"/>
    </xf>
    <xf numFmtId="0" fontId="48" fillId="34" borderId="32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8" fillId="34" borderId="33" xfId="0" applyFont="1" applyFill="1" applyBorder="1" applyAlignment="1">
      <alignment horizontal="center"/>
    </xf>
    <xf numFmtId="0" fontId="48" fillId="34" borderId="34" xfId="0" applyFont="1" applyFill="1" applyBorder="1" applyAlignment="1">
      <alignment horizontal="center"/>
    </xf>
    <xf numFmtId="0" fontId="48" fillId="34" borderId="3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5"/>
  <sheetViews>
    <sheetView showGridLines="0" tabSelected="1" zoomScalePageLayoutView="0" workbookViewId="0" topLeftCell="A1">
      <selection activeCell="E50" sqref="E50"/>
    </sheetView>
  </sheetViews>
  <sheetFormatPr defaultColWidth="9.140625" defaultRowHeight="15" outlineLevelRow="1"/>
  <cols>
    <col min="1" max="1" width="0.9921875" style="2" customWidth="1"/>
    <col min="2" max="2" width="12.00390625" style="2" customWidth="1"/>
    <col min="3" max="3" width="8.7109375" style="2" customWidth="1"/>
    <col min="4" max="35" width="9.7109375" style="2" customWidth="1"/>
    <col min="36" max="16384" width="9.140625" style="2" customWidth="1"/>
  </cols>
  <sheetData>
    <row r="1" ht="6" customHeight="1" thickBot="1"/>
    <row r="2" spans="2:4" ht="15" customHeight="1" thickBot="1">
      <c r="B2" s="132" t="s">
        <v>2</v>
      </c>
      <c r="C2" s="133"/>
      <c r="D2" s="134"/>
    </row>
    <row r="3" spans="2:4" ht="15" customHeight="1">
      <c r="B3" s="136" t="s">
        <v>90</v>
      </c>
      <c r="C3" s="137"/>
      <c r="D3" s="108">
        <v>0.0125</v>
      </c>
    </row>
    <row r="4" spans="2:4" ht="15" customHeight="1">
      <c r="B4" s="136" t="s">
        <v>5</v>
      </c>
      <c r="C4" s="137"/>
      <c r="D4" s="91">
        <f>D3*D8</f>
        <v>1875</v>
      </c>
    </row>
    <row r="5" spans="2:13" ht="15" customHeight="1" thickBot="1">
      <c r="B5" s="138" t="s">
        <v>7</v>
      </c>
      <c r="C5" s="139"/>
      <c r="D5" s="93">
        <v>0</v>
      </c>
      <c r="I5" s="26"/>
      <c r="J5" s="26"/>
      <c r="K5" s="26"/>
      <c r="L5" s="26"/>
      <c r="M5" s="26"/>
    </row>
    <row r="6" ht="6" customHeight="1" thickBot="1"/>
    <row r="7" spans="2:13" ht="15" customHeight="1" thickBot="1">
      <c r="B7" s="132" t="s">
        <v>0</v>
      </c>
      <c r="C7" s="133"/>
      <c r="D7" s="134"/>
      <c r="I7" s="26"/>
      <c r="J7" s="26"/>
      <c r="K7" s="26"/>
      <c r="L7" s="26"/>
      <c r="M7" s="26"/>
    </row>
    <row r="8" spans="2:13" ht="15" customHeight="1">
      <c r="B8" s="135" t="s">
        <v>3</v>
      </c>
      <c r="C8" s="112"/>
      <c r="D8" s="3">
        <v>150000</v>
      </c>
      <c r="I8" s="26"/>
      <c r="J8" s="26"/>
      <c r="K8" s="26"/>
      <c r="L8" s="26"/>
      <c r="M8" s="26"/>
    </row>
    <row r="9" spans="2:4" ht="15" customHeight="1">
      <c r="B9" s="7" t="s">
        <v>83</v>
      </c>
      <c r="C9" s="8"/>
      <c r="D9" s="9">
        <v>0.25</v>
      </c>
    </row>
    <row r="10" spans="2:17" ht="15" customHeight="1">
      <c r="B10" s="7" t="s">
        <v>84</v>
      </c>
      <c r="C10" s="8"/>
      <c r="D10" s="9">
        <v>0.75</v>
      </c>
      <c r="O10" s="17"/>
      <c r="P10" s="17"/>
      <c r="Q10" s="1"/>
    </row>
    <row r="11" spans="2:4" ht="15" customHeight="1">
      <c r="B11" s="12" t="s">
        <v>82</v>
      </c>
      <c r="D11" s="13">
        <f>D8*D9</f>
        <v>37500</v>
      </c>
    </row>
    <row r="12" spans="2:4" ht="15" customHeight="1">
      <c r="B12" s="12" t="s">
        <v>81</v>
      </c>
      <c r="D12" s="13">
        <f>D8*D10</f>
        <v>112500</v>
      </c>
    </row>
    <row r="13" spans="2:4" ht="15" customHeight="1">
      <c r="B13" s="135" t="s">
        <v>8</v>
      </c>
      <c r="C13" s="112"/>
      <c r="D13" s="16">
        <v>5000</v>
      </c>
    </row>
    <row r="14" spans="2:4" ht="15" customHeight="1">
      <c r="B14" s="128" t="s">
        <v>10</v>
      </c>
      <c r="C14" s="129"/>
      <c r="D14" s="109">
        <f>3.5%*D8</f>
        <v>5250.000000000001</v>
      </c>
    </row>
    <row r="15" spans="2:4" ht="15" customHeight="1" thickBot="1">
      <c r="B15" s="130" t="s">
        <v>13</v>
      </c>
      <c r="C15" s="131"/>
      <c r="D15" s="105">
        <f>D8+D13+D14</f>
        <v>160250</v>
      </c>
    </row>
    <row r="16" ht="6" customHeight="1" thickBot="1"/>
    <row r="17" spans="2:4" ht="15" customHeight="1" thickBot="1">
      <c r="B17" s="132" t="s">
        <v>1</v>
      </c>
      <c r="C17" s="133"/>
      <c r="D17" s="134"/>
    </row>
    <row r="18" spans="2:4" ht="15" customHeight="1">
      <c r="B18" s="4" t="s">
        <v>4</v>
      </c>
      <c r="C18" s="5"/>
      <c r="D18" s="6">
        <v>0.1</v>
      </c>
    </row>
    <row r="19" spans="2:4" ht="15" customHeight="1">
      <c r="B19" s="10" t="s">
        <v>6</v>
      </c>
      <c r="C19" s="5"/>
      <c r="D19" s="11">
        <f>(1-D18)*D8</f>
        <v>135000</v>
      </c>
    </row>
    <row r="20" spans="2:4" ht="15" customHeight="1">
      <c r="B20" s="10" t="s">
        <v>85</v>
      </c>
      <c r="C20" s="5"/>
      <c r="D20" s="11">
        <f>D18*D8</f>
        <v>15000</v>
      </c>
    </row>
    <row r="21" spans="2:4" ht="15" customHeight="1">
      <c r="B21" s="4" t="s">
        <v>9</v>
      </c>
      <c r="C21" s="5"/>
      <c r="D21" s="14">
        <v>0.045</v>
      </c>
    </row>
    <row r="22" spans="2:4" ht="15" customHeight="1">
      <c r="B22" s="4" t="s">
        <v>11</v>
      </c>
      <c r="C22" s="5"/>
      <c r="D22" s="15">
        <v>30</v>
      </c>
    </row>
    <row r="23" spans="2:5" ht="15" customHeight="1">
      <c r="B23" s="102" t="s">
        <v>14</v>
      </c>
      <c r="C23" s="103"/>
      <c r="D23" s="104">
        <f>-PMT(D21/12,12*D22,D19)</f>
        <v>684.0251682649389</v>
      </c>
      <c r="E23" s="106"/>
    </row>
    <row r="24" spans="2:4" ht="15" customHeight="1" thickBot="1">
      <c r="B24" s="99" t="s">
        <v>16</v>
      </c>
      <c r="C24" s="100"/>
      <c r="D24" s="101">
        <f>D20+D13+D14</f>
        <v>25250</v>
      </c>
    </row>
    <row r="25" ht="6" customHeight="1" thickBot="1"/>
    <row r="26" spans="2:4" ht="15" customHeight="1" thickBot="1">
      <c r="B26" s="123" t="str">
        <f>"Year "&amp;D27&amp;" Cash Flow &amp; ROI"</f>
        <v>Year 1 Cash Flow &amp; ROI</v>
      </c>
      <c r="C26" s="124"/>
      <c r="D26" s="125"/>
    </row>
    <row r="27" spans="2:4" ht="15" customHeight="1">
      <c r="B27" s="126" t="s">
        <v>88</v>
      </c>
      <c r="C27" s="127"/>
      <c r="D27" s="92">
        <v>1</v>
      </c>
    </row>
    <row r="28" spans="2:4" ht="15" customHeight="1">
      <c r="B28" s="117" t="s">
        <v>12</v>
      </c>
      <c r="C28" s="118"/>
      <c r="D28" s="91">
        <f>HLOOKUP("Year "&amp;D27,F32:AI68,31,FALSE)</f>
        <v>7373.930123677876</v>
      </c>
    </row>
    <row r="29" spans="2:4" ht="15" customHeight="1">
      <c r="B29" s="117" t="s">
        <v>15</v>
      </c>
      <c r="C29" s="118"/>
      <c r="D29" s="71">
        <f>HLOOKUP("Year "&amp;D27,F32:AI68,32,FALSE)</f>
        <v>0.29203683658130203</v>
      </c>
    </row>
    <row r="30" spans="2:4" ht="15" customHeight="1" thickBot="1">
      <c r="B30" s="119" t="s">
        <v>17</v>
      </c>
      <c r="C30" s="120"/>
      <c r="D30" s="72">
        <f>HLOOKUP("Year "&amp;D27,F32:AI68,35,FALSE)</f>
        <v>0.3782885606911669</v>
      </c>
    </row>
    <row r="31" spans="2:4" ht="15" customHeight="1">
      <c r="B31" s="17"/>
      <c r="C31" s="17"/>
      <c r="D31" s="98"/>
    </row>
    <row r="32" spans="1:36" ht="15" customHeight="1">
      <c r="A32" s="18"/>
      <c r="B32" s="19"/>
      <c r="C32" s="19"/>
      <c r="D32" s="19"/>
      <c r="E32" s="19"/>
      <c r="F32" s="20" t="s">
        <v>18</v>
      </c>
      <c r="G32" s="19" t="s">
        <v>19</v>
      </c>
      <c r="H32" s="19" t="s">
        <v>20</v>
      </c>
      <c r="I32" s="19" t="s">
        <v>21</v>
      </c>
      <c r="J32" s="21" t="s">
        <v>22</v>
      </c>
      <c r="K32" s="21" t="s">
        <v>23</v>
      </c>
      <c r="L32" s="21" t="s">
        <v>24</v>
      </c>
      <c r="M32" s="21" t="s">
        <v>25</v>
      </c>
      <c r="N32" s="21" t="s">
        <v>26</v>
      </c>
      <c r="O32" s="21" t="s">
        <v>27</v>
      </c>
      <c r="P32" s="21" t="s">
        <v>28</v>
      </c>
      <c r="Q32" s="21" t="s">
        <v>29</v>
      </c>
      <c r="R32" s="21" t="s">
        <v>30</v>
      </c>
      <c r="S32" s="21" t="s">
        <v>31</v>
      </c>
      <c r="T32" s="21" t="s">
        <v>32</v>
      </c>
      <c r="U32" s="21" t="s">
        <v>33</v>
      </c>
      <c r="V32" s="21" t="s">
        <v>34</v>
      </c>
      <c r="W32" s="21" t="s">
        <v>35</v>
      </c>
      <c r="X32" s="21" t="s">
        <v>36</v>
      </c>
      <c r="Y32" s="21" t="s">
        <v>37</v>
      </c>
      <c r="Z32" s="21" t="s">
        <v>38</v>
      </c>
      <c r="AA32" s="21" t="s">
        <v>39</v>
      </c>
      <c r="AB32" s="21" t="s">
        <v>40</v>
      </c>
      <c r="AC32" s="21" t="s">
        <v>41</v>
      </c>
      <c r="AD32" s="21" t="s">
        <v>42</v>
      </c>
      <c r="AE32" s="21" t="s">
        <v>43</v>
      </c>
      <c r="AF32" s="21" t="s">
        <v>44</v>
      </c>
      <c r="AG32" s="21" t="s">
        <v>45</v>
      </c>
      <c r="AH32" s="21" t="s">
        <v>46</v>
      </c>
      <c r="AI32" s="21" t="s">
        <v>47</v>
      </c>
      <c r="AJ32" s="2" t="s">
        <v>86</v>
      </c>
    </row>
    <row r="33" spans="2:36" ht="15" customHeight="1">
      <c r="B33" s="121" t="s">
        <v>48</v>
      </c>
      <c r="C33" s="122"/>
      <c r="D33" s="122"/>
      <c r="E33" s="38">
        <v>0.02</v>
      </c>
      <c r="F33" s="22">
        <v>0</v>
      </c>
      <c r="G33" s="22">
        <f>E33</f>
        <v>0.02</v>
      </c>
      <c r="H33" s="22">
        <f>E33</f>
        <v>0.02</v>
      </c>
      <c r="I33" s="22">
        <f>E33</f>
        <v>0.02</v>
      </c>
      <c r="J33" s="22">
        <f>E33</f>
        <v>0.02</v>
      </c>
      <c r="K33" s="22">
        <f>E33</f>
        <v>0.02</v>
      </c>
      <c r="L33" s="22">
        <f>E33</f>
        <v>0.02</v>
      </c>
      <c r="M33" s="22">
        <f>E33</f>
        <v>0.02</v>
      </c>
      <c r="N33" s="22">
        <f>E33</f>
        <v>0.02</v>
      </c>
      <c r="O33" s="22">
        <f>E33</f>
        <v>0.02</v>
      </c>
      <c r="P33" s="22">
        <f>E33</f>
        <v>0.02</v>
      </c>
      <c r="Q33" s="22">
        <f>E33</f>
        <v>0.02</v>
      </c>
      <c r="R33" s="22">
        <f>E33</f>
        <v>0.02</v>
      </c>
      <c r="S33" s="22">
        <f>E33</f>
        <v>0.02</v>
      </c>
      <c r="T33" s="22">
        <f>E33</f>
        <v>0.02</v>
      </c>
      <c r="U33" s="22">
        <f>E33</f>
        <v>0.02</v>
      </c>
      <c r="V33" s="22">
        <f>G33</f>
        <v>0.02</v>
      </c>
      <c r="W33" s="22">
        <f>E33</f>
        <v>0.02</v>
      </c>
      <c r="X33" s="22">
        <f>E33</f>
        <v>0.02</v>
      </c>
      <c r="Y33" s="22">
        <f>E33</f>
        <v>0.02</v>
      </c>
      <c r="Z33" s="22">
        <f>E33</f>
        <v>0.02</v>
      </c>
      <c r="AA33" s="22">
        <f>E33</f>
        <v>0.02</v>
      </c>
      <c r="AB33" s="22">
        <f>E33</f>
        <v>0.02</v>
      </c>
      <c r="AC33" s="22">
        <f>E33</f>
        <v>0.02</v>
      </c>
      <c r="AD33" s="22">
        <f>E33</f>
        <v>0.02</v>
      </c>
      <c r="AE33" s="22">
        <f>E33</f>
        <v>0.02</v>
      </c>
      <c r="AF33" s="22">
        <f>E33</f>
        <v>0.02</v>
      </c>
      <c r="AG33" s="22">
        <f>E33</f>
        <v>0.02</v>
      </c>
      <c r="AH33" s="22">
        <f>E33</f>
        <v>0.02</v>
      </c>
      <c r="AI33" s="23">
        <f>E33</f>
        <v>0.02</v>
      </c>
      <c r="AJ33" s="2" t="s">
        <v>86</v>
      </c>
    </row>
    <row r="34" spans="2:36" ht="15" customHeight="1">
      <c r="B34" s="121" t="s">
        <v>49</v>
      </c>
      <c r="C34" s="122"/>
      <c r="D34" s="122"/>
      <c r="E34" s="38">
        <v>0.02</v>
      </c>
      <c r="F34" s="22">
        <v>0</v>
      </c>
      <c r="G34" s="22">
        <f>E34</f>
        <v>0.02</v>
      </c>
      <c r="H34" s="22">
        <f>E34</f>
        <v>0.02</v>
      </c>
      <c r="I34" s="22">
        <f>E34</f>
        <v>0.02</v>
      </c>
      <c r="J34" s="22">
        <f>E34</f>
        <v>0.02</v>
      </c>
      <c r="K34" s="22">
        <f>E34</f>
        <v>0.02</v>
      </c>
      <c r="L34" s="22">
        <f>E34</f>
        <v>0.02</v>
      </c>
      <c r="M34" s="22">
        <f>E34</f>
        <v>0.02</v>
      </c>
      <c r="N34" s="22">
        <f>E34</f>
        <v>0.02</v>
      </c>
      <c r="O34" s="22">
        <f>E34</f>
        <v>0.02</v>
      </c>
      <c r="P34" s="22">
        <f>E34</f>
        <v>0.02</v>
      </c>
      <c r="Q34" s="22">
        <f>E34</f>
        <v>0.02</v>
      </c>
      <c r="R34" s="22">
        <f>E34</f>
        <v>0.02</v>
      </c>
      <c r="S34" s="22">
        <f>E34</f>
        <v>0.02</v>
      </c>
      <c r="T34" s="22">
        <f>E34</f>
        <v>0.02</v>
      </c>
      <c r="U34" s="22">
        <f>E34</f>
        <v>0.02</v>
      </c>
      <c r="V34" s="22">
        <f>G34</f>
        <v>0.02</v>
      </c>
      <c r="W34" s="22">
        <f>E34</f>
        <v>0.02</v>
      </c>
      <c r="X34" s="22">
        <f>E34</f>
        <v>0.02</v>
      </c>
      <c r="Y34" s="22">
        <f>E34</f>
        <v>0.02</v>
      </c>
      <c r="Z34" s="22">
        <f>E34</f>
        <v>0.02</v>
      </c>
      <c r="AA34" s="22">
        <f>E34</f>
        <v>0.02</v>
      </c>
      <c r="AB34" s="22">
        <f>E34</f>
        <v>0.02</v>
      </c>
      <c r="AC34" s="22">
        <f>E34</f>
        <v>0.02</v>
      </c>
      <c r="AD34" s="22">
        <f>E34</f>
        <v>0.02</v>
      </c>
      <c r="AE34" s="22">
        <f>E34</f>
        <v>0.02</v>
      </c>
      <c r="AF34" s="22">
        <f>E34</f>
        <v>0.02</v>
      </c>
      <c r="AG34" s="22">
        <f>E34</f>
        <v>0.02</v>
      </c>
      <c r="AH34" s="22">
        <f>E34</f>
        <v>0.02</v>
      </c>
      <c r="AI34" s="23">
        <f>E34</f>
        <v>0.02</v>
      </c>
      <c r="AJ34" s="2" t="s">
        <v>86</v>
      </c>
    </row>
    <row r="35" spans="1:35" ht="15" customHeight="1">
      <c r="A35" s="24"/>
      <c r="B35" s="24"/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42" customFormat="1" ht="15" customHeight="1">
      <c r="A36" s="39"/>
      <c r="B36" s="40"/>
      <c r="C36" s="40"/>
      <c r="D36" s="40"/>
      <c r="E36" s="40" t="s">
        <v>50</v>
      </c>
      <c r="F36" s="73" t="s">
        <v>18</v>
      </c>
      <c r="G36" s="40" t="s">
        <v>19</v>
      </c>
      <c r="H36" s="40" t="s">
        <v>20</v>
      </c>
      <c r="I36" s="40" t="s">
        <v>21</v>
      </c>
      <c r="J36" s="41" t="s">
        <v>22</v>
      </c>
      <c r="K36" s="41" t="s">
        <v>23</v>
      </c>
      <c r="L36" s="41" t="s">
        <v>24</v>
      </c>
      <c r="M36" s="41" t="s">
        <v>25</v>
      </c>
      <c r="N36" s="41" t="s">
        <v>26</v>
      </c>
      <c r="O36" s="73" t="s">
        <v>27</v>
      </c>
      <c r="P36" s="41" t="s">
        <v>28</v>
      </c>
      <c r="Q36" s="41" t="s">
        <v>29</v>
      </c>
      <c r="R36" s="41" t="s">
        <v>30</v>
      </c>
      <c r="S36" s="41" t="s">
        <v>31</v>
      </c>
      <c r="T36" s="41" t="s">
        <v>32</v>
      </c>
      <c r="U36" s="41" t="s">
        <v>33</v>
      </c>
      <c r="V36" s="41" t="s">
        <v>34</v>
      </c>
      <c r="W36" s="41" t="s">
        <v>35</v>
      </c>
      <c r="X36" s="41" t="s">
        <v>36</v>
      </c>
      <c r="Y36" s="73" t="s">
        <v>37</v>
      </c>
      <c r="Z36" s="41" t="s">
        <v>38</v>
      </c>
      <c r="AA36" s="41" t="s">
        <v>39</v>
      </c>
      <c r="AB36" s="41" t="s">
        <v>40</v>
      </c>
      <c r="AC36" s="41" t="s">
        <v>41</v>
      </c>
      <c r="AD36" s="41" t="s">
        <v>42</v>
      </c>
      <c r="AE36" s="41" t="s">
        <v>43</v>
      </c>
      <c r="AF36" s="41" t="s">
        <v>44</v>
      </c>
      <c r="AG36" s="41" t="s">
        <v>45</v>
      </c>
      <c r="AH36" s="41" t="s">
        <v>46</v>
      </c>
      <c r="AI36" s="73" t="s">
        <v>47</v>
      </c>
    </row>
    <row r="37" spans="2:36" s="42" customFormat="1" ht="15" customHeight="1">
      <c r="B37" s="86" t="s">
        <v>51</v>
      </c>
      <c r="C37" s="87"/>
      <c r="D37" s="87"/>
      <c r="E37" s="87"/>
      <c r="F37" s="88"/>
      <c r="G37" s="87"/>
      <c r="H37" s="87"/>
      <c r="I37" s="87"/>
      <c r="J37" s="87"/>
      <c r="K37" s="87"/>
      <c r="L37" s="87"/>
      <c r="M37" s="87"/>
      <c r="N37" s="87"/>
      <c r="O37" s="88"/>
      <c r="P37" s="87"/>
      <c r="Q37" s="87"/>
      <c r="R37" s="87"/>
      <c r="S37" s="87"/>
      <c r="T37" s="87"/>
      <c r="U37" s="87"/>
      <c r="V37" s="87"/>
      <c r="W37" s="87"/>
      <c r="X37" s="87"/>
      <c r="Y37" s="88"/>
      <c r="Z37" s="87"/>
      <c r="AA37" s="87"/>
      <c r="AB37" s="87"/>
      <c r="AC37" s="87"/>
      <c r="AD37" s="87"/>
      <c r="AE37" s="87"/>
      <c r="AF37" s="87"/>
      <c r="AG37" s="87"/>
      <c r="AH37" s="87"/>
      <c r="AI37" s="88"/>
      <c r="AJ37" s="42" t="s">
        <v>86</v>
      </c>
    </row>
    <row r="38" spans="2:36" s="42" customFormat="1" ht="15" customHeight="1">
      <c r="B38" s="44" t="s">
        <v>52</v>
      </c>
      <c r="C38" s="5"/>
      <c r="D38" s="45"/>
      <c r="E38" s="46">
        <f>D4</f>
        <v>1875</v>
      </c>
      <c r="F38" s="74">
        <f>E38*12</f>
        <v>22500</v>
      </c>
      <c r="G38" s="46">
        <f aca="true" t="shared" si="0" ref="G38:AI38">F38+(G33*F38)</f>
        <v>22950</v>
      </c>
      <c r="H38" s="46">
        <f t="shared" si="0"/>
        <v>23409</v>
      </c>
      <c r="I38" s="46">
        <f t="shared" si="0"/>
        <v>23877.18</v>
      </c>
      <c r="J38" s="46">
        <f t="shared" si="0"/>
        <v>24354.7236</v>
      </c>
      <c r="K38" s="46">
        <f t="shared" si="0"/>
        <v>24841.818072000002</v>
      </c>
      <c r="L38" s="46">
        <f t="shared" si="0"/>
        <v>25338.654433440002</v>
      </c>
      <c r="M38" s="46">
        <f t="shared" si="0"/>
        <v>25845.427522108803</v>
      </c>
      <c r="N38" s="46">
        <f t="shared" si="0"/>
        <v>26362.336072550977</v>
      </c>
      <c r="O38" s="74">
        <f t="shared" si="0"/>
        <v>26889.582794001995</v>
      </c>
      <c r="P38" s="46">
        <f t="shared" si="0"/>
        <v>27427.374449882034</v>
      </c>
      <c r="Q38" s="46">
        <f t="shared" si="0"/>
        <v>27975.921938879674</v>
      </c>
      <c r="R38" s="46">
        <f t="shared" si="0"/>
        <v>28535.440377657265</v>
      </c>
      <c r="S38" s="46">
        <f t="shared" si="0"/>
        <v>29106.14918521041</v>
      </c>
      <c r="T38" s="46">
        <f t="shared" si="0"/>
        <v>29688.27216891462</v>
      </c>
      <c r="U38" s="46">
        <f t="shared" si="0"/>
        <v>30282.037612292912</v>
      </c>
      <c r="V38" s="46">
        <f t="shared" si="0"/>
        <v>30887.67836453877</v>
      </c>
      <c r="W38" s="46">
        <f t="shared" si="0"/>
        <v>31505.431931829546</v>
      </c>
      <c r="X38" s="46">
        <f t="shared" si="0"/>
        <v>32135.540570466135</v>
      </c>
      <c r="Y38" s="74">
        <f t="shared" si="0"/>
        <v>32778.25138187546</v>
      </c>
      <c r="Z38" s="46">
        <f t="shared" si="0"/>
        <v>33433.81640951297</v>
      </c>
      <c r="AA38" s="46">
        <f t="shared" si="0"/>
        <v>34102.49273770323</v>
      </c>
      <c r="AB38" s="46">
        <f t="shared" si="0"/>
        <v>34784.54259245729</v>
      </c>
      <c r="AC38" s="46">
        <f t="shared" si="0"/>
        <v>35480.23344430644</v>
      </c>
      <c r="AD38" s="46">
        <f t="shared" si="0"/>
        <v>36189.83811319257</v>
      </c>
      <c r="AE38" s="46">
        <f t="shared" si="0"/>
        <v>36913.634875456424</v>
      </c>
      <c r="AF38" s="46">
        <f t="shared" si="0"/>
        <v>37651.90757296555</v>
      </c>
      <c r="AG38" s="46">
        <f t="shared" si="0"/>
        <v>38404.94572442486</v>
      </c>
      <c r="AH38" s="46">
        <f t="shared" si="0"/>
        <v>39173.04463891336</v>
      </c>
      <c r="AI38" s="74">
        <f t="shared" si="0"/>
        <v>39956.505531691626</v>
      </c>
      <c r="AJ38" s="42" t="s">
        <v>86</v>
      </c>
    </row>
    <row r="39" spans="2:36" s="39" customFormat="1" ht="15" customHeight="1">
      <c r="B39" s="44" t="s">
        <v>53</v>
      </c>
      <c r="C39" s="5"/>
      <c r="D39" s="45"/>
      <c r="E39" s="47">
        <f>D5</f>
        <v>0</v>
      </c>
      <c r="F39" s="107">
        <f>D5</f>
        <v>0</v>
      </c>
      <c r="G39" s="49">
        <f>$D$5</f>
        <v>0</v>
      </c>
      <c r="H39" s="48">
        <f>$D$5</f>
        <v>0</v>
      </c>
      <c r="I39" s="48">
        <f>$D$5</f>
        <v>0</v>
      </c>
      <c r="J39" s="48">
        <f>D5</f>
        <v>0</v>
      </c>
      <c r="K39" s="48">
        <f>D5</f>
        <v>0</v>
      </c>
      <c r="L39" s="48">
        <f aca="true" t="shared" si="1" ref="L39:S39">$D$5</f>
        <v>0</v>
      </c>
      <c r="M39" s="48">
        <f t="shared" si="1"/>
        <v>0</v>
      </c>
      <c r="N39" s="48">
        <f t="shared" si="1"/>
        <v>0</v>
      </c>
      <c r="O39" s="107">
        <f t="shared" si="1"/>
        <v>0</v>
      </c>
      <c r="P39" s="48">
        <f t="shared" si="1"/>
        <v>0</v>
      </c>
      <c r="Q39" s="48">
        <f t="shared" si="1"/>
        <v>0</v>
      </c>
      <c r="R39" s="48">
        <f t="shared" si="1"/>
        <v>0</v>
      </c>
      <c r="S39" s="48">
        <f t="shared" si="1"/>
        <v>0</v>
      </c>
      <c r="T39" s="48">
        <f>D5</f>
        <v>0</v>
      </c>
      <c r="U39" s="48">
        <f>D5</f>
        <v>0</v>
      </c>
      <c r="V39" s="48">
        <f aca="true" t="shared" si="2" ref="V39:AH39">$D$5</f>
        <v>0</v>
      </c>
      <c r="W39" s="48">
        <f t="shared" si="2"/>
        <v>0</v>
      </c>
      <c r="X39" s="48">
        <f t="shared" si="2"/>
        <v>0</v>
      </c>
      <c r="Y39" s="107">
        <f t="shared" si="2"/>
        <v>0</v>
      </c>
      <c r="Z39" s="48">
        <f t="shared" si="2"/>
        <v>0</v>
      </c>
      <c r="AA39" s="48">
        <f t="shared" si="2"/>
        <v>0</v>
      </c>
      <c r="AB39" s="48">
        <f t="shared" si="2"/>
        <v>0</v>
      </c>
      <c r="AC39" s="48">
        <f t="shared" si="2"/>
        <v>0</v>
      </c>
      <c r="AD39" s="48">
        <f t="shared" si="2"/>
        <v>0</v>
      </c>
      <c r="AE39" s="48">
        <f t="shared" si="2"/>
        <v>0</v>
      </c>
      <c r="AF39" s="48">
        <f t="shared" si="2"/>
        <v>0</v>
      </c>
      <c r="AG39" s="48">
        <f t="shared" si="2"/>
        <v>0</v>
      </c>
      <c r="AH39" s="48">
        <f t="shared" si="2"/>
        <v>0</v>
      </c>
      <c r="AI39" s="107">
        <f>D5</f>
        <v>0</v>
      </c>
      <c r="AJ39" s="42" t="s">
        <v>86</v>
      </c>
    </row>
    <row r="40" spans="2:36" s="42" customFormat="1" ht="15" customHeight="1">
      <c r="B40" s="44" t="s">
        <v>54</v>
      </c>
      <c r="C40" s="50"/>
      <c r="D40" s="48"/>
      <c r="E40" s="46">
        <f>-(E38*E39)</f>
        <v>0</v>
      </c>
      <c r="F40" s="74">
        <f>-(F38*F39)</f>
        <v>0</v>
      </c>
      <c r="G40" s="46">
        <f>-(G38*G39)</f>
        <v>0</v>
      </c>
      <c r="H40" s="46">
        <f aca="true" t="shared" si="3" ref="H40:AI40">-(H38*H39)</f>
        <v>0</v>
      </c>
      <c r="I40" s="46">
        <f t="shared" si="3"/>
        <v>0</v>
      </c>
      <c r="J40" s="46">
        <f t="shared" si="3"/>
        <v>0</v>
      </c>
      <c r="K40" s="46">
        <f t="shared" si="3"/>
        <v>0</v>
      </c>
      <c r="L40" s="46">
        <f t="shared" si="3"/>
        <v>0</v>
      </c>
      <c r="M40" s="46">
        <f t="shared" si="3"/>
        <v>0</v>
      </c>
      <c r="N40" s="46">
        <f t="shared" si="3"/>
        <v>0</v>
      </c>
      <c r="O40" s="74">
        <f t="shared" si="3"/>
        <v>0</v>
      </c>
      <c r="P40" s="46">
        <f t="shared" si="3"/>
        <v>0</v>
      </c>
      <c r="Q40" s="46">
        <f t="shared" si="3"/>
        <v>0</v>
      </c>
      <c r="R40" s="46">
        <f t="shared" si="3"/>
        <v>0</v>
      </c>
      <c r="S40" s="46">
        <f t="shared" si="3"/>
        <v>0</v>
      </c>
      <c r="T40" s="46">
        <f t="shared" si="3"/>
        <v>0</v>
      </c>
      <c r="U40" s="46">
        <f t="shared" si="3"/>
        <v>0</v>
      </c>
      <c r="V40" s="46">
        <f t="shared" si="3"/>
        <v>0</v>
      </c>
      <c r="W40" s="46">
        <f t="shared" si="3"/>
        <v>0</v>
      </c>
      <c r="X40" s="46">
        <f t="shared" si="3"/>
        <v>0</v>
      </c>
      <c r="Y40" s="74">
        <f t="shared" si="3"/>
        <v>0</v>
      </c>
      <c r="Z40" s="46">
        <f t="shared" si="3"/>
        <v>0</v>
      </c>
      <c r="AA40" s="46">
        <f t="shared" si="3"/>
        <v>0</v>
      </c>
      <c r="AB40" s="46">
        <f t="shared" si="3"/>
        <v>0</v>
      </c>
      <c r="AC40" s="46">
        <f t="shared" si="3"/>
        <v>0</v>
      </c>
      <c r="AD40" s="46">
        <f t="shared" si="3"/>
        <v>0</v>
      </c>
      <c r="AE40" s="46">
        <f t="shared" si="3"/>
        <v>0</v>
      </c>
      <c r="AF40" s="46">
        <f t="shared" si="3"/>
        <v>0</v>
      </c>
      <c r="AG40" s="46">
        <f t="shared" si="3"/>
        <v>0</v>
      </c>
      <c r="AH40" s="46">
        <f t="shared" si="3"/>
        <v>0</v>
      </c>
      <c r="AI40" s="74">
        <f t="shared" si="3"/>
        <v>0</v>
      </c>
      <c r="AJ40" s="42" t="s">
        <v>86</v>
      </c>
    </row>
    <row r="41" spans="2:36" s="42" customFormat="1" ht="15" customHeight="1">
      <c r="B41" s="30" t="s">
        <v>55</v>
      </c>
      <c r="C41" s="51"/>
      <c r="D41" s="52"/>
      <c r="E41" s="53">
        <f>E38+E40</f>
        <v>1875</v>
      </c>
      <c r="F41" s="75">
        <f>F38+F40</f>
        <v>22500</v>
      </c>
      <c r="G41" s="27">
        <f>G38+G40</f>
        <v>22950</v>
      </c>
      <c r="H41" s="27">
        <f aca="true" t="shared" si="4" ref="H41:AI41">H38+H40</f>
        <v>23409</v>
      </c>
      <c r="I41" s="27">
        <f t="shared" si="4"/>
        <v>23877.18</v>
      </c>
      <c r="J41" s="27">
        <f t="shared" si="4"/>
        <v>24354.7236</v>
      </c>
      <c r="K41" s="27">
        <f t="shared" si="4"/>
        <v>24841.818072000002</v>
      </c>
      <c r="L41" s="27">
        <f t="shared" si="4"/>
        <v>25338.654433440002</v>
      </c>
      <c r="M41" s="27">
        <f t="shared" si="4"/>
        <v>25845.427522108803</v>
      </c>
      <c r="N41" s="27">
        <f t="shared" si="4"/>
        <v>26362.336072550977</v>
      </c>
      <c r="O41" s="75">
        <f t="shared" si="4"/>
        <v>26889.582794001995</v>
      </c>
      <c r="P41" s="27">
        <f t="shared" si="4"/>
        <v>27427.374449882034</v>
      </c>
      <c r="Q41" s="27">
        <f t="shared" si="4"/>
        <v>27975.921938879674</v>
      </c>
      <c r="R41" s="27">
        <f t="shared" si="4"/>
        <v>28535.440377657265</v>
      </c>
      <c r="S41" s="27">
        <f t="shared" si="4"/>
        <v>29106.14918521041</v>
      </c>
      <c r="T41" s="27">
        <f t="shared" si="4"/>
        <v>29688.27216891462</v>
      </c>
      <c r="U41" s="27">
        <f t="shared" si="4"/>
        <v>30282.037612292912</v>
      </c>
      <c r="V41" s="27">
        <f t="shared" si="4"/>
        <v>30887.67836453877</v>
      </c>
      <c r="W41" s="27">
        <f t="shared" si="4"/>
        <v>31505.431931829546</v>
      </c>
      <c r="X41" s="27">
        <f t="shared" si="4"/>
        <v>32135.540570466135</v>
      </c>
      <c r="Y41" s="75">
        <f t="shared" si="4"/>
        <v>32778.25138187546</v>
      </c>
      <c r="Z41" s="27">
        <f t="shared" si="4"/>
        <v>33433.81640951297</v>
      </c>
      <c r="AA41" s="27">
        <f t="shared" si="4"/>
        <v>34102.49273770323</v>
      </c>
      <c r="AB41" s="27">
        <f t="shared" si="4"/>
        <v>34784.54259245729</v>
      </c>
      <c r="AC41" s="27">
        <f t="shared" si="4"/>
        <v>35480.23344430644</v>
      </c>
      <c r="AD41" s="27">
        <f t="shared" si="4"/>
        <v>36189.83811319257</v>
      </c>
      <c r="AE41" s="27">
        <f t="shared" si="4"/>
        <v>36913.634875456424</v>
      </c>
      <c r="AF41" s="27">
        <f t="shared" si="4"/>
        <v>37651.90757296555</v>
      </c>
      <c r="AG41" s="27">
        <f t="shared" si="4"/>
        <v>38404.94572442486</v>
      </c>
      <c r="AH41" s="27">
        <f t="shared" si="4"/>
        <v>39173.04463891336</v>
      </c>
      <c r="AI41" s="75">
        <f t="shared" si="4"/>
        <v>39956.505531691626</v>
      </c>
      <c r="AJ41" s="42" t="s">
        <v>86</v>
      </c>
    </row>
    <row r="42" spans="1:35" s="42" customFormat="1" ht="15" customHeight="1">
      <c r="A42" s="39"/>
      <c r="B42" s="39"/>
      <c r="C42" s="39"/>
      <c r="D42" s="39"/>
      <c r="E42" s="39"/>
      <c r="F42" s="76"/>
      <c r="G42" s="39"/>
      <c r="H42" s="39"/>
      <c r="I42" s="39"/>
      <c r="J42" s="5"/>
      <c r="K42" s="5"/>
      <c r="L42" s="5"/>
      <c r="M42" s="54"/>
      <c r="N42" s="54"/>
      <c r="O42" s="76"/>
      <c r="P42" s="54"/>
      <c r="Q42" s="54"/>
      <c r="R42" s="54"/>
      <c r="S42" s="54"/>
      <c r="T42" s="54"/>
      <c r="U42" s="54"/>
      <c r="V42" s="54"/>
      <c r="W42" s="54"/>
      <c r="X42" s="54"/>
      <c r="Y42" s="76"/>
      <c r="Z42" s="54"/>
      <c r="AA42" s="54"/>
      <c r="AB42" s="54"/>
      <c r="AC42" s="54"/>
      <c r="AD42" s="54"/>
      <c r="AE42" s="54"/>
      <c r="AF42" s="54"/>
      <c r="AG42" s="54"/>
      <c r="AH42" s="54"/>
      <c r="AI42" s="76"/>
    </row>
    <row r="43" spans="2:36" s="42" customFormat="1" ht="15" customHeight="1">
      <c r="B43" s="86" t="s">
        <v>56</v>
      </c>
      <c r="C43" s="87"/>
      <c r="D43" s="87"/>
      <c r="E43" s="87"/>
      <c r="F43" s="88"/>
      <c r="G43" s="87"/>
      <c r="H43" s="87"/>
      <c r="I43" s="87"/>
      <c r="J43" s="87"/>
      <c r="K43" s="87"/>
      <c r="L43" s="87"/>
      <c r="M43" s="87"/>
      <c r="N43" s="87"/>
      <c r="O43" s="88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J43" s="42" t="s">
        <v>86</v>
      </c>
    </row>
    <row r="44" spans="2:36" s="42" customFormat="1" ht="15" customHeight="1">
      <c r="B44" s="111" t="s">
        <v>57</v>
      </c>
      <c r="C44" s="112"/>
      <c r="D44" s="5" t="s">
        <v>87</v>
      </c>
      <c r="E44" s="90">
        <v>0.01</v>
      </c>
      <c r="F44" s="74">
        <f>E44*$D$8</f>
        <v>1500</v>
      </c>
      <c r="G44" s="46">
        <f aca="true" t="shared" si="5" ref="G44:AI44">F44+(G34*F44)</f>
        <v>1530</v>
      </c>
      <c r="H44" s="46">
        <f t="shared" si="5"/>
        <v>1560.6</v>
      </c>
      <c r="I44" s="46">
        <f t="shared" si="5"/>
        <v>1591.812</v>
      </c>
      <c r="J44" s="46">
        <f t="shared" si="5"/>
        <v>1623.64824</v>
      </c>
      <c r="K44" s="46">
        <f t="shared" si="5"/>
        <v>1656.1212048</v>
      </c>
      <c r="L44" s="46">
        <f t="shared" si="5"/>
        <v>1689.243628896</v>
      </c>
      <c r="M44" s="46">
        <f t="shared" si="5"/>
        <v>1723.02850147392</v>
      </c>
      <c r="N44" s="46">
        <f t="shared" si="5"/>
        <v>1757.4890715033985</v>
      </c>
      <c r="O44" s="74">
        <f t="shared" si="5"/>
        <v>1792.6388529334665</v>
      </c>
      <c r="P44" s="46">
        <f t="shared" si="5"/>
        <v>1828.4916299921358</v>
      </c>
      <c r="Q44" s="46">
        <f t="shared" si="5"/>
        <v>1865.0614625919786</v>
      </c>
      <c r="R44" s="46">
        <f t="shared" si="5"/>
        <v>1902.362691843818</v>
      </c>
      <c r="S44" s="46">
        <f t="shared" si="5"/>
        <v>1940.4099456806944</v>
      </c>
      <c r="T44" s="46">
        <f t="shared" si="5"/>
        <v>1979.2181445943083</v>
      </c>
      <c r="U44" s="46">
        <f t="shared" si="5"/>
        <v>2018.8025074861946</v>
      </c>
      <c r="V44" s="46">
        <f t="shared" si="5"/>
        <v>2059.1785576359184</v>
      </c>
      <c r="W44" s="46">
        <f t="shared" si="5"/>
        <v>2100.3621287886367</v>
      </c>
      <c r="X44" s="46">
        <f t="shared" si="5"/>
        <v>2142.3693713644093</v>
      </c>
      <c r="Y44" s="74">
        <f t="shared" si="5"/>
        <v>2185.2167587916974</v>
      </c>
      <c r="Z44" s="46">
        <f t="shared" si="5"/>
        <v>2228.9210939675313</v>
      </c>
      <c r="AA44" s="46">
        <f t="shared" si="5"/>
        <v>2273.499515846882</v>
      </c>
      <c r="AB44" s="46">
        <f t="shared" si="5"/>
        <v>2318.9695061638195</v>
      </c>
      <c r="AC44" s="46">
        <f t="shared" si="5"/>
        <v>2365.348896287096</v>
      </c>
      <c r="AD44" s="46">
        <f t="shared" si="5"/>
        <v>2412.655874212838</v>
      </c>
      <c r="AE44" s="46">
        <f t="shared" si="5"/>
        <v>2460.9089916970947</v>
      </c>
      <c r="AF44" s="46">
        <f t="shared" si="5"/>
        <v>2510.1271715310368</v>
      </c>
      <c r="AG44" s="46">
        <f t="shared" si="5"/>
        <v>2560.3297149616574</v>
      </c>
      <c r="AH44" s="46">
        <f t="shared" si="5"/>
        <v>2611.5363092608904</v>
      </c>
      <c r="AI44" s="74">
        <f t="shared" si="5"/>
        <v>2663.7670354461084</v>
      </c>
      <c r="AJ44" s="42" t="s">
        <v>86</v>
      </c>
    </row>
    <row r="45" spans="2:36" s="42" customFormat="1" ht="15" customHeight="1">
      <c r="B45" s="111" t="s">
        <v>59</v>
      </c>
      <c r="C45" s="112"/>
      <c r="D45" s="5" t="s">
        <v>87</v>
      </c>
      <c r="E45" s="90">
        <f>D12/100000*0.35%</f>
        <v>0.0039375</v>
      </c>
      <c r="F45" s="74">
        <f>E45*$D$8</f>
        <v>590.625</v>
      </c>
      <c r="G45" s="46">
        <f aca="true" t="shared" si="6" ref="G45:AI45">F45+(G34*F45)</f>
        <v>602.4375</v>
      </c>
      <c r="H45" s="46">
        <f t="shared" si="6"/>
        <v>614.48625</v>
      </c>
      <c r="I45" s="46">
        <f t="shared" si="6"/>
        <v>626.775975</v>
      </c>
      <c r="J45" s="46">
        <f t="shared" si="6"/>
        <v>639.3114945</v>
      </c>
      <c r="K45" s="46">
        <f t="shared" si="6"/>
        <v>652.0977243899999</v>
      </c>
      <c r="L45" s="46">
        <f t="shared" si="6"/>
        <v>665.1396788778</v>
      </c>
      <c r="M45" s="46">
        <f t="shared" si="6"/>
        <v>678.442472455356</v>
      </c>
      <c r="N45" s="46">
        <f t="shared" si="6"/>
        <v>692.0113219044631</v>
      </c>
      <c r="O45" s="74">
        <f t="shared" si="6"/>
        <v>705.8515483425524</v>
      </c>
      <c r="P45" s="46">
        <f t="shared" si="6"/>
        <v>719.9685793094035</v>
      </c>
      <c r="Q45" s="46">
        <f t="shared" si="6"/>
        <v>734.3679508955915</v>
      </c>
      <c r="R45" s="46">
        <f t="shared" si="6"/>
        <v>749.0553099135034</v>
      </c>
      <c r="S45" s="46">
        <f t="shared" si="6"/>
        <v>764.0364161117734</v>
      </c>
      <c r="T45" s="46">
        <f t="shared" si="6"/>
        <v>779.3171444340089</v>
      </c>
      <c r="U45" s="46">
        <f t="shared" si="6"/>
        <v>794.9034873226891</v>
      </c>
      <c r="V45" s="46">
        <f t="shared" si="6"/>
        <v>810.8015570691429</v>
      </c>
      <c r="W45" s="46">
        <f t="shared" si="6"/>
        <v>827.0175882105257</v>
      </c>
      <c r="X45" s="46">
        <f t="shared" si="6"/>
        <v>843.5579399747362</v>
      </c>
      <c r="Y45" s="74">
        <f t="shared" si="6"/>
        <v>860.429098774231</v>
      </c>
      <c r="Z45" s="46">
        <f t="shared" si="6"/>
        <v>877.6376807497156</v>
      </c>
      <c r="AA45" s="46">
        <f t="shared" si="6"/>
        <v>895.19043436471</v>
      </c>
      <c r="AB45" s="46">
        <f t="shared" si="6"/>
        <v>913.0942430520041</v>
      </c>
      <c r="AC45" s="46">
        <f t="shared" si="6"/>
        <v>931.3561279130442</v>
      </c>
      <c r="AD45" s="46">
        <f t="shared" si="6"/>
        <v>949.9832504713052</v>
      </c>
      <c r="AE45" s="46">
        <f t="shared" si="6"/>
        <v>968.9829154807312</v>
      </c>
      <c r="AF45" s="46">
        <f t="shared" si="6"/>
        <v>988.3625737903458</v>
      </c>
      <c r="AG45" s="46">
        <f t="shared" si="6"/>
        <v>1008.1298252661527</v>
      </c>
      <c r="AH45" s="46">
        <f t="shared" si="6"/>
        <v>1028.2924217714758</v>
      </c>
      <c r="AI45" s="74">
        <f t="shared" si="6"/>
        <v>1048.8582702069052</v>
      </c>
      <c r="AJ45" s="42" t="s">
        <v>86</v>
      </c>
    </row>
    <row r="46" spans="2:36" s="42" customFormat="1" ht="15" customHeight="1">
      <c r="B46" s="111" t="s">
        <v>60</v>
      </c>
      <c r="C46" s="112"/>
      <c r="D46" s="5" t="s">
        <v>87</v>
      </c>
      <c r="E46" s="90">
        <v>0.01</v>
      </c>
      <c r="F46" s="74">
        <f>E46*$D$8</f>
        <v>1500</v>
      </c>
      <c r="G46" s="46">
        <f aca="true" t="shared" si="7" ref="G46:AI46">F46+(G34*F46)</f>
        <v>1530</v>
      </c>
      <c r="H46" s="46">
        <f t="shared" si="7"/>
        <v>1560.6</v>
      </c>
      <c r="I46" s="46">
        <f t="shared" si="7"/>
        <v>1591.812</v>
      </c>
      <c r="J46" s="46">
        <f t="shared" si="7"/>
        <v>1623.64824</v>
      </c>
      <c r="K46" s="46">
        <f t="shared" si="7"/>
        <v>1656.1212048</v>
      </c>
      <c r="L46" s="46">
        <f t="shared" si="7"/>
        <v>1689.243628896</v>
      </c>
      <c r="M46" s="46">
        <f t="shared" si="7"/>
        <v>1723.02850147392</v>
      </c>
      <c r="N46" s="46">
        <f t="shared" si="7"/>
        <v>1757.4890715033985</v>
      </c>
      <c r="O46" s="74">
        <f t="shared" si="7"/>
        <v>1792.6388529334665</v>
      </c>
      <c r="P46" s="46">
        <f t="shared" si="7"/>
        <v>1828.4916299921358</v>
      </c>
      <c r="Q46" s="46">
        <f t="shared" si="7"/>
        <v>1865.0614625919786</v>
      </c>
      <c r="R46" s="46">
        <f t="shared" si="7"/>
        <v>1902.362691843818</v>
      </c>
      <c r="S46" s="46">
        <f t="shared" si="7"/>
        <v>1940.4099456806944</v>
      </c>
      <c r="T46" s="46">
        <f t="shared" si="7"/>
        <v>1979.2181445943083</v>
      </c>
      <c r="U46" s="46">
        <f t="shared" si="7"/>
        <v>2018.8025074861946</v>
      </c>
      <c r="V46" s="46">
        <f t="shared" si="7"/>
        <v>2059.1785576359184</v>
      </c>
      <c r="W46" s="46">
        <f t="shared" si="7"/>
        <v>2100.3621287886367</v>
      </c>
      <c r="X46" s="46">
        <f t="shared" si="7"/>
        <v>2142.3693713644093</v>
      </c>
      <c r="Y46" s="74">
        <f t="shared" si="7"/>
        <v>2185.2167587916974</v>
      </c>
      <c r="Z46" s="46">
        <f t="shared" si="7"/>
        <v>2228.9210939675313</v>
      </c>
      <c r="AA46" s="46">
        <f t="shared" si="7"/>
        <v>2273.499515846882</v>
      </c>
      <c r="AB46" s="46">
        <f t="shared" si="7"/>
        <v>2318.9695061638195</v>
      </c>
      <c r="AC46" s="46">
        <f t="shared" si="7"/>
        <v>2365.348896287096</v>
      </c>
      <c r="AD46" s="46">
        <f t="shared" si="7"/>
        <v>2412.655874212838</v>
      </c>
      <c r="AE46" s="46">
        <f t="shared" si="7"/>
        <v>2460.9089916970947</v>
      </c>
      <c r="AF46" s="46">
        <f t="shared" si="7"/>
        <v>2510.1271715310368</v>
      </c>
      <c r="AG46" s="46">
        <f t="shared" si="7"/>
        <v>2560.3297149616574</v>
      </c>
      <c r="AH46" s="46">
        <f t="shared" si="7"/>
        <v>2611.5363092608904</v>
      </c>
      <c r="AI46" s="74">
        <f t="shared" si="7"/>
        <v>2663.7670354461084</v>
      </c>
      <c r="AJ46" s="42" t="s">
        <v>86</v>
      </c>
    </row>
    <row r="47" spans="2:36" s="42" customFormat="1" ht="15" customHeight="1">
      <c r="B47" s="111" t="s">
        <v>61</v>
      </c>
      <c r="C47" s="112"/>
      <c r="D47" s="5" t="s">
        <v>87</v>
      </c>
      <c r="E47" s="90">
        <f>(190/350000)*12</f>
        <v>0.006514285714285715</v>
      </c>
      <c r="F47" s="74">
        <f>E47*$D$8</f>
        <v>977.1428571428572</v>
      </c>
      <c r="G47" s="46">
        <f aca="true" t="shared" si="8" ref="G47:AI47">F47+(G34*F47)</f>
        <v>996.6857142857143</v>
      </c>
      <c r="H47" s="46">
        <f t="shared" si="8"/>
        <v>1016.6194285714286</v>
      </c>
      <c r="I47" s="46">
        <f t="shared" si="8"/>
        <v>1036.9518171428572</v>
      </c>
      <c r="J47" s="46">
        <f t="shared" si="8"/>
        <v>1057.6908534857143</v>
      </c>
      <c r="K47" s="46">
        <f t="shared" si="8"/>
        <v>1078.8446705554286</v>
      </c>
      <c r="L47" s="46">
        <f t="shared" si="8"/>
        <v>1100.4215639665372</v>
      </c>
      <c r="M47" s="46">
        <f t="shared" si="8"/>
        <v>1122.429995245868</v>
      </c>
      <c r="N47" s="46">
        <f t="shared" si="8"/>
        <v>1144.8785951507853</v>
      </c>
      <c r="O47" s="74">
        <f t="shared" si="8"/>
        <v>1167.776167053801</v>
      </c>
      <c r="P47" s="46">
        <f t="shared" si="8"/>
        <v>1191.1316903948768</v>
      </c>
      <c r="Q47" s="46">
        <f t="shared" si="8"/>
        <v>1214.9543242027744</v>
      </c>
      <c r="R47" s="46">
        <f t="shared" si="8"/>
        <v>1239.25341068683</v>
      </c>
      <c r="S47" s="46">
        <f t="shared" si="8"/>
        <v>1264.0384789005666</v>
      </c>
      <c r="T47" s="46">
        <f t="shared" si="8"/>
        <v>1289.319248478578</v>
      </c>
      <c r="U47" s="46">
        <f t="shared" si="8"/>
        <v>1315.1056334481495</v>
      </c>
      <c r="V47" s="46">
        <f t="shared" si="8"/>
        <v>1341.4077461171125</v>
      </c>
      <c r="W47" s="46">
        <f t="shared" si="8"/>
        <v>1368.2359010394548</v>
      </c>
      <c r="X47" s="46">
        <f t="shared" si="8"/>
        <v>1395.6006190602438</v>
      </c>
      <c r="Y47" s="74">
        <f t="shared" si="8"/>
        <v>1423.5126314414488</v>
      </c>
      <c r="Z47" s="46">
        <f t="shared" si="8"/>
        <v>1451.9828840702778</v>
      </c>
      <c r="AA47" s="46">
        <f t="shared" si="8"/>
        <v>1481.0225417516833</v>
      </c>
      <c r="AB47" s="46">
        <f t="shared" si="8"/>
        <v>1510.642992586717</v>
      </c>
      <c r="AC47" s="46">
        <f t="shared" si="8"/>
        <v>1540.8558524384512</v>
      </c>
      <c r="AD47" s="46">
        <f t="shared" si="8"/>
        <v>1571.6729694872201</v>
      </c>
      <c r="AE47" s="46">
        <f t="shared" si="8"/>
        <v>1603.1064288769646</v>
      </c>
      <c r="AF47" s="46">
        <f t="shared" si="8"/>
        <v>1635.168557454504</v>
      </c>
      <c r="AG47" s="46">
        <f t="shared" si="8"/>
        <v>1667.8719286035941</v>
      </c>
      <c r="AH47" s="46">
        <f t="shared" si="8"/>
        <v>1701.229367175666</v>
      </c>
      <c r="AI47" s="74">
        <f t="shared" si="8"/>
        <v>1735.2539545191794</v>
      </c>
      <c r="AJ47" s="42" t="s">
        <v>86</v>
      </c>
    </row>
    <row r="48" spans="2:36" s="42" customFormat="1" ht="15" customHeight="1">
      <c r="B48" s="111" t="s">
        <v>62</v>
      </c>
      <c r="C48" s="112"/>
      <c r="D48" s="5" t="s">
        <v>58</v>
      </c>
      <c r="E48" s="89">
        <v>100</v>
      </c>
      <c r="F48" s="74">
        <f>E48</f>
        <v>100</v>
      </c>
      <c r="G48" s="46">
        <f aca="true" t="shared" si="9" ref="G48:AI48">F48+(G34*F48)</f>
        <v>102</v>
      </c>
      <c r="H48" s="46">
        <f t="shared" si="9"/>
        <v>104.04</v>
      </c>
      <c r="I48" s="46">
        <f t="shared" si="9"/>
        <v>106.1208</v>
      </c>
      <c r="J48" s="46">
        <f t="shared" si="9"/>
        <v>108.243216</v>
      </c>
      <c r="K48" s="46">
        <f t="shared" si="9"/>
        <v>110.40808032000001</v>
      </c>
      <c r="L48" s="46">
        <f t="shared" si="9"/>
        <v>112.61624192640001</v>
      </c>
      <c r="M48" s="46">
        <f t="shared" si="9"/>
        <v>114.868566764928</v>
      </c>
      <c r="N48" s="46">
        <f t="shared" si="9"/>
        <v>117.16593810022657</v>
      </c>
      <c r="O48" s="74">
        <f t="shared" si="9"/>
        <v>119.5092568622311</v>
      </c>
      <c r="P48" s="46">
        <f t="shared" si="9"/>
        <v>121.89944199947573</v>
      </c>
      <c r="Q48" s="46">
        <f t="shared" si="9"/>
        <v>124.33743083946524</v>
      </c>
      <c r="R48" s="46">
        <f t="shared" si="9"/>
        <v>126.82417945625454</v>
      </c>
      <c r="S48" s="46">
        <f t="shared" si="9"/>
        <v>129.36066304537962</v>
      </c>
      <c r="T48" s="46">
        <f t="shared" si="9"/>
        <v>131.9478763062872</v>
      </c>
      <c r="U48" s="46">
        <f t="shared" si="9"/>
        <v>134.58683383241296</v>
      </c>
      <c r="V48" s="46">
        <f t="shared" si="9"/>
        <v>137.2785705090612</v>
      </c>
      <c r="W48" s="46">
        <f t="shared" si="9"/>
        <v>140.02414191924242</v>
      </c>
      <c r="X48" s="46">
        <f t="shared" si="9"/>
        <v>142.82462475762728</v>
      </c>
      <c r="Y48" s="74">
        <f t="shared" si="9"/>
        <v>145.6811172527798</v>
      </c>
      <c r="Z48" s="46">
        <f t="shared" si="9"/>
        <v>148.5947395978354</v>
      </c>
      <c r="AA48" s="46">
        <f t="shared" si="9"/>
        <v>151.5666343897921</v>
      </c>
      <c r="AB48" s="46">
        <f t="shared" si="9"/>
        <v>154.59796707758795</v>
      </c>
      <c r="AC48" s="46">
        <f t="shared" si="9"/>
        <v>157.6899264191397</v>
      </c>
      <c r="AD48" s="46">
        <f t="shared" si="9"/>
        <v>160.8437249475225</v>
      </c>
      <c r="AE48" s="46">
        <f t="shared" si="9"/>
        <v>164.06059944647296</v>
      </c>
      <c r="AF48" s="46">
        <f t="shared" si="9"/>
        <v>167.34181143540243</v>
      </c>
      <c r="AG48" s="46">
        <f t="shared" si="9"/>
        <v>170.68864766411048</v>
      </c>
      <c r="AH48" s="46">
        <f t="shared" si="9"/>
        <v>174.10242061739268</v>
      </c>
      <c r="AI48" s="74">
        <f t="shared" si="9"/>
        <v>177.58446902974055</v>
      </c>
      <c r="AJ48" s="42" t="s">
        <v>86</v>
      </c>
    </row>
    <row r="49" spans="2:36" s="42" customFormat="1" ht="15" customHeight="1" hidden="1" outlineLevel="1">
      <c r="B49" s="111" t="s">
        <v>63</v>
      </c>
      <c r="C49" s="112"/>
      <c r="D49" s="5" t="s">
        <v>58</v>
      </c>
      <c r="E49" s="89">
        <v>0</v>
      </c>
      <c r="F49" s="74">
        <f>E49</f>
        <v>0</v>
      </c>
      <c r="G49" s="46">
        <f aca="true" t="shared" si="10" ref="G49:AI49">F49+(G34*F49)</f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74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0</v>
      </c>
      <c r="X49" s="46">
        <f t="shared" si="10"/>
        <v>0</v>
      </c>
      <c r="Y49" s="74">
        <f t="shared" si="10"/>
        <v>0</v>
      </c>
      <c r="Z49" s="46">
        <f t="shared" si="10"/>
        <v>0</v>
      </c>
      <c r="AA49" s="46">
        <f t="shared" si="10"/>
        <v>0</v>
      </c>
      <c r="AB49" s="46">
        <f t="shared" si="10"/>
        <v>0</v>
      </c>
      <c r="AC49" s="46">
        <f t="shared" si="10"/>
        <v>0</v>
      </c>
      <c r="AD49" s="46">
        <f t="shared" si="10"/>
        <v>0</v>
      </c>
      <c r="AE49" s="46">
        <f t="shared" si="10"/>
        <v>0</v>
      </c>
      <c r="AF49" s="46">
        <f t="shared" si="10"/>
        <v>0</v>
      </c>
      <c r="AG49" s="46">
        <f t="shared" si="10"/>
        <v>0</v>
      </c>
      <c r="AH49" s="46">
        <f t="shared" si="10"/>
        <v>0</v>
      </c>
      <c r="AI49" s="74">
        <f t="shared" si="10"/>
        <v>0</v>
      </c>
      <c r="AJ49" s="42" t="s">
        <v>86</v>
      </c>
    </row>
    <row r="50" spans="2:36" s="42" customFormat="1" ht="15" customHeight="1" collapsed="1">
      <c r="B50" s="111" t="s">
        <v>64</v>
      </c>
      <c r="C50" s="112"/>
      <c r="D50" s="39" t="s">
        <v>65</v>
      </c>
      <c r="E50" s="90">
        <v>0.1</v>
      </c>
      <c r="F50" s="74">
        <f>E50*F41</f>
        <v>2250</v>
      </c>
      <c r="G50" s="46">
        <f aca="true" t="shared" si="11" ref="G50:AI50">$E50*G41</f>
        <v>2295</v>
      </c>
      <c r="H50" s="46">
        <f t="shared" si="11"/>
        <v>2340.9</v>
      </c>
      <c r="I50" s="46">
        <f t="shared" si="11"/>
        <v>2387.7180000000003</v>
      </c>
      <c r="J50" s="46">
        <f>$E50*J41</f>
        <v>2435.47236</v>
      </c>
      <c r="K50" s="46">
        <f>$E50*K41</f>
        <v>2484.1818072000005</v>
      </c>
      <c r="L50" s="46">
        <f>$E50*L41</f>
        <v>2533.8654433440006</v>
      </c>
      <c r="M50" s="46">
        <f t="shared" si="11"/>
        <v>2584.5427522108803</v>
      </c>
      <c r="N50" s="46">
        <f t="shared" si="11"/>
        <v>2636.233607255098</v>
      </c>
      <c r="O50" s="74">
        <f t="shared" si="11"/>
        <v>2688.9582794002</v>
      </c>
      <c r="P50" s="46">
        <f t="shared" si="11"/>
        <v>2742.7374449882036</v>
      </c>
      <c r="Q50" s="46">
        <f t="shared" si="11"/>
        <v>2797.5921938879674</v>
      </c>
      <c r="R50" s="46">
        <f t="shared" si="11"/>
        <v>2853.544037765727</v>
      </c>
      <c r="S50" s="46">
        <f t="shared" si="11"/>
        <v>2910.6149185210415</v>
      </c>
      <c r="T50" s="46">
        <f t="shared" si="11"/>
        <v>2968.8272168914623</v>
      </c>
      <c r="U50" s="46">
        <f t="shared" si="11"/>
        <v>3028.2037612292916</v>
      </c>
      <c r="V50" s="46">
        <f t="shared" si="11"/>
        <v>3088.767836453877</v>
      </c>
      <c r="W50" s="46">
        <f t="shared" si="11"/>
        <v>3150.543193182955</v>
      </c>
      <c r="X50" s="46">
        <f t="shared" si="11"/>
        <v>3213.5540570466137</v>
      </c>
      <c r="Y50" s="74">
        <f t="shared" si="11"/>
        <v>3277.825138187546</v>
      </c>
      <c r="Z50" s="46">
        <f t="shared" si="11"/>
        <v>3343.381640951297</v>
      </c>
      <c r="AA50" s="46">
        <f t="shared" si="11"/>
        <v>3410.2492737703233</v>
      </c>
      <c r="AB50" s="46">
        <f t="shared" si="11"/>
        <v>3478.454259245729</v>
      </c>
      <c r="AC50" s="46">
        <f t="shared" si="11"/>
        <v>3548.023344430644</v>
      </c>
      <c r="AD50" s="46">
        <f t="shared" si="11"/>
        <v>3618.9838113192573</v>
      </c>
      <c r="AE50" s="46">
        <f t="shared" si="11"/>
        <v>3691.363487545643</v>
      </c>
      <c r="AF50" s="46">
        <f t="shared" si="11"/>
        <v>3765.1907572965556</v>
      </c>
      <c r="AG50" s="46">
        <f t="shared" si="11"/>
        <v>3840.4945724424865</v>
      </c>
      <c r="AH50" s="46">
        <f t="shared" si="11"/>
        <v>3917.304463891336</v>
      </c>
      <c r="AI50" s="74">
        <f t="shared" si="11"/>
        <v>3995.650553169163</v>
      </c>
      <c r="AJ50" s="42" t="s">
        <v>86</v>
      </c>
    </row>
    <row r="51" spans="2:36" s="42" customFormat="1" ht="15" customHeight="1" hidden="1" outlineLevel="1">
      <c r="B51" s="111" t="s">
        <v>66</v>
      </c>
      <c r="C51" s="112"/>
      <c r="D51" s="39" t="s">
        <v>58</v>
      </c>
      <c r="E51" s="89">
        <v>0</v>
      </c>
      <c r="F51" s="74">
        <v>0</v>
      </c>
      <c r="G51" s="46">
        <f aca="true" t="shared" si="12" ref="G51:AI51">F51+(G34*F51)</f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46">
        <f t="shared" si="12"/>
        <v>0</v>
      </c>
      <c r="O51" s="74">
        <f t="shared" si="12"/>
        <v>0</v>
      </c>
      <c r="P51" s="46">
        <f t="shared" si="12"/>
        <v>0</v>
      </c>
      <c r="Q51" s="46">
        <f t="shared" si="12"/>
        <v>0</v>
      </c>
      <c r="R51" s="46">
        <f t="shared" si="12"/>
        <v>0</v>
      </c>
      <c r="S51" s="46">
        <f t="shared" si="12"/>
        <v>0</v>
      </c>
      <c r="T51" s="46">
        <f t="shared" si="12"/>
        <v>0</v>
      </c>
      <c r="U51" s="46">
        <f t="shared" si="12"/>
        <v>0</v>
      </c>
      <c r="V51" s="46">
        <f t="shared" si="12"/>
        <v>0</v>
      </c>
      <c r="W51" s="46">
        <f t="shared" si="12"/>
        <v>0</v>
      </c>
      <c r="X51" s="46">
        <f t="shared" si="12"/>
        <v>0</v>
      </c>
      <c r="Y51" s="74">
        <f t="shared" si="12"/>
        <v>0</v>
      </c>
      <c r="Z51" s="46">
        <f t="shared" si="12"/>
        <v>0</v>
      </c>
      <c r="AA51" s="46">
        <f t="shared" si="12"/>
        <v>0</v>
      </c>
      <c r="AB51" s="46">
        <f t="shared" si="12"/>
        <v>0</v>
      </c>
      <c r="AC51" s="46">
        <f t="shared" si="12"/>
        <v>0</v>
      </c>
      <c r="AD51" s="46">
        <f t="shared" si="12"/>
        <v>0</v>
      </c>
      <c r="AE51" s="46">
        <f t="shared" si="12"/>
        <v>0</v>
      </c>
      <c r="AF51" s="46">
        <f t="shared" si="12"/>
        <v>0</v>
      </c>
      <c r="AG51" s="46">
        <f t="shared" si="12"/>
        <v>0</v>
      </c>
      <c r="AH51" s="46">
        <f t="shared" si="12"/>
        <v>0</v>
      </c>
      <c r="AI51" s="74">
        <f t="shared" si="12"/>
        <v>0</v>
      </c>
      <c r="AJ51" s="42" t="s">
        <v>86</v>
      </c>
    </row>
    <row r="52" spans="2:36" s="42" customFormat="1" ht="15" customHeight="1" hidden="1" outlineLevel="1">
      <c r="B52" s="111" t="s">
        <v>67</v>
      </c>
      <c r="C52" s="112"/>
      <c r="D52" s="5" t="s">
        <v>58</v>
      </c>
      <c r="E52" s="89">
        <v>0</v>
      </c>
      <c r="F52" s="74">
        <f>E52</f>
        <v>0</v>
      </c>
      <c r="G52" s="46">
        <f aca="true" t="shared" si="13" ref="G52:AI52">F52+(G34*F52)</f>
        <v>0</v>
      </c>
      <c r="H52" s="46">
        <f t="shared" si="13"/>
        <v>0</v>
      </c>
      <c r="I52" s="46">
        <f t="shared" si="13"/>
        <v>0</v>
      </c>
      <c r="J52" s="46">
        <f t="shared" si="13"/>
        <v>0</v>
      </c>
      <c r="K52" s="46">
        <f t="shared" si="13"/>
        <v>0</v>
      </c>
      <c r="L52" s="46">
        <f t="shared" si="13"/>
        <v>0</v>
      </c>
      <c r="M52" s="46">
        <f t="shared" si="13"/>
        <v>0</v>
      </c>
      <c r="N52" s="46">
        <f t="shared" si="13"/>
        <v>0</v>
      </c>
      <c r="O52" s="74">
        <f t="shared" si="13"/>
        <v>0</v>
      </c>
      <c r="P52" s="46">
        <f t="shared" si="13"/>
        <v>0</v>
      </c>
      <c r="Q52" s="46">
        <f t="shared" si="13"/>
        <v>0</v>
      </c>
      <c r="R52" s="46">
        <f t="shared" si="13"/>
        <v>0</v>
      </c>
      <c r="S52" s="46">
        <f t="shared" si="13"/>
        <v>0</v>
      </c>
      <c r="T52" s="46">
        <f t="shared" si="13"/>
        <v>0</v>
      </c>
      <c r="U52" s="46">
        <f t="shared" si="13"/>
        <v>0</v>
      </c>
      <c r="V52" s="46">
        <f t="shared" si="13"/>
        <v>0</v>
      </c>
      <c r="W52" s="46">
        <f t="shared" si="13"/>
        <v>0</v>
      </c>
      <c r="X52" s="46">
        <f t="shared" si="13"/>
        <v>0</v>
      </c>
      <c r="Y52" s="74">
        <f t="shared" si="13"/>
        <v>0</v>
      </c>
      <c r="Z52" s="46">
        <f t="shared" si="13"/>
        <v>0</v>
      </c>
      <c r="AA52" s="46">
        <f t="shared" si="13"/>
        <v>0</v>
      </c>
      <c r="AB52" s="46">
        <f t="shared" si="13"/>
        <v>0</v>
      </c>
      <c r="AC52" s="46">
        <f t="shared" si="13"/>
        <v>0</v>
      </c>
      <c r="AD52" s="46">
        <f t="shared" si="13"/>
        <v>0</v>
      </c>
      <c r="AE52" s="46">
        <f t="shared" si="13"/>
        <v>0</v>
      </c>
      <c r="AF52" s="46">
        <f t="shared" si="13"/>
        <v>0</v>
      </c>
      <c r="AG52" s="46">
        <f t="shared" si="13"/>
        <v>0</v>
      </c>
      <c r="AH52" s="46">
        <f t="shared" si="13"/>
        <v>0</v>
      </c>
      <c r="AI52" s="74">
        <f t="shared" si="13"/>
        <v>0</v>
      </c>
      <c r="AJ52" s="42" t="s">
        <v>86</v>
      </c>
    </row>
    <row r="53" spans="2:36" s="42" customFormat="1" ht="15" customHeight="1" hidden="1" outlineLevel="1">
      <c r="B53" s="111" t="s">
        <v>68</v>
      </c>
      <c r="C53" s="112"/>
      <c r="D53" s="5" t="s">
        <v>50</v>
      </c>
      <c r="E53" s="89">
        <v>0</v>
      </c>
      <c r="F53" s="74">
        <f>E53</f>
        <v>0</v>
      </c>
      <c r="G53" s="46">
        <f aca="true" t="shared" si="14" ref="G53:AI53">F53+(G34*F53)</f>
        <v>0</v>
      </c>
      <c r="H53" s="46">
        <f t="shared" si="14"/>
        <v>0</v>
      </c>
      <c r="I53" s="46">
        <f t="shared" si="14"/>
        <v>0</v>
      </c>
      <c r="J53" s="46">
        <f t="shared" si="14"/>
        <v>0</v>
      </c>
      <c r="K53" s="46">
        <f t="shared" si="14"/>
        <v>0</v>
      </c>
      <c r="L53" s="46">
        <f t="shared" si="14"/>
        <v>0</v>
      </c>
      <c r="M53" s="46">
        <f t="shared" si="14"/>
        <v>0</v>
      </c>
      <c r="N53" s="46">
        <f t="shared" si="14"/>
        <v>0</v>
      </c>
      <c r="O53" s="74">
        <f t="shared" si="14"/>
        <v>0</v>
      </c>
      <c r="P53" s="46">
        <f t="shared" si="14"/>
        <v>0</v>
      </c>
      <c r="Q53" s="46">
        <f t="shared" si="14"/>
        <v>0</v>
      </c>
      <c r="R53" s="46">
        <f t="shared" si="14"/>
        <v>0</v>
      </c>
      <c r="S53" s="46">
        <f t="shared" si="14"/>
        <v>0</v>
      </c>
      <c r="T53" s="46">
        <f t="shared" si="14"/>
        <v>0</v>
      </c>
      <c r="U53" s="46">
        <f t="shared" si="14"/>
        <v>0</v>
      </c>
      <c r="V53" s="46">
        <f t="shared" si="14"/>
        <v>0</v>
      </c>
      <c r="W53" s="46">
        <f t="shared" si="14"/>
        <v>0</v>
      </c>
      <c r="X53" s="46">
        <f t="shared" si="14"/>
        <v>0</v>
      </c>
      <c r="Y53" s="74">
        <f t="shared" si="14"/>
        <v>0</v>
      </c>
      <c r="Z53" s="46">
        <f t="shared" si="14"/>
        <v>0</v>
      </c>
      <c r="AA53" s="46">
        <f t="shared" si="14"/>
        <v>0</v>
      </c>
      <c r="AB53" s="46">
        <f t="shared" si="14"/>
        <v>0</v>
      </c>
      <c r="AC53" s="46">
        <f t="shared" si="14"/>
        <v>0</v>
      </c>
      <c r="AD53" s="46">
        <f t="shared" si="14"/>
        <v>0</v>
      </c>
      <c r="AE53" s="46">
        <f t="shared" si="14"/>
        <v>0</v>
      </c>
      <c r="AF53" s="46">
        <f t="shared" si="14"/>
        <v>0</v>
      </c>
      <c r="AG53" s="46">
        <f t="shared" si="14"/>
        <v>0</v>
      </c>
      <c r="AH53" s="46">
        <f t="shared" si="14"/>
        <v>0</v>
      </c>
      <c r="AI53" s="74">
        <f t="shared" si="14"/>
        <v>0</v>
      </c>
      <c r="AJ53" s="42" t="s">
        <v>86</v>
      </c>
    </row>
    <row r="54" spans="2:36" s="42" customFormat="1" ht="15" customHeight="1" collapsed="1">
      <c r="B54" s="30" t="s">
        <v>69</v>
      </c>
      <c r="C54" s="51"/>
      <c r="D54" s="55"/>
      <c r="E54" s="27"/>
      <c r="F54" s="75">
        <f>SUM(F44:F53)</f>
        <v>6917.767857142857</v>
      </c>
      <c r="G54" s="27">
        <f>SUM(G44:G53)</f>
        <v>7056.123214285714</v>
      </c>
      <c r="H54" s="27">
        <f aca="true" t="shared" si="15" ref="H54:AI54">SUM(H44:H53)</f>
        <v>7197.245678571428</v>
      </c>
      <c r="I54" s="27">
        <f t="shared" si="15"/>
        <v>7341.190592142857</v>
      </c>
      <c r="J54" s="27">
        <f t="shared" si="15"/>
        <v>7488.014403985715</v>
      </c>
      <c r="K54" s="27">
        <f t="shared" si="15"/>
        <v>7637.77469206543</v>
      </c>
      <c r="L54" s="27">
        <f t="shared" si="15"/>
        <v>7790.530185906738</v>
      </c>
      <c r="M54" s="27">
        <f t="shared" si="15"/>
        <v>7946.340789624872</v>
      </c>
      <c r="N54" s="27">
        <f t="shared" si="15"/>
        <v>8105.267605417369</v>
      </c>
      <c r="O54" s="75">
        <f t="shared" si="15"/>
        <v>8267.372957525717</v>
      </c>
      <c r="P54" s="27">
        <f t="shared" si="15"/>
        <v>8432.720416676231</v>
      </c>
      <c r="Q54" s="27">
        <f t="shared" si="15"/>
        <v>8601.374825009756</v>
      </c>
      <c r="R54" s="27">
        <f t="shared" si="15"/>
        <v>8773.402321509951</v>
      </c>
      <c r="S54" s="27">
        <f t="shared" si="15"/>
        <v>8948.87036794015</v>
      </c>
      <c r="T54" s="27">
        <f t="shared" si="15"/>
        <v>9127.847775298953</v>
      </c>
      <c r="U54" s="27">
        <f t="shared" si="15"/>
        <v>9310.404730804932</v>
      </c>
      <c r="V54" s="27">
        <f t="shared" si="15"/>
        <v>9496.61282542103</v>
      </c>
      <c r="W54" s="27">
        <f t="shared" si="15"/>
        <v>9686.545081929451</v>
      </c>
      <c r="X54" s="27">
        <f t="shared" si="15"/>
        <v>9880.275983568039</v>
      </c>
      <c r="Y54" s="75">
        <f t="shared" si="15"/>
        <v>10077.881503239401</v>
      </c>
      <c r="Z54" s="27">
        <f t="shared" si="15"/>
        <v>10279.439133304188</v>
      </c>
      <c r="AA54" s="27">
        <f t="shared" si="15"/>
        <v>10485.027915970273</v>
      </c>
      <c r="AB54" s="27">
        <f t="shared" si="15"/>
        <v>10694.728474289677</v>
      </c>
      <c r="AC54" s="27">
        <f t="shared" si="15"/>
        <v>10908.623043775471</v>
      </c>
      <c r="AD54" s="27">
        <f t="shared" si="15"/>
        <v>11126.795504650981</v>
      </c>
      <c r="AE54" s="27">
        <f t="shared" si="15"/>
        <v>11349.331414744001</v>
      </c>
      <c r="AF54" s="27">
        <f t="shared" si="15"/>
        <v>11576.318043038882</v>
      </c>
      <c r="AG54" s="27">
        <f t="shared" si="15"/>
        <v>11807.844403899659</v>
      </c>
      <c r="AH54" s="27">
        <f t="shared" si="15"/>
        <v>12044.00129197765</v>
      </c>
      <c r="AI54" s="75">
        <f t="shared" si="15"/>
        <v>12284.881317817206</v>
      </c>
      <c r="AJ54" s="42" t="s">
        <v>86</v>
      </c>
    </row>
    <row r="55" spans="2:36" s="42" customFormat="1" ht="15" customHeight="1">
      <c r="B55" s="39" t="s">
        <v>80</v>
      </c>
      <c r="C55" s="39"/>
      <c r="D55" s="39"/>
      <c r="E55" s="39"/>
      <c r="F55" s="77">
        <f>(F54-F40)/F38</f>
        <v>0.3074563492063492</v>
      </c>
      <c r="G55" s="56">
        <f>(G54-G40)/G38</f>
        <v>0.30745634920634923</v>
      </c>
      <c r="H55" s="56">
        <f aca="true" t="shared" si="16" ref="H55:AI55">(H54-H40)/H38</f>
        <v>0.3074563492063492</v>
      </c>
      <c r="I55" s="56">
        <f t="shared" si="16"/>
        <v>0.3074563492063492</v>
      </c>
      <c r="J55" s="57">
        <f t="shared" si="16"/>
        <v>0.30745634920634923</v>
      </c>
      <c r="K55" s="48">
        <f t="shared" si="16"/>
        <v>0.30745634920634923</v>
      </c>
      <c r="L55" s="48">
        <f t="shared" si="16"/>
        <v>0.3074563492063492</v>
      </c>
      <c r="M55" s="48">
        <f t="shared" si="16"/>
        <v>0.3074563492063492</v>
      </c>
      <c r="N55" s="48">
        <f t="shared" si="16"/>
        <v>0.3074563492063492</v>
      </c>
      <c r="O55" s="77">
        <f t="shared" si="16"/>
        <v>0.3074563492063492</v>
      </c>
      <c r="P55" s="48">
        <f t="shared" si="16"/>
        <v>0.30745634920634923</v>
      </c>
      <c r="Q55" s="48">
        <f t="shared" si="16"/>
        <v>0.30745634920634923</v>
      </c>
      <c r="R55" s="48">
        <f t="shared" si="16"/>
        <v>0.3074563492063493</v>
      </c>
      <c r="S55" s="48">
        <f t="shared" si="16"/>
        <v>0.30745634920634923</v>
      </c>
      <c r="T55" s="57">
        <f t="shared" si="16"/>
        <v>0.30745634920634923</v>
      </c>
      <c r="U55" s="48">
        <f t="shared" si="16"/>
        <v>0.30745634920634923</v>
      </c>
      <c r="V55" s="56">
        <f t="shared" si="16"/>
        <v>0.30745634920634923</v>
      </c>
      <c r="W55" s="56">
        <f t="shared" si="16"/>
        <v>0.30745634920634923</v>
      </c>
      <c r="X55" s="56">
        <f t="shared" si="16"/>
        <v>0.30745634920634923</v>
      </c>
      <c r="Y55" s="77">
        <f t="shared" si="16"/>
        <v>0.30745634920634923</v>
      </c>
      <c r="Z55" s="56">
        <f t="shared" si="16"/>
        <v>0.3074563492063492</v>
      </c>
      <c r="AA55" s="56">
        <f t="shared" si="16"/>
        <v>0.30745634920634923</v>
      </c>
      <c r="AB55" s="56">
        <f t="shared" si="16"/>
        <v>0.30745634920634923</v>
      </c>
      <c r="AC55" s="56">
        <f t="shared" si="16"/>
        <v>0.30745634920634923</v>
      </c>
      <c r="AD55" s="56">
        <f t="shared" si="16"/>
        <v>0.30745634920634923</v>
      </c>
      <c r="AE55" s="56">
        <f t="shared" si="16"/>
        <v>0.30745634920634923</v>
      </c>
      <c r="AF55" s="56">
        <f t="shared" si="16"/>
        <v>0.30745634920634923</v>
      </c>
      <c r="AG55" s="56">
        <f t="shared" si="16"/>
        <v>0.30745634920634923</v>
      </c>
      <c r="AH55" s="56">
        <f t="shared" si="16"/>
        <v>0.30745634920634923</v>
      </c>
      <c r="AI55" s="77">
        <f t="shared" si="16"/>
        <v>0.30745634920634923</v>
      </c>
      <c r="AJ55" s="42" t="s">
        <v>86</v>
      </c>
    </row>
    <row r="56" spans="2:35" s="42" customFormat="1" ht="15" customHeight="1">
      <c r="B56" s="39"/>
      <c r="C56" s="39"/>
      <c r="D56" s="39"/>
      <c r="E56" s="39"/>
      <c r="F56" s="76"/>
      <c r="G56" s="39"/>
      <c r="H56" s="39"/>
      <c r="I56" s="39"/>
      <c r="J56" s="5"/>
      <c r="K56" s="5"/>
      <c r="L56" s="5"/>
      <c r="M56" s="54"/>
      <c r="N56" s="54"/>
      <c r="O56" s="76"/>
      <c r="P56" s="54"/>
      <c r="Q56" s="54"/>
      <c r="R56" s="54"/>
      <c r="S56" s="54"/>
      <c r="T56" s="58"/>
      <c r="U56" s="54"/>
      <c r="V56" s="54"/>
      <c r="W56" s="54"/>
      <c r="X56" s="54"/>
      <c r="Y56" s="76"/>
      <c r="Z56" s="54"/>
      <c r="AA56" s="54"/>
      <c r="AB56" s="54"/>
      <c r="AC56" s="54"/>
      <c r="AD56" s="54"/>
      <c r="AE56" s="54"/>
      <c r="AF56" s="54"/>
      <c r="AG56" s="54"/>
      <c r="AH56" s="54"/>
      <c r="AI56" s="76"/>
    </row>
    <row r="57" spans="2:36" s="42" customFormat="1" ht="15" customHeight="1">
      <c r="B57" s="32" t="s">
        <v>70</v>
      </c>
      <c r="C57" s="59"/>
      <c r="D57" s="33"/>
      <c r="E57" s="33"/>
      <c r="F57" s="78">
        <f aca="true" t="shared" si="17" ref="F57:AI57">F41-F54</f>
        <v>15582.232142857143</v>
      </c>
      <c r="G57" s="60">
        <f t="shared" si="17"/>
        <v>15893.876785714285</v>
      </c>
      <c r="H57" s="60">
        <f t="shared" si="17"/>
        <v>16211.754321428572</v>
      </c>
      <c r="I57" s="60">
        <f t="shared" si="17"/>
        <v>16535.989407857145</v>
      </c>
      <c r="J57" s="60">
        <f t="shared" si="17"/>
        <v>16866.709196014286</v>
      </c>
      <c r="K57" s="60">
        <f t="shared" si="17"/>
        <v>17204.04337993457</v>
      </c>
      <c r="L57" s="60">
        <f t="shared" si="17"/>
        <v>17548.124247533266</v>
      </c>
      <c r="M57" s="60">
        <f t="shared" si="17"/>
        <v>17899.08673248393</v>
      </c>
      <c r="N57" s="60">
        <f t="shared" si="17"/>
        <v>18257.06846713361</v>
      </c>
      <c r="O57" s="78">
        <f t="shared" si="17"/>
        <v>18622.20983647628</v>
      </c>
      <c r="P57" s="60">
        <f t="shared" si="17"/>
        <v>18994.654033205803</v>
      </c>
      <c r="Q57" s="60">
        <f t="shared" si="17"/>
        <v>19374.547113869918</v>
      </c>
      <c r="R57" s="60">
        <f t="shared" si="17"/>
        <v>19762.038056147314</v>
      </c>
      <c r="S57" s="60">
        <f t="shared" si="17"/>
        <v>20157.278817270264</v>
      </c>
      <c r="T57" s="60">
        <f t="shared" si="17"/>
        <v>20560.424393615667</v>
      </c>
      <c r="U57" s="60">
        <f t="shared" si="17"/>
        <v>20971.63288148798</v>
      </c>
      <c r="V57" s="60">
        <f t="shared" si="17"/>
        <v>21391.06553911774</v>
      </c>
      <c r="W57" s="60">
        <f t="shared" si="17"/>
        <v>21818.886849900096</v>
      </c>
      <c r="X57" s="60">
        <f t="shared" si="17"/>
        <v>22255.264586898098</v>
      </c>
      <c r="Y57" s="78">
        <f t="shared" si="17"/>
        <v>22700.36987863606</v>
      </c>
      <c r="Z57" s="60">
        <f t="shared" si="17"/>
        <v>23154.377276208783</v>
      </c>
      <c r="AA57" s="60">
        <f t="shared" si="17"/>
        <v>23617.464821732956</v>
      </c>
      <c r="AB57" s="60">
        <f t="shared" si="17"/>
        <v>24089.814118167615</v>
      </c>
      <c r="AC57" s="60">
        <f t="shared" si="17"/>
        <v>24571.610400530968</v>
      </c>
      <c r="AD57" s="60">
        <f t="shared" si="17"/>
        <v>25063.04260854159</v>
      </c>
      <c r="AE57" s="60">
        <f t="shared" si="17"/>
        <v>25564.30346071242</v>
      </c>
      <c r="AF57" s="60">
        <f t="shared" si="17"/>
        <v>26075.58952992667</v>
      </c>
      <c r="AG57" s="60">
        <f t="shared" si="17"/>
        <v>26597.101320525202</v>
      </c>
      <c r="AH57" s="60">
        <f t="shared" si="17"/>
        <v>27129.04334693571</v>
      </c>
      <c r="AI57" s="78">
        <f t="shared" si="17"/>
        <v>27671.62421387442</v>
      </c>
      <c r="AJ57" s="42" t="s">
        <v>86</v>
      </c>
    </row>
    <row r="58" spans="6:35" s="42" customFormat="1" ht="15" customHeight="1">
      <c r="F58" s="79"/>
      <c r="J58" s="54"/>
      <c r="K58" s="54"/>
      <c r="L58" s="54"/>
      <c r="M58" s="54"/>
      <c r="N58" s="54"/>
      <c r="O58" s="79"/>
      <c r="P58" s="54"/>
      <c r="Q58" s="54"/>
      <c r="R58" s="54"/>
      <c r="S58" s="54"/>
      <c r="T58" s="43"/>
      <c r="U58" s="54"/>
      <c r="Y58" s="79"/>
      <c r="AI58" s="79"/>
    </row>
    <row r="59" spans="2:36" s="42" customFormat="1" ht="15" customHeight="1">
      <c r="B59" s="86" t="s">
        <v>71</v>
      </c>
      <c r="C59" s="87"/>
      <c r="D59" s="87"/>
      <c r="E59" s="87"/>
      <c r="F59" s="88"/>
      <c r="G59" s="87"/>
      <c r="H59" s="87"/>
      <c r="I59" s="87"/>
      <c r="J59" s="87"/>
      <c r="K59" s="87"/>
      <c r="L59" s="87"/>
      <c r="M59" s="87"/>
      <c r="N59" s="87"/>
      <c r="O59" s="88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87"/>
      <c r="AA59" s="87"/>
      <c r="AB59" s="87"/>
      <c r="AC59" s="87"/>
      <c r="AD59" s="87"/>
      <c r="AE59" s="87"/>
      <c r="AF59" s="87"/>
      <c r="AG59" s="87"/>
      <c r="AH59" s="87"/>
      <c r="AI59" s="88"/>
      <c r="AJ59" s="42" t="s">
        <v>86</v>
      </c>
    </row>
    <row r="60" spans="2:36" s="42" customFormat="1" ht="15" customHeight="1">
      <c r="B60" s="111" t="s">
        <v>72</v>
      </c>
      <c r="C60" s="112"/>
      <c r="D60" s="5"/>
      <c r="E60" s="46">
        <f>F60/12</f>
        <v>1298.5193452380952</v>
      </c>
      <c r="F60" s="74">
        <f>F57</f>
        <v>15582.232142857143</v>
      </c>
      <c r="G60" s="46">
        <f aca="true" t="shared" si="18" ref="G60:O60">G57</f>
        <v>15893.876785714285</v>
      </c>
      <c r="H60" s="46">
        <f t="shared" si="18"/>
        <v>16211.754321428572</v>
      </c>
      <c r="I60" s="46">
        <f t="shared" si="18"/>
        <v>16535.989407857145</v>
      </c>
      <c r="J60" s="46">
        <f t="shared" si="18"/>
        <v>16866.709196014286</v>
      </c>
      <c r="K60" s="46">
        <f t="shared" si="18"/>
        <v>17204.04337993457</v>
      </c>
      <c r="L60" s="46">
        <f t="shared" si="18"/>
        <v>17548.124247533266</v>
      </c>
      <c r="M60" s="46">
        <f t="shared" si="18"/>
        <v>17899.08673248393</v>
      </c>
      <c r="N60" s="46">
        <f t="shared" si="18"/>
        <v>18257.06846713361</v>
      </c>
      <c r="O60" s="74">
        <f t="shared" si="18"/>
        <v>18622.20983647628</v>
      </c>
      <c r="P60" s="46">
        <f>P57</f>
        <v>18994.654033205803</v>
      </c>
      <c r="Q60" s="46">
        <f>Q57</f>
        <v>19374.547113869918</v>
      </c>
      <c r="R60" s="46">
        <f>R57</f>
        <v>19762.038056147314</v>
      </c>
      <c r="S60" s="46">
        <f>S57</f>
        <v>20157.278817270264</v>
      </c>
      <c r="T60" s="46">
        <f>T57</f>
        <v>20560.424393615667</v>
      </c>
      <c r="U60" s="46">
        <f aca="true" t="shared" si="19" ref="U60:AD60">U57</f>
        <v>20971.63288148798</v>
      </c>
      <c r="V60" s="46">
        <f t="shared" si="19"/>
        <v>21391.06553911774</v>
      </c>
      <c r="W60" s="46">
        <f t="shared" si="19"/>
        <v>21818.886849900096</v>
      </c>
      <c r="X60" s="46">
        <f t="shared" si="19"/>
        <v>22255.264586898098</v>
      </c>
      <c r="Y60" s="74">
        <f t="shared" si="19"/>
        <v>22700.36987863606</v>
      </c>
      <c r="Z60" s="46">
        <f t="shared" si="19"/>
        <v>23154.377276208783</v>
      </c>
      <c r="AA60" s="46">
        <f t="shared" si="19"/>
        <v>23617.464821732956</v>
      </c>
      <c r="AB60" s="46">
        <f t="shared" si="19"/>
        <v>24089.814118167615</v>
      </c>
      <c r="AC60" s="46">
        <f t="shared" si="19"/>
        <v>24571.610400530968</v>
      </c>
      <c r="AD60" s="46">
        <f t="shared" si="19"/>
        <v>25063.04260854159</v>
      </c>
      <c r="AE60" s="46">
        <f>AE57</f>
        <v>25564.30346071242</v>
      </c>
      <c r="AF60" s="46">
        <f>AF57</f>
        <v>26075.58952992667</v>
      </c>
      <c r="AG60" s="46">
        <f>AG57</f>
        <v>26597.101320525202</v>
      </c>
      <c r="AH60" s="46">
        <f>AH57</f>
        <v>27129.04334693571</v>
      </c>
      <c r="AI60" s="74">
        <f>AI57</f>
        <v>27671.62421387442</v>
      </c>
      <c r="AJ60" s="42" t="s">
        <v>86</v>
      </c>
    </row>
    <row r="61" spans="2:36" s="42" customFormat="1" ht="15" customHeight="1">
      <c r="B61" s="111" t="s">
        <v>73</v>
      </c>
      <c r="C61" s="112"/>
      <c r="D61" s="54"/>
      <c r="E61" s="46">
        <f>D23</f>
        <v>684.0251682649389</v>
      </c>
      <c r="F61" s="74">
        <f>E61*12</f>
        <v>8208.302019179268</v>
      </c>
      <c r="G61" s="46">
        <f aca="true" t="shared" si="20" ref="G61:AD61">F61</f>
        <v>8208.302019179268</v>
      </c>
      <c r="H61" s="46">
        <f t="shared" si="20"/>
        <v>8208.302019179268</v>
      </c>
      <c r="I61" s="46">
        <f t="shared" si="20"/>
        <v>8208.302019179268</v>
      </c>
      <c r="J61" s="46">
        <f>I61</f>
        <v>8208.302019179268</v>
      </c>
      <c r="K61" s="46">
        <f t="shared" si="20"/>
        <v>8208.302019179268</v>
      </c>
      <c r="L61" s="46">
        <f t="shared" si="20"/>
        <v>8208.302019179268</v>
      </c>
      <c r="M61" s="46">
        <f>L61</f>
        <v>8208.302019179268</v>
      </c>
      <c r="N61" s="46">
        <f t="shared" si="20"/>
        <v>8208.302019179268</v>
      </c>
      <c r="O61" s="74">
        <f t="shared" si="20"/>
        <v>8208.302019179268</v>
      </c>
      <c r="P61" s="46">
        <f t="shared" si="20"/>
        <v>8208.302019179268</v>
      </c>
      <c r="Q61" s="46">
        <f t="shared" si="20"/>
        <v>8208.302019179268</v>
      </c>
      <c r="R61" s="46">
        <f t="shared" si="20"/>
        <v>8208.302019179268</v>
      </c>
      <c r="S61" s="46">
        <f t="shared" si="20"/>
        <v>8208.302019179268</v>
      </c>
      <c r="T61" s="46">
        <f t="shared" si="20"/>
        <v>8208.302019179268</v>
      </c>
      <c r="U61" s="46">
        <f t="shared" si="20"/>
        <v>8208.302019179268</v>
      </c>
      <c r="V61" s="46">
        <f t="shared" si="20"/>
        <v>8208.302019179268</v>
      </c>
      <c r="W61" s="46">
        <f t="shared" si="20"/>
        <v>8208.302019179268</v>
      </c>
      <c r="X61" s="46">
        <f t="shared" si="20"/>
        <v>8208.302019179268</v>
      </c>
      <c r="Y61" s="74">
        <f t="shared" si="20"/>
        <v>8208.302019179268</v>
      </c>
      <c r="Z61" s="46">
        <f t="shared" si="20"/>
        <v>8208.302019179268</v>
      </c>
      <c r="AA61" s="46">
        <f t="shared" si="20"/>
        <v>8208.302019179268</v>
      </c>
      <c r="AB61" s="46">
        <f t="shared" si="20"/>
        <v>8208.302019179268</v>
      </c>
      <c r="AC61" s="46">
        <f t="shared" si="20"/>
        <v>8208.302019179268</v>
      </c>
      <c r="AD61" s="46">
        <f t="shared" si="20"/>
        <v>8208.302019179268</v>
      </c>
      <c r="AE61" s="46">
        <f>AD61</f>
        <v>8208.302019179268</v>
      </c>
      <c r="AF61" s="46">
        <f>AE61</f>
        <v>8208.302019179268</v>
      </c>
      <c r="AG61" s="46">
        <f>AF61</f>
        <v>8208.302019179268</v>
      </c>
      <c r="AH61" s="46">
        <f>AG61</f>
        <v>8208.302019179268</v>
      </c>
      <c r="AI61" s="74">
        <f>AH61</f>
        <v>8208.302019179268</v>
      </c>
      <c r="AJ61" s="42" t="s">
        <v>86</v>
      </c>
    </row>
    <row r="62" spans="2:36" s="42" customFormat="1" ht="15" customHeight="1">
      <c r="B62" s="113" t="s">
        <v>74</v>
      </c>
      <c r="C62" s="114"/>
      <c r="D62" s="61"/>
      <c r="E62" s="62">
        <f>E60-E61</f>
        <v>614.4941769731563</v>
      </c>
      <c r="F62" s="80">
        <f>F60-F61</f>
        <v>7373.930123677876</v>
      </c>
      <c r="G62" s="62">
        <f aca="true" t="shared" si="21" ref="G62:O62">G60-G61</f>
        <v>7685.574766535017</v>
      </c>
      <c r="H62" s="62">
        <f t="shared" si="21"/>
        <v>8003.452302249305</v>
      </c>
      <c r="I62" s="62">
        <f t="shared" si="21"/>
        <v>8327.687388677878</v>
      </c>
      <c r="J62" s="62">
        <f t="shared" si="21"/>
        <v>8658.407176835019</v>
      </c>
      <c r="K62" s="62">
        <f t="shared" si="21"/>
        <v>8995.741360755303</v>
      </c>
      <c r="L62" s="62">
        <f t="shared" si="21"/>
        <v>9339.822228353998</v>
      </c>
      <c r="M62" s="62">
        <f t="shared" si="21"/>
        <v>9690.784713304663</v>
      </c>
      <c r="N62" s="62">
        <f t="shared" si="21"/>
        <v>10048.766447954342</v>
      </c>
      <c r="O62" s="80">
        <f t="shared" si="21"/>
        <v>10413.907817297011</v>
      </c>
      <c r="P62" s="62">
        <f>P60-P61</f>
        <v>10786.352014026535</v>
      </c>
      <c r="Q62" s="62">
        <f>Q60-Q61</f>
        <v>11166.24509469065</v>
      </c>
      <c r="R62" s="62">
        <f>R60-R61</f>
        <v>11553.736036968046</v>
      </c>
      <c r="S62" s="62">
        <f>S60-S61</f>
        <v>11948.976798090996</v>
      </c>
      <c r="T62" s="62">
        <f>T60-T61</f>
        <v>12352.1223744364</v>
      </c>
      <c r="U62" s="62">
        <f aca="true" t="shared" si="22" ref="U62:AD62">U60-U61</f>
        <v>12763.330862308714</v>
      </c>
      <c r="V62" s="62">
        <f t="shared" si="22"/>
        <v>13182.763519938471</v>
      </c>
      <c r="W62" s="62">
        <f t="shared" si="22"/>
        <v>13610.584830720829</v>
      </c>
      <c r="X62" s="62">
        <f t="shared" si="22"/>
        <v>14046.96256771883</v>
      </c>
      <c r="Y62" s="80">
        <f t="shared" si="22"/>
        <v>14492.06785945679</v>
      </c>
      <c r="Z62" s="62">
        <f t="shared" si="22"/>
        <v>14946.075257029515</v>
      </c>
      <c r="AA62" s="62">
        <f t="shared" si="22"/>
        <v>15409.162802553688</v>
      </c>
      <c r="AB62" s="62">
        <f t="shared" si="22"/>
        <v>15881.512098988347</v>
      </c>
      <c r="AC62" s="62">
        <f t="shared" si="22"/>
        <v>16363.3083813517</v>
      </c>
      <c r="AD62" s="62">
        <f t="shared" si="22"/>
        <v>16854.74058936232</v>
      </c>
      <c r="AE62" s="62">
        <f>AE60-AE61</f>
        <v>17356.001441533153</v>
      </c>
      <c r="AF62" s="62">
        <f>AF60-AF61</f>
        <v>17867.287510747403</v>
      </c>
      <c r="AG62" s="62">
        <f>AG60-AG61</f>
        <v>18388.799301345935</v>
      </c>
      <c r="AH62" s="62">
        <f>AH60-AH61</f>
        <v>18920.74132775644</v>
      </c>
      <c r="AI62" s="80">
        <f>AI60-AI61</f>
        <v>19463.322194695153</v>
      </c>
      <c r="AJ62" s="42" t="s">
        <v>86</v>
      </c>
    </row>
    <row r="63" spans="2:36" s="42" customFormat="1" ht="15" customHeight="1">
      <c r="B63" s="28" t="s">
        <v>15</v>
      </c>
      <c r="C63" s="29"/>
      <c r="D63" s="61"/>
      <c r="E63" s="63"/>
      <c r="F63" s="81">
        <f>F62/D24</f>
        <v>0.29203683658130203</v>
      </c>
      <c r="G63" s="64">
        <f>G62/D24</f>
        <v>0.30437919867465413</v>
      </c>
      <c r="H63" s="64">
        <f>H62/D24</f>
        <v>0.31696840800987347</v>
      </c>
      <c r="I63" s="64">
        <f>I62/D24</f>
        <v>0.3298094015317971</v>
      </c>
      <c r="J63" s="64">
        <f>J62/D24</f>
        <v>0.34290721492415915</v>
      </c>
      <c r="K63" s="64">
        <f>K62/D24</f>
        <v>0.3562669845843684</v>
      </c>
      <c r="L63" s="64">
        <f>L62/D24</f>
        <v>0.3698939496377821</v>
      </c>
      <c r="M63" s="64">
        <f>M62/D24</f>
        <v>0.3837934539922639</v>
      </c>
      <c r="N63" s="64">
        <f>N62/D24</f>
        <v>0.39797094843383535</v>
      </c>
      <c r="O63" s="81">
        <f>O62/D24</f>
        <v>0.4124319927642381</v>
      </c>
      <c r="P63" s="64">
        <f>P62/D24</f>
        <v>0.4271822579812489</v>
      </c>
      <c r="Q63" s="64">
        <f>Q62/D24</f>
        <v>0.4422275285026</v>
      </c>
      <c r="R63" s="64">
        <f>R62/D24</f>
        <v>0.45757370443437806</v>
      </c>
      <c r="S63" s="64">
        <f>S62/D24</f>
        <v>0.47322680388479194</v>
      </c>
      <c r="T63" s="64">
        <f>T62/D24</f>
        <v>0.48919296532421386</v>
      </c>
      <c r="U63" s="64">
        <f>U62/D24</f>
        <v>0.5054784499924243</v>
      </c>
      <c r="V63" s="64">
        <f>V62/D24</f>
        <v>0.5220896443539988</v>
      </c>
      <c r="W63" s="64">
        <f>W62/D24</f>
        <v>0.5390330626028051</v>
      </c>
      <c r="X63" s="64">
        <f>X62/D24</f>
        <v>0.5563153492165873</v>
      </c>
      <c r="Y63" s="81">
        <f>Y62/D24</f>
        <v>0.5739432815626452</v>
      </c>
      <c r="Z63" s="64">
        <f>Z62/D24</f>
        <v>0.5919237725556243</v>
      </c>
      <c r="AA63" s="64">
        <f>AA62/D24</f>
        <v>0.6102638733684629</v>
      </c>
      <c r="AB63" s="64">
        <f>AB62/D24</f>
        <v>0.6289707761975583</v>
      </c>
      <c r="AC63" s="64">
        <f>AC62/D24</f>
        <v>0.6480518170832357</v>
      </c>
      <c r="AD63" s="64">
        <f>AD62/D24</f>
        <v>0.6675144787866266</v>
      </c>
      <c r="AE63" s="64">
        <f>AE62/D24</f>
        <v>0.6873663937240853</v>
      </c>
      <c r="AF63" s="64">
        <f>AF62/D24</f>
        <v>0.7076153469602932</v>
      </c>
      <c r="AG63" s="64">
        <f>AG62/D24</f>
        <v>0.7282692792612251</v>
      </c>
      <c r="AH63" s="64">
        <f>AH62/D24</f>
        <v>0.7493362902081759</v>
      </c>
      <c r="AI63" s="81">
        <f>AI62/D24</f>
        <v>0.7708246413740655</v>
      </c>
      <c r="AJ63" s="42" t="s">
        <v>86</v>
      </c>
    </row>
    <row r="64" spans="2:36" s="42" customFormat="1" ht="15" customHeight="1">
      <c r="B64" s="115" t="s">
        <v>75</v>
      </c>
      <c r="C64" s="116"/>
      <c r="D64" s="65"/>
      <c r="E64" s="66"/>
      <c r="F64" s="82">
        <f>-CUMPRINC(D21/12,12*D22,D19,1,12,0)</f>
        <v>2177.8560337740896</v>
      </c>
      <c r="G64" s="67">
        <f>-CUMPRINC(D21/12,12*D22,D19,13,24,0)</f>
        <v>2277.9063589292664</v>
      </c>
      <c r="H64" s="67">
        <f>-CUMPRINC(D21/12,12*D22,D19,25,36,0)</f>
        <v>2382.552978517325</v>
      </c>
      <c r="I64" s="67">
        <f>-CUMPRINC(D21/12,12*D22,D19,37,48,0)</f>
        <v>2492.0070455003492</v>
      </c>
      <c r="J64" s="67">
        <f>-CUMPRINC(D21/12,12*D22,D19,49,60,0)</f>
        <v>2606.4894131705546</v>
      </c>
      <c r="K64" s="67">
        <f>-CUMPRINC(D21/12,12*D22,D19,61,72,0)</f>
        <v>2726.2310807817607</v>
      </c>
      <c r="L64" s="67">
        <f>-CUMPRINC(D21/12,12*D22,D19,73,84,0)</f>
        <v>2851.4736596530956</v>
      </c>
      <c r="M64" s="67">
        <f>-CUMPRINC(D21/12,12*D22,D19,85,96,0)</f>
        <v>2982.469860685411</v>
      </c>
      <c r="N64" s="67">
        <f>-CUMPRINC(D21/12,12*D22,D19,97,108,0)</f>
        <v>3119.484004274133</v>
      </c>
      <c r="O64" s="82">
        <f>-CUMPRINC(D21/12,12*D22,D19,109,120,0)</f>
        <v>3262.7925536474067</v>
      </c>
      <c r="P64" s="67">
        <f>-CUMPRINC(D21/12,12*D22,D19,121,132,0)</f>
        <v>3412.6846727057105</v>
      </c>
      <c r="Q64" s="67">
        <f>-CUMPRINC(D21/12,12*D22,D19,133,144,0)</f>
        <v>3569.462809488516</v>
      </c>
      <c r="R64" s="67">
        <f>-CUMPRINC(D21/12,12*D22,D19,145,156,0)</f>
        <v>3733.443306445313</v>
      </c>
      <c r="S64" s="67">
        <f>-CUMPRINC(D21/12,12*D22,D19,157,168,0)</f>
        <v>3904.957038742374</v>
      </c>
      <c r="T64" s="67">
        <f>-CUMPRINC(D21/12,12*D22,D19,169,180,0)</f>
        <v>4084.3500818932225</v>
      </c>
      <c r="U64" s="67">
        <f>-CUMPRINC(D21/12,12*D22,D19,181,192,0)</f>
        <v>4271.984410059918</v>
      </c>
      <c r="V64" s="67">
        <f>-CUMPRINC(D21/12,12*D22,D19,193,204,0)</f>
        <v>4468.2386264342</v>
      </c>
      <c r="W64" s="67">
        <f>-CUMPRINC(D21/12,12*D22,D19,205,216,0)</f>
        <v>4673.508727172198</v>
      </c>
      <c r="X64" s="67">
        <f>-CUMPRINC(D21/12,12*D22,D19,217,228,0)</f>
        <v>4888.208900424161</v>
      </c>
      <c r="Y64" s="82">
        <f>-CUMPRINC(D21/12,12*D22,D19,229,240,0)</f>
        <v>5112.772362071504</v>
      </c>
      <c r="Z64" s="67">
        <f>-CUMPRINC(D21/12,12*D22,D19,241,252,0)</f>
        <v>5347.6522298574355</v>
      </c>
      <c r="AA64" s="67">
        <f>-CUMPRINC(D21/12,12*D22,D19,253,264,0)</f>
        <v>5593.32243767501</v>
      </c>
      <c r="AB64" s="67">
        <f>-CUMPRINC(D21/12,12*D22,D19,265,276,0)</f>
        <v>5850.278691857409</v>
      </c>
      <c r="AC64" s="67">
        <f>-CUMPRINC(D21/12,12*D22,D19,277,288,0)</f>
        <v>6119.039471400032</v>
      </c>
      <c r="AD64" s="67">
        <f>-CUMPRINC(D21/12,12*D22,D19,289,300,0)</f>
        <v>6400.147074132618</v>
      </c>
      <c r="AE64" s="67">
        <f>-CUMPRINC(D21/12,12*D22,D19,301,312,0)</f>
        <v>6694.168710952319</v>
      </c>
      <c r="AF64" s="67">
        <f>-CUMPRINC(D21/12,12*D22,D19,313,324,0)</f>
        <v>7001.697650325664</v>
      </c>
      <c r="AG64" s="67">
        <f>-CUMPRINC(D21/12,12*D22,D19,325,336,0)</f>
        <v>7323.354415368739</v>
      </c>
      <c r="AH64" s="67">
        <f>-CUMPRINC(D21/12,12*D22,D19,337,348,0)</f>
        <v>7659.788035921014</v>
      </c>
      <c r="AI64" s="82">
        <f>-CUMPRINC(D21/12,12*D22,D19,349,360,0)</f>
        <v>8011.6773581392345</v>
      </c>
      <c r="AJ64" s="42" t="s">
        <v>86</v>
      </c>
    </row>
    <row r="65" spans="2:36" s="42" customFormat="1" ht="15" customHeight="1">
      <c r="B65" s="113" t="s">
        <v>76</v>
      </c>
      <c r="C65" s="114"/>
      <c r="D65" s="61"/>
      <c r="E65" s="62"/>
      <c r="F65" s="80">
        <f>F62+F64</f>
        <v>9551.786157451965</v>
      </c>
      <c r="G65" s="62">
        <f>G62+G64</f>
        <v>9963.481125464285</v>
      </c>
      <c r="H65" s="62">
        <f aca="true" t="shared" si="23" ref="H65:AI65">H62+H64</f>
        <v>10386.005280766629</v>
      </c>
      <c r="I65" s="62">
        <f t="shared" si="23"/>
        <v>10819.694434178227</v>
      </c>
      <c r="J65" s="62">
        <f t="shared" si="23"/>
        <v>11264.896590005574</v>
      </c>
      <c r="K65" s="62">
        <f t="shared" si="23"/>
        <v>11721.972441537064</v>
      </c>
      <c r="L65" s="62">
        <f t="shared" si="23"/>
        <v>12191.295888007095</v>
      </c>
      <c r="M65" s="62">
        <f t="shared" si="23"/>
        <v>12673.254573990074</v>
      </c>
      <c r="N65" s="62">
        <f t="shared" si="23"/>
        <v>13168.250452228474</v>
      </c>
      <c r="O65" s="80">
        <f t="shared" si="23"/>
        <v>13676.700370944418</v>
      </c>
      <c r="P65" s="62">
        <f t="shared" si="23"/>
        <v>14199.036686732246</v>
      </c>
      <c r="Q65" s="62">
        <f t="shared" si="23"/>
        <v>14735.707904179166</v>
      </c>
      <c r="R65" s="62">
        <f t="shared" si="23"/>
        <v>15287.17934341336</v>
      </c>
      <c r="S65" s="62">
        <f t="shared" si="23"/>
        <v>15853.93383683337</v>
      </c>
      <c r="T65" s="62">
        <f t="shared" si="23"/>
        <v>16436.472456329622</v>
      </c>
      <c r="U65" s="62">
        <f t="shared" si="23"/>
        <v>17035.315272368633</v>
      </c>
      <c r="V65" s="62">
        <f t="shared" si="23"/>
        <v>17651.002146372673</v>
      </c>
      <c r="W65" s="62">
        <f t="shared" si="23"/>
        <v>18284.093557893026</v>
      </c>
      <c r="X65" s="62">
        <f t="shared" si="23"/>
        <v>18935.17146814299</v>
      </c>
      <c r="Y65" s="80">
        <f t="shared" si="23"/>
        <v>19604.840221528295</v>
      </c>
      <c r="Z65" s="62">
        <f t="shared" si="23"/>
        <v>20293.72748688695</v>
      </c>
      <c r="AA65" s="62">
        <f t="shared" si="23"/>
        <v>21002.4852402287</v>
      </c>
      <c r="AB65" s="62">
        <f t="shared" si="23"/>
        <v>21731.790790845756</v>
      </c>
      <c r="AC65" s="62">
        <f t="shared" si="23"/>
        <v>22482.347852751733</v>
      </c>
      <c r="AD65" s="62">
        <f t="shared" si="23"/>
        <v>23254.88766349494</v>
      </c>
      <c r="AE65" s="62">
        <f t="shared" si="23"/>
        <v>24050.170152485472</v>
      </c>
      <c r="AF65" s="62">
        <f t="shared" si="23"/>
        <v>24868.985161073066</v>
      </c>
      <c r="AG65" s="62">
        <f t="shared" si="23"/>
        <v>25712.153716714674</v>
      </c>
      <c r="AH65" s="62">
        <f t="shared" si="23"/>
        <v>26580.529363677455</v>
      </c>
      <c r="AI65" s="80">
        <f t="shared" si="23"/>
        <v>27474.999552834386</v>
      </c>
      <c r="AJ65" s="42" t="s">
        <v>86</v>
      </c>
    </row>
    <row r="66" spans="2:36" s="42" customFormat="1" ht="15" customHeight="1">
      <c r="B66" s="30" t="s">
        <v>17</v>
      </c>
      <c r="C66" s="31"/>
      <c r="D66" s="51"/>
      <c r="E66" s="55"/>
      <c r="F66" s="83">
        <f>F65/D24</f>
        <v>0.3782885606911669</v>
      </c>
      <c r="G66" s="68">
        <f>G65/D24</f>
        <v>0.39459331189957564</v>
      </c>
      <c r="H66" s="68">
        <f>H65/D24</f>
        <v>0.41132694181253976</v>
      </c>
      <c r="I66" s="68">
        <f>I65/D24</f>
        <v>0.42850274986844467</v>
      </c>
      <c r="J66" s="68">
        <f>J65/D24</f>
        <v>0.44613451841606233</v>
      </c>
      <c r="K66" s="68">
        <f>K65/D24</f>
        <v>0.4642365323381015</v>
      </c>
      <c r="L66" s="68">
        <f>L65/D24</f>
        <v>0.48282359952503345</v>
      </c>
      <c r="M66" s="68">
        <f>M65/D24</f>
        <v>0.5019110722372306</v>
      </c>
      <c r="N66" s="68">
        <f>N65/D24</f>
        <v>0.5215148693951871</v>
      </c>
      <c r="O66" s="83">
        <f>O65/D24</f>
        <v>0.5416514998393829</v>
      </c>
      <c r="P66" s="68">
        <f>P65/D24</f>
        <v>0.5623380866032572</v>
      </c>
      <c r="Q66" s="68">
        <f>Q65/D24</f>
        <v>0.5835923922447195</v>
      </c>
      <c r="R66" s="68">
        <f>R65/D24</f>
        <v>0.6054328452836975</v>
      </c>
      <c r="S66" s="68">
        <f>S65/D24</f>
        <v>0.627878567795381</v>
      </c>
      <c r="T66" s="68">
        <f>T65/D24</f>
        <v>0.6509494042110742</v>
      </c>
      <c r="U66" s="68">
        <f>U65/D24</f>
        <v>0.674665951380936</v>
      </c>
      <c r="V66" s="68">
        <f>V65/D24</f>
        <v>0.6990495899553534</v>
      </c>
      <c r="W66" s="68">
        <f>W65/D24</f>
        <v>0.7241225171442782</v>
      </c>
      <c r="X66" s="68">
        <f>X65/D24</f>
        <v>0.7499077809165541</v>
      </c>
      <c r="Y66" s="83">
        <f>Y65/D24</f>
        <v>0.7764293157040909</v>
      </c>
      <c r="Z66" s="68">
        <f>Z65/D24</f>
        <v>0.8037119796786911</v>
      </c>
      <c r="AA66" s="68">
        <f>AA65/D24</f>
        <v>0.8317815936724238</v>
      </c>
      <c r="AB66" s="68">
        <f>AB65/D24</f>
        <v>0.8606649818156735</v>
      </c>
      <c r="AC66" s="68">
        <f>AC65/D24</f>
        <v>0.8903900139703657</v>
      </c>
      <c r="AD66" s="68">
        <f>AD65/D24</f>
        <v>0.9209856500394036</v>
      </c>
      <c r="AE66" s="68">
        <f>AE65/D24</f>
        <v>0.9524819862370484</v>
      </c>
      <c r="AF66" s="68">
        <f>AF65/D24</f>
        <v>0.9849103034088342</v>
      </c>
      <c r="AG66" s="68">
        <f>AG65/D24</f>
        <v>1.0183031174936505</v>
      </c>
      <c r="AH66" s="68">
        <f>AH65/D24</f>
        <v>1.0526942322248496</v>
      </c>
      <c r="AI66" s="83">
        <f>AI65/D24</f>
        <v>1.0881187941716588</v>
      </c>
      <c r="AJ66" s="42" t="s">
        <v>86</v>
      </c>
    </row>
    <row r="67" spans="5:35" s="42" customFormat="1" ht="15" customHeight="1">
      <c r="E67" s="69"/>
      <c r="F67" s="84"/>
      <c r="G67" s="69"/>
      <c r="H67" s="69"/>
      <c r="I67" s="69"/>
      <c r="J67" s="70"/>
      <c r="K67" s="70"/>
      <c r="L67" s="70"/>
      <c r="M67" s="70"/>
      <c r="N67" s="70"/>
      <c r="O67" s="84"/>
      <c r="P67" s="54"/>
      <c r="Q67" s="54"/>
      <c r="R67" s="54"/>
      <c r="S67" s="54"/>
      <c r="T67" s="54"/>
      <c r="U67" s="54"/>
      <c r="Y67" s="84"/>
      <c r="AI67" s="84"/>
    </row>
    <row r="68" spans="2:36" s="42" customFormat="1" ht="15" customHeight="1">
      <c r="B68" s="32" t="s">
        <v>77</v>
      </c>
      <c r="C68" s="33"/>
      <c r="D68" s="34"/>
      <c r="E68" s="34"/>
      <c r="F68" s="85">
        <f>F60/F61</f>
        <v>1.8983502442342126</v>
      </c>
      <c r="G68" s="35">
        <f aca="true" t="shared" si="24" ref="G68:AE68">G60/G61</f>
        <v>1.9363172491188967</v>
      </c>
      <c r="H68" s="35">
        <f t="shared" si="24"/>
        <v>1.975043594101275</v>
      </c>
      <c r="I68" s="35">
        <f t="shared" si="24"/>
        <v>2.0145444659833007</v>
      </c>
      <c r="J68" s="35">
        <f t="shared" si="24"/>
        <v>2.0548353553029663</v>
      </c>
      <c r="K68" s="35">
        <f t="shared" si="24"/>
        <v>2.0959320624090254</v>
      </c>
      <c r="L68" s="35">
        <f t="shared" si="24"/>
        <v>2.1378507036572065</v>
      </c>
      <c r="M68" s="35">
        <f t="shared" si="24"/>
        <v>2.1806077177303504</v>
      </c>
      <c r="N68" s="35">
        <f t="shared" si="24"/>
        <v>2.2242198720849577</v>
      </c>
      <c r="O68" s="85">
        <f t="shared" si="24"/>
        <v>2.268704269526656</v>
      </c>
      <c r="P68" s="35">
        <f t="shared" si="24"/>
        <v>2.3140783549171893</v>
      </c>
      <c r="Q68" s="35">
        <f t="shared" si="24"/>
        <v>2.360359922015533</v>
      </c>
      <c r="R68" s="35">
        <f t="shared" si="24"/>
        <v>2.4075671204558433</v>
      </c>
      <c r="S68" s="35">
        <f t="shared" si="24"/>
        <v>2.4557184628649606</v>
      </c>
      <c r="T68" s="35">
        <f t="shared" si="24"/>
        <v>2.5048328321222595</v>
      </c>
      <c r="U68" s="35">
        <f t="shared" si="24"/>
        <v>2.554929488764705</v>
      </c>
      <c r="V68" s="35">
        <f t="shared" si="24"/>
        <v>2.6060280785399987</v>
      </c>
      <c r="W68" s="35">
        <f t="shared" si="24"/>
        <v>2.658148640110799</v>
      </c>
      <c r="X68" s="35">
        <f t="shared" si="24"/>
        <v>2.7113116129130153</v>
      </c>
      <c r="Y68" s="85">
        <f t="shared" si="24"/>
        <v>2.7655378451712753</v>
      </c>
      <c r="Z68" s="35">
        <f t="shared" si="24"/>
        <v>2.820848602074701</v>
      </c>
      <c r="AA68" s="35">
        <f t="shared" si="24"/>
        <v>2.8772655741161945</v>
      </c>
      <c r="AB68" s="35">
        <f t="shared" si="24"/>
        <v>2.9348108855985187</v>
      </c>
      <c r="AC68" s="35">
        <f t="shared" si="24"/>
        <v>2.993507103310489</v>
      </c>
      <c r="AD68" s="35">
        <f t="shared" si="24"/>
        <v>3.053377245376699</v>
      </c>
      <c r="AE68" s="35">
        <f t="shared" si="24"/>
        <v>3.114444790284233</v>
      </c>
      <c r="AF68" s="35">
        <f>AF60/AF61</f>
        <v>3.176733686089918</v>
      </c>
      <c r="AG68" s="35">
        <f>AG60/AG61</f>
        <v>3.240268359811716</v>
      </c>
      <c r="AH68" s="35">
        <f>AH60/AH61</f>
        <v>3.3050737270079504</v>
      </c>
      <c r="AI68" s="85">
        <f>AI60/AI61</f>
        <v>3.3711752015481093</v>
      </c>
      <c r="AJ68" s="42" t="s">
        <v>86</v>
      </c>
    </row>
    <row r="69" spans="2:21" s="42" customFormat="1" ht="15" customHeight="1">
      <c r="B69" s="110"/>
      <c r="C69" s="11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T69" s="54"/>
      <c r="U69" s="54"/>
    </row>
    <row r="70" ht="15" customHeight="1">
      <c r="B70" s="18"/>
    </row>
    <row r="71" spans="2:36" ht="15" customHeight="1">
      <c r="B71" s="18" t="s">
        <v>78</v>
      </c>
      <c r="F71" s="36">
        <f>F64</f>
        <v>2177.8560337740896</v>
      </c>
      <c r="G71" s="36">
        <f aca="true" t="shared" si="25" ref="G71:AI71">G64+F71</f>
        <v>4455.762392703356</v>
      </c>
      <c r="H71" s="36">
        <f t="shared" si="25"/>
        <v>6838.315371220681</v>
      </c>
      <c r="I71" s="36">
        <f t="shared" si="25"/>
        <v>9330.32241672103</v>
      </c>
      <c r="J71" s="36">
        <f>J64+I71</f>
        <v>11936.811829891585</v>
      </c>
      <c r="K71" s="36">
        <f t="shared" si="25"/>
        <v>14663.042910673346</v>
      </c>
      <c r="L71" s="36">
        <f t="shared" si="25"/>
        <v>17514.516570326443</v>
      </c>
      <c r="M71" s="36">
        <f>M64+L71</f>
        <v>20496.986431011854</v>
      </c>
      <c r="N71" s="36">
        <f>N64+M71</f>
        <v>23616.470435285988</v>
      </c>
      <c r="O71" s="36">
        <f t="shared" si="25"/>
        <v>26879.262988933395</v>
      </c>
      <c r="P71" s="36">
        <f t="shared" si="25"/>
        <v>30291.947661639104</v>
      </c>
      <c r="Q71" s="36">
        <f>Q64+P71</f>
        <v>33861.41047112762</v>
      </c>
      <c r="R71" s="36">
        <f t="shared" si="25"/>
        <v>37594.853777572935</v>
      </c>
      <c r="S71" s="36">
        <f t="shared" si="25"/>
        <v>41499.81081631531</v>
      </c>
      <c r="T71" s="36">
        <f t="shared" si="25"/>
        <v>45584.16089820853</v>
      </c>
      <c r="U71" s="36">
        <f t="shared" si="25"/>
        <v>49856.145308268446</v>
      </c>
      <c r="V71" s="36">
        <f t="shared" si="25"/>
        <v>54324.383934702644</v>
      </c>
      <c r="W71" s="36">
        <f t="shared" si="25"/>
        <v>58997.892661874845</v>
      </c>
      <c r="X71" s="36">
        <f t="shared" si="25"/>
        <v>63886.10156229901</v>
      </c>
      <c r="Y71" s="36">
        <f t="shared" si="25"/>
        <v>68998.8739243705</v>
      </c>
      <c r="Z71" s="36">
        <f t="shared" si="25"/>
        <v>74346.52615422795</v>
      </c>
      <c r="AA71" s="36">
        <f t="shared" si="25"/>
        <v>79939.84859190296</v>
      </c>
      <c r="AB71" s="36">
        <f t="shared" si="25"/>
        <v>85790.12728376038</v>
      </c>
      <c r="AC71" s="36">
        <f t="shared" si="25"/>
        <v>91909.1667551604</v>
      </c>
      <c r="AD71" s="36">
        <f t="shared" si="25"/>
        <v>98309.31382929302</v>
      </c>
      <c r="AE71" s="36">
        <f t="shared" si="25"/>
        <v>105003.48254024534</v>
      </c>
      <c r="AF71" s="36">
        <f t="shared" si="25"/>
        <v>112005.180190571</v>
      </c>
      <c r="AG71" s="36">
        <f t="shared" si="25"/>
        <v>119328.53460593974</v>
      </c>
      <c r="AH71" s="36">
        <f t="shared" si="25"/>
        <v>126988.32264186075</v>
      </c>
      <c r="AI71" s="36">
        <f t="shared" si="25"/>
        <v>135000</v>
      </c>
      <c r="AJ71" s="2" t="s">
        <v>86</v>
      </c>
    </row>
    <row r="72" spans="2:36" ht="15" customHeight="1">
      <c r="B72" s="95" t="s">
        <v>89</v>
      </c>
      <c r="C72" s="94"/>
      <c r="D72" s="94"/>
      <c r="E72" s="94"/>
      <c r="F72" s="96">
        <f aca="true" t="shared" si="26" ref="F72:AI72">F71/$D$19</f>
        <v>0.01613226691684511</v>
      </c>
      <c r="G72" s="96">
        <f t="shared" si="26"/>
        <v>0.033005647353358196</v>
      </c>
      <c r="H72" s="96">
        <f t="shared" si="26"/>
        <v>0.05065418793496801</v>
      </c>
      <c r="I72" s="96">
        <f t="shared" si="26"/>
        <v>0.06911349938311874</v>
      </c>
      <c r="J72" s="96">
        <f t="shared" si="26"/>
        <v>0.0884208283695673</v>
      </c>
      <c r="K72" s="96">
        <f t="shared" si="26"/>
        <v>0.10861513267165442</v>
      </c>
      <c r="L72" s="96">
        <f t="shared" si="26"/>
        <v>0.12973715978019587</v>
      </c>
      <c r="M72" s="96">
        <f t="shared" si="26"/>
        <v>0.1518295291186063</v>
      </c>
      <c r="N72" s="96">
        <f t="shared" si="26"/>
        <v>0.17493681803915548</v>
      </c>
      <c r="O72" s="96">
        <f t="shared" si="26"/>
        <v>0.199105651769877</v>
      </c>
      <c r="P72" s="96">
        <f t="shared" si="26"/>
        <v>0.224384797493623</v>
      </c>
      <c r="Q72" s="96">
        <f t="shared" si="26"/>
        <v>0.2508252627490935</v>
      </c>
      <c r="R72" s="96">
        <f t="shared" si="26"/>
        <v>0.27848039835239213</v>
      </c>
      <c r="S72" s="96">
        <f t="shared" si="26"/>
        <v>0.3074060060467801</v>
      </c>
      <c r="T72" s="96">
        <f t="shared" si="26"/>
        <v>0.337660451097841</v>
      </c>
      <c r="U72" s="96">
        <f t="shared" si="26"/>
        <v>0.36930478006124773</v>
      </c>
      <c r="V72" s="96">
        <f t="shared" si="26"/>
        <v>0.4024028439607603</v>
      </c>
      <c r="W72" s="96">
        <f t="shared" si="26"/>
        <v>0.43702142712499886</v>
      </c>
      <c r="X72" s="96">
        <f t="shared" si="26"/>
        <v>0.47323038194295564</v>
      </c>
      <c r="Y72" s="96">
        <f t="shared" si="26"/>
        <v>0.5111027698101519</v>
      </c>
      <c r="Z72" s="96">
        <f t="shared" si="26"/>
        <v>0.5507150085498367</v>
      </c>
      <c r="AA72" s="96">
        <f t="shared" si="26"/>
        <v>0.5921470266066886</v>
      </c>
      <c r="AB72" s="96">
        <f t="shared" si="26"/>
        <v>0.6354824243241509</v>
      </c>
      <c r="AC72" s="96">
        <f t="shared" si="26"/>
        <v>0.6808086426308179</v>
      </c>
      <c r="AD72" s="96">
        <f t="shared" si="26"/>
        <v>0.7282171394762447</v>
      </c>
      <c r="AE72" s="96">
        <f t="shared" si="26"/>
        <v>0.7778035743721877</v>
      </c>
      <c r="AF72" s="96">
        <f t="shared" si="26"/>
        <v>0.8296680014116371</v>
      </c>
      <c r="AG72" s="96">
        <f t="shared" si="26"/>
        <v>0.8839150711551091</v>
      </c>
      <c r="AH72" s="96">
        <f t="shared" si="26"/>
        <v>0.9406542417915611</v>
      </c>
      <c r="AI72" s="96">
        <f t="shared" si="26"/>
        <v>1</v>
      </c>
      <c r="AJ72" s="97" t="s">
        <v>86</v>
      </c>
    </row>
    <row r="73" spans="2:36" ht="15" customHeight="1">
      <c r="B73" s="18" t="s">
        <v>79</v>
      </c>
      <c r="F73" s="37">
        <f aca="true" t="shared" si="27" ref="F73:AI73">$D$19-F71</f>
        <v>132822.1439662259</v>
      </c>
      <c r="G73" s="37">
        <f t="shared" si="27"/>
        <v>130544.23760729664</v>
      </c>
      <c r="H73" s="37">
        <f t="shared" si="27"/>
        <v>128161.68462877932</v>
      </c>
      <c r="I73" s="37">
        <f t="shared" si="27"/>
        <v>125669.67758327897</v>
      </c>
      <c r="J73" s="37">
        <f t="shared" si="27"/>
        <v>123063.18817010842</v>
      </c>
      <c r="K73" s="37">
        <f t="shared" si="27"/>
        <v>120336.95708932665</v>
      </c>
      <c r="L73" s="37">
        <f t="shared" si="27"/>
        <v>117485.48342967356</v>
      </c>
      <c r="M73" s="37">
        <f t="shared" si="27"/>
        <v>114503.01356898814</v>
      </c>
      <c r="N73" s="37">
        <f t="shared" si="27"/>
        <v>111383.52956471402</v>
      </c>
      <c r="O73" s="37">
        <f t="shared" si="27"/>
        <v>108120.73701106661</v>
      </c>
      <c r="P73" s="37">
        <f t="shared" si="27"/>
        <v>104708.0523383609</v>
      </c>
      <c r="Q73" s="37">
        <f t="shared" si="27"/>
        <v>101138.58952887237</v>
      </c>
      <c r="R73" s="37">
        <f t="shared" si="27"/>
        <v>97405.14622242707</v>
      </c>
      <c r="S73" s="37">
        <f t="shared" si="27"/>
        <v>93500.18918368469</v>
      </c>
      <c r="T73" s="37">
        <f t="shared" si="27"/>
        <v>89415.83910179147</v>
      </c>
      <c r="U73" s="37">
        <f t="shared" si="27"/>
        <v>85143.85469173155</v>
      </c>
      <c r="V73" s="37">
        <f t="shared" si="27"/>
        <v>80675.61606529736</v>
      </c>
      <c r="W73" s="37">
        <f t="shared" si="27"/>
        <v>76002.10733812515</v>
      </c>
      <c r="X73" s="37">
        <f t="shared" si="27"/>
        <v>71113.89843770099</v>
      </c>
      <c r="Y73" s="37">
        <f t="shared" si="27"/>
        <v>66001.1260756295</v>
      </c>
      <c r="Z73" s="37">
        <f t="shared" si="27"/>
        <v>60653.47384577205</v>
      </c>
      <c r="AA73" s="37">
        <f t="shared" si="27"/>
        <v>55060.15140809704</v>
      </c>
      <c r="AB73" s="37">
        <f t="shared" si="27"/>
        <v>49209.872716239624</v>
      </c>
      <c r="AC73" s="37">
        <f t="shared" si="27"/>
        <v>43090.833244839596</v>
      </c>
      <c r="AD73" s="37">
        <f t="shared" si="27"/>
        <v>36690.68617070698</v>
      </c>
      <c r="AE73" s="37">
        <f t="shared" si="27"/>
        <v>29996.517459754657</v>
      </c>
      <c r="AF73" s="37">
        <f t="shared" si="27"/>
        <v>22994.819809429</v>
      </c>
      <c r="AG73" s="37">
        <f t="shared" si="27"/>
        <v>15671.465394060258</v>
      </c>
      <c r="AH73" s="37">
        <f t="shared" si="27"/>
        <v>8011.677358139248</v>
      </c>
      <c r="AI73" s="37">
        <f t="shared" si="27"/>
        <v>0</v>
      </c>
      <c r="AJ73" s="2" t="s">
        <v>86</v>
      </c>
    </row>
    <row r="75" spans="23:24" ht="12.75">
      <c r="W75" s="26"/>
      <c r="X75" s="26"/>
    </row>
  </sheetData>
  <sheetProtection/>
  <mergeCells count="33">
    <mergeCell ref="B7:D7"/>
    <mergeCell ref="B17:D17"/>
    <mergeCell ref="B2:D2"/>
    <mergeCell ref="B8:C8"/>
    <mergeCell ref="B4:C4"/>
    <mergeCell ref="B5:C5"/>
    <mergeCell ref="B13:C13"/>
    <mergeCell ref="B3:C3"/>
    <mergeCell ref="B26:D26"/>
    <mergeCell ref="B27:C27"/>
    <mergeCell ref="B14:C14"/>
    <mergeCell ref="B28:C28"/>
    <mergeCell ref="B15:C15"/>
    <mergeCell ref="B29:C29"/>
    <mergeCell ref="B30:C30"/>
    <mergeCell ref="B33:D33"/>
    <mergeCell ref="B34:D34"/>
    <mergeCell ref="B44:C44"/>
    <mergeCell ref="B45:C45"/>
    <mergeCell ref="B46:C46"/>
    <mergeCell ref="B47:C47"/>
    <mergeCell ref="B48:C48"/>
    <mergeCell ref="B49:C49"/>
    <mergeCell ref="B50:C50"/>
    <mergeCell ref="B51:C51"/>
    <mergeCell ref="B62:C62"/>
    <mergeCell ref="B64:C64"/>
    <mergeCell ref="B65:C65"/>
    <mergeCell ref="B69:C69"/>
    <mergeCell ref="B52:C52"/>
    <mergeCell ref="B53:C53"/>
    <mergeCell ref="B60:C60"/>
    <mergeCell ref="B61:C6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Scott</dc:creator>
  <cp:keywords/>
  <dc:description/>
  <cp:lastModifiedBy>Jeremy</cp:lastModifiedBy>
  <dcterms:created xsi:type="dcterms:W3CDTF">2009-09-12T22:14:43Z</dcterms:created>
  <dcterms:modified xsi:type="dcterms:W3CDTF">2017-02-21T21:47:24Z</dcterms:modified>
  <cp:category/>
  <cp:version/>
  <cp:contentType/>
  <cp:contentStatus/>
</cp:coreProperties>
</file>