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e\Desktop\"/>
    </mc:Choice>
  </mc:AlternateContent>
  <xr:revisionPtr revIDLastSave="0" documentId="13_ncr:1_{CCE9BC12-081D-4042-9143-91450D686EB5}" xr6:coauthVersionLast="47" xr6:coauthVersionMax="47" xr10:uidLastSave="{00000000-0000-0000-0000-000000000000}"/>
  <bookViews>
    <workbookView xWindow="57480" yWindow="-120" windowWidth="29040" windowHeight="15840" xr2:uid="{0D4B8753-7C94-451D-BBC6-031C5556EDD9}"/>
  </bookViews>
  <sheets>
    <sheet name="Income Statement" sheetId="1" r:id="rId1"/>
    <sheet name="Balance Sheet " sheetId="2" r:id="rId2"/>
    <sheet name="Cash Flow Statement 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E22" i="3"/>
  <c r="E21" i="3"/>
  <c r="F42" i="2" l="1"/>
  <c r="F22" i="3" s="1"/>
  <c r="G42" i="2"/>
  <c r="G22" i="3" s="1"/>
  <c r="H42" i="2"/>
  <c r="I42" i="2"/>
  <c r="I22" i="3" s="1"/>
  <c r="E42" i="2"/>
  <c r="F26" i="2"/>
  <c r="G26" i="2"/>
  <c r="H26" i="2"/>
  <c r="I26" i="2"/>
  <c r="E26" i="2"/>
  <c r="F72" i="2"/>
  <c r="G72" i="2" s="1"/>
  <c r="H72" i="2" s="1"/>
  <c r="I72" i="2" s="1"/>
  <c r="F71" i="2"/>
  <c r="G71" i="2" s="1"/>
  <c r="H71" i="2" s="1"/>
  <c r="I71" i="2" s="1"/>
  <c r="E72" i="2"/>
  <c r="E71" i="2"/>
  <c r="D72" i="2"/>
  <c r="C72" i="2"/>
  <c r="D71" i="2"/>
  <c r="C71" i="2"/>
  <c r="C42" i="2"/>
  <c r="D42" i="2"/>
  <c r="C39" i="2"/>
  <c r="F30" i="3"/>
  <c r="H22" i="3" l="1"/>
  <c r="F21" i="3"/>
  <c r="G21" i="3"/>
  <c r="I21" i="3"/>
  <c r="H21" i="3"/>
  <c r="I36" i="3"/>
  <c r="H36" i="3"/>
  <c r="G36" i="3"/>
  <c r="F36" i="3"/>
  <c r="E36" i="3"/>
  <c r="E53" i="2"/>
  <c r="C92" i="2"/>
  <c r="E52" i="2"/>
  <c r="F52" i="2" s="1"/>
  <c r="G52" i="2" s="1"/>
  <c r="H52" i="2" s="1"/>
  <c r="I52" i="2" s="1"/>
  <c r="D50" i="2"/>
  <c r="E50" i="2" s="1"/>
  <c r="F50" i="2" s="1"/>
  <c r="G50" i="2" s="1"/>
  <c r="H50" i="2" s="1"/>
  <c r="I50" i="2" s="1"/>
  <c r="C50" i="2"/>
  <c r="C54" i="2" s="1"/>
  <c r="C28" i="2"/>
  <c r="F34" i="3"/>
  <c r="G34" i="3"/>
  <c r="H34" i="3"/>
  <c r="I34" i="3"/>
  <c r="E34" i="3"/>
  <c r="E37" i="3" s="1"/>
  <c r="H30" i="3"/>
  <c r="H31" i="3" s="1"/>
  <c r="G30" i="3"/>
  <c r="G31" i="3" s="1"/>
  <c r="F31" i="3"/>
  <c r="E30" i="3"/>
  <c r="E31" i="3" s="1"/>
  <c r="D26" i="1"/>
  <c r="C26" i="1"/>
  <c r="B26" i="1"/>
  <c r="B28" i="1" s="1"/>
  <c r="D39" i="2"/>
  <c r="D85" i="2"/>
  <c r="D86" i="2" s="1"/>
  <c r="E86" i="2" s="1"/>
  <c r="C85" i="2"/>
  <c r="C86" i="2" s="1"/>
  <c r="B85" i="2"/>
  <c r="B86" i="2" s="1"/>
  <c r="I78" i="2"/>
  <c r="I30" i="3" s="1"/>
  <c r="I31" i="3" s="1"/>
  <c r="D82" i="2"/>
  <c r="E82" i="2" s="1"/>
  <c r="F82" i="2" s="1"/>
  <c r="C82" i="2"/>
  <c r="D80" i="2"/>
  <c r="E77" i="2" s="1"/>
  <c r="C80" i="2"/>
  <c r="D77" i="2" s="1"/>
  <c r="C75" i="2"/>
  <c r="E75" i="2"/>
  <c r="F75" i="2"/>
  <c r="G75" i="2"/>
  <c r="H75" i="2"/>
  <c r="I75" i="2"/>
  <c r="B75" i="2"/>
  <c r="I69" i="2"/>
  <c r="I37" i="3" l="1"/>
  <c r="D54" i="2"/>
  <c r="F37" i="3"/>
  <c r="H37" i="3"/>
  <c r="G37" i="3"/>
  <c r="F53" i="2"/>
  <c r="E79" i="2"/>
  <c r="E80" i="2" s="1"/>
  <c r="G82" i="2"/>
  <c r="F79" i="2"/>
  <c r="F86" i="2"/>
  <c r="G53" i="2" l="1"/>
  <c r="F77" i="2"/>
  <c r="F80" i="2" s="1"/>
  <c r="E27" i="2"/>
  <c r="H82" i="2"/>
  <c r="G79" i="2"/>
  <c r="G86" i="2"/>
  <c r="H53" i="2" l="1"/>
  <c r="G77" i="2"/>
  <c r="G80" i="2" s="1"/>
  <c r="F27" i="2"/>
  <c r="H86" i="2"/>
  <c r="I82" i="2"/>
  <c r="I79" i="2" s="1"/>
  <c r="H79" i="2"/>
  <c r="I53" i="2" l="1"/>
  <c r="I86" i="2"/>
  <c r="H77" i="2"/>
  <c r="H80" i="2" s="1"/>
  <c r="G27" i="2"/>
  <c r="I77" i="2" l="1"/>
  <c r="I80" i="2" s="1"/>
  <c r="I27" i="2" s="1"/>
  <c r="H27" i="2"/>
  <c r="E28" i="2" l="1"/>
  <c r="F28" i="2" s="1"/>
  <c r="G28" i="2" s="1"/>
  <c r="H28" i="2" s="1"/>
  <c r="I28" i="2" s="1"/>
  <c r="B66" i="2"/>
  <c r="D41" i="1"/>
  <c r="D66" i="2" s="1"/>
  <c r="C41" i="1"/>
  <c r="C66" i="2" s="1"/>
  <c r="B64" i="2"/>
  <c r="E64" i="2"/>
  <c r="F64" i="2"/>
  <c r="G64" i="2"/>
  <c r="E67" i="2"/>
  <c r="F67" i="2"/>
  <c r="G67" i="2"/>
  <c r="E68" i="2"/>
  <c r="F68" i="2"/>
  <c r="E69" i="2"/>
  <c r="F69" i="2"/>
  <c r="G69" i="2"/>
  <c r="H69" i="2"/>
  <c r="I43" i="1"/>
  <c r="I68" i="2" s="1"/>
  <c r="H43" i="1"/>
  <c r="H68" i="2" s="1"/>
  <c r="G43" i="1"/>
  <c r="G68" i="2" s="1"/>
  <c r="D45" i="1"/>
  <c r="E45" i="1" s="1"/>
  <c r="F45" i="1" s="1"/>
  <c r="C45" i="1"/>
  <c r="C70" i="2" s="1"/>
  <c r="B45" i="1"/>
  <c r="B70" i="2" s="1"/>
  <c r="D40" i="1"/>
  <c r="D65" i="2" s="1"/>
  <c r="C40" i="1"/>
  <c r="C65" i="2" s="1"/>
  <c r="B40" i="1"/>
  <c r="B65" i="2" s="1"/>
  <c r="E18" i="1"/>
  <c r="H39" i="1"/>
  <c r="I39" i="1" s="1"/>
  <c r="I64" i="2" s="1"/>
  <c r="H42" i="1"/>
  <c r="H67" i="2" s="1"/>
  <c r="D16" i="3"/>
  <c r="D15" i="3"/>
  <c r="C15" i="3" s="1"/>
  <c r="B15" i="3" s="1"/>
  <c r="A3" i="3"/>
  <c r="C46" i="2"/>
  <c r="D31" i="2"/>
  <c r="C31" i="2"/>
  <c r="D23" i="2"/>
  <c r="C23" i="2"/>
  <c r="D16" i="2"/>
  <c r="D75" i="2" s="1"/>
  <c r="D15" i="2"/>
  <c r="A3" i="2"/>
  <c r="D43" i="1"/>
  <c r="D68" i="2" s="1"/>
  <c r="C43" i="1"/>
  <c r="C68" i="2" s="1"/>
  <c r="B43" i="1"/>
  <c r="B68" i="2" s="1"/>
  <c r="D39" i="1"/>
  <c r="D64" i="2" s="1"/>
  <c r="C39" i="1"/>
  <c r="C64" i="2" s="1"/>
  <c r="D20" i="1"/>
  <c r="D22" i="1" s="1"/>
  <c r="C20" i="1"/>
  <c r="C22" i="1" s="1"/>
  <c r="B20" i="1"/>
  <c r="B22" i="1" s="1"/>
  <c r="D16" i="1"/>
  <c r="D15" i="1"/>
  <c r="C15" i="1" s="1"/>
  <c r="B15" i="1" s="1"/>
  <c r="A3" i="1"/>
  <c r="E15" i="1" l="1"/>
  <c r="F15" i="1" s="1"/>
  <c r="G15" i="1" s="1"/>
  <c r="H15" i="1" s="1"/>
  <c r="I15" i="1" s="1"/>
  <c r="E15" i="3"/>
  <c r="F15" i="3" s="1"/>
  <c r="G15" i="3" s="1"/>
  <c r="H15" i="3" s="1"/>
  <c r="I15" i="3" s="1"/>
  <c r="E40" i="1"/>
  <c r="E65" i="2" s="1"/>
  <c r="D70" i="2"/>
  <c r="F40" i="1"/>
  <c r="G40" i="1" s="1"/>
  <c r="H40" i="1" s="1"/>
  <c r="I40" i="1" s="1"/>
  <c r="I65" i="2" s="1"/>
  <c r="F18" i="1"/>
  <c r="E19" i="1"/>
  <c r="E20" i="1" s="1"/>
  <c r="H64" i="2"/>
  <c r="C15" i="2"/>
  <c r="D74" i="2"/>
  <c r="D33" i="2"/>
  <c r="G45" i="1"/>
  <c r="F70" i="2"/>
  <c r="C33" i="2"/>
  <c r="D46" i="2"/>
  <c r="D48" i="2" s="1"/>
  <c r="D56" i="2" s="1"/>
  <c r="E70" i="2"/>
  <c r="E15" i="2"/>
  <c r="I42" i="1"/>
  <c r="B42" i="1"/>
  <c r="B67" i="2" s="1"/>
  <c r="C42" i="1"/>
  <c r="C67" i="2" s="1"/>
  <c r="D42" i="1"/>
  <c r="D67" i="2" s="1"/>
  <c r="G65" i="2" l="1"/>
  <c r="F65" i="2"/>
  <c r="H65" i="2"/>
  <c r="E85" i="2"/>
  <c r="E87" i="2" s="1"/>
  <c r="E34" i="1" s="1"/>
  <c r="E19" i="3" s="1"/>
  <c r="E24" i="1"/>
  <c r="E22" i="1"/>
  <c r="E41" i="1"/>
  <c r="G18" i="1"/>
  <c r="F19" i="1"/>
  <c r="F20" i="1" s="1"/>
  <c r="F24" i="1" s="1"/>
  <c r="I67" i="2"/>
  <c r="F15" i="2"/>
  <c r="E74" i="2"/>
  <c r="B15" i="2"/>
  <c r="B74" i="2" s="1"/>
  <c r="C74" i="2"/>
  <c r="D58" i="2"/>
  <c r="H45" i="1"/>
  <c r="G70" i="2"/>
  <c r="D35" i="1"/>
  <c r="D28" i="1"/>
  <c r="C35" i="1"/>
  <c r="C28" i="1"/>
  <c r="B35" i="1"/>
  <c r="E66" i="2" l="1"/>
  <c r="E20" i="2" s="1"/>
  <c r="E25" i="1"/>
  <c r="E23" i="1" s="1"/>
  <c r="E37" i="2" s="1"/>
  <c r="H18" i="1"/>
  <c r="G19" i="1"/>
  <c r="G20" i="1" s="1"/>
  <c r="G24" i="1" s="1"/>
  <c r="E22" i="2"/>
  <c r="E44" i="2"/>
  <c r="E45" i="2"/>
  <c r="E29" i="2"/>
  <c r="E21" i="1"/>
  <c r="F85" i="2"/>
  <c r="F87" i="2" s="1"/>
  <c r="F34" i="1" s="1"/>
  <c r="F19" i="3" s="1"/>
  <c r="F22" i="1"/>
  <c r="F41" i="1"/>
  <c r="F66" i="2" s="1"/>
  <c r="G15" i="2"/>
  <c r="F74" i="2"/>
  <c r="I45" i="1"/>
  <c r="H70" i="2"/>
  <c r="B31" i="1"/>
  <c r="B93" i="2" s="1"/>
  <c r="B44" i="1"/>
  <c r="B69" i="2" s="1"/>
  <c r="C31" i="1"/>
  <c r="C93" i="2" s="1"/>
  <c r="C96" i="2" s="1"/>
  <c r="D92" i="2" s="1"/>
  <c r="C44" i="1"/>
  <c r="C69" i="2" s="1"/>
  <c r="D31" i="1"/>
  <c r="D93" i="2" s="1"/>
  <c r="D44" i="1"/>
  <c r="D69" i="2" s="1"/>
  <c r="E25" i="3" l="1"/>
  <c r="D96" i="2"/>
  <c r="E92" i="2" s="1"/>
  <c r="F37" i="2"/>
  <c r="E30" i="2"/>
  <c r="E26" i="3" s="1"/>
  <c r="E26" i="1"/>
  <c r="E28" i="1" s="1"/>
  <c r="E29" i="1" s="1"/>
  <c r="E31" i="1" s="1"/>
  <c r="E51" i="2" s="1"/>
  <c r="E27" i="3"/>
  <c r="F25" i="1"/>
  <c r="E20" i="3"/>
  <c r="I70" i="2"/>
  <c r="F20" i="2"/>
  <c r="F45" i="2"/>
  <c r="F21" i="1"/>
  <c r="E36" i="2"/>
  <c r="E24" i="3" s="1"/>
  <c r="E21" i="2"/>
  <c r="E23" i="3" s="1"/>
  <c r="F22" i="2"/>
  <c r="F29" i="2"/>
  <c r="G85" i="2"/>
  <c r="G87" i="2" s="1"/>
  <c r="G34" i="1" s="1"/>
  <c r="G19" i="3" s="1"/>
  <c r="G22" i="1"/>
  <c r="G21" i="1" s="1"/>
  <c r="G41" i="1"/>
  <c r="G66" i="2" s="1"/>
  <c r="F44" i="2"/>
  <c r="E46" i="2"/>
  <c r="I18" i="1"/>
  <c r="H19" i="1"/>
  <c r="H20" i="1" s="1"/>
  <c r="H24" i="1" s="1"/>
  <c r="H15" i="2"/>
  <c r="G74" i="2"/>
  <c r="E54" i="2" l="1"/>
  <c r="E31" i="2"/>
  <c r="F30" i="2"/>
  <c r="F26" i="3" s="1"/>
  <c r="F25" i="3"/>
  <c r="E18" i="3"/>
  <c r="E28" i="3" s="1"/>
  <c r="E39" i="3" s="1"/>
  <c r="E19" i="2" s="1"/>
  <c r="E23" i="2" s="1"/>
  <c r="E33" i="2" s="1"/>
  <c r="E93" i="2"/>
  <c r="E96" i="2" s="1"/>
  <c r="G37" i="2"/>
  <c r="E35" i="1"/>
  <c r="G22" i="2"/>
  <c r="F21" i="2"/>
  <c r="G21" i="2" s="1"/>
  <c r="G45" i="2"/>
  <c r="G27" i="3" s="1"/>
  <c r="F20" i="3"/>
  <c r="F26" i="1"/>
  <c r="F28" i="1" s="1"/>
  <c r="F29" i="1" s="1"/>
  <c r="F31" i="1" s="1"/>
  <c r="F51" i="2" s="1"/>
  <c r="G25" i="1"/>
  <c r="F27" i="3"/>
  <c r="G30" i="2"/>
  <c r="G26" i="3" s="1"/>
  <c r="I19" i="1"/>
  <c r="I20" i="1" s="1"/>
  <c r="I24" i="1" s="1"/>
  <c r="F36" i="2"/>
  <c r="F24" i="3" s="1"/>
  <c r="E39" i="2"/>
  <c r="E48" i="2" s="1"/>
  <c r="H85" i="2"/>
  <c r="H87" i="2" s="1"/>
  <c r="H34" i="1" s="1"/>
  <c r="H19" i="3" s="1"/>
  <c r="H41" i="1"/>
  <c r="H66" i="2" s="1"/>
  <c r="H22" i="1"/>
  <c r="H21" i="1" s="1"/>
  <c r="G29" i="2"/>
  <c r="F31" i="2"/>
  <c r="G20" i="2"/>
  <c r="F46" i="2"/>
  <c r="G44" i="2"/>
  <c r="I15" i="2"/>
  <c r="I74" i="2" s="1"/>
  <c r="H74" i="2"/>
  <c r="E56" i="2" l="1"/>
  <c r="F54" i="2"/>
  <c r="G23" i="3"/>
  <c r="F23" i="3"/>
  <c r="G25" i="3"/>
  <c r="F18" i="3"/>
  <c r="F93" i="2"/>
  <c r="H37" i="2"/>
  <c r="H21" i="2"/>
  <c r="H45" i="2"/>
  <c r="H30" i="2"/>
  <c r="H26" i="3" s="1"/>
  <c r="F35" i="1"/>
  <c r="G26" i="1"/>
  <c r="G28" i="1" s="1"/>
  <c r="G20" i="3"/>
  <c r="H25" i="1"/>
  <c r="E58" i="2"/>
  <c r="H27" i="3"/>
  <c r="I85" i="2"/>
  <c r="I87" i="2" s="1"/>
  <c r="I34" i="1" s="1"/>
  <c r="I19" i="3" s="1"/>
  <c r="I41" i="1"/>
  <c r="I66" i="2" s="1"/>
  <c r="I22" i="1"/>
  <c r="I21" i="1" s="1"/>
  <c r="G46" i="2"/>
  <c r="H44" i="2"/>
  <c r="H29" i="2"/>
  <c r="G31" i="2"/>
  <c r="H22" i="2"/>
  <c r="I22" i="2" s="1"/>
  <c r="H20" i="2"/>
  <c r="G36" i="2"/>
  <c r="G24" i="3" s="1"/>
  <c r="F39" i="2"/>
  <c r="F48" i="2" s="1"/>
  <c r="F56" i="2" l="1"/>
  <c r="H23" i="3"/>
  <c r="F28" i="3"/>
  <c r="F39" i="3" s="1"/>
  <c r="F19" i="2" s="1"/>
  <c r="F23" i="2" s="1"/>
  <c r="F33" i="2" s="1"/>
  <c r="I37" i="2"/>
  <c r="H25" i="3"/>
  <c r="I21" i="2"/>
  <c r="G35" i="1"/>
  <c r="I45" i="2"/>
  <c r="I27" i="3" s="1"/>
  <c r="H20" i="3"/>
  <c r="I25" i="1"/>
  <c r="H26" i="1"/>
  <c r="H31" i="2"/>
  <c r="I29" i="2"/>
  <c r="I20" i="2"/>
  <c r="G29" i="1"/>
  <c r="G31" i="1" s="1"/>
  <c r="G51" i="2" s="1"/>
  <c r="H46" i="2"/>
  <c r="I44" i="2"/>
  <c r="I30" i="2"/>
  <c r="I26" i="3" s="1"/>
  <c r="H36" i="2"/>
  <c r="H24" i="3" s="1"/>
  <c r="G39" i="2"/>
  <c r="G48" i="2" s="1"/>
  <c r="F58" i="2" l="1"/>
  <c r="G54" i="2"/>
  <c r="G56" i="2" s="1"/>
  <c r="I23" i="3"/>
  <c r="I46" i="2"/>
  <c r="I25" i="3"/>
  <c r="G18" i="3"/>
  <c r="G28" i="3" s="1"/>
  <c r="G39" i="3" s="1"/>
  <c r="G19" i="2" s="1"/>
  <c r="G23" i="2" s="1"/>
  <c r="G33" i="2" s="1"/>
  <c r="G93" i="2"/>
  <c r="I31" i="2"/>
  <c r="H28" i="1"/>
  <c r="H35" i="1"/>
  <c r="I26" i="1"/>
  <c r="I28" i="1" s="1"/>
  <c r="I20" i="3"/>
  <c r="I36" i="2"/>
  <c r="H39" i="2"/>
  <c r="H48" i="2" s="1"/>
  <c r="G58" i="2" l="1"/>
  <c r="I39" i="2"/>
  <c r="I48" i="2" s="1"/>
  <c r="I24" i="3"/>
  <c r="I35" i="1"/>
  <c r="H29" i="1"/>
  <c r="H31" i="1" s="1"/>
  <c r="H51" i="2" s="1"/>
  <c r="I29" i="1"/>
  <c r="I31" i="1" s="1"/>
  <c r="I51" i="2" l="1"/>
  <c r="I54" i="2" s="1"/>
  <c r="H54" i="2"/>
  <c r="H56" i="2" s="1"/>
  <c r="I56" i="2"/>
  <c r="I18" i="3"/>
  <c r="I28" i="3" s="1"/>
  <c r="I39" i="3" s="1"/>
  <c r="I19" i="2" s="1"/>
  <c r="I23" i="2" s="1"/>
  <c r="I33" i="2" s="1"/>
  <c r="I58" i="2" s="1"/>
  <c r="I93" i="2"/>
  <c r="H18" i="3"/>
  <c r="H28" i="3" s="1"/>
  <c r="H39" i="3" s="1"/>
  <c r="H19" i="2" s="1"/>
  <c r="H23" i="2" s="1"/>
  <c r="H33" i="2" s="1"/>
  <c r="H58" i="2" s="1"/>
  <c r="H93" i="2"/>
  <c r="F92" i="2"/>
  <c r="F96" i="2" s="1"/>
  <c r="G92" i="2" s="1"/>
  <c r="G96" i="2" s="1"/>
  <c r="H92" i="2" s="1"/>
  <c r="H96" i="2" l="1"/>
  <c r="I92" i="2" s="1"/>
  <c r="I96" i="2" s="1"/>
  <c r="C48" i="2" l="1"/>
  <c r="C56" i="2" s="1"/>
  <c r="C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prome</author>
    <author>Matan Feldman</author>
  </authors>
  <commentList>
    <comment ref="A42" authorId="0" shapeId="0" xr:uid="{CD5DD5C3-4486-481D-94AC-4B62263ACDC1}">
      <text>
        <r>
          <rPr>
            <b/>
            <sz val="9"/>
            <color indexed="81"/>
            <rFont val="Tahoma"/>
            <family val="2"/>
          </rPr>
          <t xml:space="preserve">Includes current portion of operating lease liabilities 
</t>
        </r>
      </text>
    </comment>
    <comment ref="A72" authorId="0" shapeId="0" xr:uid="{84759919-7C2C-4F43-94B2-4E4E383126C5}">
      <text>
        <r>
          <rPr>
            <b/>
            <sz val="9"/>
            <color indexed="81"/>
            <rFont val="Tahoma"/>
            <family val="2"/>
          </rPr>
          <t xml:space="preserve">Includes current portion of operating lease liabilities 
</t>
        </r>
      </text>
    </comment>
    <comment ref="K82" authorId="1" shapeId="0" xr:uid="{955C71D6-5992-4345-B794-E7B7ABE054CA}">
      <text>
        <r>
          <rPr>
            <sz val="9"/>
            <color indexed="81"/>
            <rFont val="Tahoma"/>
            <family val="2"/>
          </rPr>
          <t>WSP estimate</t>
        </r>
      </text>
    </comment>
    <comment ref="A94" authorId="1" shapeId="0" xr:uid="{614EC562-5EBE-4997-BA4B-50D93B787F5C}">
      <text>
        <r>
          <rPr>
            <sz val="9"/>
            <color indexed="81"/>
            <rFont val="Tahoma"/>
            <family val="2"/>
          </rPr>
          <t>Statement of shareholders equity schedule, p.41 Apple 2018 10K</t>
        </r>
      </text>
    </comment>
    <comment ref="A95" authorId="1" shapeId="0" xr:uid="{E4943B94-AEB7-4B4C-BF97-206DB448E7FE}">
      <text>
        <r>
          <rPr>
            <sz val="9"/>
            <color indexed="81"/>
            <rFont val="Tahoma"/>
            <family val="2"/>
          </rPr>
          <t>Statement of shareholders equity schedule, p.41 Apple 2018 10K</t>
        </r>
      </text>
    </comment>
  </commentList>
</comments>
</file>

<file path=xl/sharedStrings.xml><?xml version="1.0" encoding="utf-8"?>
<sst xmlns="http://schemas.openxmlformats.org/spreadsheetml/2006/main" count="155" uniqueCount="119">
  <si>
    <t>$ in thousands except per share</t>
  </si>
  <si>
    <t>Company name</t>
  </si>
  <si>
    <t>Ticker</t>
  </si>
  <si>
    <t>Circ break 1=off, 0=on</t>
  </si>
  <si>
    <t>Latest closing share price</t>
  </si>
  <si>
    <t>Latest closing share price date</t>
  </si>
  <si>
    <t>Latest fiscal year end date</t>
  </si>
  <si>
    <t>Shares outstanding (millions)</t>
  </si>
  <si>
    <t>INCOME STATEMENT</t>
  </si>
  <si>
    <t xml:space="preserve">Fiscal year  </t>
  </si>
  <si>
    <t>Fiscal year end date</t>
  </si>
  <si>
    <t xml:space="preserve">Net Sales </t>
  </si>
  <si>
    <t xml:space="preserve">Membership Fee Income </t>
  </si>
  <si>
    <t xml:space="preserve">   Total Revenues </t>
  </si>
  <si>
    <t xml:space="preserve">Cost of Sales </t>
  </si>
  <si>
    <t xml:space="preserve">   Gross profit </t>
  </si>
  <si>
    <t>SG&amp;A</t>
  </si>
  <si>
    <t xml:space="preserve">Pre-opening Expense </t>
  </si>
  <si>
    <t xml:space="preserve">Interest Expense, net </t>
  </si>
  <si>
    <t xml:space="preserve">   EBT </t>
  </si>
  <si>
    <t xml:space="preserve">Taxes </t>
  </si>
  <si>
    <t xml:space="preserve">Loss from Discontinued operations </t>
  </si>
  <si>
    <t xml:space="preserve">   Net income </t>
  </si>
  <si>
    <t>Depreciation &amp; amortization</t>
  </si>
  <si>
    <t>EBITDA</t>
  </si>
  <si>
    <t>Stock based compensation</t>
  </si>
  <si>
    <t xml:space="preserve">   Operating Income (EBIT) </t>
  </si>
  <si>
    <t>Growth rates &amp; margins</t>
  </si>
  <si>
    <t>Revenue growth</t>
  </si>
  <si>
    <t>Gross profit margin</t>
  </si>
  <si>
    <t>Tax rate</t>
  </si>
  <si>
    <t xml:space="preserve">Balance Sheet </t>
  </si>
  <si>
    <t xml:space="preserve">Current Assets </t>
  </si>
  <si>
    <t xml:space="preserve">  Cash and Cash Equivalents </t>
  </si>
  <si>
    <t xml:space="preserve">  Accounts receivable, Net </t>
  </si>
  <si>
    <t xml:space="preserve">  Inventory </t>
  </si>
  <si>
    <t xml:space="preserve">  Prepaid Expense and Other Current Assets </t>
  </si>
  <si>
    <t>Total Current Assets</t>
  </si>
  <si>
    <t xml:space="preserve">Non-Current Assets </t>
  </si>
  <si>
    <t xml:space="preserve">  Operating Lease Right-of Use Assets, Net </t>
  </si>
  <si>
    <t xml:space="preserve">  Plant, Property, and Equipment </t>
  </si>
  <si>
    <t xml:space="preserve">  Deferred Income Taxes </t>
  </si>
  <si>
    <t xml:space="preserve">Total Non-Current Assets </t>
  </si>
  <si>
    <t>Total Assets</t>
  </si>
  <si>
    <t xml:space="preserve">Current Liabilites </t>
  </si>
  <si>
    <t xml:space="preserve">Total Current Liabilites </t>
  </si>
  <si>
    <t xml:space="preserve">Non-Current Liabilites </t>
  </si>
  <si>
    <t xml:space="preserve">  Accounts Payable </t>
  </si>
  <si>
    <t xml:space="preserve">  Accured Expenses and Other Current Liabilities </t>
  </si>
  <si>
    <t xml:space="preserve">  Long-Term Debt </t>
  </si>
  <si>
    <t xml:space="preserve">  Long-Term Operating Lease Liabilities </t>
  </si>
  <si>
    <t xml:space="preserve">  Other Non-Current Liabilities </t>
  </si>
  <si>
    <t xml:space="preserve">Total Non-Current Liabilities </t>
  </si>
  <si>
    <t xml:space="preserve">Total Liabilities </t>
  </si>
  <si>
    <t xml:space="preserve">Total Stockholders Equity </t>
  </si>
  <si>
    <t xml:space="preserve">Total Stockholders Equity and Liabilites </t>
  </si>
  <si>
    <t xml:space="preserve">Net Income </t>
  </si>
  <si>
    <t xml:space="preserve">Depreciation and Amortization </t>
  </si>
  <si>
    <t>Other non current assets</t>
  </si>
  <si>
    <t>Other non current liabilities</t>
  </si>
  <si>
    <t xml:space="preserve">Cash From Operating Activites </t>
  </si>
  <si>
    <t xml:space="preserve">Capital Expenditures </t>
  </si>
  <si>
    <t xml:space="preserve">Cash From Investing Activites </t>
  </si>
  <si>
    <t xml:space="preserve">Dividends Paid </t>
  </si>
  <si>
    <t xml:space="preserve">Long Term Debt </t>
  </si>
  <si>
    <t xml:space="preserve">Share Repurchases </t>
  </si>
  <si>
    <t xml:space="preserve">Cash From Financing Activites </t>
  </si>
  <si>
    <t>Net change in cash during period</t>
  </si>
  <si>
    <t xml:space="preserve">Cash Flow Statement </t>
  </si>
  <si>
    <t xml:space="preserve">     Membership fee income as a % of Sales</t>
  </si>
  <si>
    <t xml:space="preserve">SG&amp;A % of total revenue </t>
  </si>
  <si>
    <t xml:space="preserve">Pre-opening expense as a % of sales </t>
  </si>
  <si>
    <t xml:space="preserve">     Total Revenue Growth </t>
  </si>
  <si>
    <t xml:space="preserve">  Other Non-Current Assets </t>
  </si>
  <si>
    <t xml:space="preserve">  Goodwill &amp; Intangibles, Net</t>
  </si>
  <si>
    <t>Balance check</t>
  </si>
  <si>
    <t>PROPERTY, PLANT &amp; EQUIPMENT</t>
  </si>
  <si>
    <t>Forecast</t>
  </si>
  <si>
    <t>Beginning of period</t>
  </si>
  <si>
    <t xml:space="preserve">BOP = Previous year EOP </t>
  </si>
  <si>
    <t>Plus: Capital expenditures</t>
  </si>
  <si>
    <t>Less: Depreciation</t>
  </si>
  <si>
    <t>Capex x 'D&amp;A related to PP&amp;E as a % of capex' ratio (below)</t>
  </si>
  <si>
    <t>End of period</t>
  </si>
  <si>
    <t>BOP + Capex - Depreciation</t>
  </si>
  <si>
    <t>Step</t>
  </si>
  <si>
    <t>D&amp;A related to PP&amp;E as a % of capex</t>
  </si>
  <si>
    <t xml:space="preserve">Bloomberg Consensus </t>
  </si>
  <si>
    <t>IMPUTING TOTAL DEPRECIATION &amp; AMORTIZATION</t>
  </si>
  <si>
    <r>
      <t xml:space="preserve">D&amp;A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related to PP&amp;E</t>
    </r>
  </si>
  <si>
    <t>Revenue x 'as % of revenue' assumption</t>
  </si>
  <si>
    <t>as % of revenue</t>
  </si>
  <si>
    <t>Straight line last historical % of revenue - WSP assumption</t>
  </si>
  <si>
    <t xml:space="preserve">Depreciation &amp; Amortization - Total </t>
  </si>
  <si>
    <t>D&amp;A from PP&amp;E + D&amp;A not from PP&amp;E</t>
  </si>
  <si>
    <t xml:space="preserve"> </t>
  </si>
  <si>
    <t xml:space="preserve">  Revolver </t>
  </si>
  <si>
    <t xml:space="preserve">SBC </t>
  </si>
  <si>
    <t>Interest Expense as a % of prior year  debt</t>
  </si>
  <si>
    <t xml:space="preserve">Common Stock and APIC </t>
  </si>
  <si>
    <t xml:space="preserve">Retained Earnings </t>
  </si>
  <si>
    <t xml:space="preserve">Other Comprehensive Income </t>
  </si>
  <si>
    <t>Plus: Net income</t>
  </si>
  <si>
    <t>Reference from income statement</t>
  </si>
  <si>
    <t>Less: Dividends</t>
  </si>
  <si>
    <t>WSP assumption: Straight-line last historical year dividends</t>
  </si>
  <si>
    <t>Less: Repurchases</t>
  </si>
  <si>
    <t>WSP assumption: Straight-line last historical year repurchases</t>
  </si>
  <si>
    <t>BOP + net income - dividends - repurchases</t>
  </si>
  <si>
    <t xml:space="preserve">Treasury Stock </t>
  </si>
  <si>
    <t xml:space="preserve">RETAINED EARNINGS  - Repurchases </t>
  </si>
  <si>
    <t>Decrease/ ( Increase) in Working Capital Assets</t>
  </si>
  <si>
    <t xml:space="preserve">Increase / ( Decrease) in Working Capital Liabilities </t>
  </si>
  <si>
    <t>Revolver</t>
  </si>
  <si>
    <t>Deferred Income Tax</t>
  </si>
  <si>
    <t xml:space="preserve">Change in operating lease liability </t>
  </si>
  <si>
    <t>Change in Operating Leases Assets</t>
  </si>
  <si>
    <t xml:space="preserve">  Operating Lease Right-of Use Assets, Net % SG&amp;A</t>
  </si>
  <si>
    <t xml:space="preserve">  Long-Term Operating Lease Liabilities % of SG&amp;A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</si>
</sst>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3" formatCode="_(* #,##0.00_);_(* \(#,##0.00\);_(* &quot;-&quot;??_);_(@_)"/>
    <numFmt numFmtId="164" formatCode="_(#,##0_)_%;\(#,##0\)_%;_(&quot;–&quot;_)_%;_(@_)_%"/>
    <numFmt numFmtId="165" formatCode="m/d/yy;@"/>
    <numFmt numFmtId="166" formatCode="#,##0.000_);\(#,##0.000\)"/>
    <numFmt numFmtId="167" formatCode="0\A;[Red]0\A"/>
    <numFmt numFmtId="168" formatCode="_(* #,##0_);_(* \(#,##0\);_(* &quot;-&quot;??_);_(@_)"/>
    <numFmt numFmtId="169" formatCode="0.0%"/>
    <numFmt numFmtId="170" formatCode="0.0%_);\(0.0%\);@_)"/>
    <numFmt numFmtId="171" formatCode="_(#,##0.0%_);\(#,##0.0%\);_(&quot;–&quot;_)_%;_(@_)_%"/>
    <numFmt numFmtId="172" formatCode="_(#,##0.00%_);\(#,##0.00%\);_(&quot;–&quot;_)_%;_(@_)_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5C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3" fillId="0" borderId="0" xfId="0" applyNumberFormat="1" applyFont="1" applyAlignment="1">
      <alignment horizontal="left"/>
    </xf>
    <xf numFmtId="0" fontId="0" fillId="0" borderId="2" xfId="0" applyBorder="1"/>
    <xf numFmtId="0" fontId="4" fillId="0" borderId="0" xfId="0" applyFont="1"/>
    <xf numFmtId="0" fontId="5" fillId="0" borderId="0" xfId="0" applyFont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8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9" fontId="0" fillId="0" borderId="0" xfId="0" applyNumberFormat="1"/>
    <xf numFmtId="166" fontId="5" fillId="0" borderId="0" xfId="0" applyNumberFormat="1" applyFont="1" applyAlignment="1">
      <alignment horizontal="center"/>
    </xf>
    <xf numFmtId="0" fontId="2" fillId="0" borderId="4" xfId="0" applyFont="1" applyBorder="1"/>
    <xf numFmtId="0" fontId="0" fillId="0" borderId="4" xfId="0" applyBorder="1"/>
    <xf numFmtId="167" fontId="2" fillId="0" borderId="0" xfId="0" applyNumberFormat="1" applyFont="1"/>
    <xf numFmtId="0" fontId="7" fillId="0" borderId="4" xfId="0" applyFont="1" applyBorder="1"/>
    <xf numFmtId="165" fontId="7" fillId="0" borderId="5" xfId="0" applyNumberFormat="1" applyFont="1" applyBorder="1"/>
    <xf numFmtId="168" fontId="0" fillId="0" borderId="0" xfId="0" applyNumberFormat="1"/>
    <xf numFmtId="168" fontId="2" fillId="0" borderId="0" xfId="0" applyNumberFormat="1" applyFont="1"/>
    <xf numFmtId="3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8" fillId="0" borderId="0" xfId="0" applyFont="1"/>
    <xf numFmtId="0" fontId="0" fillId="0" borderId="0" xfId="0" applyAlignment="1">
      <alignment horizontal="left" indent="1"/>
    </xf>
    <xf numFmtId="169" fontId="0" fillId="0" borderId="0" xfId="1" applyNumberFormat="1" applyFont="1"/>
    <xf numFmtId="167" fontId="2" fillId="0" borderId="6" xfId="0" applyNumberFormat="1" applyFont="1" applyBorder="1"/>
    <xf numFmtId="14" fontId="0" fillId="0" borderId="5" xfId="0" applyNumberFormat="1" applyBorder="1"/>
    <xf numFmtId="10" fontId="0" fillId="0" borderId="0" xfId="1" applyNumberFormat="1" applyFont="1"/>
    <xf numFmtId="169" fontId="0" fillId="0" borderId="0" xfId="0" applyNumberFormat="1"/>
    <xf numFmtId="168" fontId="0" fillId="3" borderId="0" xfId="0" applyNumberFormat="1" applyFill="1"/>
    <xf numFmtId="168" fontId="2" fillId="3" borderId="0" xfId="0" applyNumberFormat="1" applyFont="1" applyFill="1"/>
    <xf numFmtId="43" fontId="0" fillId="0" borderId="4" xfId="0" applyNumberFormat="1" applyBorder="1"/>
    <xf numFmtId="43" fontId="2" fillId="0" borderId="7" xfId="0" applyNumberFormat="1" applyFont="1" applyBorder="1" applyAlignment="1">
      <alignment horizontal="centerContinuous"/>
    </xf>
    <xf numFmtId="168" fontId="0" fillId="4" borderId="0" xfId="0" applyNumberFormat="1" applyFill="1"/>
    <xf numFmtId="0" fontId="0" fillId="0" borderId="0" xfId="0" quotePrefix="1" applyAlignment="1">
      <alignment horizontal="left" indent="1"/>
    </xf>
    <xf numFmtId="37" fontId="5" fillId="0" borderId="0" xfId="0" applyNumberFormat="1" applyFont="1"/>
    <xf numFmtId="0" fontId="0" fillId="0" borderId="8" xfId="0" quotePrefix="1" applyBorder="1" applyAlignment="1">
      <alignment horizontal="left" indent="1"/>
    </xf>
    <xf numFmtId="37" fontId="5" fillId="0" borderId="8" xfId="0" applyNumberFormat="1" applyFont="1" applyBorder="1"/>
    <xf numFmtId="168" fontId="0" fillId="4" borderId="8" xfId="0" applyNumberFormat="1" applyFill="1" applyBorder="1"/>
    <xf numFmtId="0" fontId="2" fillId="0" borderId="0" xfId="0" applyFont="1" applyAlignment="1">
      <alignment horizontal="left" indent="1"/>
    </xf>
    <xf numFmtId="37" fontId="2" fillId="0" borderId="0" xfId="0" applyNumberFormat="1" applyFont="1"/>
    <xf numFmtId="168" fontId="2" fillId="4" borderId="0" xfId="0" applyNumberFormat="1" applyFont="1" applyFill="1"/>
    <xf numFmtId="43" fontId="0" fillId="0" borderId="0" xfId="0" applyNumberFormat="1"/>
    <xf numFmtId="170" fontId="0" fillId="0" borderId="0" xfId="0" applyNumberFormat="1"/>
    <xf numFmtId="169" fontId="4" fillId="4" borderId="0" xfId="1" applyNumberFormat="1" applyFont="1" applyFill="1"/>
    <xf numFmtId="171" fontId="5" fillId="4" borderId="0" xfId="0" applyNumberFormat="1" applyFont="1" applyFill="1"/>
    <xf numFmtId="14" fontId="2" fillId="0" borderId="0" xfId="0" applyNumberFormat="1" applyFont="1"/>
    <xf numFmtId="168" fontId="5" fillId="3" borderId="0" xfId="0" applyNumberFormat="1" applyFont="1" applyFill="1"/>
    <xf numFmtId="37" fontId="0" fillId="0" borderId="0" xfId="0" applyNumberFormat="1"/>
    <xf numFmtId="0" fontId="2" fillId="0" borderId="4" xfId="0" applyFont="1" applyBorder="1" applyAlignment="1">
      <alignment horizontal="left"/>
    </xf>
    <xf numFmtId="170" fontId="0" fillId="0" borderId="4" xfId="0" applyNumberFormat="1" applyBorder="1"/>
    <xf numFmtId="43" fontId="4" fillId="0" borderId="4" xfId="0" applyNumberFormat="1" applyFont="1" applyBorder="1"/>
    <xf numFmtId="164" fontId="0" fillId="0" borderId="0" xfId="0" applyNumberFormat="1"/>
    <xf numFmtId="168" fontId="4" fillId="4" borderId="0" xfId="0" applyNumberFormat="1" applyFont="1" applyFill="1"/>
    <xf numFmtId="168" fontId="10" fillId="4" borderId="0" xfId="0" applyNumberFormat="1" applyFont="1" applyFill="1"/>
    <xf numFmtId="172" fontId="0" fillId="0" borderId="0" xfId="0" applyNumberFormat="1"/>
    <xf numFmtId="0" fontId="0" fillId="5" borderId="0" xfId="0" applyFill="1"/>
    <xf numFmtId="168" fontId="0" fillId="5" borderId="0" xfId="0" applyNumberFormat="1" applyFill="1"/>
    <xf numFmtId="37" fontId="2" fillId="0" borderId="4" xfId="0" applyNumberFormat="1" applyFont="1" applyBorder="1" applyAlignment="1">
      <alignment horizontal="left"/>
    </xf>
    <xf numFmtId="37" fontId="2" fillId="0" borderId="4" xfId="0" applyNumberFormat="1" applyFont="1" applyBorder="1"/>
    <xf numFmtId="37" fontId="0" fillId="4" borderId="0" xfId="0" applyNumberFormat="1" applyFill="1"/>
    <xf numFmtId="37" fontId="4" fillId="0" borderId="0" xfId="0" applyNumberFormat="1" applyFont="1"/>
    <xf numFmtId="0" fontId="0" fillId="0" borderId="8" xfId="0" applyBorder="1" applyAlignment="1">
      <alignment horizontal="left" indent="1"/>
    </xf>
    <xf numFmtId="37" fontId="0" fillId="4" borderId="8" xfId="0" applyNumberFormat="1" applyFill="1" applyBorder="1"/>
    <xf numFmtId="37" fontId="10" fillId="0" borderId="0" xfId="0" applyNumberFormat="1" applyFont="1"/>
    <xf numFmtId="14" fontId="2" fillId="0" borderId="5" xfId="0" applyNumberFormat="1" applyFont="1" applyBorder="1"/>
    <xf numFmtId="10" fontId="0" fillId="0" borderId="0" xfId="0" applyNumberFormat="1"/>
  </cellXfs>
  <cellStyles count="2">
    <cellStyle name="Normal" xfId="0" builtinId="0"/>
    <cellStyle name="Percent" xfId="1" builtinId="5"/>
  </cellStyles>
  <dxfs count="2">
    <dxf>
      <fill>
        <patternFill>
          <bgColor theme="8"/>
        </patternFill>
      </fill>
      <border>
        <left/>
        <right/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theme="8"/>
        </patternFill>
      </fill>
      <border>
        <left/>
        <right/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6DCC-D3B1-4DF9-9AC6-6F1C2F8335B3}">
  <dimension ref="A2:N148"/>
  <sheetViews>
    <sheetView tabSelected="1" topLeftCell="A9" workbookViewId="0">
      <selection activeCell="B12" sqref="B12"/>
    </sheetView>
  </sheetViews>
  <sheetFormatPr defaultRowHeight="14.5" x14ac:dyDescent="0.35"/>
  <cols>
    <col min="1" max="1" width="41.7265625" customWidth="1"/>
    <col min="2" max="2" width="42.6328125" customWidth="1"/>
    <col min="3" max="3" width="11.90625" customWidth="1"/>
    <col min="4" max="4" width="11.7265625" customWidth="1"/>
    <col min="5" max="5" width="13" customWidth="1"/>
    <col min="6" max="6" width="11.90625" customWidth="1"/>
    <col min="7" max="7" width="13.26953125" customWidth="1"/>
    <col min="8" max="8" width="14.90625" customWidth="1"/>
    <col min="9" max="9" width="13.26953125" customWidth="1"/>
    <col min="11" max="11" width="10.7265625" bestFit="1" customWidth="1"/>
    <col min="12" max="13" width="12.7265625" customWidth="1"/>
  </cols>
  <sheetData>
    <row r="2" spans="1:9" ht="15" thickBot="1" x14ac:dyDescent="0.4"/>
    <row r="3" spans="1:9" ht="15" thickBot="1" x14ac:dyDescent="0.4">
      <c r="A3" s="1" t="str">
        <f>"Financial Statement Model for "&amp;B6</f>
        <v xml:space="preserve">Financial Statement Model for </v>
      </c>
      <c r="B3" s="2"/>
      <c r="C3" s="2"/>
      <c r="D3" s="2"/>
      <c r="E3" s="2"/>
      <c r="F3" s="2"/>
      <c r="G3" s="2"/>
      <c r="H3" s="2"/>
      <c r="I3" s="2"/>
    </row>
    <row r="4" spans="1:9" x14ac:dyDescent="0.35">
      <c r="A4" s="3" t="s">
        <v>0</v>
      </c>
      <c r="B4" s="4"/>
      <c r="C4" s="4"/>
      <c r="D4" s="4"/>
      <c r="E4" s="4"/>
      <c r="F4" s="4"/>
    </row>
    <row r="6" spans="1:9" x14ac:dyDescent="0.35">
      <c r="A6" s="5" t="s">
        <v>1</v>
      </c>
      <c r="B6" s="6"/>
    </row>
    <row r="7" spans="1:9" x14ac:dyDescent="0.35">
      <c r="A7" s="5" t="s">
        <v>2</v>
      </c>
      <c r="B7" s="6"/>
    </row>
    <row r="8" spans="1:9" x14ac:dyDescent="0.35">
      <c r="A8" t="s">
        <v>3</v>
      </c>
      <c r="B8" s="7"/>
    </row>
    <row r="9" spans="1:9" x14ac:dyDescent="0.35">
      <c r="A9" t="s">
        <v>4</v>
      </c>
      <c r="B9" s="8"/>
    </row>
    <row r="10" spans="1:9" x14ac:dyDescent="0.35">
      <c r="A10" t="s">
        <v>5</v>
      </c>
      <c r="B10" s="9">
        <v>45135</v>
      </c>
    </row>
    <row r="11" spans="1:9" x14ac:dyDescent="0.35">
      <c r="A11" s="5" t="s">
        <v>6</v>
      </c>
      <c r="B11" s="10">
        <v>44954</v>
      </c>
      <c r="E11" s="11"/>
    </row>
    <row r="12" spans="1:9" x14ac:dyDescent="0.35">
      <c r="A12" t="s">
        <v>7</v>
      </c>
      <c r="B12" s="12">
        <v>133903.598</v>
      </c>
    </row>
    <row r="14" spans="1:9" x14ac:dyDescent="0.35">
      <c r="A14" s="13" t="s">
        <v>8</v>
      </c>
      <c r="B14" s="14"/>
      <c r="C14" s="14"/>
      <c r="D14" s="14"/>
    </row>
    <row r="15" spans="1:9" x14ac:dyDescent="0.35">
      <c r="A15" t="s">
        <v>9</v>
      </c>
      <c r="B15" s="15">
        <f>C15-1</f>
        <v>2021</v>
      </c>
      <c r="C15" s="15">
        <f>D15-1</f>
        <v>2022</v>
      </c>
      <c r="D15" s="15">
        <f>YEAR(B11)</f>
        <v>2023</v>
      </c>
      <c r="E15" s="27">
        <f>D15+1</f>
        <v>2024</v>
      </c>
      <c r="F15" s="27">
        <f t="shared" ref="F15:I15" si="0">E15+1</f>
        <v>2025</v>
      </c>
      <c r="G15" s="27">
        <f t="shared" si="0"/>
        <v>2026</v>
      </c>
      <c r="H15" s="27">
        <f t="shared" si="0"/>
        <v>2027</v>
      </c>
      <c r="I15" s="27">
        <f t="shared" si="0"/>
        <v>2028</v>
      </c>
    </row>
    <row r="16" spans="1:9" x14ac:dyDescent="0.35">
      <c r="A16" s="16" t="s">
        <v>10</v>
      </c>
      <c r="B16" s="17">
        <v>44226</v>
      </c>
      <c r="C16" s="17">
        <v>44590</v>
      </c>
      <c r="D16" s="17">
        <f>B11</f>
        <v>44954</v>
      </c>
      <c r="E16" s="28">
        <v>45319</v>
      </c>
      <c r="F16" s="28">
        <v>45685</v>
      </c>
      <c r="G16" s="28">
        <v>46050</v>
      </c>
      <c r="H16" s="28">
        <v>46415</v>
      </c>
      <c r="I16" s="28">
        <v>46780</v>
      </c>
    </row>
    <row r="17" spans="1:14" x14ac:dyDescent="0.3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x14ac:dyDescent="0.35">
      <c r="A18" t="s">
        <v>11</v>
      </c>
      <c r="B18" s="18">
        <v>15096913</v>
      </c>
      <c r="C18" s="18">
        <v>16306365</v>
      </c>
      <c r="D18" s="18">
        <v>18918435</v>
      </c>
      <c r="E18" s="31">
        <f>D18*(1+E39)</f>
        <v>20072459.535</v>
      </c>
      <c r="F18" s="31">
        <f>E18*(1+F39)</f>
        <v>20955647.75454</v>
      </c>
      <c r="G18" s="31">
        <f>F18*(1+G39)</f>
        <v>22171075.324303322</v>
      </c>
      <c r="H18" s="31">
        <f>G18*(1+H39)</f>
        <v>23456997.693112914</v>
      </c>
      <c r="I18" s="31">
        <f>H18*(1+I39)</f>
        <v>24817503.559313465</v>
      </c>
      <c r="J18" s="18"/>
      <c r="K18" s="18"/>
      <c r="L18" s="18"/>
      <c r="M18" s="18"/>
      <c r="N18" s="18"/>
    </row>
    <row r="19" spans="1:14" x14ac:dyDescent="0.35">
      <c r="A19" t="s">
        <v>12</v>
      </c>
      <c r="B19" s="18">
        <v>333104</v>
      </c>
      <c r="C19" s="18">
        <v>360937</v>
      </c>
      <c r="D19" s="18">
        <v>396730</v>
      </c>
      <c r="E19" s="31">
        <f>E18*E40</f>
        <v>420930.52999999997</v>
      </c>
      <c r="F19" s="31">
        <f>F18*F40</f>
        <v>439451.47331999999</v>
      </c>
      <c r="G19" s="31">
        <f>G18*G40</f>
        <v>464939.65877256001</v>
      </c>
      <c r="H19" s="31">
        <f>H18*H40</f>
        <v>491906.15898136847</v>
      </c>
      <c r="I19" s="31">
        <f>I18*I40</f>
        <v>520436.71620228788</v>
      </c>
      <c r="J19" s="18"/>
      <c r="K19" s="18"/>
      <c r="L19" s="18"/>
      <c r="M19" s="18"/>
      <c r="N19" s="18"/>
    </row>
    <row r="20" spans="1:14" x14ac:dyDescent="0.35">
      <c r="A20" s="23" t="s">
        <v>13</v>
      </c>
      <c r="B20" s="19">
        <f>SUM(B18:B19)</f>
        <v>15430017</v>
      </c>
      <c r="C20" s="19">
        <f t="shared" ref="C20:D20" si="1">SUM(C18:C19)</f>
        <v>16667302</v>
      </c>
      <c r="D20" s="19">
        <f t="shared" si="1"/>
        <v>19315165</v>
      </c>
      <c r="E20" s="32">
        <f>SUM(E18:E19)</f>
        <v>20493390.065000001</v>
      </c>
      <c r="F20" s="32">
        <f t="shared" ref="F20" si="2">SUM(F18:F19)</f>
        <v>21395099.22786</v>
      </c>
      <c r="G20" s="32">
        <f t="shared" ref="G20" si="3">SUM(G18:G19)</f>
        <v>22636014.983075883</v>
      </c>
      <c r="H20" s="32">
        <f t="shared" ref="H20" si="4">SUM(H18:H19)</f>
        <v>23948903.852094281</v>
      </c>
      <c r="I20" s="32">
        <f t="shared" ref="I20" si="5">SUM(I18:I19)</f>
        <v>25337940.275515754</v>
      </c>
      <c r="J20" s="18"/>
      <c r="K20" s="18"/>
      <c r="L20" s="18"/>
      <c r="M20" s="18"/>
      <c r="N20" s="18"/>
    </row>
    <row r="21" spans="1:14" x14ac:dyDescent="0.35">
      <c r="A21" t="s">
        <v>14</v>
      </c>
      <c r="B21" s="18">
        <v>-12451061</v>
      </c>
      <c r="C21" s="18">
        <v>-13588612</v>
      </c>
      <c r="D21" s="18">
        <v>-15883677</v>
      </c>
      <c r="E21" s="31">
        <f>E22-E20</f>
        <v>-16948033.583755001</v>
      </c>
      <c r="F21" s="31">
        <f t="shared" ref="F21:I21" si="6">F22-F20</f>
        <v>-17758360.261108357</v>
      </c>
      <c r="G21" s="31">
        <f t="shared" si="6"/>
        <v>-18785628.834454674</v>
      </c>
      <c r="H21" s="31">
        <f t="shared" si="6"/>
        <v>-19875195.306853045</v>
      </c>
      <c r="I21" s="31">
        <f t="shared" si="6"/>
        <v>-21027956.634650525</v>
      </c>
      <c r="J21" s="18"/>
      <c r="K21" s="18"/>
      <c r="L21" s="18"/>
      <c r="M21" s="18"/>
      <c r="N21" s="18"/>
    </row>
    <row r="22" spans="1:14" x14ac:dyDescent="0.35">
      <c r="A22" s="23" t="s">
        <v>15</v>
      </c>
      <c r="B22" s="19">
        <f>SUM(B20:B21)</f>
        <v>2978956</v>
      </c>
      <c r="C22" s="19">
        <f t="shared" ref="C22:D22" si="7">SUM(C20:C21)</f>
        <v>3078690</v>
      </c>
      <c r="D22" s="19">
        <f t="shared" si="7"/>
        <v>3431488</v>
      </c>
      <c r="E22" s="32">
        <f>E20*E42</f>
        <v>3545356.4812449999</v>
      </c>
      <c r="F22" s="32">
        <f>F20*F42</f>
        <v>3636738.9667516425</v>
      </c>
      <c r="G22" s="32">
        <f>G20*G42</f>
        <v>3850386.1486212076</v>
      </c>
      <c r="H22" s="32">
        <f>H20*H42</f>
        <v>4073708.5452412372</v>
      </c>
      <c r="I22" s="32">
        <f>I20*I42</f>
        <v>4309983.64086523</v>
      </c>
      <c r="J22" s="18"/>
      <c r="K22" s="18"/>
      <c r="L22" s="18"/>
      <c r="M22" s="18"/>
      <c r="N22" s="18"/>
    </row>
    <row r="23" spans="1:14" x14ac:dyDescent="0.35">
      <c r="A23" t="s">
        <v>16</v>
      </c>
      <c r="B23" s="18">
        <v>-2294605</v>
      </c>
      <c r="C23" s="18">
        <v>-2392628</v>
      </c>
      <c r="D23" s="18">
        <v>-2626402</v>
      </c>
      <c r="E23" s="31">
        <f>(E20*-E43)-E25</f>
        <v>-2701522.9642802174</v>
      </c>
      <c r="F23" s="31">
        <f t="shared" ref="F23:I23" si="8">(F20*-F43)-F25</f>
        <v>-2776655.5018781805</v>
      </c>
      <c r="G23" s="31">
        <f t="shared" si="8"/>
        <v>-2918450.2134284261</v>
      </c>
      <c r="H23" s="31">
        <f t="shared" si="8"/>
        <v>-3050348.2508684881</v>
      </c>
      <c r="I23" s="31">
        <f t="shared" si="8"/>
        <v>-3205051.8483382887</v>
      </c>
      <c r="J23" s="18"/>
      <c r="K23" s="18"/>
      <c r="L23" s="18"/>
      <c r="M23" s="18"/>
      <c r="N23" s="18"/>
    </row>
    <row r="24" spans="1:14" x14ac:dyDescent="0.35">
      <c r="A24" t="s">
        <v>17</v>
      </c>
      <c r="B24" s="18">
        <v>-9809</v>
      </c>
      <c r="C24" s="18">
        <v>-14902</v>
      </c>
      <c r="D24" s="18">
        <v>-24933</v>
      </c>
      <c r="E24" s="31">
        <f>E20*-E45</f>
        <v>-27008.666123315434</v>
      </c>
      <c r="F24" s="31">
        <f t="shared" ref="F24:I24" si="9">F20*-F45</f>
        <v>-28197.04743274131</v>
      </c>
      <c r="G24" s="31">
        <f t="shared" si="9"/>
        <v>-29832.47618384031</v>
      </c>
      <c r="H24" s="31">
        <f t="shared" si="9"/>
        <v>-31562.759802503046</v>
      </c>
      <c r="I24" s="31">
        <f t="shared" si="9"/>
        <v>-33393.399871048226</v>
      </c>
      <c r="J24" s="18"/>
      <c r="K24" s="18"/>
      <c r="L24" s="18"/>
      <c r="M24" s="18"/>
      <c r="N24" s="18"/>
    </row>
    <row r="25" spans="1:14" x14ac:dyDescent="0.35">
      <c r="A25" t="s">
        <v>97</v>
      </c>
      <c r="B25" s="18">
        <v>-32150</v>
      </c>
      <c r="C25" s="18">
        <v>-53837</v>
      </c>
      <c r="D25" s="18">
        <v>-42167</v>
      </c>
      <c r="E25" s="31">
        <f>D25*(1+E41)</f>
        <v>-44591.304429783224</v>
      </c>
      <c r="F25" s="31">
        <f t="shared" ref="F25:I25" si="10">E25*(1+F41)</f>
        <v>-46470.631436402437</v>
      </c>
      <c r="G25" s="31">
        <f t="shared" si="10"/>
        <v>-49018.17077790654</v>
      </c>
      <c r="H25" s="31">
        <f t="shared" si="10"/>
        <v>-51705.367285580047</v>
      </c>
      <c r="I25" s="31">
        <f t="shared" si="10"/>
        <v>-54539.87702335287</v>
      </c>
      <c r="J25" s="18"/>
      <c r="K25" s="18"/>
      <c r="L25" s="18"/>
      <c r="M25" s="18"/>
      <c r="N25" s="18"/>
    </row>
    <row r="26" spans="1:14" x14ac:dyDescent="0.35">
      <c r="A26" s="23" t="s">
        <v>26</v>
      </c>
      <c r="B26" s="19">
        <f>SUM(B22:B25)</f>
        <v>642392</v>
      </c>
      <c r="C26" s="19">
        <f t="shared" ref="C26:D26" si="11">SUM(C22:C25)</f>
        <v>617323</v>
      </c>
      <c r="D26" s="19">
        <f t="shared" si="11"/>
        <v>737986</v>
      </c>
      <c r="E26" s="32">
        <f t="shared" ref="E26" si="12">SUM(E22:E25)</f>
        <v>772233.54641168378</v>
      </c>
      <c r="F26" s="32">
        <f t="shared" ref="F26" si="13">SUM(F22:F25)</f>
        <v>785415.78600431827</v>
      </c>
      <c r="G26" s="32">
        <f t="shared" ref="G26" si="14">SUM(G22:G25)</f>
        <v>853085.28823103465</v>
      </c>
      <c r="H26" s="32">
        <f t="shared" ref="H26" si="15">SUM(H22:H25)</f>
        <v>940092.16728466598</v>
      </c>
      <c r="I26" s="32">
        <f t="shared" ref="I26" si="16">SUM(I22:I25)</f>
        <v>1016998.5156325401</v>
      </c>
      <c r="J26" s="18"/>
      <c r="K26" s="18"/>
      <c r="L26" s="18"/>
      <c r="M26" s="18"/>
      <c r="N26" s="18"/>
    </row>
    <row r="27" spans="1:14" x14ac:dyDescent="0.35">
      <c r="A27" t="s">
        <v>18</v>
      </c>
      <c r="B27" s="18">
        <v>-84385</v>
      </c>
      <c r="C27" s="18">
        <v>-59444</v>
      </c>
      <c r="D27" s="18">
        <v>-47462</v>
      </c>
      <c r="E27" s="59"/>
      <c r="F27" s="59"/>
      <c r="G27" s="59"/>
      <c r="H27" s="59"/>
      <c r="I27" s="59"/>
      <c r="J27" s="18"/>
      <c r="K27" s="18"/>
      <c r="L27" s="18"/>
      <c r="M27" s="18"/>
      <c r="N27" s="18"/>
    </row>
    <row r="28" spans="1:14" x14ac:dyDescent="0.35">
      <c r="A28" s="23" t="s">
        <v>19</v>
      </c>
      <c r="B28" s="19">
        <f>SUM(B26:B27)</f>
        <v>558007</v>
      </c>
      <c r="C28" s="19">
        <f t="shared" ref="C28:D28" si="17">SUM(C26:C27)</f>
        <v>557879</v>
      </c>
      <c r="D28" s="19">
        <f t="shared" si="17"/>
        <v>690524</v>
      </c>
      <c r="E28" s="32">
        <f t="shared" ref="E28" si="18">SUM(E26:E27)</f>
        <v>772233.54641168378</v>
      </c>
      <c r="F28" s="32">
        <f t="shared" ref="F28" si="19">SUM(F26:F27)</f>
        <v>785415.78600431827</v>
      </c>
      <c r="G28" s="32">
        <f t="shared" ref="G28" si="20">SUM(G26:G27)</f>
        <v>853085.28823103465</v>
      </c>
      <c r="H28" s="32">
        <f t="shared" ref="H28" si="21">SUM(H26:H27)</f>
        <v>940092.16728466598</v>
      </c>
      <c r="I28" s="32">
        <f t="shared" ref="I28" si="22">SUM(I26:I27)</f>
        <v>1016998.5156325401</v>
      </c>
      <c r="J28" s="18"/>
      <c r="K28" s="18"/>
      <c r="L28" s="18"/>
      <c r="M28" s="18"/>
      <c r="N28" s="18"/>
    </row>
    <row r="29" spans="1:14" x14ac:dyDescent="0.35">
      <c r="A29" s="18" t="s">
        <v>20</v>
      </c>
      <c r="B29" s="18">
        <v>-136825</v>
      </c>
      <c r="C29" s="18">
        <v>-131119</v>
      </c>
      <c r="D29" s="18">
        <v>-176262</v>
      </c>
      <c r="E29" s="31">
        <f>E28*-E44</f>
        <v>-201630.17896809062</v>
      </c>
      <c r="F29" s="31">
        <f>F28*-F44</f>
        <v>-189599.37074144243</v>
      </c>
      <c r="G29" s="31">
        <f>G28*-G44</f>
        <v>-205934.78857897175</v>
      </c>
      <c r="H29" s="31">
        <f>H28*-H44</f>
        <v>-226938.24918251837</v>
      </c>
      <c r="I29" s="31">
        <f>I28*-I44</f>
        <v>-245503.4416736952</v>
      </c>
      <c r="L29" s="18"/>
      <c r="M29" s="18"/>
      <c r="N29" s="18"/>
    </row>
    <row r="30" spans="1:14" x14ac:dyDescent="0.35">
      <c r="A30" t="s">
        <v>21</v>
      </c>
      <c r="B30" s="18">
        <v>-152</v>
      </c>
      <c r="C30" s="18">
        <v>-108</v>
      </c>
      <c r="D30" s="18">
        <v>-1085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18"/>
      <c r="K30" s="18"/>
      <c r="L30" s="18"/>
      <c r="M30" s="18"/>
      <c r="N30" s="18"/>
    </row>
    <row r="31" spans="1:14" x14ac:dyDescent="0.35">
      <c r="A31" s="23" t="s">
        <v>22</v>
      </c>
      <c r="B31" s="19">
        <f>SUM(B28:B30)</f>
        <v>421030</v>
      </c>
      <c r="C31" s="19">
        <f>SUM(C28:C30)</f>
        <v>426652</v>
      </c>
      <c r="D31" s="19">
        <f>SUM(D28:D30)</f>
        <v>513177</v>
      </c>
      <c r="E31" s="32">
        <f t="shared" ref="E31:I31" si="23">SUM(E28:E30)</f>
        <v>570603.36744359322</v>
      </c>
      <c r="F31" s="32">
        <f t="shared" si="23"/>
        <v>595816.41526287585</v>
      </c>
      <c r="G31" s="32">
        <f t="shared" si="23"/>
        <v>647150.49965206289</v>
      </c>
      <c r="H31" s="32">
        <f t="shared" si="23"/>
        <v>713153.91810214764</v>
      </c>
      <c r="I31" s="32">
        <f t="shared" si="23"/>
        <v>771495.07395884488</v>
      </c>
      <c r="J31" s="18"/>
      <c r="K31" s="18"/>
      <c r="L31" s="18"/>
      <c r="M31" s="18"/>
      <c r="N31" s="18"/>
    </row>
    <row r="32" spans="1:14" x14ac:dyDescent="0.35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x14ac:dyDescent="0.3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x14ac:dyDescent="0.35">
      <c r="A34" s="21" t="s">
        <v>23</v>
      </c>
      <c r="B34" s="18">
        <v>200934</v>
      </c>
      <c r="C34" s="18">
        <v>180547</v>
      </c>
      <c r="D34" s="18">
        <v>167454</v>
      </c>
      <c r="E34" s="31">
        <f>'Balance Sheet '!E87</f>
        <v>231851.48330913039</v>
      </c>
      <c r="F34" s="31">
        <f>'Balance Sheet '!F87</f>
        <v>237357.8493690067</v>
      </c>
      <c r="G34" s="31">
        <f>'Balance Sheet '!G87</f>
        <v>247554.64262259015</v>
      </c>
      <c r="H34" s="31">
        <f>'Balance Sheet '!H87</f>
        <v>292257.18624215783</v>
      </c>
      <c r="I34" s="31">
        <f>'Balance Sheet '!I87</f>
        <v>318627.45691151917</v>
      </c>
      <c r="J34" s="18"/>
      <c r="K34" s="18"/>
      <c r="L34" s="18"/>
      <c r="M34" s="18"/>
      <c r="N34" s="18"/>
    </row>
    <row r="35" spans="1:14" x14ac:dyDescent="0.35">
      <c r="A35" s="22" t="s">
        <v>24</v>
      </c>
      <c r="B35" s="19">
        <f>B26+B34</f>
        <v>843326</v>
      </c>
      <c r="C35" s="19">
        <f t="shared" ref="C35:I35" si="24">C26+C34</f>
        <v>797870</v>
      </c>
      <c r="D35" s="19">
        <f t="shared" si="24"/>
        <v>905440</v>
      </c>
      <c r="E35" s="19">
        <f t="shared" si="24"/>
        <v>1004085.0297208142</v>
      </c>
      <c r="F35" s="19">
        <f t="shared" si="24"/>
        <v>1022773.635373325</v>
      </c>
      <c r="G35" s="19">
        <f t="shared" si="24"/>
        <v>1100639.9308536248</v>
      </c>
      <c r="H35" s="19">
        <f t="shared" si="24"/>
        <v>1232349.3535268237</v>
      </c>
      <c r="I35" s="19">
        <f t="shared" si="24"/>
        <v>1335625.9725440592</v>
      </c>
      <c r="J35" s="18"/>
      <c r="K35" s="18"/>
      <c r="L35" s="18"/>
      <c r="M35" s="18"/>
      <c r="N35" s="18"/>
    </row>
    <row r="36" spans="1:14" x14ac:dyDescent="0.35">
      <c r="A36" s="21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x14ac:dyDescent="0.35">
      <c r="A37" s="22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x14ac:dyDescent="0.35">
      <c r="A38" s="24" t="s">
        <v>27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x14ac:dyDescent="0.35">
      <c r="A39" s="25" t="s">
        <v>28</v>
      </c>
      <c r="B39" s="26"/>
      <c r="C39" s="26">
        <f>C18/B18-1</f>
        <v>8.011253691400344E-2</v>
      </c>
      <c r="D39" s="26">
        <f>D18/C18-1</f>
        <v>0.16018714164683545</v>
      </c>
      <c r="E39" s="26">
        <v>6.0999999999999999E-2</v>
      </c>
      <c r="F39" s="26">
        <v>4.3999999999999997E-2</v>
      </c>
      <c r="G39" s="26">
        <v>5.8000000000000003E-2</v>
      </c>
      <c r="H39" s="26">
        <f>G39</f>
        <v>5.8000000000000003E-2</v>
      </c>
      <c r="I39" s="26">
        <f t="shared" ref="I39:I40" si="25">H39</f>
        <v>5.8000000000000003E-2</v>
      </c>
      <c r="J39" s="18"/>
      <c r="K39" s="18"/>
      <c r="L39" s="18"/>
      <c r="M39" s="18"/>
      <c r="N39" s="18"/>
    </row>
    <row r="40" spans="1:14" x14ac:dyDescent="0.35">
      <c r="A40" t="s">
        <v>69</v>
      </c>
      <c r="B40" s="26">
        <f>B19/B18</f>
        <v>2.206437832688047E-2</v>
      </c>
      <c r="C40" s="26">
        <f>C19/C18</f>
        <v>2.2134730824435733E-2</v>
      </c>
      <c r="D40" s="26">
        <f>D19/D18</f>
        <v>2.0970550682442812E-2</v>
      </c>
      <c r="E40" s="30">
        <f>D40</f>
        <v>2.0970550682442812E-2</v>
      </c>
      <c r="F40" s="30">
        <f t="shared" ref="F40:H40" si="26">E40</f>
        <v>2.0970550682442812E-2</v>
      </c>
      <c r="G40" s="30">
        <f t="shared" si="26"/>
        <v>2.0970550682442812E-2</v>
      </c>
      <c r="H40" s="30">
        <f t="shared" si="26"/>
        <v>2.0970550682442812E-2</v>
      </c>
      <c r="I40" s="30">
        <f t="shared" si="25"/>
        <v>2.0970550682442812E-2</v>
      </c>
      <c r="J40" s="18"/>
      <c r="K40" s="18"/>
      <c r="L40" s="18"/>
      <c r="M40" s="18"/>
      <c r="N40" s="18"/>
    </row>
    <row r="41" spans="1:14" x14ac:dyDescent="0.35">
      <c r="A41" t="s">
        <v>72</v>
      </c>
      <c r="C41" s="26">
        <f t="shared" ref="C41:I41" si="27">(C20-B20)/C20</f>
        <v>7.4234270189620366E-2</v>
      </c>
      <c r="D41" s="26">
        <f t="shared" si="27"/>
        <v>0.13708725760302851</v>
      </c>
      <c r="E41" s="26">
        <f t="shared" si="27"/>
        <v>5.7492931196984037E-2</v>
      </c>
      <c r="F41" s="26">
        <f t="shared" si="27"/>
        <v>4.214559386973174E-2</v>
      </c>
      <c r="G41" s="26">
        <f t="shared" si="27"/>
        <v>5.4820415879017148E-2</v>
      </c>
      <c r="H41" s="26">
        <f t="shared" si="27"/>
        <v>5.4820415879016891E-2</v>
      </c>
      <c r="I41" s="26">
        <f t="shared" si="27"/>
        <v>5.4820415879017162E-2</v>
      </c>
      <c r="J41" s="18"/>
      <c r="K41" s="18"/>
      <c r="L41" s="18"/>
      <c r="M41" s="18"/>
      <c r="N41" s="18"/>
    </row>
    <row r="42" spans="1:14" x14ac:dyDescent="0.35">
      <c r="A42" s="25" t="s">
        <v>29</v>
      </c>
      <c r="B42" s="26">
        <f>B22/B20</f>
        <v>0.19306239260786298</v>
      </c>
      <c r="C42" s="26">
        <f>C22/C20</f>
        <v>0.1847143586886468</v>
      </c>
      <c r="D42" s="26">
        <f>D22/D20</f>
        <v>0.17765771092299756</v>
      </c>
      <c r="E42" s="26">
        <v>0.17299999999999999</v>
      </c>
      <c r="F42" s="26">
        <v>0.16997999999999999</v>
      </c>
      <c r="G42" s="26">
        <v>0.1701</v>
      </c>
      <c r="H42" s="26">
        <f>G42</f>
        <v>0.1701</v>
      </c>
      <c r="I42" s="26">
        <f t="shared" ref="I42" si="28">H42</f>
        <v>0.1701</v>
      </c>
      <c r="J42" s="18"/>
      <c r="K42" s="18"/>
      <c r="L42" s="18"/>
      <c r="M42" s="18"/>
      <c r="N42" s="18"/>
    </row>
    <row r="43" spans="1:14" x14ac:dyDescent="0.35">
      <c r="A43" s="25" t="s">
        <v>70</v>
      </c>
      <c r="B43" s="26">
        <f>-B23/B18</f>
        <v>0.1519916687603618</v>
      </c>
      <c r="C43" s="26">
        <f>-C23/C18</f>
        <v>0.14672969726852061</v>
      </c>
      <c r="D43" s="26">
        <f>-D23/D18</f>
        <v>0.13882765672741959</v>
      </c>
      <c r="E43" s="26">
        <v>0.13400000000000001</v>
      </c>
      <c r="F43" s="26">
        <v>0.13195200000000001</v>
      </c>
      <c r="G43" s="26">
        <f>0.131095</f>
        <v>0.13109499999999999</v>
      </c>
      <c r="H43" s="26">
        <f>0.129528</f>
        <v>0.129528</v>
      </c>
      <c r="I43" s="26">
        <f>0.1286447</f>
        <v>0.1286447</v>
      </c>
      <c r="J43" s="18"/>
      <c r="K43" s="18"/>
      <c r="L43" s="18"/>
      <c r="M43" s="18"/>
      <c r="N43" s="18"/>
    </row>
    <row r="44" spans="1:14" x14ac:dyDescent="0.35">
      <c r="A44" s="25" t="s">
        <v>30</v>
      </c>
      <c r="B44" s="26">
        <f>-B29/B28</f>
        <v>0.24520301716645132</v>
      </c>
      <c r="C44" s="26">
        <f>-C29/C28</f>
        <v>0.23503125229664498</v>
      </c>
      <c r="D44" s="26">
        <f>-D29/D28</f>
        <v>0.25525832556145767</v>
      </c>
      <c r="E44" s="26">
        <v>0.2611</v>
      </c>
      <c r="F44" s="26">
        <v>0.2414</v>
      </c>
      <c r="G44" s="26">
        <v>0.2414</v>
      </c>
      <c r="H44" s="26">
        <v>0.2414</v>
      </c>
      <c r="I44" s="26">
        <v>0.2414</v>
      </c>
      <c r="J44" s="18"/>
      <c r="K44" s="18"/>
      <c r="L44" s="18"/>
      <c r="M44" s="18"/>
      <c r="N44" s="18"/>
    </row>
    <row r="45" spans="1:14" x14ac:dyDescent="0.35">
      <c r="A45" s="25" t="s">
        <v>71</v>
      </c>
      <c r="B45" s="29">
        <f>-B24/B18</f>
        <v>6.4973547903468738E-4</v>
      </c>
      <c r="C45" s="29">
        <f>-C24/C18</f>
        <v>9.1387626856138688E-4</v>
      </c>
      <c r="D45" s="29">
        <f>-D24/D18</f>
        <v>1.3179208533898284E-3</v>
      </c>
      <c r="E45" s="29">
        <f>D45</f>
        <v>1.3179208533898284E-3</v>
      </c>
      <c r="F45" s="29">
        <f t="shared" ref="F45:I45" si="29">E45</f>
        <v>1.3179208533898284E-3</v>
      </c>
      <c r="G45" s="29">
        <f t="shared" si="29"/>
        <v>1.3179208533898284E-3</v>
      </c>
      <c r="H45" s="29">
        <f t="shared" si="29"/>
        <v>1.3179208533898284E-3</v>
      </c>
      <c r="I45" s="29">
        <f t="shared" si="29"/>
        <v>1.3179208533898284E-3</v>
      </c>
      <c r="J45" s="18"/>
      <c r="K45" s="18"/>
      <c r="L45" s="18"/>
      <c r="M45" s="18"/>
      <c r="N45" s="18"/>
    </row>
    <row r="46" spans="1:14" x14ac:dyDescent="0.35">
      <c r="A46" s="25" t="s">
        <v>98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x14ac:dyDescent="0.3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x14ac:dyDescent="0.3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2:14" x14ac:dyDescent="0.3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2:14" x14ac:dyDescent="0.3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2:14" x14ac:dyDescent="0.35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2:14" x14ac:dyDescent="0.3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2:14" x14ac:dyDescent="0.3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2:14" x14ac:dyDescent="0.3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2:14" x14ac:dyDescent="0.3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2:14" x14ac:dyDescent="0.3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2:14" x14ac:dyDescent="0.3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2:14" x14ac:dyDescent="0.3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2:14" x14ac:dyDescent="0.3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2:14" x14ac:dyDescent="0.3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2:14" x14ac:dyDescent="0.3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2:14" x14ac:dyDescent="0.3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2:14" x14ac:dyDescent="0.35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2:14" x14ac:dyDescent="0.35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2:14" x14ac:dyDescent="0.3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2:14" x14ac:dyDescent="0.3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2:14" x14ac:dyDescent="0.3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2:14" x14ac:dyDescent="0.3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2:14" x14ac:dyDescent="0.3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2:14" x14ac:dyDescent="0.3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2:14" x14ac:dyDescent="0.3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2:14" x14ac:dyDescent="0.3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2:14" x14ac:dyDescent="0.3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2:14" x14ac:dyDescent="0.3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2:14" x14ac:dyDescent="0.3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2:14" x14ac:dyDescent="0.3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2:14" x14ac:dyDescent="0.3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2:14" x14ac:dyDescent="0.35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2:14" x14ac:dyDescent="0.35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2:14" x14ac:dyDescent="0.35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2:14" x14ac:dyDescent="0.35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2:14" x14ac:dyDescent="0.3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2:14" x14ac:dyDescent="0.3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2:14" x14ac:dyDescent="0.35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2:14" x14ac:dyDescent="0.35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2:14" x14ac:dyDescent="0.3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2:14" x14ac:dyDescent="0.35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2:14" x14ac:dyDescent="0.35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2:14" x14ac:dyDescent="0.35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2:14" x14ac:dyDescent="0.35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2:14" x14ac:dyDescent="0.35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2:14" x14ac:dyDescent="0.35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2:14" x14ac:dyDescent="0.35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2:14" x14ac:dyDescent="0.35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2:14" x14ac:dyDescent="0.35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2:14" x14ac:dyDescent="0.35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2:14" x14ac:dyDescent="0.35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 x14ac:dyDescent="0.35"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2:14" x14ac:dyDescent="0.35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x14ac:dyDescent="0.35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2:14" x14ac:dyDescent="0.35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2:14" x14ac:dyDescent="0.35"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2:14" x14ac:dyDescent="0.35"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2:14" x14ac:dyDescent="0.35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 x14ac:dyDescent="0.35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2:14" x14ac:dyDescent="0.35"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2:14" x14ac:dyDescent="0.35"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2:14" x14ac:dyDescent="0.35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2:14" x14ac:dyDescent="0.35"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2:14" x14ac:dyDescent="0.35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2:14" x14ac:dyDescent="0.35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4" x14ac:dyDescent="0.35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2:14" x14ac:dyDescent="0.35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 x14ac:dyDescent="0.35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2:14" x14ac:dyDescent="0.35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2:14" x14ac:dyDescent="0.35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2:14" x14ac:dyDescent="0.35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 x14ac:dyDescent="0.35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2:14" x14ac:dyDescent="0.35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 x14ac:dyDescent="0.35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 x14ac:dyDescent="0.35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 x14ac:dyDescent="0.35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 x14ac:dyDescent="0.35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 x14ac:dyDescent="0.35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2:14" x14ac:dyDescent="0.35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4" x14ac:dyDescent="0.35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4" x14ac:dyDescent="0.35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4" x14ac:dyDescent="0.35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 x14ac:dyDescent="0.35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 x14ac:dyDescent="0.35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 x14ac:dyDescent="0.35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2:14" x14ac:dyDescent="0.35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2:14" x14ac:dyDescent="0.35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 x14ac:dyDescent="0.35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 x14ac:dyDescent="0.35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 x14ac:dyDescent="0.35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2:14" x14ac:dyDescent="0.35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2:14" x14ac:dyDescent="0.35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 x14ac:dyDescent="0.35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2:14" x14ac:dyDescent="0.35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2:14" x14ac:dyDescent="0.35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 x14ac:dyDescent="0.35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2:14" x14ac:dyDescent="0.35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2:14" x14ac:dyDescent="0.35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2:14" x14ac:dyDescent="0.35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2:14" x14ac:dyDescent="0.35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2:14" x14ac:dyDescent="0.35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2:14" x14ac:dyDescent="0.35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</sheetData>
  <conditionalFormatting sqref="A43">
    <cfRule type="expression" dxfId="1" priority="1">
      <formula>#REF!=#REF!</formula>
    </cfRule>
  </conditionalFormatting>
  <dataValidations disablePrompts="1" count="2">
    <dataValidation type="list" allowBlank="1" showInputMessage="1" showErrorMessage="1" sqref="A4" xr:uid="{CC6E8841-5300-4B80-9544-8C2313149361}">
      <formula1>"$ bns except per share, $ mm except per share,$ in thousands except per share"</formula1>
    </dataValidation>
    <dataValidation type="list" allowBlank="1" showInputMessage="1" showErrorMessage="1" sqref="B8" xr:uid="{0766BFB3-B133-4085-8C07-D21AA98062F5}">
      <formula1>"0,1"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18A11-7275-4A1E-AE87-7143C511C5BE}">
  <dimension ref="A2:O100"/>
  <sheetViews>
    <sheetView topLeftCell="A48" zoomScale="80" zoomScaleNormal="80" workbookViewId="0">
      <selection activeCell="C48" sqref="C48"/>
    </sheetView>
  </sheetViews>
  <sheetFormatPr defaultRowHeight="14.5" x14ac:dyDescent="0.35"/>
  <cols>
    <col min="1" max="1" width="44.81640625" customWidth="1"/>
    <col min="2" max="2" width="30.7265625" customWidth="1"/>
    <col min="3" max="3" width="10.6328125" bestFit="1" customWidth="1"/>
    <col min="4" max="4" width="13.54296875" bestFit="1" customWidth="1"/>
    <col min="5" max="5" width="16.54296875" customWidth="1"/>
    <col min="6" max="6" width="15.1796875" customWidth="1"/>
    <col min="7" max="7" width="13" customWidth="1"/>
    <col min="8" max="8" width="11.453125" customWidth="1"/>
    <col min="9" max="9" width="11.1796875" customWidth="1"/>
    <col min="11" max="11" width="10.08984375" bestFit="1" customWidth="1"/>
    <col min="12" max="12" width="16.08984375" customWidth="1"/>
    <col min="13" max="14" width="10.08984375" bestFit="1" customWidth="1"/>
  </cols>
  <sheetData>
    <row r="2" spans="1:9" ht="15" thickBot="1" x14ac:dyDescent="0.4"/>
    <row r="3" spans="1:9" ht="15" thickBot="1" x14ac:dyDescent="0.4">
      <c r="A3" s="1" t="str">
        <f>"Financial Statement Model for "&amp;B6</f>
        <v xml:space="preserve">Financial Statement Model for </v>
      </c>
      <c r="B3" s="2"/>
      <c r="C3" s="2"/>
      <c r="D3" s="2"/>
      <c r="E3" s="2"/>
      <c r="F3" s="2"/>
      <c r="G3" s="2"/>
      <c r="H3" s="2"/>
      <c r="I3" s="2"/>
    </row>
    <row r="4" spans="1:9" x14ac:dyDescent="0.35">
      <c r="A4" s="3" t="s">
        <v>0</v>
      </c>
      <c r="B4" s="4"/>
      <c r="C4" s="4"/>
      <c r="D4" s="4"/>
      <c r="E4" s="4"/>
      <c r="F4" s="4"/>
    </row>
    <row r="6" spans="1:9" x14ac:dyDescent="0.35">
      <c r="A6" s="5" t="s">
        <v>1</v>
      </c>
      <c r="B6" s="6"/>
    </row>
    <row r="7" spans="1:9" x14ac:dyDescent="0.35">
      <c r="A7" s="5" t="s">
        <v>2</v>
      </c>
      <c r="B7" s="6"/>
    </row>
    <row r="8" spans="1:9" x14ac:dyDescent="0.35">
      <c r="A8" t="s">
        <v>3</v>
      </c>
      <c r="B8" s="7"/>
    </row>
    <row r="9" spans="1:9" x14ac:dyDescent="0.35">
      <c r="A9" t="s">
        <v>4</v>
      </c>
      <c r="B9" s="8"/>
    </row>
    <row r="10" spans="1:9" x14ac:dyDescent="0.35">
      <c r="A10" t="s">
        <v>5</v>
      </c>
      <c r="B10" s="9">
        <v>45135</v>
      </c>
    </row>
    <row r="11" spans="1:9" x14ac:dyDescent="0.35">
      <c r="A11" s="5" t="s">
        <v>6</v>
      </c>
      <c r="B11" s="10">
        <v>44954</v>
      </c>
      <c r="E11" s="11"/>
    </row>
    <row r="12" spans="1:9" x14ac:dyDescent="0.35">
      <c r="A12" t="s">
        <v>7</v>
      </c>
      <c r="B12" s="12">
        <v>133903.598</v>
      </c>
    </row>
    <row r="14" spans="1:9" x14ac:dyDescent="0.35">
      <c r="A14" s="13" t="s">
        <v>31</v>
      </c>
      <c r="B14" s="14"/>
      <c r="C14" s="14"/>
      <c r="D14" s="14"/>
    </row>
    <row r="15" spans="1:9" x14ac:dyDescent="0.35">
      <c r="A15" t="s">
        <v>9</v>
      </c>
      <c r="B15" s="15">
        <f>C15-1</f>
        <v>2021</v>
      </c>
      <c r="C15" s="15">
        <f>D15-1</f>
        <v>2022</v>
      </c>
      <c r="D15" s="15">
        <f>YEAR(B11)</f>
        <v>2023</v>
      </c>
      <c r="E15" s="27">
        <f>D15+1</f>
        <v>2024</v>
      </c>
      <c r="F15" s="27">
        <f t="shared" ref="F15:I15" si="0">E15+1</f>
        <v>2025</v>
      </c>
      <c r="G15" s="27">
        <f t="shared" si="0"/>
        <v>2026</v>
      </c>
      <c r="H15" s="27">
        <f t="shared" si="0"/>
        <v>2027</v>
      </c>
      <c r="I15" s="27">
        <f t="shared" si="0"/>
        <v>2028</v>
      </c>
    </row>
    <row r="16" spans="1:9" x14ac:dyDescent="0.35">
      <c r="A16" s="16" t="s">
        <v>10</v>
      </c>
      <c r="B16" s="17">
        <v>44226</v>
      </c>
      <c r="C16" s="17">
        <v>44590</v>
      </c>
      <c r="D16" s="17">
        <f>B11</f>
        <v>44954</v>
      </c>
      <c r="E16" s="28">
        <v>45319</v>
      </c>
      <c r="F16" s="28">
        <v>45685</v>
      </c>
      <c r="G16" s="28">
        <v>46050</v>
      </c>
      <c r="H16" s="28">
        <v>46415</v>
      </c>
      <c r="I16" s="28">
        <v>46780</v>
      </c>
    </row>
    <row r="18" spans="1:12" x14ac:dyDescent="0.35">
      <c r="A18" s="23" t="s">
        <v>32</v>
      </c>
    </row>
    <row r="19" spans="1:12" x14ac:dyDescent="0.35">
      <c r="A19" t="s">
        <v>33</v>
      </c>
      <c r="B19" s="18"/>
      <c r="C19" s="18">
        <v>45436</v>
      </c>
      <c r="D19" s="18">
        <v>33915</v>
      </c>
      <c r="E19" s="59">
        <f>'Cash Flow Statement '!E39</f>
        <v>192662.90181607706</v>
      </c>
      <c r="F19" s="59">
        <f>'Cash Flow Statement '!F39</f>
        <v>224903.09545789124</v>
      </c>
      <c r="G19" s="59">
        <f>'Cash Flow Statement '!G39</f>
        <v>225887.96207087464</v>
      </c>
      <c r="H19" s="59">
        <f>'Cash Flow Statement '!H39</f>
        <v>315274.21630064654</v>
      </c>
      <c r="I19" s="59">
        <f>'Cash Flow Statement '!I39</f>
        <v>343392.82192216162</v>
      </c>
      <c r="J19" s="18"/>
    </row>
    <row r="20" spans="1:12" x14ac:dyDescent="0.35">
      <c r="A20" t="s">
        <v>34</v>
      </c>
      <c r="B20" s="18"/>
      <c r="C20" s="18">
        <v>173951</v>
      </c>
      <c r="D20" s="18">
        <v>239746</v>
      </c>
      <c r="E20" s="31">
        <f>D20*(1+E66)</f>
        <v>253529.70028275214</v>
      </c>
      <c r="F20" s="31">
        <f>E20*(1+F66)</f>
        <v>264214.86006478383</v>
      </c>
      <c r="G20" s="31">
        <f>F20*(1+G66)</f>
        <v>278699.22857495159</v>
      </c>
      <c r="H20" s="31">
        <f>G20*(1+H66)</f>
        <v>293977.63619059161</v>
      </c>
      <c r="I20" s="31">
        <f>H20*(1+I65)</f>
        <v>300142.50910983118</v>
      </c>
      <c r="J20" s="18"/>
    </row>
    <row r="21" spans="1:12" x14ac:dyDescent="0.35">
      <c r="A21" t="s">
        <v>35</v>
      </c>
      <c r="B21" s="18"/>
      <c r="C21" s="18">
        <v>1242935</v>
      </c>
      <c r="D21" s="18">
        <v>1378551</v>
      </c>
      <c r="E21" s="31">
        <f>D21*('Income Statement'!E21/'Income Statement'!D21)</f>
        <v>1470926.9550696001</v>
      </c>
      <c r="F21" s="31">
        <f>E21*('Income Statement'!F21/'Income Statement'!E21)</f>
        <v>1541255.5478376441</v>
      </c>
      <c r="G21" s="31">
        <f>F21*('Income Statement'!G21/'Income Statement'!F21)</f>
        <v>1630412.6189021803</v>
      </c>
      <c r="H21" s="31">
        <f>G21*('Income Statement'!H21/'Income Statement'!G21)</f>
        <v>1724976.5507985069</v>
      </c>
      <c r="I21" s="31">
        <f>H21*('Income Statement'!I21/'Income Statement'!H21)</f>
        <v>1825025.1907448207</v>
      </c>
      <c r="J21" s="18"/>
    </row>
    <row r="22" spans="1:12" x14ac:dyDescent="0.35">
      <c r="A22" t="s">
        <v>36</v>
      </c>
      <c r="B22" s="18"/>
      <c r="C22" s="18">
        <v>54734</v>
      </c>
      <c r="D22" s="18">
        <v>51033</v>
      </c>
      <c r="E22" s="31">
        <f>D22*(1+E66)</f>
        <v>53967.036757775684</v>
      </c>
      <c r="F22" s="31">
        <f>E22*(1+F66)</f>
        <v>56241.509571321782</v>
      </c>
      <c r="G22" s="31">
        <f>F22*(1+G66)</f>
        <v>59324.692515685361</v>
      </c>
      <c r="H22" s="31">
        <f>G22*(1+H66)</f>
        <v>62576.896831290032</v>
      </c>
      <c r="I22" s="31">
        <f>H22*(1+I65)</f>
        <v>63889.168817840604</v>
      </c>
      <c r="J22" s="18"/>
    </row>
    <row r="23" spans="1:12" x14ac:dyDescent="0.35">
      <c r="A23" s="23" t="s">
        <v>37</v>
      </c>
      <c r="B23" s="18"/>
      <c r="C23" s="19">
        <f>SUM(C19:C22)</f>
        <v>1517056</v>
      </c>
      <c r="D23" s="19">
        <f t="shared" ref="D23" si="1">SUM(D19:D22)</f>
        <v>1703245</v>
      </c>
      <c r="E23" s="32">
        <f t="shared" ref="E23" si="2">SUM(E19:E22)</f>
        <v>1971086.5939262048</v>
      </c>
      <c r="F23" s="32">
        <f t="shared" ref="F23" si="3">SUM(F19:F22)</f>
        <v>2086615.012931641</v>
      </c>
      <c r="G23" s="32">
        <f t="shared" ref="G23" si="4">SUM(G19:G22)</f>
        <v>2194324.5020636916</v>
      </c>
      <c r="H23" s="32">
        <f t="shared" ref="H23" si="5">SUM(H19:H22)</f>
        <v>2396805.300121035</v>
      </c>
      <c r="I23" s="32">
        <f t="shared" ref="I23" si="6">SUM(I19:I22)</f>
        <v>2532449.6905946541</v>
      </c>
      <c r="J23" s="18"/>
    </row>
    <row r="24" spans="1:12" x14ac:dyDescent="0.35">
      <c r="B24" s="18"/>
      <c r="C24" s="18"/>
      <c r="D24" s="18"/>
      <c r="E24" s="18"/>
      <c r="F24" s="18"/>
      <c r="G24" s="18"/>
      <c r="H24" s="18"/>
      <c r="I24" s="18"/>
      <c r="J24" s="18"/>
    </row>
    <row r="25" spans="1:12" x14ac:dyDescent="0.35">
      <c r="A25" s="23" t="s">
        <v>38</v>
      </c>
      <c r="B25" s="18"/>
      <c r="C25" s="18"/>
      <c r="D25" s="18"/>
      <c r="E25" s="18"/>
      <c r="F25" s="18"/>
      <c r="G25" s="18"/>
      <c r="H25" s="18"/>
      <c r="I25" s="18"/>
      <c r="J25" s="18"/>
    </row>
    <row r="26" spans="1:12" x14ac:dyDescent="0.35">
      <c r="A26" t="s">
        <v>39</v>
      </c>
      <c r="B26" s="18"/>
      <c r="C26" s="18">
        <v>2131986</v>
      </c>
      <c r="D26" s="18">
        <v>2142925</v>
      </c>
      <c r="E26" s="18">
        <f>-'Income Statement'!E23*'Balance Sheet '!E71</f>
        <v>2204217.442048165</v>
      </c>
      <c r="F26" s="18">
        <f>-'Income Statement'!F23*'Balance Sheet '!F71</f>
        <v>2265519.3269584398</v>
      </c>
      <c r="G26" s="18">
        <f>-'Income Statement'!G23*'Balance Sheet '!G71</f>
        <v>2381211.9864404267</v>
      </c>
      <c r="H26" s="18">
        <f>-'Income Statement'!H23*'Balance Sheet '!H71</f>
        <v>2488829.7851937194</v>
      </c>
      <c r="I26" s="18">
        <f>-'Income Statement'!I23*'Balance Sheet '!I71</f>
        <v>2615055.0190337682</v>
      </c>
      <c r="J26" s="18"/>
    </row>
    <row r="27" spans="1:12" x14ac:dyDescent="0.35">
      <c r="A27" t="s">
        <v>40</v>
      </c>
      <c r="B27" s="18"/>
      <c r="C27" s="18">
        <v>942331</v>
      </c>
      <c r="D27" s="18">
        <v>1337029</v>
      </c>
      <c r="E27" s="31">
        <f>E80</f>
        <v>1557404.7906908696</v>
      </c>
      <c r="F27" s="31">
        <f>F80</f>
        <v>1765475.2953778629</v>
      </c>
      <c r="G27" s="31">
        <f>G80</f>
        <v>1965602.2513465206</v>
      </c>
      <c r="H27" s="31">
        <f>H80</f>
        <v>2184544.3164139031</v>
      </c>
      <c r="I27" s="31">
        <f>I80</f>
        <v>2404780.1673878776</v>
      </c>
      <c r="J27" s="18"/>
    </row>
    <row r="28" spans="1:12" x14ac:dyDescent="0.35">
      <c r="A28" t="s">
        <v>74</v>
      </c>
      <c r="B28" s="18"/>
      <c r="C28" s="18">
        <f>924134+124640</f>
        <v>1048774</v>
      </c>
      <c r="D28" s="18">
        <v>1124321</v>
      </c>
      <c r="E28" s="31">
        <f>D28</f>
        <v>1124321</v>
      </c>
      <c r="F28" s="31">
        <f>E28</f>
        <v>1124321</v>
      </c>
      <c r="G28" s="31">
        <f>F28</f>
        <v>1124321</v>
      </c>
      <c r="H28" s="31">
        <f>G28</f>
        <v>1124321</v>
      </c>
      <c r="I28" s="31">
        <f>H28</f>
        <v>1124321</v>
      </c>
      <c r="J28" s="18"/>
      <c r="K28" s="18"/>
      <c r="L28" s="18"/>
    </row>
    <row r="29" spans="1:12" x14ac:dyDescent="0.35">
      <c r="A29" t="s">
        <v>41</v>
      </c>
      <c r="B29" s="18"/>
      <c r="C29" s="18">
        <v>5507</v>
      </c>
      <c r="D29" s="18">
        <v>11498</v>
      </c>
      <c r="E29" s="31">
        <f>D29*(1+E66)</f>
        <v>12159.053722902923</v>
      </c>
      <c r="F29" s="31">
        <f>E29*(1+F66)</f>
        <v>12671.50426294864</v>
      </c>
      <c r="G29" s="31">
        <f>F29*(1+G66)</f>
        <v>13366.161396456222</v>
      </c>
      <c r="H29" s="31">
        <f>G29*(1+H66)</f>
        <v>14098.899922916013</v>
      </c>
      <c r="I29" s="31">
        <f>H29*(1+I65)</f>
        <v>14394.561618316213</v>
      </c>
      <c r="J29" s="18"/>
    </row>
    <row r="30" spans="1:12" x14ac:dyDescent="0.35">
      <c r="A30" t="s">
        <v>73</v>
      </c>
      <c r="B30" s="18"/>
      <c r="C30" s="18">
        <v>23240</v>
      </c>
      <c r="D30" s="18">
        <v>30938</v>
      </c>
      <c r="E30" s="31">
        <f>D30*(1+E66)</f>
        <v>32716.716305372294</v>
      </c>
      <c r="F30" s="31">
        <f>E30*(1+F66)</f>
        <v>34095.581743529743</v>
      </c>
      <c r="G30" s="31">
        <f>F30*(1+G66)</f>
        <v>35964.715714347069</v>
      </c>
      <c r="H30" s="31">
        <f>G30*(1+H66)</f>
        <v>37936.316386778191</v>
      </c>
      <c r="I30" s="31">
        <f>H30*(1+I66)</f>
        <v>40016.001028019346</v>
      </c>
      <c r="J30" s="18"/>
    </row>
    <row r="31" spans="1:12" x14ac:dyDescent="0.35">
      <c r="A31" s="23" t="s">
        <v>42</v>
      </c>
      <c r="B31" s="18"/>
      <c r="C31" s="19">
        <f t="shared" ref="C31:I31" si="7">SUM(C26:C30)</f>
        <v>4151838</v>
      </c>
      <c r="D31" s="19">
        <f t="shared" si="7"/>
        <v>4646711</v>
      </c>
      <c r="E31" s="32">
        <f t="shared" si="7"/>
        <v>4930819.0027673105</v>
      </c>
      <c r="F31" s="32">
        <f t="shared" si="7"/>
        <v>5202082.7083427813</v>
      </c>
      <c r="G31" s="32">
        <f t="shared" si="7"/>
        <v>5520466.1148977494</v>
      </c>
      <c r="H31" s="32">
        <f t="shared" si="7"/>
        <v>5849730.3179173162</v>
      </c>
      <c r="I31" s="32">
        <f t="shared" si="7"/>
        <v>6198566.7490679808</v>
      </c>
      <c r="J31" s="18"/>
    </row>
    <row r="32" spans="1:12" x14ac:dyDescent="0.35">
      <c r="B32" s="18"/>
      <c r="C32" s="18"/>
      <c r="D32" s="18"/>
      <c r="E32" s="18"/>
      <c r="F32" s="18"/>
      <c r="G32" s="18"/>
      <c r="H32" s="18"/>
      <c r="I32" s="18"/>
      <c r="J32" s="18"/>
    </row>
    <row r="33" spans="1:14" x14ac:dyDescent="0.35">
      <c r="A33" s="23" t="s">
        <v>43</v>
      </c>
      <c r="B33" s="18"/>
      <c r="C33" s="19">
        <f t="shared" ref="C33:I33" si="8">C23+C31</f>
        <v>5668894</v>
      </c>
      <c r="D33" s="19">
        <f t="shared" si="8"/>
        <v>6349956</v>
      </c>
      <c r="E33" s="19">
        <f t="shared" si="8"/>
        <v>6901905.5966935158</v>
      </c>
      <c r="F33" s="19">
        <f t="shared" si="8"/>
        <v>7288697.7212744225</v>
      </c>
      <c r="G33" s="19">
        <f t="shared" si="8"/>
        <v>7714790.616961441</v>
      </c>
      <c r="H33" s="19">
        <f t="shared" si="8"/>
        <v>8246535.6180383507</v>
      </c>
      <c r="I33" s="19">
        <f t="shared" si="8"/>
        <v>8731016.4396626353</v>
      </c>
      <c r="J33" s="18"/>
    </row>
    <row r="34" spans="1:14" x14ac:dyDescent="0.35">
      <c r="B34" s="18"/>
      <c r="C34" s="18"/>
      <c r="D34" s="18"/>
      <c r="E34" s="18"/>
      <c r="F34" s="18"/>
      <c r="G34" s="18"/>
      <c r="H34" s="18"/>
      <c r="I34" s="18"/>
      <c r="J34" s="18"/>
    </row>
    <row r="35" spans="1:14" x14ac:dyDescent="0.35">
      <c r="A35" s="23" t="s">
        <v>44</v>
      </c>
      <c r="B35" s="18"/>
      <c r="C35" s="18"/>
      <c r="D35" s="18"/>
      <c r="E35" s="18"/>
      <c r="F35" s="18"/>
      <c r="G35" s="18"/>
      <c r="H35" s="18"/>
      <c r="I35" s="18"/>
      <c r="J35" s="18"/>
    </row>
    <row r="36" spans="1:14" x14ac:dyDescent="0.35">
      <c r="A36" t="s">
        <v>47</v>
      </c>
      <c r="B36" s="18"/>
      <c r="C36" s="18">
        <v>1112783</v>
      </c>
      <c r="D36" s="18">
        <v>1195697</v>
      </c>
      <c r="E36" s="31">
        <f>D36*('Income Statement'!E21/'Income Statement'!D21)</f>
        <v>1275820.0076717187</v>
      </c>
      <c r="F36" s="31">
        <f>E36*('Income Statement'!F21/'Income Statement'!E21)</f>
        <v>1336820.0630827784</v>
      </c>
      <c r="G36" s="31">
        <f>F36*('Income Statement'!G21/'Income Statement'!F21)</f>
        <v>1414151.1465179597</v>
      </c>
      <c r="H36" s="31">
        <f>G36*('Income Statement'!H21/'Income Statement'!G21)</f>
        <v>1496171.9130160015</v>
      </c>
      <c r="I36" s="31">
        <f>H36*('Income Statement'!I21/'Income Statement'!H21)</f>
        <v>1582949.88397093</v>
      </c>
      <c r="J36" s="18"/>
    </row>
    <row r="37" spans="1:14" x14ac:dyDescent="0.35">
      <c r="A37" t="s">
        <v>48</v>
      </c>
      <c r="B37" s="18"/>
      <c r="C37" s="18">
        <v>748245</v>
      </c>
      <c r="D37" s="18">
        <v>767411</v>
      </c>
      <c r="E37" s="31">
        <f>D37*('Income Statement'!E23/'Income Statement'!D23)</f>
        <v>789360.66890797601</v>
      </c>
      <c r="F37" s="31">
        <f>E37*('Income Statement'!F23/'Income Statement'!E23)</f>
        <v>811313.71943511942</v>
      </c>
      <c r="G37" s="31">
        <f>F37*('Income Statement'!G23/'Income Statement'!F23)</f>
        <v>852744.85655178537</v>
      </c>
      <c r="H37" s="31">
        <f>G37*('Income Statement'!H23/'Income Statement'!G23)</f>
        <v>891284.27466444112</v>
      </c>
      <c r="I37" s="31">
        <f>H37*('Income Statement'!I23/'Income Statement'!H23)</f>
        <v>936487.27193519298</v>
      </c>
      <c r="J37" s="18"/>
    </row>
    <row r="38" spans="1:14" x14ac:dyDescent="0.35">
      <c r="A38" t="s">
        <v>96</v>
      </c>
      <c r="C38">
        <v>0</v>
      </c>
      <c r="D38" s="20">
        <v>405000</v>
      </c>
      <c r="E38" s="58"/>
      <c r="F38" s="58"/>
      <c r="G38" s="58"/>
      <c r="H38" s="58"/>
      <c r="I38" s="58"/>
    </row>
    <row r="39" spans="1:14" x14ac:dyDescent="0.35">
      <c r="A39" s="23" t="s">
        <v>45</v>
      </c>
      <c r="B39" s="18"/>
      <c r="C39" s="19">
        <f>SUM(C36:C37)</f>
        <v>1861028</v>
      </c>
      <c r="D39" s="19">
        <f>SUM(D36:D38)</f>
        <v>2368108</v>
      </c>
      <c r="E39" s="19">
        <f>SUM(E36:E37)</f>
        <v>2065180.6765796947</v>
      </c>
      <c r="F39" s="19">
        <f>SUM(F36:F37)</f>
        <v>2148133.7825178979</v>
      </c>
      <c r="G39" s="19">
        <f>SUM(G36:G37)</f>
        <v>2266896.0030697449</v>
      </c>
      <c r="H39" s="19">
        <f>SUM(H36:H37)</f>
        <v>2387456.1876804428</v>
      </c>
      <c r="I39" s="19">
        <f>SUM(I36:I37)</f>
        <v>2519437.1559061231</v>
      </c>
      <c r="J39" s="18"/>
    </row>
    <row r="40" spans="1:14" x14ac:dyDescent="0.35">
      <c r="B40" s="18"/>
      <c r="C40" s="18"/>
      <c r="D40" s="18"/>
      <c r="E40" s="18"/>
      <c r="F40" s="18"/>
      <c r="G40" s="18"/>
      <c r="H40" s="18"/>
      <c r="I40" s="18"/>
      <c r="J40" s="18"/>
    </row>
    <row r="41" spans="1:14" x14ac:dyDescent="0.35">
      <c r="A41" s="23" t="s">
        <v>46</v>
      </c>
      <c r="B41" s="18"/>
      <c r="C41" s="18"/>
      <c r="D41" s="18"/>
      <c r="E41" s="18"/>
      <c r="F41" s="18"/>
      <c r="G41" s="18"/>
      <c r="H41" s="18"/>
      <c r="I41" s="18"/>
      <c r="J41" s="18"/>
    </row>
    <row r="42" spans="1:14" x14ac:dyDescent="0.35">
      <c r="A42" t="s">
        <v>50</v>
      </c>
      <c r="B42" s="18"/>
      <c r="C42" s="18">
        <f>141453+2059760</f>
        <v>2201213</v>
      </c>
      <c r="D42" s="18">
        <f>177233+2058797</f>
        <v>2236030</v>
      </c>
      <c r="E42" s="18">
        <f>'Income Statement'!E23*-'Balance Sheet '!E72</f>
        <v>2299985.4530340345</v>
      </c>
      <c r="F42" s="18">
        <f>'Income Statement'!F23*-'Balance Sheet '!F72</f>
        <v>2363950.7592001026</v>
      </c>
      <c r="G42" s="18">
        <f>'Income Statement'!G23*-'Balance Sheet '!G72</f>
        <v>2484669.9898691685</v>
      </c>
      <c r="H42" s="18">
        <f>'Income Statement'!H23*-'Balance Sheet '!H72</f>
        <v>2596963.5262954663</v>
      </c>
      <c r="I42" s="18">
        <f>'Income Statement'!I23*-'Balance Sheet '!I72</f>
        <v>2728672.9466547254</v>
      </c>
      <c r="J42" s="18"/>
    </row>
    <row r="43" spans="1:14" x14ac:dyDescent="0.35">
      <c r="A43" t="s">
        <v>49</v>
      </c>
      <c r="B43" s="18"/>
      <c r="C43" s="20">
        <v>748568</v>
      </c>
      <c r="D43" s="18">
        <v>447880</v>
      </c>
      <c r="E43" s="31">
        <v>429500</v>
      </c>
      <c r="F43" s="31">
        <v>393200</v>
      </c>
      <c r="G43" s="31">
        <v>285200</v>
      </c>
      <c r="H43" s="31">
        <v>221940</v>
      </c>
      <c r="I43" s="31">
        <v>109440</v>
      </c>
      <c r="J43" s="18" t="s">
        <v>87</v>
      </c>
      <c r="M43" s="18"/>
      <c r="N43" s="18"/>
    </row>
    <row r="44" spans="1:14" x14ac:dyDescent="0.35">
      <c r="A44" t="s">
        <v>41</v>
      </c>
      <c r="B44" s="18"/>
      <c r="C44" s="20">
        <v>52850</v>
      </c>
      <c r="D44" s="18">
        <v>57024</v>
      </c>
      <c r="E44" s="31">
        <f>D44*(1+E66)</f>
        <v>60302.47690857682</v>
      </c>
      <c r="F44" s="31">
        <f>E44*(1+F66)</f>
        <v>62843.960609704576</v>
      </c>
      <c r="G44" s="31">
        <f>F44*(1+G66)</f>
        <v>66289.09266581315</v>
      </c>
      <c r="H44" s="31">
        <f>G44*(1+H66)</f>
        <v>69923.088293995708</v>
      </c>
      <c r="I44" s="31">
        <f>H44*(1+I66)</f>
        <v>73756.301073817784</v>
      </c>
      <c r="J44" s="18"/>
      <c r="M44" s="20"/>
      <c r="N44" s="20"/>
    </row>
    <row r="45" spans="1:14" x14ac:dyDescent="0.35">
      <c r="A45" t="s">
        <v>51</v>
      </c>
      <c r="B45" s="18"/>
      <c r="C45" s="18">
        <v>157127</v>
      </c>
      <c r="D45" s="18">
        <v>194077</v>
      </c>
      <c r="E45" s="31">
        <f>D45*(1+E66)</f>
        <v>205235.05560791708</v>
      </c>
      <c r="F45" s="31">
        <f>E45*(1+F66)</f>
        <v>213884.80890940016</v>
      </c>
      <c r="G45" s="31">
        <f>F45*(1+G66)</f>
        <v>225610.06308401757</v>
      </c>
      <c r="H45" s="31">
        <f>G45*(1+H66)</f>
        <v>237978.10056877465</v>
      </c>
      <c r="I45" s="31">
        <f>H45*(1+I66)</f>
        <v>251024.15901205342</v>
      </c>
      <c r="J45" s="18"/>
      <c r="M45" s="18"/>
    </row>
    <row r="46" spans="1:14" x14ac:dyDescent="0.35">
      <c r="A46" s="23" t="s">
        <v>52</v>
      </c>
      <c r="B46" s="18"/>
      <c r="C46" s="19">
        <f t="shared" ref="C46:I46" si="9">SUM(C42:C45)</f>
        <v>3159758</v>
      </c>
      <c r="D46" s="19">
        <f t="shared" si="9"/>
        <v>2935011</v>
      </c>
      <c r="E46" s="32">
        <f t="shared" si="9"/>
        <v>2995022.9855505284</v>
      </c>
      <c r="F46" s="32">
        <f t="shared" si="9"/>
        <v>3033879.5287192077</v>
      </c>
      <c r="G46" s="32">
        <f t="shared" si="9"/>
        <v>3061769.1456189989</v>
      </c>
      <c r="H46" s="32">
        <f t="shared" si="9"/>
        <v>3126804.7151582367</v>
      </c>
      <c r="I46" s="32">
        <f t="shared" si="9"/>
        <v>3162893.406740597</v>
      </c>
      <c r="J46" s="18"/>
    </row>
    <row r="47" spans="1:14" x14ac:dyDescent="0.35">
      <c r="B47" s="18"/>
      <c r="C47" s="18"/>
      <c r="D47" s="18"/>
      <c r="E47" s="18"/>
      <c r="F47" s="18"/>
      <c r="G47" s="18"/>
      <c r="H47" s="18"/>
      <c r="I47" s="18"/>
      <c r="J47" s="18"/>
    </row>
    <row r="48" spans="1:14" x14ac:dyDescent="0.35">
      <c r="A48" s="23" t="s">
        <v>53</v>
      </c>
      <c r="B48" s="18"/>
      <c r="C48" s="19">
        <f t="shared" ref="C48:I48" si="10">C46+C39</f>
        <v>5020786</v>
      </c>
      <c r="D48" s="19">
        <f t="shared" si="10"/>
        <v>5303119</v>
      </c>
      <c r="E48" s="19">
        <f t="shared" si="10"/>
        <v>5060203.6621302236</v>
      </c>
      <c r="F48" s="19">
        <f t="shared" si="10"/>
        <v>5182013.3112371061</v>
      </c>
      <c r="G48" s="19">
        <f t="shared" si="10"/>
        <v>5328665.1486887438</v>
      </c>
      <c r="H48" s="19">
        <f t="shared" si="10"/>
        <v>5514260.902838679</v>
      </c>
      <c r="I48" s="19">
        <f t="shared" si="10"/>
        <v>5682330.5626467206</v>
      </c>
      <c r="J48" s="18"/>
    </row>
    <row r="49" spans="1:10" x14ac:dyDescent="0.35"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35">
      <c r="A50" t="s">
        <v>99</v>
      </c>
      <c r="C50" s="18">
        <f>902704+1454</f>
        <v>904158</v>
      </c>
      <c r="D50" s="18">
        <f>958555+1463</f>
        <v>960018</v>
      </c>
      <c r="E50" s="31">
        <f>D50+(-'Income Statement'!E25)</f>
        <v>1004609.3044297833</v>
      </c>
      <c r="F50" s="31">
        <f>E50+(-'Income Statement'!F25)</f>
        <v>1051079.9358661857</v>
      </c>
      <c r="G50" s="31">
        <f>F50+(-'Income Statement'!G25)</f>
        <v>1100098.1066440921</v>
      </c>
      <c r="H50" s="31">
        <f>G50+(-'Income Statement'!H25)</f>
        <v>1151803.4739296723</v>
      </c>
      <c r="I50" s="31">
        <f>H50+(-'Income Statement'!I25)</f>
        <v>1206343.350953025</v>
      </c>
      <c r="J50" s="18"/>
    </row>
    <row r="51" spans="1:10" x14ac:dyDescent="0.35">
      <c r="A51" t="s">
        <v>100</v>
      </c>
      <c r="C51" s="18">
        <v>131313</v>
      </c>
      <c r="D51" s="18">
        <v>644490</v>
      </c>
      <c r="E51" s="31">
        <f>D51+'Income Statement'!E31</f>
        <v>1215093.3674435932</v>
      </c>
      <c r="F51" s="31">
        <f>E51+'Income Statement'!F31</f>
        <v>1810909.7827064691</v>
      </c>
      <c r="G51" s="31">
        <f>F51+'Income Statement'!G31</f>
        <v>2458060.2823585318</v>
      </c>
      <c r="H51" s="31">
        <f>G51+'Income Statement'!H31</f>
        <v>3171214.2004606794</v>
      </c>
      <c r="I51" s="31">
        <f>H51+'Income Statement'!I31</f>
        <v>3942709.2744195242</v>
      </c>
      <c r="J51" s="18"/>
    </row>
    <row r="52" spans="1:10" x14ac:dyDescent="0.35">
      <c r="A52" t="s">
        <v>101</v>
      </c>
      <c r="C52" s="18">
        <v>1305</v>
      </c>
      <c r="D52" s="18">
        <v>1550</v>
      </c>
      <c r="E52" s="31">
        <f>D52</f>
        <v>1550</v>
      </c>
      <c r="F52" s="31">
        <f>E52</f>
        <v>1550</v>
      </c>
      <c r="G52" s="31">
        <f>F52</f>
        <v>1550</v>
      </c>
      <c r="H52" s="31">
        <f>G52</f>
        <v>1550</v>
      </c>
      <c r="I52" s="31">
        <f>H52</f>
        <v>1550</v>
      </c>
      <c r="J52" s="18"/>
    </row>
    <row r="53" spans="1:10" x14ac:dyDescent="0.35">
      <c r="A53" t="s">
        <v>109</v>
      </c>
      <c r="C53" s="18">
        <v>-388668</v>
      </c>
      <c r="D53" s="18">
        <v>-559221</v>
      </c>
      <c r="E53" s="31">
        <f>D53+E95</f>
        <v>-732221</v>
      </c>
      <c r="F53" s="31">
        <f>E53+F95</f>
        <v>-905221</v>
      </c>
      <c r="G53" s="31">
        <f>F53+G95</f>
        <v>-1078221</v>
      </c>
      <c r="H53" s="31">
        <f>G53+H95</f>
        <v>-1251221</v>
      </c>
      <c r="I53" s="31">
        <f>H53+I95</f>
        <v>-1424221</v>
      </c>
      <c r="J53" s="18"/>
    </row>
    <row r="54" spans="1:10" x14ac:dyDescent="0.35">
      <c r="A54" s="23" t="s">
        <v>54</v>
      </c>
      <c r="B54" s="18"/>
      <c r="C54" s="19">
        <f t="shared" ref="C54:I54" si="11">SUM(C50:C53)</f>
        <v>648108</v>
      </c>
      <c r="D54" s="19">
        <f t="shared" si="11"/>
        <v>1046837</v>
      </c>
      <c r="E54" s="32">
        <f t="shared" si="11"/>
        <v>1489031.6718733767</v>
      </c>
      <c r="F54" s="32">
        <f t="shared" si="11"/>
        <v>1958318.7185726548</v>
      </c>
      <c r="G54" s="32">
        <f t="shared" si="11"/>
        <v>2481487.389002624</v>
      </c>
      <c r="H54" s="32">
        <f t="shared" si="11"/>
        <v>3073346.6743903514</v>
      </c>
      <c r="I54" s="32">
        <f t="shared" si="11"/>
        <v>3726381.6253725495</v>
      </c>
      <c r="J54" s="18"/>
    </row>
    <row r="55" spans="1:10" x14ac:dyDescent="0.35"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35">
      <c r="A56" s="23" t="s">
        <v>55</v>
      </c>
      <c r="B56" s="18"/>
      <c r="C56" s="19">
        <f t="shared" ref="C56:I56" si="12">C48+C54</f>
        <v>5668894</v>
      </c>
      <c r="D56" s="19">
        <f t="shared" si="12"/>
        <v>6349956</v>
      </c>
      <c r="E56" s="19">
        <f t="shared" si="12"/>
        <v>6549235.3340036003</v>
      </c>
      <c r="F56" s="19">
        <f t="shared" si="12"/>
        <v>7140332.0298097609</v>
      </c>
      <c r="G56" s="19">
        <f t="shared" si="12"/>
        <v>7810152.5376913678</v>
      </c>
      <c r="H56" s="19">
        <f t="shared" si="12"/>
        <v>8587607.5772290304</v>
      </c>
      <c r="I56" s="19">
        <f t="shared" si="12"/>
        <v>9408712.1880192701</v>
      </c>
      <c r="J56" s="18"/>
    </row>
    <row r="57" spans="1:10" x14ac:dyDescent="0.35"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35">
      <c r="A58" t="s">
        <v>75</v>
      </c>
      <c r="B58" s="18"/>
      <c r="C58" s="18">
        <f t="shared" ref="C58:I58" si="13">ROUND(C56-C33,3)</f>
        <v>0</v>
      </c>
      <c r="D58" s="18">
        <f t="shared" si="13"/>
        <v>0</v>
      </c>
      <c r="E58" s="18">
        <f t="shared" si="13"/>
        <v>-352670.26299999998</v>
      </c>
      <c r="F58" s="18">
        <f t="shared" si="13"/>
        <v>-148365.69099999999</v>
      </c>
      <c r="G58" s="18">
        <f t="shared" si="13"/>
        <v>95361.921000000002</v>
      </c>
      <c r="H58" s="18">
        <f t="shared" si="13"/>
        <v>341071.95899999997</v>
      </c>
      <c r="I58" s="18">
        <f t="shared" si="13"/>
        <v>677695.74800000002</v>
      </c>
      <c r="J58" s="18"/>
    </row>
    <row r="60" spans="1:10" x14ac:dyDescent="0.35">
      <c r="E60" s="18"/>
      <c r="J60" s="18"/>
    </row>
    <row r="62" spans="1:10" x14ac:dyDescent="0.35">
      <c r="J62" s="18"/>
    </row>
    <row r="63" spans="1:10" x14ac:dyDescent="0.35">
      <c r="A63" s="24" t="s">
        <v>27</v>
      </c>
      <c r="I63" s="18"/>
    </row>
    <row r="64" spans="1:10" x14ac:dyDescent="0.35">
      <c r="A64" s="25" t="s">
        <v>28</v>
      </c>
      <c r="B64" s="26">
        <f>'Income Statement'!B39</f>
        <v>0</v>
      </c>
      <c r="C64" s="26">
        <f>'Income Statement'!C39</f>
        <v>8.011253691400344E-2</v>
      </c>
      <c r="D64" s="26">
        <f>'Income Statement'!D39</f>
        <v>0.16018714164683545</v>
      </c>
      <c r="E64" s="26">
        <f>'Income Statement'!E39</f>
        <v>6.0999999999999999E-2</v>
      </c>
      <c r="F64" s="26">
        <f>'Income Statement'!F39</f>
        <v>4.3999999999999997E-2</v>
      </c>
      <c r="G64" s="26">
        <f>'Income Statement'!G39</f>
        <v>5.8000000000000003E-2</v>
      </c>
      <c r="H64" s="26">
        <f>'Income Statement'!H39</f>
        <v>5.8000000000000003E-2</v>
      </c>
      <c r="I64" s="26">
        <f>'Income Statement'!I39</f>
        <v>5.8000000000000003E-2</v>
      </c>
    </row>
    <row r="65" spans="1:11" x14ac:dyDescent="0.35">
      <c r="A65" t="s">
        <v>69</v>
      </c>
      <c r="B65" s="26">
        <f>'Income Statement'!B40</f>
        <v>2.206437832688047E-2</v>
      </c>
      <c r="C65" s="26">
        <f>'Income Statement'!C40</f>
        <v>2.2134730824435733E-2</v>
      </c>
      <c r="D65" s="26">
        <f>'Income Statement'!D40</f>
        <v>2.0970550682442812E-2</v>
      </c>
      <c r="E65" s="26">
        <f>'Income Statement'!E40</f>
        <v>2.0970550682442812E-2</v>
      </c>
      <c r="F65" s="26">
        <f>'Income Statement'!F40</f>
        <v>2.0970550682442812E-2</v>
      </c>
      <c r="G65" s="26">
        <f>'Income Statement'!G40</f>
        <v>2.0970550682442812E-2</v>
      </c>
      <c r="H65" s="26">
        <f>'Income Statement'!H40</f>
        <v>2.0970550682442812E-2</v>
      </c>
      <c r="I65" s="26">
        <f>'Income Statement'!I40</f>
        <v>2.0970550682442812E-2</v>
      </c>
    </row>
    <row r="66" spans="1:11" x14ac:dyDescent="0.35">
      <c r="A66" t="s">
        <v>72</v>
      </c>
      <c r="B66" s="26">
        <f>'Income Statement'!B41</f>
        <v>0</v>
      </c>
      <c r="C66" s="26">
        <f>'Income Statement'!C41</f>
        <v>7.4234270189620366E-2</v>
      </c>
      <c r="D66" s="26">
        <f>'Income Statement'!D41</f>
        <v>0.13708725760302851</v>
      </c>
      <c r="E66" s="26">
        <f>'Income Statement'!E41</f>
        <v>5.7492931196984037E-2</v>
      </c>
      <c r="F66" s="26">
        <f>'Income Statement'!F41</f>
        <v>4.214559386973174E-2</v>
      </c>
      <c r="G66" s="26">
        <f>'Income Statement'!G41</f>
        <v>5.4820415879017148E-2</v>
      </c>
      <c r="H66" s="26">
        <f>'Income Statement'!H41</f>
        <v>5.4820415879016891E-2</v>
      </c>
      <c r="I66" s="26">
        <f>'Income Statement'!I41</f>
        <v>5.4820415879017162E-2</v>
      </c>
    </row>
    <row r="67" spans="1:11" x14ac:dyDescent="0.35">
      <c r="A67" s="25" t="s">
        <v>29</v>
      </c>
      <c r="B67" s="26">
        <f>'Income Statement'!B42</f>
        <v>0.19306239260786298</v>
      </c>
      <c r="C67" s="26">
        <f>'Income Statement'!C42</f>
        <v>0.1847143586886468</v>
      </c>
      <c r="D67" s="26">
        <f>'Income Statement'!D42</f>
        <v>0.17765771092299756</v>
      </c>
      <c r="E67" s="26">
        <f>'Income Statement'!E42</f>
        <v>0.17299999999999999</v>
      </c>
      <c r="F67" s="26">
        <f>'Income Statement'!F42</f>
        <v>0.16997999999999999</v>
      </c>
      <c r="G67" s="26">
        <f>'Income Statement'!G42</f>
        <v>0.1701</v>
      </c>
      <c r="H67" s="26">
        <f>'Income Statement'!H42</f>
        <v>0.1701</v>
      </c>
      <c r="I67" s="26">
        <f>'Income Statement'!I42</f>
        <v>0.1701</v>
      </c>
    </row>
    <row r="68" spans="1:11" x14ac:dyDescent="0.35">
      <c r="A68" s="25" t="s">
        <v>70</v>
      </c>
      <c r="B68" s="26">
        <f>'Income Statement'!B43</f>
        <v>0.1519916687603618</v>
      </c>
      <c r="C68" s="26">
        <f>'Income Statement'!C43</f>
        <v>0.14672969726852061</v>
      </c>
      <c r="D68" s="26">
        <f>'Income Statement'!D43</f>
        <v>0.13882765672741959</v>
      </c>
      <c r="E68" s="26">
        <f>'Income Statement'!E43</f>
        <v>0.13400000000000001</v>
      </c>
      <c r="F68" s="26">
        <f>'Income Statement'!F43</f>
        <v>0.13195200000000001</v>
      </c>
      <c r="G68" s="26">
        <f>'Income Statement'!G43</f>
        <v>0.13109499999999999</v>
      </c>
      <c r="H68" s="26">
        <f>'Income Statement'!H43</f>
        <v>0.129528</v>
      </c>
      <c r="I68" s="26">
        <f>'Income Statement'!I43</f>
        <v>0.1286447</v>
      </c>
    </row>
    <row r="69" spans="1:11" x14ac:dyDescent="0.35">
      <c r="A69" s="25" t="s">
        <v>30</v>
      </c>
      <c r="B69" s="26">
        <f>'Income Statement'!B44</f>
        <v>0.24520301716645132</v>
      </c>
      <c r="C69" s="26">
        <f>'Income Statement'!C44</f>
        <v>0.23503125229664498</v>
      </c>
      <c r="D69" s="26">
        <f>'Income Statement'!D44</f>
        <v>0.25525832556145767</v>
      </c>
      <c r="E69" s="26">
        <f>'Income Statement'!E44</f>
        <v>0.2611</v>
      </c>
      <c r="F69" s="26">
        <f>'Income Statement'!F44</f>
        <v>0.2414</v>
      </c>
      <c r="G69" s="26">
        <f>'Income Statement'!G44</f>
        <v>0.2414</v>
      </c>
      <c r="H69" s="26">
        <f>'Income Statement'!H44</f>
        <v>0.2414</v>
      </c>
      <c r="I69" s="26">
        <f>'Income Statement'!I44</f>
        <v>0.2414</v>
      </c>
    </row>
    <row r="70" spans="1:11" x14ac:dyDescent="0.35">
      <c r="A70" s="25" t="s">
        <v>71</v>
      </c>
      <c r="B70" s="29">
        <f>'Income Statement'!B45</f>
        <v>6.4973547903468738E-4</v>
      </c>
      <c r="C70" s="29">
        <f>'Income Statement'!C45</f>
        <v>9.1387626856138688E-4</v>
      </c>
      <c r="D70" s="29">
        <f>'Income Statement'!D45</f>
        <v>1.3179208533898284E-3</v>
      </c>
      <c r="E70" s="29">
        <f>'Income Statement'!E45</f>
        <v>1.3179208533898284E-3</v>
      </c>
      <c r="F70" s="29">
        <f>'Income Statement'!F45</f>
        <v>1.3179208533898284E-3</v>
      </c>
      <c r="G70" s="29">
        <f>'Income Statement'!G45</f>
        <v>1.3179208533898284E-3</v>
      </c>
      <c r="H70" s="29">
        <f>'Income Statement'!H45</f>
        <v>1.3179208533898284E-3</v>
      </c>
      <c r="I70" s="29">
        <f>'Income Statement'!I45</f>
        <v>1.3179208533898284E-3</v>
      </c>
    </row>
    <row r="71" spans="1:11" x14ac:dyDescent="0.35">
      <c r="A71" t="s">
        <v>117</v>
      </c>
      <c r="C71" s="26">
        <f>C26/-'Income Statement'!C23</f>
        <v>0.8910645532861774</v>
      </c>
      <c r="D71" s="26">
        <f>D26/-'Income Statement'!D23</f>
        <v>0.81591660377961939</v>
      </c>
      <c r="E71" s="26">
        <f>D71</f>
        <v>0.81591660377961939</v>
      </c>
      <c r="F71" s="26">
        <f t="shared" ref="F71:I71" si="14">E71</f>
        <v>0.81591660377961939</v>
      </c>
      <c r="G71" s="26">
        <f t="shared" si="14"/>
        <v>0.81591660377961939</v>
      </c>
      <c r="H71" s="26">
        <f t="shared" si="14"/>
        <v>0.81591660377961939</v>
      </c>
      <c r="I71" s="26">
        <f t="shared" si="14"/>
        <v>0.81591660377961939</v>
      </c>
    </row>
    <row r="72" spans="1:11" x14ac:dyDescent="0.35">
      <c r="A72" t="s">
        <v>118</v>
      </c>
      <c r="C72" s="26">
        <f>C42/-'Income Statement'!C23</f>
        <v>0.91999801055575714</v>
      </c>
      <c r="D72" s="26">
        <f>D42/-'Income Statement'!D23</f>
        <v>0.85136624172537179</v>
      </c>
      <c r="E72" s="26">
        <f>D72</f>
        <v>0.85136624172537179</v>
      </c>
      <c r="F72" s="26">
        <f t="shared" ref="F72:I72" si="15">E72</f>
        <v>0.85136624172537179</v>
      </c>
      <c r="G72" s="26">
        <f t="shared" si="15"/>
        <v>0.85136624172537179</v>
      </c>
      <c r="H72" s="26">
        <f t="shared" si="15"/>
        <v>0.85136624172537179</v>
      </c>
      <c r="I72" s="26">
        <f t="shared" si="15"/>
        <v>0.85136624172537179</v>
      </c>
    </row>
    <row r="73" spans="1:11" x14ac:dyDescent="0.35">
      <c r="A73" s="13" t="s">
        <v>76</v>
      </c>
      <c r="B73" s="14"/>
      <c r="C73" s="14"/>
      <c r="D73" s="14"/>
      <c r="E73" s="33"/>
      <c r="F73" s="33"/>
      <c r="G73" s="33"/>
      <c r="H73" s="33"/>
      <c r="I73" s="33"/>
    </row>
    <row r="74" spans="1:11" x14ac:dyDescent="0.35">
      <c r="A74" t="s">
        <v>9</v>
      </c>
      <c r="B74" s="15">
        <f t="shared" ref="B74:I75" si="16">B15</f>
        <v>2021</v>
      </c>
      <c r="C74" s="15">
        <f t="shared" si="16"/>
        <v>2022</v>
      </c>
      <c r="D74" s="15">
        <f t="shared" si="16"/>
        <v>2023</v>
      </c>
      <c r="E74" s="15">
        <f t="shared" si="16"/>
        <v>2024</v>
      </c>
      <c r="F74" s="15">
        <f t="shared" si="16"/>
        <v>2025</v>
      </c>
      <c r="G74" s="15">
        <f t="shared" si="16"/>
        <v>2026</v>
      </c>
      <c r="H74" s="15">
        <f t="shared" si="16"/>
        <v>2027</v>
      </c>
      <c r="I74" s="15">
        <f t="shared" si="16"/>
        <v>2028</v>
      </c>
    </row>
    <row r="75" spans="1:11" x14ac:dyDescent="0.35">
      <c r="A75" s="16" t="s">
        <v>10</v>
      </c>
      <c r="B75" s="67">
        <f t="shared" si="16"/>
        <v>44226</v>
      </c>
      <c r="C75" s="67">
        <f t="shared" si="16"/>
        <v>44590</v>
      </c>
      <c r="D75" s="67">
        <f t="shared" si="16"/>
        <v>44954</v>
      </c>
      <c r="E75" s="48">
        <f t="shared" si="16"/>
        <v>45319</v>
      </c>
      <c r="F75" s="48">
        <f t="shared" si="16"/>
        <v>45685</v>
      </c>
      <c r="G75" s="48">
        <f t="shared" si="16"/>
        <v>46050</v>
      </c>
      <c r="H75" s="48">
        <f t="shared" si="16"/>
        <v>46415</v>
      </c>
      <c r="I75" s="48">
        <f t="shared" si="16"/>
        <v>46780</v>
      </c>
    </row>
    <row r="76" spans="1:11" x14ac:dyDescent="0.35">
      <c r="A76" s="23"/>
      <c r="E76" s="34" t="s">
        <v>77</v>
      </c>
      <c r="F76" s="34"/>
      <c r="G76" s="34"/>
      <c r="H76" s="34"/>
      <c r="I76" s="34"/>
    </row>
    <row r="77" spans="1:11" x14ac:dyDescent="0.35">
      <c r="A77" s="21" t="s">
        <v>78</v>
      </c>
      <c r="D77" s="50">
        <f>C80</f>
        <v>942331</v>
      </c>
      <c r="E77" s="35">
        <f>D80</f>
        <v>1337029</v>
      </c>
      <c r="F77" s="35">
        <f t="shared" ref="F77:I77" si="17">E80</f>
        <v>1557404.7906908696</v>
      </c>
      <c r="G77" s="35">
        <f t="shared" si="17"/>
        <v>1765475.2953778629</v>
      </c>
      <c r="H77" s="35">
        <f t="shared" si="17"/>
        <v>1965602.2513465206</v>
      </c>
      <c r="I77" s="35">
        <f t="shared" si="17"/>
        <v>2184544.3164139031</v>
      </c>
      <c r="K77" t="s">
        <v>79</v>
      </c>
    </row>
    <row r="78" spans="1:11" x14ac:dyDescent="0.35">
      <c r="A78" s="36" t="s">
        <v>80</v>
      </c>
      <c r="B78" s="37">
        <v>192440</v>
      </c>
      <c r="C78" s="50">
        <v>304511</v>
      </c>
      <c r="D78" s="50">
        <v>397803</v>
      </c>
      <c r="E78" s="49">
        <v>442430</v>
      </c>
      <c r="F78" s="49">
        <v>435200</v>
      </c>
      <c r="G78" s="49">
        <v>436860</v>
      </c>
      <c r="H78" s="49">
        <v>499750</v>
      </c>
      <c r="I78" s="49">
        <f>526750</f>
        <v>526750</v>
      </c>
      <c r="K78" t="s">
        <v>87</v>
      </c>
    </row>
    <row r="79" spans="1:11" x14ac:dyDescent="0.35">
      <c r="A79" s="38" t="s">
        <v>81</v>
      </c>
      <c r="B79" s="39">
        <v>-155600</v>
      </c>
      <c r="C79" s="39">
        <v>-171100</v>
      </c>
      <c r="D79" s="39">
        <v>-191700</v>
      </c>
      <c r="E79" s="40">
        <f>-E78*E82</f>
        <v>-222054.20930913038</v>
      </c>
      <c r="F79" s="40">
        <f t="shared" ref="F79:I79" si="18">-F78*F82</f>
        <v>-227129.49531300669</v>
      </c>
      <c r="G79" s="40">
        <f t="shared" si="18"/>
        <v>-236733.04403134214</v>
      </c>
      <c r="H79" s="40">
        <f t="shared" si="18"/>
        <v>-280807.93493261741</v>
      </c>
      <c r="I79" s="40">
        <f t="shared" si="18"/>
        <v>-306514.14902602544</v>
      </c>
      <c r="K79" t="s">
        <v>82</v>
      </c>
    </row>
    <row r="80" spans="1:11" x14ac:dyDescent="0.35">
      <c r="A80" s="41" t="s">
        <v>83</v>
      </c>
      <c r="B80" s="42"/>
      <c r="C80" s="37">
        <f>C27</f>
        <v>942331</v>
      </c>
      <c r="D80" s="37">
        <f>D27</f>
        <v>1337029</v>
      </c>
      <c r="E80" s="43">
        <f>E77+E78+E79</f>
        <v>1557404.7906908696</v>
      </c>
      <c r="F80" s="43">
        <f t="shared" ref="F80:I80" si="19">F77+F78+F79</f>
        <v>1765475.2953778629</v>
      </c>
      <c r="G80" s="43">
        <f t="shared" si="19"/>
        <v>1965602.2513465206</v>
      </c>
      <c r="H80" s="43">
        <f t="shared" si="19"/>
        <v>2184544.3164139031</v>
      </c>
      <c r="I80" s="43">
        <f t="shared" si="19"/>
        <v>2404780.1673878776</v>
      </c>
      <c r="K80" t="s">
        <v>84</v>
      </c>
    </row>
    <row r="81" spans="1:15" x14ac:dyDescent="0.35">
      <c r="A81" s="21"/>
      <c r="E81" s="44"/>
      <c r="F81" s="44"/>
      <c r="G81" s="44"/>
      <c r="H81" s="44"/>
      <c r="I81" s="44"/>
      <c r="K81" s="24" t="s">
        <v>85</v>
      </c>
    </row>
    <row r="82" spans="1:15" x14ac:dyDescent="0.35">
      <c r="A82" s="21" t="s">
        <v>86</v>
      </c>
      <c r="B82" s="45"/>
      <c r="C82" s="45">
        <f>-C79/C78</f>
        <v>0.56188446394383129</v>
      </c>
      <c r="D82" s="45">
        <f t="shared" ref="D82" si="20">-D79/D78</f>
        <v>0.48189681827437197</v>
      </c>
      <c r="E82" s="46">
        <f>D82+$K$82</f>
        <v>0.50189681827437194</v>
      </c>
      <c r="F82" s="46">
        <f>E82+$K$82</f>
        <v>0.52189681827437195</v>
      </c>
      <c r="G82" s="46">
        <f>F82+$K$82</f>
        <v>0.54189681827437197</v>
      </c>
      <c r="H82" s="46">
        <f>G82+$K$82</f>
        <v>0.56189681827437199</v>
      </c>
      <c r="I82" s="46">
        <f>H82+$K$82</f>
        <v>0.58189681827437201</v>
      </c>
      <c r="K82" s="47">
        <v>0.02</v>
      </c>
    </row>
    <row r="84" spans="1:15" x14ac:dyDescent="0.35">
      <c r="A84" s="51" t="s">
        <v>88</v>
      </c>
      <c r="B84" s="52"/>
      <c r="C84" s="52"/>
      <c r="D84" s="52"/>
      <c r="E84" s="53"/>
      <c r="F84" s="53"/>
      <c r="G84" s="53"/>
      <c r="H84" s="53"/>
      <c r="I84" s="53"/>
      <c r="M84" s="54"/>
      <c r="N84" s="54"/>
      <c r="O84" s="54"/>
    </row>
    <row r="85" spans="1:15" x14ac:dyDescent="0.35">
      <c r="A85" s="21" t="s">
        <v>89</v>
      </c>
      <c r="B85" s="50">
        <f>B87+B79</f>
        <v>11854</v>
      </c>
      <c r="C85" s="50">
        <f>C87+C79</f>
        <v>9448</v>
      </c>
      <c r="D85" s="50">
        <f>D87+D79</f>
        <v>9234</v>
      </c>
      <c r="E85" s="55">
        <f>'Income Statement'!E20*'Balance Sheet '!E86</f>
        <v>9797.2740000000013</v>
      </c>
      <c r="F85" s="55">
        <f>'Income Statement'!F20*'Balance Sheet '!F86</f>
        <v>10228.354056</v>
      </c>
      <c r="G85" s="55">
        <f>'Income Statement'!G20*'Balance Sheet '!G86</f>
        <v>10821.598591248001</v>
      </c>
      <c r="H85" s="55">
        <f>'Income Statement'!H20*'Balance Sheet '!H86</f>
        <v>11449.251309540385</v>
      </c>
      <c r="I85" s="55">
        <f>'Income Statement'!I20*'Balance Sheet '!I86</f>
        <v>12113.307885493728</v>
      </c>
      <c r="K85" t="s">
        <v>90</v>
      </c>
      <c r="M85" s="54"/>
      <c r="N85" s="54"/>
      <c r="O85" s="54"/>
    </row>
    <row r="86" spans="1:15" x14ac:dyDescent="0.35">
      <c r="A86" s="25" t="s">
        <v>91</v>
      </c>
      <c r="B86" s="57">
        <f>B85/'Income Statement'!B20</f>
        <v>7.6824283472921645E-4</v>
      </c>
      <c r="C86" s="57">
        <f>C85/'Income Statement'!C20</f>
        <v>5.6685839135812142E-4</v>
      </c>
      <c r="D86" s="57">
        <f>D85/'Income Statement'!D20</f>
        <v>4.7806995177105657E-4</v>
      </c>
      <c r="E86" s="57">
        <f>D86</f>
        <v>4.7806995177105657E-4</v>
      </c>
      <c r="F86" s="57">
        <f t="shared" ref="F86:I86" si="21">E86</f>
        <v>4.7806995177105657E-4</v>
      </c>
      <c r="G86" s="57">
        <f t="shared" si="21"/>
        <v>4.7806995177105657E-4</v>
      </c>
      <c r="H86" s="57">
        <f t="shared" si="21"/>
        <v>4.7806995177105657E-4</v>
      </c>
      <c r="I86" s="57">
        <f t="shared" si="21"/>
        <v>4.7806995177105657E-4</v>
      </c>
      <c r="K86" t="s">
        <v>92</v>
      </c>
      <c r="M86" s="54"/>
      <c r="N86" s="54"/>
      <c r="O86" s="54"/>
    </row>
    <row r="87" spans="1:15" x14ac:dyDescent="0.35">
      <c r="A87" s="22" t="s">
        <v>93</v>
      </c>
      <c r="B87" s="42">
        <v>167454</v>
      </c>
      <c r="C87" s="42">
        <v>180548</v>
      </c>
      <c r="D87" s="42">
        <v>200934</v>
      </c>
      <c r="E87" s="56">
        <f>-E79+E85</f>
        <v>231851.48330913039</v>
      </c>
      <c r="F87" s="56">
        <f>-F79+F85</f>
        <v>237357.8493690067</v>
      </c>
      <c r="G87" s="56">
        <f>-G79+G85</f>
        <v>247554.64262259015</v>
      </c>
      <c r="H87" s="56">
        <f>-H79+H85</f>
        <v>292257.18624215783</v>
      </c>
      <c r="I87" s="56">
        <f>-I79+I85</f>
        <v>318627.45691151917</v>
      </c>
      <c r="K87" t="s">
        <v>94</v>
      </c>
      <c r="M87" s="54"/>
      <c r="N87" s="54"/>
      <c r="O87" s="54"/>
    </row>
    <row r="90" spans="1:15" x14ac:dyDescent="0.35">
      <c r="A90" t="s">
        <v>95</v>
      </c>
    </row>
    <row r="91" spans="1:15" x14ac:dyDescent="0.35">
      <c r="A91" s="60" t="s">
        <v>110</v>
      </c>
      <c r="B91" s="61"/>
      <c r="C91" s="61"/>
      <c r="D91" s="61"/>
      <c r="E91" s="14"/>
      <c r="F91" s="14"/>
      <c r="G91" s="14"/>
      <c r="H91" s="14"/>
      <c r="I91" s="14"/>
    </row>
    <row r="92" spans="1:15" x14ac:dyDescent="0.35">
      <c r="A92" s="21" t="s">
        <v>78</v>
      </c>
      <c r="C92" s="50">
        <f>B96</f>
        <v>-295339</v>
      </c>
      <c r="D92" s="50">
        <f t="shared" ref="D92" si="22">C96</f>
        <v>-63003</v>
      </c>
      <c r="E92" s="62">
        <f>D96</f>
        <v>277886</v>
      </c>
      <c r="F92" s="62">
        <f t="shared" ref="F92:I92" si="23">E96</f>
        <v>675489.36744359322</v>
      </c>
      <c r="G92" s="62">
        <f t="shared" si="23"/>
        <v>1098305.7827064691</v>
      </c>
      <c r="H92" s="62">
        <f t="shared" si="23"/>
        <v>1572456.2823585318</v>
      </c>
      <c r="I92" s="62">
        <f t="shared" si="23"/>
        <v>2112610.2004606794</v>
      </c>
      <c r="K92" t="s">
        <v>79</v>
      </c>
    </row>
    <row r="93" spans="1:15" x14ac:dyDescent="0.35">
      <c r="A93" s="25" t="s">
        <v>102</v>
      </c>
      <c r="B93" s="63">
        <f>'Income Statement'!B31</f>
        <v>421030</v>
      </c>
      <c r="C93" s="63">
        <f>'Income Statement'!C31</f>
        <v>426652</v>
      </c>
      <c r="D93" s="63">
        <f>'Income Statement'!D31</f>
        <v>513177</v>
      </c>
      <c r="E93" s="63">
        <f>'Income Statement'!E31</f>
        <v>570603.36744359322</v>
      </c>
      <c r="F93" s="63">
        <f>'Income Statement'!F31</f>
        <v>595816.41526287585</v>
      </c>
      <c r="G93" s="63">
        <f>'Income Statement'!G31</f>
        <v>647150.49965206289</v>
      </c>
      <c r="H93" s="63">
        <f>'Income Statement'!H31</f>
        <v>713153.91810214764</v>
      </c>
      <c r="I93" s="63">
        <f>'Income Statement'!I31</f>
        <v>771495.07395884488</v>
      </c>
      <c r="K93" t="s">
        <v>103</v>
      </c>
    </row>
    <row r="94" spans="1:15" x14ac:dyDescent="0.35">
      <c r="A94" s="25" t="s">
        <v>104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K94" t="s">
        <v>105</v>
      </c>
    </row>
    <row r="95" spans="1:15" x14ac:dyDescent="0.35">
      <c r="A95" s="64" t="s">
        <v>106</v>
      </c>
      <c r="B95" s="39">
        <v>-106203</v>
      </c>
      <c r="C95" s="39">
        <v>-194316</v>
      </c>
      <c r="D95" s="39">
        <v>-172288</v>
      </c>
      <c r="E95" s="65">
        <v>-173000</v>
      </c>
      <c r="F95" s="65">
        <v>-173000</v>
      </c>
      <c r="G95" s="65">
        <v>-173000</v>
      </c>
      <c r="H95" s="65">
        <v>-173000</v>
      </c>
      <c r="I95" s="65">
        <v>-173000</v>
      </c>
      <c r="K95" t="s">
        <v>107</v>
      </c>
    </row>
    <row r="96" spans="1:15" x14ac:dyDescent="0.35">
      <c r="A96" s="41" t="s">
        <v>83</v>
      </c>
      <c r="B96" s="66">
        <v>-295339</v>
      </c>
      <c r="C96" s="66">
        <f>SUM(C92:C95)</f>
        <v>-63003</v>
      </c>
      <c r="D96" s="66">
        <f t="shared" ref="D96" si="24">SUM(D92:D95)</f>
        <v>277886</v>
      </c>
      <c r="E96" s="66">
        <f>SUM(E92:E95)</f>
        <v>675489.36744359322</v>
      </c>
      <c r="F96" s="66">
        <f t="shared" ref="F96:I96" si="25">SUM(F92:F95)</f>
        <v>1098305.7827064691</v>
      </c>
      <c r="G96" s="66">
        <f t="shared" si="25"/>
        <v>1572456.2823585318</v>
      </c>
      <c r="H96" s="66">
        <f t="shared" si="25"/>
        <v>2112610.2004606794</v>
      </c>
      <c r="I96" s="66">
        <f t="shared" si="25"/>
        <v>2711105.2744195242</v>
      </c>
      <c r="K96" t="s">
        <v>108</v>
      </c>
    </row>
    <row r="100" spans="2:2" x14ac:dyDescent="0.35">
      <c r="B100" s="68"/>
    </row>
  </sheetData>
  <conditionalFormatting sqref="A68">
    <cfRule type="expression" dxfId="0" priority="1">
      <formula>#REF!=#REF!</formula>
    </cfRule>
  </conditionalFormatting>
  <dataValidations disablePrompts="1" count="2">
    <dataValidation type="list" allowBlank="1" showInputMessage="1" showErrorMessage="1" sqref="B8" xr:uid="{DC069FCD-D41F-4746-B748-85F46C492FC7}">
      <formula1>"0,1"</formula1>
    </dataValidation>
    <dataValidation type="list" allowBlank="1" showInputMessage="1" showErrorMessage="1" sqref="A4" xr:uid="{091539B5-7DAC-4139-A23F-EF13D0016F6C}">
      <formula1>"$ bns except per share, $ mm except per share,$ in thousands except per share"</formula1>
    </dataValidation>
  </dataValidations>
  <pageMargins left="0.7" right="0.7" top="0.75" bottom="0.75" header="0.3" footer="0.3"/>
  <pageSetup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8492-C014-4490-B7A4-C73CF942DF74}">
  <dimension ref="A2:J43"/>
  <sheetViews>
    <sheetView topLeftCell="A9" workbookViewId="0">
      <selection activeCell="B27" sqref="B27"/>
    </sheetView>
  </sheetViews>
  <sheetFormatPr defaultRowHeight="14.5" x14ac:dyDescent="0.35"/>
  <cols>
    <col min="1" max="1" width="52.54296875" customWidth="1"/>
    <col min="2" max="2" width="36" customWidth="1"/>
    <col min="5" max="5" width="16.90625" customWidth="1"/>
    <col min="6" max="6" width="14.7265625" customWidth="1"/>
    <col min="7" max="7" width="16.6328125" customWidth="1"/>
    <col min="8" max="8" width="10.6328125" customWidth="1"/>
    <col min="9" max="9" width="19.26953125" customWidth="1"/>
  </cols>
  <sheetData>
    <row r="2" spans="1:9" ht="15" thickBot="1" x14ac:dyDescent="0.4"/>
    <row r="3" spans="1:9" ht="15" thickBot="1" x14ac:dyDescent="0.4">
      <c r="A3" s="1" t="str">
        <f>"Financial Statement Model for "&amp;B6</f>
        <v xml:space="preserve">Financial Statement Model for </v>
      </c>
      <c r="B3" s="2"/>
      <c r="C3" s="2"/>
      <c r="D3" s="2"/>
      <c r="E3" s="2"/>
      <c r="F3" s="2"/>
      <c r="G3" s="2"/>
      <c r="H3" s="2"/>
      <c r="I3" s="2"/>
    </row>
    <row r="4" spans="1:9" x14ac:dyDescent="0.35">
      <c r="A4" s="3" t="s">
        <v>0</v>
      </c>
      <c r="B4" s="4"/>
      <c r="C4" s="4"/>
      <c r="D4" s="4"/>
      <c r="E4" s="4"/>
      <c r="F4" s="4"/>
    </row>
    <row r="6" spans="1:9" x14ac:dyDescent="0.35">
      <c r="A6" s="5" t="s">
        <v>1</v>
      </c>
      <c r="B6" s="6"/>
    </row>
    <row r="7" spans="1:9" x14ac:dyDescent="0.35">
      <c r="A7" s="5" t="s">
        <v>2</v>
      </c>
      <c r="B7" s="6"/>
    </row>
    <row r="8" spans="1:9" x14ac:dyDescent="0.35">
      <c r="A8" t="s">
        <v>3</v>
      </c>
      <c r="B8" s="7"/>
    </row>
    <row r="9" spans="1:9" x14ac:dyDescent="0.35">
      <c r="A9" t="s">
        <v>4</v>
      </c>
      <c r="B9" s="8"/>
    </row>
    <row r="10" spans="1:9" x14ac:dyDescent="0.35">
      <c r="A10" t="s">
        <v>5</v>
      </c>
      <c r="B10" s="9">
        <v>45135</v>
      </c>
    </row>
    <row r="11" spans="1:9" x14ac:dyDescent="0.35">
      <c r="A11" s="5" t="s">
        <v>6</v>
      </c>
      <c r="B11" s="10">
        <v>44954</v>
      </c>
      <c r="E11" s="11"/>
    </row>
    <row r="12" spans="1:9" x14ac:dyDescent="0.35">
      <c r="A12" t="s">
        <v>7</v>
      </c>
      <c r="B12" s="12">
        <v>133903.598</v>
      </c>
    </row>
    <row r="14" spans="1:9" x14ac:dyDescent="0.35">
      <c r="A14" s="13" t="s">
        <v>68</v>
      </c>
      <c r="B14" s="14"/>
      <c r="C14" s="14"/>
      <c r="D14" s="14"/>
    </row>
    <row r="15" spans="1:9" x14ac:dyDescent="0.35">
      <c r="A15" t="s">
        <v>9</v>
      </c>
      <c r="B15" s="15">
        <f>C15-1</f>
        <v>2021</v>
      </c>
      <c r="C15" s="15">
        <f>D15-1</f>
        <v>2022</v>
      </c>
      <c r="D15" s="15">
        <f>YEAR(B11)</f>
        <v>2023</v>
      </c>
      <c r="E15" s="27">
        <f>D15+1</f>
        <v>2024</v>
      </c>
      <c r="F15" s="27">
        <f t="shared" ref="F15:I15" si="0">E15+1</f>
        <v>2025</v>
      </c>
      <c r="G15" s="27">
        <f t="shared" si="0"/>
        <v>2026</v>
      </c>
      <c r="H15" s="27">
        <f t="shared" si="0"/>
        <v>2027</v>
      </c>
      <c r="I15" s="27">
        <f t="shared" si="0"/>
        <v>2028</v>
      </c>
    </row>
    <row r="16" spans="1:9" x14ac:dyDescent="0.35">
      <c r="A16" s="16" t="s">
        <v>10</v>
      </c>
      <c r="B16" s="17">
        <v>44226</v>
      </c>
      <c r="C16" s="17">
        <v>44590</v>
      </c>
      <c r="D16" s="17">
        <f>B11</f>
        <v>44954</v>
      </c>
      <c r="E16" s="28">
        <v>45319</v>
      </c>
      <c r="F16" s="28">
        <v>45685</v>
      </c>
      <c r="G16" s="28">
        <v>46050</v>
      </c>
      <c r="H16" s="28">
        <v>46415</v>
      </c>
      <c r="I16" s="28">
        <v>46780</v>
      </c>
    </row>
    <row r="18" spans="1:10" x14ac:dyDescent="0.35">
      <c r="A18" t="s">
        <v>56</v>
      </c>
      <c r="E18" s="18">
        <f>'Income Statement'!E31</f>
        <v>570603.36744359322</v>
      </c>
      <c r="F18" s="18">
        <f>'Income Statement'!F31</f>
        <v>595816.41526287585</v>
      </c>
      <c r="G18" s="18">
        <f>'Income Statement'!G31</f>
        <v>647150.49965206289</v>
      </c>
      <c r="H18" s="18">
        <f>'Income Statement'!H31</f>
        <v>713153.91810214764</v>
      </c>
      <c r="I18" s="18">
        <f>'Income Statement'!I31</f>
        <v>771495.07395884488</v>
      </c>
    </row>
    <row r="19" spans="1:10" x14ac:dyDescent="0.35">
      <c r="A19" t="s">
        <v>57</v>
      </c>
      <c r="E19" s="18">
        <f>'Income Statement'!E34</f>
        <v>231851.48330913039</v>
      </c>
      <c r="F19" s="18">
        <f>'Income Statement'!F34</f>
        <v>237357.8493690067</v>
      </c>
      <c r="G19" s="18">
        <f>'Income Statement'!G34</f>
        <v>247554.64262259015</v>
      </c>
      <c r="H19" s="18">
        <f>'Income Statement'!H34</f>
        <v>292257.18624215783</v>
      </c>
      <c r="I19" s="18">
        <f>'Income Statement'!I34</f>
        <v>318627.45691151917</v>
      </c>
    </row>
    <row r="20" spans="1:10" x14ac:dyDescent="0.35">
      <c r="A20" t="s">
        <v>25</v>
      </c>
      <c r="E20" s="18">
        <f>-'Income Statement'!E25</f>
        <v>44591.304429783224</v>
      </c>
      <c r="F20" s="18">
        <f>-'Income Statement'!F25</f>
        <v>46470.631436402437</v>
      </c>
      <c r="G20" s="18">
        <f>-'Income Statement'!G25</f>
        <v>49018.17077790654</v>
      </c>
      <c r="H20" s="18">
        <f>-'Income Statement'!H25</f>
        <v>51705.367285580047</v>
      </c>
      <c r="I20" s="18">
        <f>-'Income Statement'!I25</f>
        <v>54539.87702335287</v>
      </c>
    </row>
    <row r="21" spans="1:10" x14ac:dyDescent="0.35">
      <c r="A21" t="s">
        <v>116</v>
      </c>
      <c r="B21" t="s">
        <v>95</v>
      </c>
      <c r="E21" s="18">
        <f>'Balance Sheet '!D26-'Balance Sheet '!E26</f>
        <v>-61292.442048165016</v>
      </c>
      <c r="F21" s="18">
        <f>'Balance Sheet '!E26-'Balance Sheet '!F26</f>
        <v>-61301.884910274763</v>
      </c>
      <c r="G21" s="18">
        <f>'Balance Sheet '!F26-'Balance Sheet '!G26</f>
        <v>-115692.65948198689</v>
      </c>
      <c r="H21" s="18">
        <f>'Balance Sheet '!G26-'Balance Sheet '!H26</f>
        <v>-107617.79875329277</v>
      </c>
      <c r="I21" s="18">
        <f>'Balance Sheet '!H26-'Balance Sheet '!I26</f>
        <v>-126225.23384004878</v>
      </c>
    </row>
    <row r="22" spans="1:10" x14ac:dyDescent="0.35">
      <c r="A22" t="s">
        <v>115</v>
      </c>
      <c r="E22" s="18">
        <f>'Balance Sheet '!E42-'Balance Sheet '!D42</f>
        <v>63955.453034034465</v>
      </c>
      <c r="F22" s="18">
        <f>'Balance Sheet '!F42-'Balance Sheet '!E42</f>
        <v>63965.306166068185</v>
      </c>
      <c r="G22" s="18">
        <f>'Balance Sheet '!G42-'Balance Sheet '!F42</f>
        <v>120719.23066906584</v>
      </c>
      <c r="H22" s="18">
        <f>'Balance Sheet '!H42-'Balance Sheet '!G42</f>
        <v>112293.53642629785</v>
      </c>
      <c r="I22" s="18">
        <f>'Balance Sheet '!I42-'Balance Sheet '!H42</f>
        <v>131709.42035925901</v>
      </c>
    </row>
    <row r="23" spans="1:10" x14ac:dyDescent="0.35">
      <c r="A23" t="s">
        <v>111</v>
      </c>
      <c r="E23" s="18">
        <f>-1*(SUM('Balance Sheet '!E20:E22)-SUM('Balance Sheet '!D20:D22))</f>
        <v>-109093.69211012777</v>
      </c>
      <c r="F23" s="18">
        <f>-1*(SUM('Balance Sheet '!F20:F22)-SUM('Balance Sheet '!E20:E22))</f>
        <v>-83288.225363621954</v>
      </c>
      <c r="G23" s="18">
        <f>-1*(SUM('Balance Sheet '!G20:G22)-SUM('Balance Sheet '!F20:F22))</f>
        <v>-106724.62251906772</v>
      </c>
      <c r="H23" s="18">
        <f>-1*(SUM('Balance Sheet '!H20:H22)-SUM('Balance Sheet '!G20:G22))</f>
        <v>-113094.54382757121</v>
      </c>
      <c r="I23" s="18">
        <f>-1*(SUM('Balance Sheet '!I20:I22)-SUM('Balance Sheet '!H20:H22))</f>
        <v>-107525.7848521038</v>
      </c>
    </row>
    <row r="24" spans="1:10" x14ac:dyDescent="0.35">
      <c r="A24" t="s">
        <v>112</v>
      </c>
      <c r="E24" s="18">
        <f>SUM('Balance Sheet '!E36:E37)-SUM('Balance Sheet '!D36:D37)</f>
        <v>102072.67657969473</v>
      </c>
      <c r="F24" s="18">
        <f>SUM('Balance Sheet '!F36:F37)-SUM('Balance Sheet '!E36:E37)</f>
        <v>82953.105938203167</v>
      </c>
      <c r="G24" s="18">
        <f>SUM('Balance Sheet '!G36:G37)-SUM('Balance Sheet '!F36:F37)</f>
        <v>118762.22055184701</v>
      </c>
      <c r="H24" s="18">
        <f>SUM('Balance Sheet '!H36:H37)-SUM('Balance Sheet '!G36:G37)</f>
        <v>120560.18461069791</v>
      </c>
      <c r="I24" s="18">
        <f>SUM('Balance Sheet '!I36:I37)-SUM('Balance Sheet '!H36:H37)</f>
        <v>131980.96822568029</v>
      </c>
    </row>
    <row r="25" spans="1:10" x14ac:dyDescent="0.35">
      <c r="A25" t="s">
        <v>114</v>
      </c>
      <c r="E25" s="18">
        <f>'Balance Sheet '!D44-'Balance Sheet '!E44</f>
        <v>-3278.4769085768203</v>
      </c>
      <c r="F25" s="18">
        <f>'Balance Sheet '!E44-'Balance Sheet '!F44</f>
        <v>-2541.4837011277559</v>
      </c>
      <c r="G25" s="18">
        <f>'Balance Sheet '!F44-'Balance Sheet '!G44</f>
        <v>-3445.132056108574</v>
      </c>
      <c r="H25" s="18">
        <f>'Balance Sheet '!G44-'Balance Sheet '!H44</f>
        <v>-3633.995628182558</v>
      </c>
      <c r="I25" s="18">
        <f>'Balance Sheet '!H44-'Balance Sheet '!I44</f>
        <v>-3833.2127798220754</v>
      </c>
    </row>
    <row r="26" spans="1:10" x14ac:dyDescent="0.35">
      <c r="A26" t="s">
        <v>58</v>
      </c>
      <c r="E26" s="18">
        <f>'Balance Sheet '!D30-'Balance Sheet '!E30</f>
        <v>-1778.7163053722943</v>
      </c>
      <c r="F26" s="18">
        <f>'Balance Sheet '!E30-'Balance Sheet '!F30</f>
        <v>-1378.8654381574488</v>
      </c>
      <c r="G26" s="18">
        <f>'Balance Sheet '!F30-'Balance Sheet '!G30</f>
        <v>-1869.1339708173255</v>
      </c>
      <c r="H26" s="18">
        <f>'Balance Sheet '!G30-'Balance Sheet '!H30</f>
        <v>-1971.6006724311228</v>
      </c>
      <c r="I26" s="18">
        <f>'Balance Sheet '!H30-'Balance Sheet '!I30</f>
        <v>-2079.6846412411542</v>
      </c>
    </row>
    <row r="27" spans="1:10" x14ac:dyDescent="0.35">
      <c r="A27" t="s">
        <v>59</v>
      </c>
      <c r="E27" s="18">
        <f>'Balance Sheet '!D45-'Balance Sheet '!E45</f>
        <v>-11158.055607917078</v>
      </c>
      <c r="F27" s="18">
        <f>'Balance Sheet '!E45-'Balance Sheet '!F45</f>
        <v>-8649.7533014830842</v>
      </c>
      <c r="G27" s="18">
        <f>'Balance Sheet '!F45-'Balance Sheet '!G45</f>
        <v>-11725.25417461741</v>
      </c>
      <c r="H27" s="18">
        <f>'Balance Sheet '!G45-'Balance Sheet '!H45</f>
        <v>-12368.037484757078</v>
      </c>
      <c r="I27" s="18">
        <f>'Balance Sheet '!H45-'Balance Sheet '!I45</f>
        <v>-13046.058443278773</v>
      </c>
    </row>
    <row r="28" spans="1:10" x14ac:dyDescent="0.35">
      <c r="A28" s="23" t="s">
        <v>60</v>
      </c>
      <c r="E28" s="19">
        <f>SUM(E18:E27)</f>
        <v>826472.90181607706</v>
      </c>
      <c r="F28" s="19">
        <f>SUM(F18:F27)</f>
        <v>869403.09545789124</v>
      </c>
      <c r="G28" s="19">
        <f>SUM(G18:G27)</f>
        <v>943747.96207087464</v>
      </c>
      <c r="H28" s="19">
        <f>SUM(H18:H27)</f>
        <v>1051284.2163006465</v>
      </c>
      <c r="I28" s="19">
        <f>SUM(I18:I27)</f>
        <v>1155642.8219221616</v>
      </c>
    </row>
    <row r="29" spans="1:10" x14ac:dyDescent="0.35">
      <c r="E29" s="18"/>
      <c r="F29" s="18"/>
      <c r="G29" s="18"/>
      <c r="H29" s="18"/>
      <c r="I29" s="18"/>
    </row>
    <row r="30" spans="1:10" x14ac:dyDescent="0.35">
      <c r="A30" t="s">
        <v>61</v>
      </c>
      <c r="E30" s="18">
        <f>-'Balance Sheet '!E78</f>
        <v>-442430</v>
      </c>
      <c r="F30" s="18">
        <f>-'Balance Sheet '!F78</f>
        <v>-435200</v>
      </c>
      <c r="G30" s="18">
        <f>-'Balance Sheet '!G78</f>
        <v>-436860</v>
      </c>
      <c r="H30" s="18">
        <f>-'Balance Sheet '!H78</f>
        <v>-499750</v>
      </c>
      <c r="I30" s="18">
        <f>-'Balance Sheet '!I78</f>
        <v>-526750</v>
      </c>
      <c r="J30" s="18"/>
    </row>
    <row r="31" spans="1:10" x14ac:dyDescent="0.35">
      <c r="A31" s="23" t="s">
        <v>62</v>
      </c>
      <c r="E31" s="19">
        <f>SUM(E30)</f>
        <v>-442430</v>
      </c>
      <c r="F31" s="19">
        <f t="shared" ref="F31:I31" si="1">SUM(F30)</f>
        <v>-435200</v>
      </c>
      <c r="G31" s="19">
        <f t="shared" si="1"/>
        <v>-436860</v>
      </c>
      <c r="H31" s="19">
        <f t="shared" si="1"/>
        <v>-499750</v>
      </c>
      <c r="I31" s="19">
        <f t="shared" si="1"/>
        <v>-526750</v>
      </c>
    </row>
    <row r="32" spans="1:10" x14ac:dyDescent="0.35">
      <c r="E32" s="18"/>
      <c r="F32" s="18"/>
      <c r="G32" s="18"/>
      <c r="H32" s="18"/>
      <c r="I32" s="18"/>
    </row>
    <row r="33" spans="1:9" x14ac:dyDescent="0.35">
      <c r="A33" t="s">
        <v>63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</row>
    <row r="34" spans="1:9" x14ac:dyDescent="0.35">
      <c r="A34" t="s">
        <v>64</v>
      </c>
      <c r="E34" s="18">
        <f>'Balance Sheet '!E43-'Balance Sheet '!D43</f>
        <v>-18380</v>
      </c>
      <c r="F34" s="18">
        <f>'Balance Sheet '!F43-'Balance Sheet '!E43</f>
        <v>-36300</v>
      </c>
      <c r="G34" s="18">
        <f>'Balance Sheet '!G43-'Balance Sheet '!F43</f>
        <v>-108000</v>
      </c>
      <c r="H34" s="18">
        <f>'Balance Sheet '!H43-'Balance Sheet '!G43</f>
        <v>-63260</v>
      </c>
      <c r="I34" s="18">
        <f>'Balance Sheet '!I43-'Balance Sheet '!H43</f>
        <v>-112500</v>
      </c>
    </row>
    <row r="35" spans="1:9" x14ac:dyDescent="0.35">
      <c r="A35" s="58" t="s">
        <v>113</v>
      </c>
      <c r="B35" s="58"/>
      <c r="C35" s="58"/>
      <c r="D35" s="58"/>
      <c r="E35" s="58"/>
      <c r="F35" s="58"/>
      <c r="G35" s="58"/>
      <c r="H35" s="58"/>
      <c r="I35" s="58"/>
    </row>
    <row r="36" spans="1:9" x14ac:dyDescent="0.35">
      <c r="A36" t="s">
        <v>65</v>
      </c>
      <c r="E36" s="18">
        <f>'Balance Sheet '!E95</f>
        <v>-173000</v>
      </c>
      <c r="F36" s="18">
        <f>'Balance Sheet '!F95</f>
        <v>-173000</v>
      </c>
      <c r="G36" s="18">
        <f>'Balance Sheet '!G95</f>
        <v>-173000</v>
      </c>
      <c r="H36" s="18">
        <f>'Balance Sheet '!H95</f>
        <v>-173000</v>
      </c>
      <c r="I36" s="18">
        <f>'Balance Sheet '!I95</f>
        <v>-173000</v>
      </c>
    </row>
    <row r="37" spans="1:9" x14ac:dyDescent="0.35">
      <c r="A37" s="23" t="s">
        <v>66</v>
      </c>
      <c r="E37" s="19">
        <f>SUM(E33:E36)</f>
        <v>-191380</v>
      </c>
      <c r="F37" s="19">
        <f>SUM(F33:F36)</f>
        <v>-209300</v>
      </c>
      <c r="G37" s="19">
        <f>SUM(G33:G36)</f>
        <v>-281000</v>
      </c>
      <c r="H37" s="19">
        <f>SUM(H33:H36)</f>
        <v>-236260</v>
      </c>
      <c r="I37" s="19">
        <f>SUM(I33:I36)</f>
        <v>-285500</v>
      </c>
    </row>
    <row r="38" spans="1:9" x14ac:dyDescent="0.35">
      <c r="E38" s="18"/>
      <c r="F38" s="18"/>
      <c r="G38" s="18"/>
      <c r="H38" s="18"/>
      <c r="I38" s="18"/>
    </row>
    <row r="39" spans="1:9" x14ac:dyDescent="0.35">
      <c r="A39" s="23" t="s">
        <v>67</v>
      </c>
      <c r="E39" s="18">
        <f>E28+E31+E37</f>
        <v>192662.90181607706</v>
      </c>
      <c r="F39" s="18">
        <f>F28+F31+F37</f>
        <v>224903.09545789124</v>
      </c>
      <c r="G39" s="18">
        <f>G28+G31+G37</f>
        <v>225887.96207087464</v>
      </c>
      <c r="H39" s="18">
        <f>H28+H31+H37</f>
        <v>315274.21630064654</v>
      </c>
      <c r="I39" s="18">
        <f>I28+I31+I37</f>
        <v>343392.82192216162</v>
      </c>
    </row>
    <row r="40" spans="1:9" x14ac:dyDescent="0.35">
      <c r="E40" s="18"/>
      <c r="F40" s="18"/>
      <c r="G40" s="18"/>
      <c r="H40" s="18"/>
      <c r="I40" s="18"/>
    </row>
    <row r="41" spans="1:9" x14ac:dyDescent="0.35">
      <c r="E41" s="18"/>
      <c r="F41" s="18"/>
      <c r="G41" s="18"/>
      <c r="H41" s="18"/>
      <c r="I41" s="18"/>
    </row>
    <row r="42" spans="1:9" x14ac:dyDescent="0.35">
      <c r="E42" s="18"/>
      <c r="F42" s="18"/>
      <c r="G42" s="18"/>
      <c r="H42" s="18"/>
      <c r="I42" s="18"/>
    </row>
    <row r="43" spans="1:9" x14ac:dyDescent="0.35">
      <c r="E43" s="18"/>
      <c r="F43" s="18"/>
      <c r="G43" s="18"/>
      <c r="H43" s="18"/>
      <c r="I43" s="18"/>
    </row>
  </sheetData>
  <dataValidations disablePrompts="1" count="2">
    <dataValidation type="list" allowBlank="1" showInputMessage="1" showErrorMessage="1" sqref="A4" xr:uid="{F5567B4E-791F-4748-81D6-BFA6A75A439B}">
      <formula1>"$ bns except per share, $ mm except per share,$ in thousands except per share"</formula1>
    </dataValidation>
    <dataValidation type="list" allowBlank="1" showInputMessage="1" showErrorMessage="1" sqref="B8" xr:uid="{042B5987-473B-4BEF-AE5F-32971CB2C9A7}">
      <formula1>"0,1"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Balance Sheet </vt:lpstr>
      <vt:lpstr>Cash Flow Statement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prome</dc:creator>
  <cp:lastModifiedBy>prome</cp:lastModifiedBy>
  <dcterms:created xsi:type="dcterms:W3CDTF">2023-07-28T23:15:48Z</dcterms:created>
  <dcterms:modified xsi:type="dcterms:W3CDTF">2023-08-19T14:10:38Z</dcterms:modified>
</cp:coreProperties>
</file>