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im727\Documents\"/>
    </mc:Choice>
  </mc:AlternateContent>
  <bookViews>
    <workbookView xWindow="0" yWindow="0" windowWidth="28800" windowHeight="12885"/>
  </bookViews>
  <sheets>
    <sheet name="Model" sheetId="1" r:id="rId1"/>
    <sheet name="Sheet2" sheetId="2" r:id="rId2"/>
    <sheet name="Sheet3" sheetId="3" r:id="rId3"/>
  </sheets>
  <definedNames>
    <definedName name="_xlnm.Print_Area" localSheetId="0">Model!$D$3:$U$69</definedName>
  </definedNames>
  <calcPr calcId="162913" calcMode="autoNoTable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1" l="1"/>
  <c r="K69" i="1"/>
  <c r="J69" i="1"/>
  <c r="I69" i="1"/>
  <c r="H69" i="1"/>
  <c r="G69" i="1"/>
  <c r="K68" i="1"/>
  <c r="J68" i="1"/>
  <c r="I68" i="1"/>
  <c r="H68" i="1"/>
  <c r="G68" i="1"/>
  <c r="K63" i="1"/>
  <c r="J63" i="1"/>
  <c r="I63" i="1"/>
  <c r="H63" i="1"/>
  <c r="G63" i="1"/>
  <c r="K62" i="1"/>
  <c r="J62" i="1"/>
  <c r="I62" i="1"/>
  <c r="H62" i="1"/>
  <c r="G62" i="1"/>
  <c r="K57" i="1"/>
  <c r="J57" i="1"/>
  <c r="I57" i="1"/>
  <c r="H57" i="1"/>
  <c r="G57" i="1"/>
  <c r="K56" i="1"/>
  <c r="J56" i="1"/>
  <c r="I56" i="1"/>
  <c r="H56" i="1"/>
  <c r="G56" i="1"/>
  <c r="AJ65" i="1"/>
  <c r="AI65" i="1" s="1"/>
  <c r="AL65" i="1"/>
  <c r="AM65" i="1" s="1"/>
  <c r="AL60" i="1"/>
  <c r="AM60" i="1" s="1"/>
  <c r="AJ60" i="1"/>
  <c r="AI60" i="1" s="1"/>
  <c r="AJ55" i="1"/>
  <c r="AI55" i="1" s="1"/>
  <c r="AL55" i="1"/>
  <c r="AM55" i="1" s="1"/>
  <c r="I24" i="1"/>
  <c r="J24" i="1"/>
  <c r="K24" i="1"/>
  <c r="L24" i="1"/>
  <c r="M24" i="1"/>
  <c r="N24" i="1"/>
  <c r="O24" i="1"/>
  <c r="I25" i="1"/>
  <c r="J25" i="1"/>
  <c r="K25" i="1"/>
  <c r="L25" i="1"/>
  <c r="M25" i="1"/>
  <c r="N25" i="1"/>
  <c r="O25" i="1"/>
  <c r="H25" i="1"/>
  <c r="AA7" i="1"/>
  <c r="I9" i="1"/>
  <c r="I12" i="1" s="1"/>
  <c r="AA15" i="1"/>
  <c r="AA14" i="1"/>
  <c r="U55" i="1" s="1"/>
  <c r="H49" i="1" s="1"/>
  <c r="H27" i="1" s="1"/>
  <c r="AA11" i="1"/>
  <c r="U13" i="1" s="1"/>
  <c r="H18" i="1" s="1"/>
  <c r="AA13" i="1"/>
  <c r="T52" i="1" s="1"/>
  <c r="AA12" i="1"/>
  <c r="Q47" i="1" s="1"/>
  <c r="AA10" i="1"/>
  <c r="T12" i="1" s="1"/>
  <c r="AA9" i="1"/>
  <c r="U44" i="1" s="1"/>
  <c r="AA8" i="1"/>
  <c r="U39" i="1" s="1"/>
  <c r="H7" i="1"/>
  <c r="I7" i="1" s="1"/>
  <c r="J7" i="1" s="1"/>
  <c r="K7" i="1" s="1"/>
  <c r="L7" i="1" s="1"/>
  <c r="M7" i="1" s="1"/>
  <c r="N7" i="1" s="1"/>
  <c r="O7" i="1" s="1"/>
  <c r="I6" i="1"/>
  <c r="J6" i="1" s="1"/>
  <c r="K6" i="1" s="1"/>
  <c r="L6" i="1" s="1"/>
  <c r="M6" i="1" s="1"/>
  <c r="U3" i="1"/>
  <c r="I61" i="1" l="1"/>
  <c r="J61" i="1" s="1"/>
  <c r="K61" i="1" s="1"/>
  <c r="I19" i="1"/>
  <c r="H16" i="1"/>
  <c r="I55" i="1"/>
  <c r="I67" i="1"/>
  <c r="H67" i="1" s="1"/>
  <c r="U11" i="1"/>
  <c r="T28" i="1" s="1"/>
  <c r="U28" i="1" s="1"/>
  <c r="H19" i="1"/>
  <c r="U40" i="1"/>
  <c r="N6" i="1"/>
  <c r="M9" i="1"/>
  <c r="M12" i="1" s="1"/>
  <c r="M19" i="1" s="1"/>
  <c r="J9" i="1"/>
  <c r="H61" i="1" l="1"/>
  <c r="G61" i="1" s="1"/>
  <c r="H55" i="1"/>
  <c r="G55" i="1" s="1"/>
  <c r="J55" i="1"/>
  <c r="K55" i="1" s="1"/>
  <c r="G67" i="1"/>
  <c r="J67" i="1"/>
  <c r="K67" i="1" s="1"/>
  <c r="U12" i="1"/>
  <c r="U14" i="1" s="1"/>
  <c r="U9" i="1" s="1"/>
  <c r="N9" i="1"/>
  <c r="N12" i="1" s="1"/>
  <c r="U42" i="1" s="1"/>
  <c r="O6" i="1"/>
  <c r="J12" i="1"/>
  <c r="J19" i="1" s="1"/>
  <c r="K9" i="1"/>
  <c r="H17" i="1" l="1"/>
  <c r="U52" i="1"/>
  <c r="H44" i="1" s="1"/>
  <c r="H46" i="1"/>
  <c r="H26" i="1" s="1"/>
  <c r="T29" i="1"/>
  <c r="T30" i="1" s="1"/>
  <c r="N19" i="1"/>
  <c r="U46" i="1"/>
  <c r="U47" i="1" s="1"/>
  <c r="U48" i="1" s="1"/>
  <c r="O20" i="1" s="1"/>
  <c r="O9" i="1"/>
  <c r="O12" i="1" s="1"/>
  <c r="O19" i="1" s="1"/>
  <c r="L9" i="1"/>
  <c r="L12" i="1" s="1"/>
  <c r="L19" i="1" s="1"/>
  <c r="K12" i="1"/>
  <c r="K19" i="1" s="1"/>
  <c r="O46" i="1" l="1"/>
  <c r="O26" i="1" s="1"/>
  <c r="I46" i="1"/>
  <c r="I26" i="1" s="1"/>
  <c r="J46" i="1"/>
  <c r="J26" i="1" s="1"/>
  <c r="N46" i="1"/>
  <c r="N26" i="1" s="1"/>
  <c r="T32" i="1"/>
  <c r="U32" i="1" s="1"/>
  <c r="U30" i="1"/>
  <c r="K46" i="1"/>
  <c r="K26" i="1" s="1"/>
  <c r="H24" i="1"/>
  <c r="H47" i="1"/>
  <c r="H48" i="1" s="1"/>
  <c r="I43" i="1" s="1"/>
  <c r="I49" i="1" s="1"/>
  <c r="I27" i="1" s="1"/>
  <c r="L46" i="1"/>
  <c r="L26" i="1" s="1"/>
  <c r="U7" i="1"/>
  <c r="M46" i="1"/>
  <c r="M26" i="1" s="1"/>
  <c r="O21" i="1"/>
  <c r="I20" i="1"/>
  <c r="I21" i="1" s="1"/>
  <c r="J20" i="1"/>
  <c r="J21" i="1" s="1"/>
  <c r="K20" i="1"/>
  <c r="K21" i="1" s="1"/>
  <c r="L20" i="1"/>
  <c r="L21" i="1" s="1"/>
  <c r="M20" i="1"/>
  <c r="M21" i="1" s="1"/>
  <c r="H20" i="1"/>
  <c r="H21" i="1" s="1"/>
  <c r="N20" i="1"/>
  <c r="N21" i="1" s="1"/>
  <c r="I47" i="1" l="1"/>
  <c r="I28" i="1" s="1"/>
  <c r="I29" i="1" s="1"/>
  <c r="I35" i="1" s="1"/>
  <c r="H28" i="1"/>
  <c r="H29" i="1" s="1"/>
  <c r="H35" i="1" s="1"/>
  <c r="H36" i="1" s="1"/>
  <c r="I34" i="1" s="1"/>
  <c r="U8" i="1"/>
  <c r="T8" i="1" s="1"/>
  <c r="T7" i="1"/>
  <c r="I39" i="1"/>
  <c r="H39" i="1"/>
  <c r="J39" i="1"/>
  <c r="I48" i="1" l="1"/>
  <c r="J43" i="1" s="1"/>
  <c r="J49" i="1" s="1"/>
  <c r="J27" i="1" s="1"/>
  <c r="K39" i="1"/>
  <c r="U17" i="1"/>
  <c r="AH66" i="1" s="1"/>
  <c r="I36" i="1"/>
  <c r="J34" i="1" s="1"/>
  <c r="I31" i="1"/>
  <c r="J47" i="1" l="1"/>
  <c r="J28" i="1" s="1"/>
  <c r="J29" i="1" s="1"/>
  <c r="J35" i="1" s="1"/>
  <c r="J36" i="1" s="1"/>
  <c r="K34" i="1" s="1"/>
  <c r="AH61" i="1"/>
  <c r="AH56" i="1"/>
  <c r="J31" i="1"/>
  <c r="J48" i="1" l="1"/>
  <c r="K43" i="1" s="1"/>
  <c r="K49" i="1" s="1"/>
  <c r="K27" i="1" s="1"/>
  <c r="K31" i="1" s="1"/>
  <c r="K47" i="1" l="1"/>
  <c r="K28" i="1" s="1"/>
  <c r="K29" i="1" s="1"/>
  <c r="K35" i="1" s="1"/>
  <c r="K36" i="1" s="1"/>
  <c r="L34" i="1" s="1"/>
  <c r="K48" i="1" l="1"/>
  <c r="L43" i="1" s="1"/>
  <c r="L47" i="1" s="1"/>
  <c r="L49" i="1" l="1"/>
  <c r="L27" i="1" s="1"/>
  <c r="L31" i="1" s="1"/>
  <c r="L48" i="1"/>
  <c r="M43" i="1" s="1"/>
  <c r="L28" i="1"/>
  <c r="L29" i="1" l="1"/>
  <c r="L35" i="1" s="1"/>
  <c r="L36" i="1" s="1"/>
  <c r="M34" i="1" s="1"/>
  <c r="M47" i="1"/>
  <c r="M49" i="1"/>
  <c r="M27" i="1" s="1"/>
  <c r="M31" i="1" l="1"/>
  <c r="M28" i="1"/>
  <c r="M29" i="1" s="1"/>
  <c r="M35" i="1" s="1"/>
  <c r="M36" i="1" s="1"/>
  <c r="N34" i="1" s="1"/>
  <c r="M48" i="1"/>
  <c r="N43" i="1" s="1"/>
  <c r="N47" i="1" l="1"/>
  <c r="N28" i="1" s="1"/>
  <c r="N49" i="1"/>
  <c r="N27" i="1" s="1"/>
  <c r="N31" i="1" s="1"/>
  <c r="N29" i="1" l="1"/>
  <c r="N35" i="1" s="1"/>
  <c r="N36" i="1" s="1"/>
  <c r="O34" i="1" s="1"/>
  <c r="N48" i="1"/>
  <c r="O43" i="1" s="1"/>
  <c r="O47" i="1" l="1"/>
  <c r="O28" i="1" s="1"/>
  <c r="O49" i="1"/>
  <c r="O27" i="1" s="1"/>
  <c r="O31" i="1" s="1"/>
  <c r="U20" i="1" s="1"/>
  <c r="O48" i="1" l="1"/>
  <c r="O29" i="1"/>
  <c r="O35" i="1" s="1"/>
  <c r="O36" i="1" s="1"/>
  <c r="I40" i="1" l="1"/>
  <c r="U19" i="1" s="1"/>
  <c r="H40" i="1"/>
  <c r="J40" i="1"/>
  <c r="U18" i="1" l="1"/>
  <c r="AH67" i="1" s="1"/>
  <c r="K40" i="1"/>
  <c r="AH57" i="1" l="1"/>
  <c r="AH62" i="1"/>
</calcChain>
</file>

<file path=xl/sharedStrings.xml><?xml version="1.0" encoding="utf-8"?>
<sst xmlns="http://schemas.openxmlformats.org/spreadsheetml/2006/main" count="128" uniqueCount="84">
  <si>
    <t>Print</t>
  </si>
  <si>
    <t>Check</t>
  </si>
  <si>
    <t>P&amp;L Summary</t>
  </si>
  <si>
    <t>Year</t>
  </si>
  <si>
    <t>Date</t>
  </si>
  <si>
    <t>Sources &amp; Uses</t>
  </si>
  <si>
    <t>Control Summary</t>
  </si>
  <si>
    <t>Variable</t>
  </si>
  <si>
    <t>Input</t>
  </si>
  <si>
    <t>Step</t>
  </si>
  <si>
    <t>Trigger</t>
  </si>
  <si>
    <t>Active</t>
  </si>
  <si>
    <t>Sources</t>
  </si>
  <si>
    <t>Uses</t>
  </si>
  <si>
    <t xml:space="preserve">Total </t>
  </si>
  <si>
    <t>Total</t>
  </si>
  <si>
    <t>Return Summary</t>
  </si>
  <si>
    <t>Unlevered</t>
  </si>
  <si>
    <t>Levered</t>
  </si>
  <si>
    <t>Avg. C-o-C</t>
  </si>
  <si>
    <t>Going-in Summary</t>
  </si>
  <si>
    <t>Acquisition Date</t>
  </si>
  <si>
    <t>Yield</t>
  </si>
  <si>
    <t>Amount</t>
  </si>
  <si>
    <t>Purchase Price</t>
  </si>
  <si>
    <t>Acq. Costs.</t>
  </si>
  <si>
    <t>All-in @ Acq.</t>
  </si>
  <si>
    <t>Gross Basis</t>
  </si>
  <si>
    <t>Exit Summary</t>
  </si>
  <si>
    <t>Hold Period</t>
  </si>
  <si>
    <t>Exit Date</t>
  </si>
  <si>
    <t>FWD NOI @ Exit</t>
  </si>
  <si>
    <t>Cap Rate</t>
  </si>
  <si>
    <t>Gross Sale Proceeds</t>
  </si>
  <si>
    <t>Net Sale Proceeds</t>
  </si>
  <si>
    <t>Financing Summary</t>
  </si>
  <si>
    <t>LTC %</t>
  </si>
  <si>
    <t>Proceeds</t>
  </si>
  <si>
    <t>LTC - Initial</t>
  </si>
  <si>
    <t>NRA</t>
  </si>
  <si>
    <t>Going-in Occ.</t>
  </si>
  <si>
    <t>Rents</t>
  </si>
  <si>
    <t>PSF/Mo</t>
  </si>
  <si>
    <t>Revenues</t>
  </si>
  <si>
    <t>% Growth</t>
  </si>
  <si>
    <t>Expenses</t>
  </si>
  <si>
    <t>NOI</t>
  </si>
  <si>
    <t>Acq. Fee</t>
  </si>
  <si>
    <t>Closing Costs</t>
  </si>
  <si>
    <t>Exit Cap Rate</t>
  </si>
  <si>
    <t xml:space="preserve">Sales Costs </t>
  </si>
  <si>
    <t>Rate</t>
  </si>
  <si>
    <t>Origination Fee</t>
  </si>
  <si>
    <t>Rollover</t>
  </si>
  <si>
    <t>Rent</t>
  </si>
  <si>
    <t>Yr</t>
  </si>
  <si>
    <t>Going-in</t>
  </si>
  <si>
    <t>CR</t>
  </si>
  <si>
    <t>Cash Flow Summary</t>
  </si>
  <si>
    <t>Acquisition Fee</t>
  </si>
  <si>
    <t>Principal Repayment</t>
  </si>
  <si>
    <t>Debt</t>
  </si>
  <si>
    <t>Equity</t>
  </si>
  <si>
    <t>Amortization Period</t>
  </si>
  <si>
    <t>BOP Balance</t>
  </si>
  <si>
    <t>Loan Proceeds</t>
  </si>
  <si>
    <t>Orig. Fees</t>
  </si>
  <si>
    <t>Amortization</t>
  </si>
  <si>
    <t>EOP Balance</t>
  </si>
  <si>
    <t>Interest</t>
  </si>
  <si>
    <t>Total Unlevered</t>
  </si>
  <si>
    <t>Total Levered</t>
  </si>
  <si>
    <t>Peak</t>
  </si>
  <si>
    <t>Profits</t>
  </si>
  <si>
    <t>IRR</t>
  </si>
  <si>
    <t>EMx</t>
  </si>
  <si>
    <t>Leasing &amp; Capital Costs</t>
  </si>
  <si>
    <t>ROE</t>
  </si>
  <si>
    <t>Equity Tracker</t>
  </si>
  <si>
    <t>Sensitivities</t>
  </si>
  <si>
    <t>Profit ($) - Levered</t>
  </si>
  <si>
    <t>Unlevered IRR/EMx</t>
  </si>
  <si>
    <t>Levered IRR/EMx</t>
  </si>
  <si>
    <t>RE Case Study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</si>
</sst>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(* #,##0_);_(* \(#,##0\);_(* &quot;-&quot;_);_(@_)"/>
    <numFmt numFmtId="43" formatCode="_(* #,##0.00_);_(* \(#,##0.00\);_(* &quot;-&quot;??_);_(@_)"/>
    <numFmt numFmtId="164" formatCode="&quot;Year&quot;\ 0"/>
    <numFmt numFmtId="165" formatCode="_(* #,##0.00%_);_(* \(#,##0.00%\);_(* &quot;-&quot;??_);_(@_)"/>
    <numFmt numFmtId="166" formatCode="0\ &quot;Years&quot;"/>
    <numFmt numFmtId="167" formatCode="_(* #,##0.00\x_);_(* \(#,##0.00\x\);_(* &quot;-&quot;??_);_(@_)"/>
    <numFmt numFmtId="168" formatCode="0.0000%"/>
    <numFmt numFmtId="169" formatCode="#,##0;\(#,##0\);_(* &quot;-&quot;_);_(@_)"/>
    <numFmt numFmtId="170" formatCode="_(* #,##0.00%_);_(* \(#,##0.00%\);_(* &quot;-&quot;_);_(@_)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rgb="FF960096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rgb="FF96009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/>
      <diagonal/>
    </border>
    <border>
      <left style="mediumDashed">
        <color indexed="64"/>
      </left>
      <right style="mediumDashed">
        <color indexed="64"/>
      </right>
      <top style="thin">
        <color indexed="64"/>
      </top>
      <bottom/>
      <diagonal/>
    </border>
    <border>
      <left style="mediumDashed">
        <color indexed="64"/>
      </left>
      <right style="mediumDashed">
        <color indexed="64"/>
      </right>
      <top/>
      <bottom style="mediumDashed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4" fontId="0" fillId="0" borderId="0" xfId="0" applyNumberFormat="1"/>
    <xf numFmtId="14" fontId="2" fillId="0" borderId="0" xfId="0" applyNumberFormat="1" applyFont="1"/>
    <xf numFmtId="0" fontId="3" fillId="0" borderId="2" xfId="0" applyFont="1" applyBorder="1"/>
    <xf numFmtId="14" fontId="3" fillId="0" borderId="2" xfId="0" applyNumberFormat="1" applyFont="1" applyBorder="1"/>
    <xf numFmtId="0" fontId="0" fillId="2" borderId="3" xfId="0" applyFill="1" applyBorder="1" applyAlignment="1">
      <alignment horizontal="centerContinuous"/>
    </xf>
    <xf numFmtId="0" fontId="0" fillId="2" borderId="4" xfId="0" applyFill="1" applyBorder="1" applyAlignment="1">
      <alignment horizontal="centerContinuous"/>
    </xf>
    <xf numFmtId="0" fontId="0" fillId="2" borderId="5" xfId="0" applyFill="1" applyBorder="1" applyAlignment="1">
      <alignment horizontal="centerContinuous"/>
    </xf>
    <xf numFmtId="0" fontId="0" fillId="0" borderId="1" xfId="0" applyBorder="1"/>
    <xf numFmtId="164" fontId="0" fillId="0" borderId="0" xfId="0" applyNumberFormat="1"/>
    <xf numFmtId="0" fontId="4" fillId="0" borderId="0" xfId="0" applyFont="1"/>
    <xf numFmtId="0" fontId="0" fillId="0" borderId="0" xfId="0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6" xfId="0" applyBorder="1"/>
    <xf numFmtId="14" fontId="6" fillId="0" borderId="0" xfId="0" applyNumberFormat="1" applyFont="1"/>
    <xf numFmtId="41" fontId="2" fillId="0" borderId="0" xfId="0" applyNumberFormat="1" applyFont="1"/>
    <xf numFmtId="165" fontId="0" fillId="0" borderId="0" xfId="0" applyNumberFormat="1"/>
    <xf numFmtId="165" fontId="6" fillId="0" borderId="0" xfId="0" applyNumberFormat="1" applyFont="1"/>
    <xf numFmtId="165" fontId="2" fillId="0" borderId="0" xfId="0" applyNumberFormat="1" applyFont="1"/>
    <xf numFmtId="41" fontId="0" fillId="0" borderId="1" xfId="0" applyNumberFormat="1" applyBorder="1"/>
    <xf numFmtId="41" fontId="2" fillId="0" borderId="1" xfId="0" applyNumberFormat="1" applyFont="1" applyBorder="1"/>
    <xf numFmtId="165" fontId="0" fillId="0" borderId="1" xfId="0" applyNumberFormat="1" applyBorder="1"/>
    <xf numFmtId="165" fontId="6" fillId="0" borderId="1" xfId="0" applyNumberFormat="1" applyFont="1" applyBorder="1"/>
    <xf numFmtId="165" fontId="2" fillId="0" borderId="1" xfId="0" applyNumberFormat="1" applyFont="1" applyBorder="1"/>
    <xf numFmtId="0" fontId="7" fillId="0" borderId="0" xfId="0" applyFont="1" applyAlignment="1">
      <alignment horizontal="left" indent="1"/>
    </xf>
    <xf numFmtId="0" fontId="0" fillId="0" borderId="0" xfId="0" applyAlignment="1">
      <alignment horizontal="left" indent="2"/>
    </xf>
    <xf numFmtId="41" fontId="0" fillId="0" borderId="0" xfId="0" applyNumberFormat="1"/>
    <xf numFmtId="0" fontId="2" fillId="0" borderId="1" xfId="0" applyFont="1" applyBorder="1" applyAlignment="1">
      <alignment horizontal="center"/>
    </xf>
    <xf numFmtId="41" fontId="0" fillId="0" borderId="6" xfId="0" applyNumberFormat="1" applyBorder="1"/>
    <xf numFmtId="0" fontId="0" fillId="0" borderId="0" xfId="0" applyFill="1" applyBorder="1" applyAlignment="1">
      <alignment horizontal="center"/>
    </xf>
    <xf numFmtId="41" fontId="6" fillId="0" borderId="0" xfId="0" applyNumberFormat="1" applyFont="1"/>
    <xf numFmtId="41" fontId="6" fillId="0" borderId="6" xfId="0" applyNumberFormat="1" applyFont="1" applyBorder="1"/>
    <xf numFmtId="41" fontId="8" fillId="0" borderId="0" xfId="0" applyNumberFormat="1" applyFont="1"/>
    <xf numFmtId="165" fontId="8" fillId="0" borderId="0" xfId="0" applyNumberFormat="1" applyFont="1"/>
    <xf numFmtId="166" fontId="2" fillId="0" borderId="0" xfId="0" applyNumberFormat="1" applyFont="1"/>
    <xf numFmtId="41" fontId="0" fillId="0" borderId="0" xfId="0" applyNumberFormat="1" applyBorder="1"/>
    <xf numFmtId="165" fontId="8" fillId="0" borderId="0" xfId="0" applyNumberFormat="1" applyFont="1" applyBorder="1"/>
    <xf numFmtId="0" fontId="0" fillId="0" borderId="8" xfId="0" applyBorder="1"/>
    <xf numFmtId="0" fontId="5" fillId="0" borderId="6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0" fillId="0" borderId="7" xfId="0" applyBorder="1"/>
    <xf numFmtId="0" fontId="0" fillId="0" borderId="0" xfId="0" applyBorder="1"/>
    <xf numFmtId="167" fontId="0" fillId="0" borderId="10" xfId="0" applyNumberFormat="1" applyBorder="1"/>
    <xf numFmtId="0" fontId="0" fillId="0" borderId="11" xfId="0" applyBorder="1"/>
    <xf numFmtId="0" fontId="0" fillId="0" borderId="2" xfId="0" applyBorder="1"/>
    <xf numFmtId="0" fontId="1" fillId="0" borderId="11" xfId="0" applyFont="1" applyBorder="1"/>
    <xf numFmtId="0" fontId="1" fillId="0" borderId="2" xfId="0" applyFont="1" applyBorder="1"/>
    <xf numFmtId="41" fontId="1" fillId="0" borderId="2" xfId="0" applyNumberFormat="1" applyFont="1" applyBorder="1"/>
    <xf numFmtId="165" fontId="9" fillId="0" borderId="2" xfId="0" applyNumberFormat="1" applyFont="1" applyBorder="1"/>
    <xf numFmtId="167" fontId="1" fillId="0" borderId="12" xfId="0" applyNumberFormat="1" applyFont="1" applyBorder="1"/>
    <xf numFmtId="165" fontId="8" fillId="0" borderId="6" xfId="0" applyNumberFormat="1" applyFont="1" applyBorder="1"/>
    <xf numFmtId="43" fontId="2" fillId="0" borderId="1" xfId="0" applyNumberFormat="1" applyFont="1" applyBorder="1" applyAlignment="1">
      <alignment horizontal="center"/>
    </xf>
    <xf numFmtId="0" fontId="7" fillId="0" borderId="0" xfId="0" applyFont="1" applyAlignment="1">
      <alignment horizontal="right"/>
    </xf>
    <xf numFmtId="165" fontId="10" fillId="0" borderId="0" xfId="0" applyNumberFormat="1" applyFont="1"/>
    <xf numFmtId="41" fontId="8" fillId="0" borderId="6" xfId="0" applyNumberFormat="1" applyFont="1" applyBorder="1"/>
    <xf numFmtId="0" fontId="0" fillId="0" borderId="10" xfId="0" applyBorder="1"/>
    <xf numFmtId="0" fontId="0" fillId="0" borderId="0" xfId="0" applyAlignment="1">
      <alignment horizontal="right"/>
    </xf>
    <xf numFmtId="0" fontId="6" fillId="0" borderId="0" xfId="0" applyFont="1" applyAlignment="1">
      <alignment horizontal="right"/>
    </xf>
    <xf numFmtId="0" fontId="0" fillId="0" borderId="9" xfId="0" applyBorder="1"/>
    <xf numFmtId="0" fontId="0" fillId="0" borderId="12" xfId="0" applyBorder="1"/>
    <xf numFmtId="168" fontId="0" fillId="0" borderId="0" xfId="0" applyNumberFormat="1"/>
    <xf numFmtId="0" fontId="5" fillId="0" borderId="0" xfId="0" applyFont="1" applyAlignment="1">
      <alignment horizontal="centerContinuous"/>
    </xf>
    <xf numFmtId="0" fontId="6" fillId="0" borderId="8" xfId="0" applyFont="1" applyBorder="1" applyAlignment="1">
      <alignment horizontal="right"/>
    </xf>
    <xf numFmtId="0" fontId="6" fillId="0" borderId="6" xfId="0" applyFont="1" applyBorder="1" applyAlignment="1">
      <alignment horizontal="right"/>
    </xf>
    <xf numFmtId="0" fontId="6" fillId="0" borderId="9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0" fontId="6" fillId="0" borderId="2" xfId="0" applyFont="1" applyBorder="1" applyAlignment="1">
      <alignment horizontal="right"/>
    </xf>
    <xf numFmtId="0" fontId="6" fillId="0" borderId="12" xfId="0" applyFont="1" applyBorder="1" applyAlignment="1">
      <alignment horizontal="right"/>
    </xf>
    <xf numFmtId="165" fontId="6" fillId="0" borderId="0" xfId="0" applyNumberFormat="1" applyFont="1" applyAlignment="1">
      <alignment horizontal="left"/>
    </xf>
    <xf numFmtId="10" fontId="0" fillId="0" borderId="0" xfId="0" applyNumberFormat="1" applyAlignment="1">
      <alignment horizontal="center"/>
    </xf>
    <xf numFmtId="169" fontId="0" fillId="0" borderId="0" xfId="0" applyNumberFormat="1" applyAlignment="1">
      <alignment horizontal="center"/>
    </xf>
    <xf numFmtId="43" fontId="8" fillId="0" borderId="1" xfId="0" applyNumberFormat="1" applyFont="1" applyBorder="1" applyAlignment="1">
      <alignment horizontal="center"/>
    </xf>
    <xf numFmtId="10" fontId="11" fillId="0" borderId="13" xfId="0" applyNumberFormat="1" applyFont="1" applyBorder="1" applyAlignment="1">
      <alignment horizontal="center"/>
    </xf>
    <xf numFmtId="0" fontId="11" fillId="0" borderId="14" xfId="0" applyFont="1" applyBorder="1" applyAlignment="1">
      <alignment horizontal="right"/>
    </xf>
    <xf numFmtId="0" fontId="11" fillId="0" borderId="15" xfId="0" applyFont="1" applyBorder="1" applyAlignment="1">
      <alignment horizontal="right"/>
    </xf>
    <xf numFmtId="0" fontId="11" fillId="0" borderId="13" xfId="0" applyFont="1" applyBorder="1" applyAlignment="1">
      <alignment horizontal="center"/>
    </xf>
    <xf numFmtId="169" fontId="11" fillId="0" borderId="13" xfId="0" applyNumberFormat="1" applyFont="1" applyBorder="1" applyAlignment="1">
      <alignment horizontal="center"/>
    </xf>
    <xf numFmtId="170" fontId="2" fillId="0" borderId="0" xfId="0" applyNumberFormat="1" applyFont="1"/>
  </cellXfs>
  <cellStyles count="1">
    <cellStyle name="Normal" xfId="0" builtinId="0"/>
  </cellStyles>
  <dxfs count="1">
    <dxf>
      <font>
        <color theme="1"/>
      </font>
    </dxf>
  </dxfs>
  <tableStyles count="0" defaultTableStyle="TableStyleMedium2" defaultPivotStyle="PivotStyleLight16"/>
  <colors>
    <mruColors>
      <color rgb="FF96009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M69"/>
  <sheetViews>
    <sheetView showGridLines="0" tabSelected="1" view="pageBreakPreview" zoomScale="80" zoomScaleNormal="60" zoomScaleSheetLayoutView="80" workbookViewId="0">
      <selection activeCell="D1" sqref="D1"/>
    </sheetView>
  </sheetViews>
  <sheetFormatPr defaultRowHeight="15" outlineLevelRow="1" x14ac:dyDescent="0.25"/>
  <cols>
    <col min="1" max="2" width="9.28515625" bestFit="1" customWidth="1"/>
    <col min="3" max="3" width="2.7109375" customWidth="1"/>
    <col min="6" max="6" width="11.28515625" bestFit="1" customWidth="1"/>
    <col min="7" max="7" width="10.7109375" customWidth="1"/>
    <col min="8" max="8" width="13" bestFit="1" customWidth="1"/>
    <col min="9" max="9" width="15" customWidth="1"/>
    <col min="10" max="11" width="13.5703125" customWidth="1"/>
    <col min="12" max="12" width="13.140625" customWidth="1"/>
    <col min="13" max="13" width="14.28515625" customWidth="1"/>
    <col min="14" max="15" width="13.140625" bestFit="1" customWidth="1"/>
    <col min="16" max="16" width="2.7109375" customWidth="1"/>
    <col min="20" max="21" width="13.5703125" bestFit="1" customWidth="1"/>
    <col min="22" max="22" width="2.7109375" customWidth="1"/>
    <col min="23" max="23" width="17" bestFit="1" customWidth="1"/>
    <col min="24" max="24" width="13.5703125" bestFit="1" customWidth="1"/>
    <col min="25" max="25" width="11.28515625" customWidth="1"/>
    <col min="26" max="26" width="8.42578125" customWidth="1"/>
    <col min="27" max="27" width="13.5703125" bestFit="1" customWidth="1"/>
    <col min="29" max="29" width="9.28515625" bestFit="1" customWidth="1"/>
    <col min="31" max="31" width="9.140625" style="57"/>
    <col min="35" max="35" width="13.140625" bestFit="1" customWidth="1"/>
    <col min="36" max="36" width="12.7109375" bestFit="1" customWidth="1"/>
    <col min="37" max="37" width="3.7109375" customWidth="1"/>
    <col min="38" max="38" width="12" bestFit="1" customWidth="1"/>
    <col min="39" max="39" width="12.28515625" bestFit="1" customWidth="1"/>
  </cols>
  <sheetData>
    <row r="1" spans="1:29" x14ac:dyDescent="0.25">
      <c r="A1" s="2" t="s">
        <v>0</v>
      </c>
      <c r="B1" s="2" t="s">
        <v>1</v>
      </c>
    </row>
    <row r="2" spans="1:29" x14ac:dyDescent="0.25">
      <c r="A2" s="29">
        <v>0</v>
      </c>
      <c r="B2" s="2"/>
    </row>
    <row r="3" spans="1:29" x14ac:dyDescent="0.25">
      <c r="D3" s="5" t="s">
        <v>83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6">
        <f ca="1">+TODAY()</f>
        <v>43778</v>
      </c>
    </row>
    <row r="5" spans="1:29" x14ac:dyDescent="0.25">
      <c r="D5" s="7" t="s">
        <v>2</v>
      </c>
      <c r="E5" s="8"/>
      <c r="F5" s="8"/>
      <c r="G5" s="8"/>
      <c r="H5" s="8"/>
      <c r="I5" s="8"/>
      <c r="J5" s="9"/>
      <c r="Q5" s="7" t="s">
        <v>5</v>
      </c>
      <c r="R5" s="8"/>
      <c r="S5" s="8"/>
      <c r="T5" s="8"/>
      <c r="U5" s="9"/>
      <c r="W5" s="7" t="s">
        <v>6</v>
      </c>
      <c r="X5" s="8"/>
      <c r="Y5" s="8"/>
      <c r="Z5" s="8"/>
      <c r="AA5" s="9"/>
      <c r="AC5" t="s">
        <v>56</v>
      </c>
    </row>
    <row r="6" spans="1:29" ht="17.25" x14ac:dyDescent="0.4">
      <c r="D6" t="s">
        <v>3</v>
      </c>
      <c r="H6" s="11">
        <v>0</v>
      </c>
      <c r="I6" s="11">
        <f>+H6+1</f>
        <v>1</v>
      </c>
      <c r="J6" s="11">
        <f t="shared" ref="J6:O6" si="0">+I6+1</f>
        <v>2</v>
      </c>
      <c r="K6" s="11">
        <f t="shared" si="0"/>
        <v>3</v>
      </c>
      <c r="L6" s="11">
        <f t="shared" si="0"/>
        <v>4</v>
      </c>
      <c r="M6" s="11">
        <f t="shared" si="0"/>
        <v>5</v>
      </c>
      <c r="N6" s="11">
        <f t="shared" si="0"/>
        <v>6</v>
      </c>
      <c r="O6" s="11">
        <f t="shared" si="0"/>
        <v>7</v>
      </c>
      <c r="Q6" s="12" t="s">
        <v>12</v>
      </c>
      <c r="T6" s="14" t="s">
        <v>36</v>
      </c>
      <c r="W6" s="2" t="s">
        <v>7</v>
      </c>
      <c r="X6" s="2" t="s">
        <v>8</v>
      </c>
      <c r="Y6" s="2" t="s">
        <v>9</v>
      </c>
      <c r="Z6" s="2" t="s">
        <v>10</v>
      </c>
      <c r="AA6" s="2" t="s">
        <v>11</v>
      </c>
      <c r="AC6" s="31" t="s">
        <v>57</v>
      </c>
    </row>
    <row r="7" spans="1:29" x14ac:dyDescent="0.25">
      <c r="B7" s="1" t="s">
        <v>41</v>
      </c>
      <c r="D7" t="s">
        <v>4</v>
      </c>
      <c r="H7" s="16">
        <f>+U23</f>
        <v>43830</v>
      </c>
      <c r="I7" s="3">
        <f>+EOMONTH(H7,12)</f>
        <v>44196</v>
      </c>
      <c r="J7" s="3">
        <f t="shared" ref="J7:O7" si="1">+EOMONTH(I7,12)</f>
        <v>44561</v>
      </c>
      <c r="K7" s="3">
        <f t="shared" si="1"/>
        <v>44926</v>
      </c>
      <c r="L7" s="3">
        <f t="shared" si="1"/>
        <v>45291</v>
      </c>
      <c r="M7" s="3">
        <f t="shared" si="1"/>
        <v>45657</v>
      </c>
      <c r="N7" s="3">
        <f t="shared" si="1"/>
        <v>46022</v>
      </c>
      <c r="O7" s="3">
        <f t="shared" si="1"/>
        <v>46387</v>
      </c>
      <c r="Q7" t="s">
        <v>61</v>
      </c>
      <c r="T7" s="38">
        <f>+U7/$U$9</f>
        <v>0.7</v>
      </c>
      <c r="U7" s="32">
        <f>+U52</f>
        <v>30698499.999999996</v>
      </c>
      <c r="W7" s="10" t="s">
        <v>24</v>
      </c>
      <c r="X7" s="22">
        <v>42750000</v>
      </c>
      <c r="Y7" s="22">
        <v>1000000</v>
      </c>
      <c r="Z7" s="22">
        <v>0</v>
      </c>
      <c r="AA7" s="21">
        <f>+X7+Z7</f>
        <v>42750000</v>
      </c>
      <c r="AC7" s="25">
        <v>0.08</v>
      </c>
    </row>
    <row r="8" spans="1:29" x14ac:dyDescent="0.25">
      <c r="B8" s="1" t="s">
        <v>42</v>
      </c>
      <c r="Q8" t="s">
        <v>62</v>
      </c>
      <c r="T8" s="38">
        <f>+U8/$U$9</f>
        <v>0.3000000000000001</v>
      </c>
      <c r="U8" s="28">
        <f>+U9-U7</f>
        <v>13156500.000000004</v>
      </c>
      <c r="W8" s="10" t="s">
        <v>29</v>
      </c>
      <c r="X8" s="22">
        <v>5</v>
      </c>
      <c r="Y8" s="22">
        <v>1</v>
      </c>
      <c r="Z8" s="22">
        <v>0</v>
      </c>
      <c r="AA8" s="21">
        <f>+X8+Z8</f>
        <v>5</v>
      </c>
    </row>
    <row r="9" spans="1:29" x14ac:dyDescent="0.25">
      <c r="B9" s="53">
        <v>0.6</v>
      </c>
      <c r="D9" t="s">
        <v>43</v>
      </c>
      <c r="I9" s="28">
        <f>+(B9*U24*12)</f>
        <v>3420000</v>
      </c>
      <c r="J9" s="28">
        <f t="shared" ref="J9:O9" si="2">+IF(J6=$A$13,$B$13*$U$24*12,I9*(1+I10))</f>
        <v>3420000</v>
      </c>
      <c r="K9" s="28">
        <f t="shared" si="2"/>
        <v>3420000</v>
      </c>
      <c r="L9" s="28">
        <f t="shared" si="2"/>
        <v>3420000</v>
      </c>
      <c r="M9" s="28">
        <f t="shared" si="2"/>
        <v>4625503.5564569989</v>
      </c>
      <c r="N9" s="28">
        <f t="shared" si="2"/>
        <v>4764268.6631507091</v>
      </c>
      <c r="O9" s="28">
        <f t="shared" si="2"/>
        <v>4907196.7230452308</v>
      </c>
      <c r="Q9" s="13" t="s">
        <v>14</v>
      </c>
      <c r="U9" s="33">
        <f>+U14</f>
        <v>43855000</v>
      </c>
      <c r="W9" s="10" t="s">
        <v>49</v>
      </c>
      <c r="X9" s="25">
        <v>0.09</v>
      </c>
      <c r="Y9" s="25">
        <v>2.5000000000000001E-3</v>
      </c>
      <c r="Z9" s="22">
        <v>0</v>
      </c>
      <c r="AA9" s="23">
        <f>+X9+Z9</f>
        <v>0.09</v>
      </c>
    </row>
    <row r="10" spans="1:29" x14ac:dyDescent="0.25">
      <c r="D10" s="26" t="s">
        <v>44</v>
      </c>
      <c r="I10" s="79">
        <v>0</v>
      </c>
      <c r="J10" s="79">
        <v>0</v>
      </c>
      <c r="K10" s="79">
        <v>0</v>
      </c>
      <c r="L10" s="79">
        <v>0</v>
      </c>
      <c r="M10" s="79">
        <v>0.03</v>
      </c>
      <c r="N10" s="79">
        <v>0.03</v>
      </c>
      <c r="O10" s="79">
        <v>0.03</v>
      </c>
      <c r="Q10" s="12" t="s">
        <v>13</v>
      </c>
      <c r="W10" s="10" t="s">
        <v>47</v>
      </c>
      <c r="X10" s="25">
        <v>0.02</v>
      </c>
      <c r="Y10" s="25">
        <v>2.5000000000000001E-3</v>
      </c>
      <c r="Z10" s="22">
        <v>0</v>
      </c>
      <c r="AA10" s="23">
        <f t="shared" ref="AA10:AA13" si="3">+X10+Z10</f>
        <v>0.02</v>
      </c>
    </row>
    <row r="11" spans="1:29" x14ac:dyDescent="0.25">
      <c r="B11" s="1" t="s">
        <v>53</v>
      </c>
      <c r="D11" t="s">
        <v>45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Q11" t="s">
        <v>24</v>
      </c>
      <c r="U11" s="32">
        <f>+AA7</f>
        <v>42750000</v>
      </c>
      <c r="W11" s="10" t="s">
        <v>48</v>
      </c>
      <c r="X11" s="22">
        <v>250000</v>
      </c>
      <c r="Y11" s="22">
        <v>10000</v>
      </c>
      <c r="Z11" s="22">
        <v>0</v>
      </c>
      <c r="AA11" s="21">
        <f>+X11+Z11</f>
        <v>250000</v>
      </c>
    </row>
    <row r="12" spans="1:29" x14ac:dyDescent="0.25">
      <c r="A12" s="1" t="s">
        <v>55</v>
      </c>
      <c r="B12" s="1" t="s">
        <v>54</v>
      </c>
      <c r="D12" t="s">
        <v>46</v>
      </c>
      <c r="H12" s="15"/>
      <c r="I12" s="30">
        <f>+SUM(I9,I11)</f>
        <v>3420000</v>
      </c>
      <c r="J12" s="30">
        <f t="shared" ref="J12:O12" si="4">+SUM(J9,J11)</f>
        <v>3420000</v>
      </c>
      <c r="K12" s="30">
        <f t="shared" si="4"/>
        <v>3420000</v>
      </c>
      <c r="L12" s="30">
        <f t="shared" si="4"/>
        <v>3420000</v>
      </c>
      <c r="M12" s="30">
        <f t="shared" si="4"/>
        <v>4625503.5564569989</v>
      </c>
      <c r="N12" s="30">
        <f t="shared" si="4"/>
        <v>4764268.6631507091</v>
      </c>
      <c r="O12" s="30">
        <f t="shared" si="4"/>
        <v>4907196.7230452308</v>
      </c>
      <c r="Q12" t="s">
        <v>47</v>
      </c>
      <c r="T12" s="24">
        <f>+AA10</f>
        <v>0.02</v>
      </c>
      <c r="U12" s="28">
        <f>+U11*T12</f>
        <v>855000</v>
      </c>
      <c r="W12" s="10" t="s">
        <v>50</v>
      </c>
      <c r="X12" s="25">
        <v>0.03</v>
      </c>
      <c r="Y12" s="25">
        <v>2.5000000000000001E-3</v>
      </c>
      <c r="Z12" s="22">
        <v>0</v>
      </c>
      <c r="AA12" s="23">
        <f t="shared" si="3"/>
        <v>0.03</v>
      </c>
    </row>
    <row r="13" spans="1:29" x14ac:dyDescent="0.25">
      <c r="A13" s="29">
        <v>5</v>
      </c>
      <c r="B13" s="73">
        <f>0.7*(1+0.03)^A13</f>
        <v>0.81149185200999985</v>
      </c>
      <c r="Q13" t="s">
        <v>48</v>
      </c>
      <c r="U13" s="32">
        <f>+AA11</f>
        <v>250000</v>
      </c>
      <c r="W13" s="10" t="s">
        <v>38</v>
      </c>
      <c r="X13" s="25">
        <v>0.7</v>
      </c>
      <c r="Y13" s="25">
        <v>0.05</v>
      </c>
      <c r="Z13" s="22">
        <v>0</v>
      </c>
      <c r="AA13" s="23">
        <f t="shared" si="3"/>
        <v>0.7</v>
      </c>
    </row>
    <row r="14" spans="1:29" x14ac:dyDescent="0.25">
      <c r="D14" s="7" t="s">
        <v>58</v>
      </c>
      <c r="E14" s="8"/>
      <c r="F14" s="8"/>
      <c r="G14" s="8"/>
      <c r="H14" s="8"/>
      <c r="I14" s="8"/>
      <c r="J14" s="9"/>
      <c r="Q14" s="13" t="s">
        <v>15</v>
      </c>
      <c r="U14" s="30">
        <f>+SUM(U11:U13)</f>
        <v>43855000</v>
      </c>
      <c r="W14" s="10" t="s">
        <v>51</v>
      </c>
      <c r="X14" s="25">
        <v>0.06</v>
      </c>
      <c r="Y14" s="25">
        <v>2.5000000000000001E-3</v>
      </c>
      <c r="Z14" s="22">
        <v>0</v>
      </c>
      <c r="AA14" s="23">
        <f t="shared" ref="AA14" si="5">+X14+Z14</f>
        <v>0.06</v>
      </c>
    </row>
    <row r="15" spans="1:29" x14ac:dyDescent="0.25">
      <c r="D15" s="12" t="s">
        <v>17</v>
      </c>
      <c r="W15" s="10" t="s">
        <v>52</v>
      </c>
      <c r="X15" s="25">
        <v>0</v>
      </c>
      <c r="Y15" s="25">
        <v>2.5000000000000001E-3</v>
      </c>
      <c r="Z15" s="22">
        <v>0</v>
      </c>
      <c r="AA15" s="23">
        <f t="shared" ref="AA15" si="6">+X15+Z15</f>
        <v>0</v>
      </c>
    </row>
    <row r="16" spans="1:29" x14ac:dyDescent="0.25">
      <c r="D16" t="s">
        <v>24</v>
      </c>
      <c r="H16" s="32">
        <f>+-AA7</f>
        <v>-42750000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Q16" s="7" t="s">
        <v>16</v>
      </c>
      <c r="R16" s="8"/>
      <c r="S16" s="8"/>
      <c r="T16" s="8"/>
      <c r="U16" s="9"/>
      <c r="W16" s="10"/>
      <c r="X16" s="10"/>
      <c r="Y16" s="10"/>
      <c r="Z16" s="10"/>
      <c r="AA16" s="10"/>
    </row>
    <row r="17" spans="4:27" x14ac:dyDescent="0.25">
      <c r="D17" t="s">
        <v>59</v>
      </c>
      <c r="H17" s="32">
        <f>+-U12</f>
        <v>-855000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Q17" t="s">
        <v>17</v>
      </c>
      <c r="U17" s="59" t="str">
        <f>+TEXT(J39,"0.0%")&amp;"/"&amp;TEXT(K39,"0.0x")</f>
        <v>11.0%/1.6x</v>
      </c>
      <c r="W17" s="10"/>
      <c r="X17" s="10"/>
      <c r="Y17" s="10"/>
      <c r="Z17" s="10"/>
      <c r="AA17" s="10"/>
    </row>
    <row r="18" spans="4:27" x14ac:dyDescent="0.25">
      <c r="D18" t="s">
        <v>48</v>
      </c>
      <c r="H18" s="32">
        <f>+-U13</f>
        <v>-250000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Q18" t="s">
        <v>18</v>
      </c>
      <c r="U18" s="59" t="str">
        <f>+TEXT(J40,"0.0%")&amp;"/"&amp;TEXT(K40,"0.0x")</f>
        <v>20.1%/2.3x</v>
      </c>
    </row>
    <row r="19" spans="4:27" x14ac:dyDescent="0.25">
      <c r="D19" t="s">
        <v>46</v>
      </c>
      <c r="H19" s="32">
        <f t="shared" ref="H19:O19" si="7">+(H6&lt;=$U$39)*H12</f>
        <v>0</v>
      </c>
      <c r="I19" s="32">
        <f t="shared" si="7"/>
        <v>3420000</v>
      </c>
      <c r="J19" s="32">
        <f t="shared" si="7"/>
        <v>3420000</v>
      </c>
      <c r="K19" s="32">
        <f t="shared" si="7"/>
        <v>3420000</v>
      </c>
      <c r="L19" s="32">
        <f t="shared" si="7"/>
        <v>3420000</v>
      </c>
      <c r="M19" s="32">
        <f t="shared" si="7"/>
        <v>4625503.5564569989</v>
      </c>
      <c r="N19" s="32">
        <f t="shared" si="7"/>
        <v>0</v>
      </c>
      <c r="O19" s="32">
        <f t="shared" si="7"/>
        <v>0</v>
      </c>
      <c r="Q19" t="s">
        <v>80</v>
      </c>
      <c r="U19" s="32">
        <f>+I40</f>
        <v>16836411.579065539</v>
      </c>
    </row>
    <row r="20" spans="4:27" x14ac:dyDescent="0.25">
      <c r="D20" t="s">
        <v>34</v>
      </c>
      <c r="H20" s="32">
        <f t="shared" ref="H20:O20" si="8">+(H6=$U$39)*$U$48</f>
        <v>0</v>
      </c>
      <c r="I20" s="32">
        <f t="shared" si="8"/>
        <v>0</v>
      </c>
      <c r="J20" s="32">
        <f t="shared" si="8"/>
        <v>0</v>
      </c>
      <c r="K20" s="32">
        <f t="shared" si="8"/>
        <v>0</v>
      </c>
      <c r="L20" s="32">
        <f t="shared" si="8"/>
        <v>0</v>
      </c>
      <c r="M20" s="32">
        <f t="shared" si="8"/>
        <v>51348228.925068758</v>
      </c>
      <c r="N20" s="32">
        <f t="shared" si="8"/>
        <v>0</v>
      </c>
      <c r="O20" s="32">
        <f t="shared" si="8"/>
        <v>0</v>
      </c>
      <c r="Q20" t="s">
        <v>19</v>
      </c>
      <c r="U20" s="18">
        <f>+AVERAGEIFS(H31:O31,H6:O6,"&lt;="&amp;U39)</f>
        <v>0.10872192343804166</v>
      </c>
    </row>
    <row r="21" spans="4:27" x14ac:dyDescent="0.25">
      <c r="D21" s="13" t="s">
        <v>70</v>
      </c>
      <c r="H21" s="30">
        <f>+SUM(H16:H20)</f>
        <v>-43855000</v>
      </c>
      <c r="I21" s="30">
        <f t="shared" ref="I21:O21" si="9">+SUM(I16:I20)</f>
        <v>3420000</v>
      </c>
      <c r="J21" s="30">
        <f t="shared" si="9"/>
        <v>3420000</v>
      </c>
      <c r="K21" s="30">
        <f t="shared" si="9"/>
        <v>3420000</v>
      </c>
      <c r="L21" s="30">
        <f t="shared" si="9"/>
        <v>3420000</v>
      </c>
      <c r="M21" s="30">
        <f t="shared" si="9"/>
        <v>55973732.481525756</v>
      </c>
      <c r="N21" s="30">
        <f t="shared" si="9"/>
        <v>0</v>
      </c>
      <c r="O21" s="30">
        <f t="shared" si="9"/>
        <v>0</v>
      </c>
    </row>
    <row r="22" spans="4:27" x14ac:dyDescent="0.25">
      <c r="Q22" s="7" t="s">
        <v>20</v>
      </c>
      <c r="R22" s="8"/>
      <c r="S22" s="8"/>
      <c r="T22" s="8"/>
      <c r="U22" s="9"/>
      <c r="X22" s="1"/>
    </row>
    <row r="23" spans="4:27" x14ac:dyDescent="0.25">
      <c r="D23" s="12" t="s">
        <v>18</v>
      </c>
      <c r="Q23" t="s">
        <v>21</v>
      </c>
      <c r="U23" s="4">
        <v>43830</v>
      </c>
    </row>
    <row r="24" spans="4:27" x14ac:dyDescent="0.25">
      <c r="D24" t="s">
        <v>65</v>
      </c>
      <c r="H24" s="32">
        <f t="shared" ref="H24:O26" si="10">+H44</f>
        <v>30698499.999999996</v>
      </c>
      <c r="I24" s="32">
        <f t="shared" si="10"/>
        <v>0</v>
      </c>
      <c r="J24" s="32">
        <f t="shared" si="10"/>
        <v>0</v>
      </c>
      <c r="K24" s="32">
        <f t="shared" si="10"/>
        <v>0</v>
      </c>
      <c r="L24" s="32">
        <f t="shared" si="10"/>
        <v>0</v>
      </c>
      <c r="M24" s="32">
        <f t="shared" si="10"/>
        <v>0</v>
      </c>
      <c r="N24" s="32">
        <f t="shared" si="10"/>
        <v>0</v>
      </c>
      <c r="O24" s="32">
        <f t="shared" si="10"/>
        <v>0</v>
      </c>
      <c r="Q24" t="s">
        <v>39</v>
      </c>
      <c r="U24" s="17">
        <v>475000</v>
      </c>
    </row>
    <row r="25" spans="4:27" x14ac:dyDescent="0.25">
      <c r="D25" t="s">
        <v>66</v>
      </c>
      <c r="H25" s="32">
        <f t="shared" si="10"/>
        <v>0</v>
      </c>
      <c r="I25" s="32">
        <f t="shared" si="10"/>
        <v>0</v>
      </c>
      <c r="J25" s="32">
        <f t="shared" si="10"/>
        <v>0</v>
      </c>
      <c r="K25" s="32">
        <f t="shared" si="10"/>
        <v>0</v>
      </c>
      <c r="L25" s="32">
        <f t="shared" si="10"/>
        <v>0</v>
      </c>
      <c r="M25" s="32">
        <f t="shared" si="10"/>
        <v>0</v>
      </c>
      <c r="N25" s="32">
        <f t="shared" si="10"/>
        <v>0</v>
      </c>
      <c r="O25" s="32">
        <f t="shared" si="10"/>
        <v>0</v>
      </c>
      <c r="Q25" t="s">
        <v>40</v>
      </c>
      <c r="U25" s="20">
        <v>0.85</v>
      </c>
    </row>
    <row r="26" spans="4:27" x14ac:dyDescent="0.25">
      <c r="D26" t="s">
        <v>67</v>
      </c>
      <c r="H26" s="32">
        <f t="shared" si="10"/>
        <v>0</v>
      </c>
      <c r="I26" s="32">
        <f t="shared" si="10"/>
        <v>-387408.04586846591</v>
      </c>
      <c r="J26" s="32">
        <f t="shared" si="10"/>
        <v>-411302.52643633459</v>
      </c>
      <c r="K26" s="32">
        <f t="shared" si="10"/>
        <v>-436670.76628126821</v>
      </c>
      <c r="L26" s="32">
        <f t="shared" si="10"/>
        <v>-463603.66365069116</v>
      </c>
      <c r="M26" s="32">
        <f t="shared" si="10"/>
        <v>-492197.72319703113</v>
      </c>
      <c r="N26" s="32">
        <f t="shared" si="10"/>
        <v>0</v>
      </c>
      <c r="O26" s="32">
        <f t="shared" si="10"/>
        <v>0</v>
      </c>
    </row>
    <row r="27" spans="4:27" ht="17.25" x14ac:dyDescent="0.4">
      <c r="D27" t="s">
        <v>69</v>
      </c>
      <c r="H27" s="32">
        <f t="shared" ref="H27:O27" si="11">+-H49</f>
        <v>0</v>
      </c>
      <c r="I27" s="32">
        <f t="shared" si="11"/>
        <v>-1841909.9999999998</v>
      </c>
      <c r="J27" s="32">
        <f t="shared" si="11"/>
        <v>-1818665.5172478918</v>
      </c>
      <c r="K27" s="32">
        <f t="shared" si="11"/>
        <v>-1793987.3656617114</v>
      </c>
      <c r="L27" s="32">
        <f t="shared" si="11"/>
        <v>-1767787.1196848352</v>
      </c>
      <c r="M27" s="32">
        <f t="shared" si="11"/>
        <v>-1739970.8998657938</v>
      </c>
      <c r="N27" s="32">
        <f t="shared" si="11"/>
        <v>0</v>
      </c>
      <c r="O27" s="32">
        <f t="shared" si="11"/>
        <v>0</v>
      </c>
      <c r="T27" s="14" t="s">
        <v>23</v>
      </c>
      <c r="U27" s="14" t="s">
        <v>22</v>
      </c>
    </row>
    <row r="28" spans="4:27" x14ac:dyDescent="0.25">
      <c r="D28" t="s">
        <v>60</v>
      </c>
      <c r="H28" s="32">
        <f t="shared" ref="H28:O28" si="12">+H47</f>
        <v>0</v>
      </c>
      <c r="I28" s="32">
        <f t="shared" si="12"/>
        <v>0</v>
      </c>
      <c r="J28" s="32">
        <f t="shared" si="12"/>
        <v>0</v>
      </c>
      <c r="K28" s="32">
        <f t="shared" si="12"/>
        <v>0</v>
      </c>
      <c r="L28" s="32">
        <f t="shared" si="12"/>
        <v>0</v>
      </c>
      <c r="M28" s="32">
        <f t="shared" si="12"/>
        <v>-28507317.2745662</v>
      </c>
      <c r="N28" s="32">
        <f t="shared" si="12"/>
        <v>0</v>
      </c>
      <c r="O28" s="32">
        <f t="shared" si="12"/>
        <v>0</v>
      </c>
      <c r="Q28" t="s">
        <v>24</v>
      </c>
      <c r="T28" s="32">
        <f>+U11</f>
        <v>42750000</v>
      </c>
      <c r="U28" s="35">
        <f>+$I$12/T28</f>
        <v>0.08</v>
      </c>
    </row>
    <row r="29" spans="4:27" x14ac:dyDescent="0.25">
      <c r="D29" s="13" t="s">
        <v>71</v>
      </c>
      <c r="H29" s="30">
        <f>+SUM(H21,H24:H28)</f>
        <v>-13156500.000000004</v>
      </c>
      <c r="I29" s="30">
        <f t="shared" ref="I29:O29" si="13">+SUM(I21,I24:I28)</f>
        <v>1190681.9541315346</v>
      </c>
      <c r="J29" s="30">
        <f t="shared" si="13"/>
        <v>1190031.9563157738</v>
      </c>
      <c r="K29" s="30">
        <f t="shared" si="13"/>
        <v>1189341.8680570205</v>
      </c>
      <c r="L29" s="30">
        <f t="shared" si="13"/>
        <v>1188609.2166644738</v>
      </c>
      <c r="M29" s="30">
        <f t="shared" si="13"/>
        <v>25234246.583896738</v>
      </c>
      <c r="N29" s="30">
        <f t="shared" si="13"/>
        <v>0</v>
      </c>
      <c r="O29" s="30">
        <f t="shared" si="13"/>
        <v>0</v>
      </c>
      <c r="Q29" t="s">
        <v>25</v>
      </c>
      <c r="T29" s="28">
        <f>+SUM(U12:U13)</f>
        <v>1105000</v>
      </c>
    </row>
    <row r="30" spans="4:27" x14ac:dyDescent="0.25">
      <c r="Q30" s="13" t="s">
        <v>26</v>
      </c>
      <c r="T30" s="30">
        <f>+SUM(T28:T29)</f>
        <v>43855000</v>
      </c>
      <c r="U30" s="52">
        <f>+$I$12/T30</f>
        <v>7.7984266332231211E-2</v>
      </c>
    </row>
    <row r="31" spans="4:27" x14ac:dyDescent="0.25">
      <c r="G31" s="54" t="s">
        <v>77</v>
      </c>
      <c r="I31" s="55">
        <f t="shared" ref="I31:O31" si="14">+SUM(I19,I24:I27)/I34</f>
        <v>9.0501421664693063E-2</v>
      </c>
      <c r="J31" s="55">
        <f t="shared" si="14"/>
        <v>9.045201659375772E-2</v>
      </c>
      <c r="K31" s="55">
        <f t="shared" si="14"/>
        <v>9.0399564326152107E-2</v>
      </c>
      <c r="L31" s="55">
        <f t="shared" si="14"/>
        <v>9.0343876917453228E-2</v>
      </c>
      <c r="M31" s="55">
        <f t="shared" si="14"/>
        <v>0.18191273768815214</v>
      </c>
      <c r="N31" s="55">
        <f t="shared" si="14"/>
        <v>0</v>
      </c>
      <c r="O31" s="55">
        <f t="shared" si="14"/>
        <v>0</v>
      </c>
      <c r="Q31" t="s">
        <v>76</v>
      </c>
      <c r="T31" s="17">
        <v>0</v>
      </c>
    </row>
    <row r="32" spans="4:27" x14ac:dyDescent="0.25">
      <c r="Q32" s="13" t="s">
        <v>27</v>
      </c>
      <c r="T32" s="30">
        <f>+SUM(T30:T31)</f>
        <v>43855000</v>
      </c>
      <c r="U32" s="52">
        <f>+U42/T32</f>
        <v>0.10863684102498482</v>
      </c>
    </row>
    <row r="33" spans="4:21" outlineLevel="1" x14ac:dyDescent="0.25">
      <c r="D33" s="12" t="s">
        <v>78</v>
      </c>
    </row>
    <row r="34" spans="4:21" outlineLevel="1" x14ac:dyDescent="0.25">
      <c r="D34" t="s">
        <v>64</v>
      </c>
      <c r="I34" s="32">
        <f>+H36</f>
        <v>13156500.000000004</v>
      </c>
      <c r="J34" s="32">
        <f t="shared" ref="J34:O34" si="15">+I36</f>
        <v>13156500.000000004</v>
      </c>
      <c r="K34" s="32">
        <f t="shared" si="15"/>
        <v>13156500.000000004</v>
      </c>
      <c r="L34" s="32">
        <f t="shared" si="15"/>
        <v>13156500.000000004</v>
      </c>
      <c r="M34" s="32">
        <f t="shared" si="15"/>
        <v>13156500.000000004</v>
      </c>
      <c r="N34" s="32">
        <f t="shared" si="15"/>
        <v>13156500.000000004</v>
      </c>
      <c r="O34" s="32">
        <f t="shared" si="15"/>
        <v>13156500.000000004</v>
      </c>
    </row>
    <row r="35" spans="4:21" outlineLevel="1" x14ac:dyDescent="0.25">
      <c r="D35" t="s">
        <v>62</v>
      </c>
      <c r="H35" s="32">
        <f t="shared" ref="H35:O35" si="16">+-MIN(0,H29)</f>
        <v>13156500.000000004</v>
      </c>
      <c r="I35" s="32">
        <f t="shared" si="16"/>
        <v>0</v>
      </c>
      <c r="J35" s="32">
        <f t="shared" si="16"/>
        <v>0</v>
      </c>
      <c r="K35" s="32">
        <f t="shared" si="16"/>
        <v>0</v>
      </c>
      <c r="L35" s="32">
        <f t="shared" si="16"/>
        <v>0</v>
      </c>
      <c r="M35" s="32">
        <f t="shared" si="16"/>
        <v>0</v>
      </c>
      <c r="N35" s="32">
        <f t="shared" si="16"/>
        <v>0</v>
      </c>
      <c r="O35" s="32">
        <f t="shared" si="16"/>
        <v>0</v>
      </c>
    </row>
    <row r="36" spans="4:21" outlineLevel="1" x14ac:dyDescent="0.25">
      <c r="D36" s="13" t="s">
        <v>68</v>
      </c>
      <c r="H36" s="56">
        <f>+SUM(H34:H35)</f>
        <v>13156500.000000004</v>
      </c>
      <c r="I36" s="56">
        <f t="shared" ref="I36:O36" si="17">+SUM(I34:I35)</f>
        <v>13156500.000000004</v>
      </c>
      <c r="J36" s="56">
        <f t="shared" si="17"/>
        <v>13156500.000000004</v>
      </c>
      <c r="K36" s="56">
        <f t="shared" si="17"/>
        <v>13156500.000000004</v>
      </c>
      <c r="L36" s="56">
        <f t="shared" si="17"/>
        <v>13156500.000000004</v>
      </c>
      <c r="M36" s="56">
        <f t="shared" si="17"/>
        <v>13156500.000000004</v>
      </c>
      <c r="N36" s="56">
        <f t="shared" si="17"/>
        <v>13156500.000000004</v>
      </c>
      <c r="O36" s="56">
        <f t="shared" si="17"/>
        <v>13156500.000000004</v>
      </c>
    </row>
    <row r="37" spans="4:21" x14ac:dyDescent="0.25">
      <c r="D37" s="13"/>
      <c r="H37" s="34"/>
      <c r="I37" s="34"/>
      <c r="J37" s="34"/>
      <c r="K37" s="34"/>
      <c r="L37" s="34"/>
      <c r="M37" s="34"/>
      <c r="N37" s="34"/>
      <c r="O37" s="34"/>
    </row>
    <row r="38" spans="4:21" ht="17.25" x14ac:dyDescent="0.4">
      <c r="D38" s="39"/>
      <c r="E38" s="15"/>
      <c r="F38" s="15"/>
      <c r="G38" s="15"/>
      <c r="H38" s="40" t="s">
        <v>72</v>
      </c>
      <c r="I38" s="40" t="s">
        <v>73</v>
      </c>
      <c r="J38" s="40" t="s">
        <v>74</v>
      </c>
      <c r="K38" s="41" t="s">
        <v>75</v>
      </c>
      <c r="Q38" s="7" t="s">
        <v>28</v>
      </c>
      <c r="R38" s="8"/>
      <c r="S38" s="8"/>
      <c r="T38" s="8"/>
      <c r="U38" s="9"/>
    </row>
    <row r="39" spans="4:21" x14ac:dyDescent="0.25">
      <c r="D39" s="42" t="s">
        <v>17</v>
      </c>
      <c r="E39" s="43"/>
      <c r="F39" s="43"/>
      <c r="G39" s="43"/>
      <c r="H39" s="37">
        <f>+-MIN(H21:O21)</f>
        <v>43855000</v>
      </c>
      <c r="I39" s="37">
        <f>+SUM(H21:O21)</f>
        <v>25798732.481525756</v>
      </c>
      <c r="J39" s="38">
        <f>+XIRR(H21:O21,H7:O7)</f>
        <v>0.10971611142158511</v>
      </c>
      <c r="K39" s="44">
        <f>+SUM(H39:I39)/H39</f>
        <v>1.588273457565289</v>
      </c>
      <c r="Q39" t="s">
        <v>29</v>
      </c>
      <c r="U39" s="32">
        <f>+AA8</f>
        <v>5</v>
      </c>
    </row>
    <row r="40" spans="4:21" x14ac:dyDescent="0.25">
      <c r="D40" s="47" t="s">
        <v>18</v>
      </c>
      <c r="E40" s="48"/>
      <c r="F40" s="48"/>
      <c r="G40" s="48"/>
      <c r="H40" s="49">
        <f>+-MIN(H29:O29)</f>
        <v>13156500.000000004</v>
      </c>
      <c r="I40" s="49">
        <f>+SUM(H29:O29)</f>
        <v>16836411.579065539</v>
      </c>
      <c r="J40" s="50">
        <f>+XIRR(H29:O29,H7:O7)</f>
        <v>0.20110579133033754</v>
      </c>
      <c r="K40" s="51">
        <f>+SUM(H40:I40)/H40</f>
        <v>2.2797029285194035</v>
      </c>
      <c r="Q40" t="s">
        <v>30</v>
      </c>
      <c r="U40" s="3">
        <f>+EOMONTH(U23,U39*12)</f>
        <v>45657</v>
      </c>
    </row>
    <row r="42" spans="4:21" x14ac:dyDescent="0.25">
      <c r="D42" s="7" t="s">
        <v>35</v>
      </c>
      <c r="E42" s="8"/>
      <c r="F42" s="8"/>
      <c r="G42" s="8"/>
      <c r="H42" s="8"/>
      <c r="I42" s="8"/>
      <c r="J42" s="9"/>
      <c r="Q42" t="s">
        <v>31</v>
      </c>
      <c r="U42" s="32">
        <f>+SUMIFS(H12:O12,H6:O6,U39+1)</f>
        <v>4764268.6631507091</v>
      </c>
    </row>
    <row r="43" spans="4:21" x14ac:dyDescent="0.25">
      <c r="D43" t="s">
        <v>64</v>
      </c>
      <c r="I43" s="32">
        <f>+H48</f>
        <v>30698499.999999996</v>
      </c>
      <c r="J43" s="32">
        <f t="shared" ref="J43:O43" si="18">+I48</f>
        <v>30311091.954131529</v>
      </c>
      <c r="K43" s="32">
        <f t="shared" si="18"/>
        <v>29899789.427695192</v>
      </c>
      <c r="L43" s="32">
        <f t="shared" si="18"/>
        <v>29463118.661413923</v>
      </c>
      <c r="M43" s="32">
        <f t="shared" si="18"/>
        <v>28999514.997763231</v>
      </c>
      <c r="N43" s="32">
        <f t="shared" si="18"/>
        <v>0</v>
      </c>
      <c r="O43" s="32">
        <f t="shared" si="18"/>
        <v>0</v>
      </c>
    </row>
    <row r="44" spans="4:21" x14ac:dyDescent="0.25">
      <c r="D44" t="s">
        <v>65</v>
      </c>
      <c r="H44" s="32">
        <f>+U52</f>
        <v>30698499.999999996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Q44" t="s">
        <v>32</v>
      </c>
      <c r="U44" s="24">
        <f>+AA9</f>
        <v>0.09</v>
      </c>
    </row>
    <row r="45" spans="4:21" x14ac:dyDescent="0.25">
      <c r="D45" t="s">
        <v>66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</row>
    <row r="46" spans="4:21" x14ac:dyDescent="0.25">
      <c r="D46" t="s">
        <v>67</v>
      </c>
      <c r="H46" s="37">
        <f t="shared" ref="H46:O46" si="19">+IFERROR(PPMT($U$55/12,H6*12,$U$54*12,$U$52,0)*12,0)*(H6&lt;=$U$39)</f>
        <v>0</v>
      </c>
      <c r="I46" s="37">
        <f t="shared" si="19"/>
        <v>-387408.04586846591</v>
      </c>
      <c r="J46" s="37">
        <f t="shared" si="19"/>
        <v>-411302.52643633459</v>
      </c>
      <c r="K46" s="37">
        <f t="shared" si="19"/>
        <v>-436670.76628126821</v>
      </c>
      <c r="L46" s="37">
        <f t="shared" si="19"/>
        <v>-463603.66365069116</v>
      </c>
      <c r="M46" s="37">
        <f t="shared" si="19"/>
        <v>-492197.72319703113</v>
      </c>
      <c r="N46" s="37">
        <f t="shared" si="19"/>
        <v>0</v>
      </c>
      <c r="O46" s="37">
        <f t="shared" si="19"/>
        <v>0</v>
      </c>
      <c r="Q46" t="s">
        <v>33</v>
      </c>
      <c r="U46" s="28">
        <f>+U42/U44</f>
        <v>52936318.479452327</v>
      </c>
    </row>
    <row r="47" spans="4:21" x14ac:dyDescent="0.25">
      <c r="D47" t="s">
        <v>60</v>
      </c>
      <c r="H47" s="37">
        <f t="shared" ref="H47:O47" si="20">+(H6=$U$39)*-SUM(H43:H46)</f>
        <v>0</v>
      </c>
      <c r="I47" s="37">
        <f t="shared" si="20"/>
        <v>0</v>
      </c>
      <c r="J47" s="37">
        <f t="shared" si="20"/>
        <v>0</v>
      </c>
      <c r="K47" s="37">
        <f t="shared" si="20"/>
        <v>0</v>
      </c>
      <c r="L47" s="37">
        <f t="shared" si="20"/>
        <v>0</v>
      </c>
      <c r="M47" s="37">
        <f t="shared" si="20"/>
        <v>-28507317.2745662</v>
      </c>
      <c r="N47" s="37">
        <f t="shared" si="20"/>
        <v>0</v>
      </c>
      <c r="O47" s="37">
        <f t="shared" si="20"/>
        <v>0</v>
      </c>
      <c r="Q47" t="str">
        <f>+"Less: Sales Costs "&amp;TEXT(AA12,"(0.0%)")</f>
        <v>Less: Sales Costs (3.0%)</v>
      </c>
      <c r="U47" s="28">
        <f>+U46*-AA12</f>
        <v>-1588089.5543835699</v>
      </c>
    </row>
    <row r="48" spans="4:21" x14ac:dyDescent="0.25">
      <c r="D48" s="13" t="s">
        <v>68</v>
      </c>
      <c r="H48" s="30">
        <f>+SUM(H43:H47)</f>
        <v>30698499.999999996</v>
      </c>
      <c r="I48" s="30">
        <f t="shared" ref="I48:O48" si="21">+SUM(I43:I47)</f>
        <v>30311091.954131529</v>
      </c>
      <c r="J48" s="30">
        <f t="shared" si="21"/>
        <v>29899789.427695192</v>
      </c>
      <c r="K48" s="30">
        <f t="shared" si="21"/>
        <v>29463118.661413923</v>
      </c>
      <c r="L48" s="30">
        <f t="shared" si="21"/>
        <v>28999514.997763231</v>
      </c>
      <c r="M48" s="30">
        <f t="shared" si="21"/>
        <v>0</v>
      </c>
      <c r="N48" s="30">
        <f t="shared" si="21"/>
        <v>0</v>
      </c>
      <c r="O48" s="30">
        <f t="shared" si="21"/>
        <v>0</v>
      </c>
      <c r="Q48" s="13" t="s">
        <v>34</v>
      </c>
      <c r="U48" s="30">
        <f>+SUM(U46:U47)</f>
        <v>51348228.925068758</v>
      </c>
    </row>
    <row r="49" spans="4:39" x14ac:dyDescent="0.25">
      <c r="D49" s="27" t="s">
        <v>69</v>
      </c>
      <c r="H49" s="37">
        <f t="shared" ref="H49:O49" si="22">+H43*$U$55</f>
        <v>0</v>
      </c>
      <c r="I49" s="37">
        <f t="shared" si="22"/>
        <v>1841909.9999999998</v>
      </c>
      <c r="J49" s="37">
        <f t="shared" si="22"/>
        <v>1818665.5172478918</v>
      </c>
      <c r="K49" s="37">
        <f t="shared" si="22"/>
        <v>1793987.3656617114</v>
      </c>
      <c r="L49" s="37">
        <f t="shared" si="22"/>
        <v>1767787.1196848352</v>
      </c>
      <c r="M49" s="37">
        <f t="shared" si="22"/>
        <v>1739970.8998657938</v>
      </c>
      <c r="N49" s="37">
        <f t="shared" si="22"/>
        <v>0</v>
      </c>
      <c r="O49" s="37">
        <f t="shared" si="22"/>
        <v>0</v>
      </c>
    </row>
    <row r="50" spans="4:39" x14ac:dyDescent="0.25">
      <c r="Q50" s="7" t="s">
        <v>35</v>
      </c>
      <c r="R50" s="8"/>
      <c r="S50" s="8"/>
      <c r="T50" s="8"/>
      <c r="U50" s="9"/>
    </row>
    <row r="51" spans="4:39" ht="17.25" x14ac:dyDescent="0.4">
      <c r="D51" s="7" t="s">
        <v>79</v>
      </c>
      <c r="E51" s="8"/>
      <c r="F51" s="8"/>
      <c r="G51" s="8"/>
      <c r="H51" s="8"/>
      <c r="I51" s="8"/>
      <c r="J51" s="9"/>
      <c r="T51" s="14" t="s">
        <v>36</v>
      </c>
      <c r="U51" s="14" t="s">
        <v>37</v>
      </c>
    </row>
    <row r="52" spans="4:39" x14ac:dyDescent="0.25">
      <c r="Q52" t="s">
        <v>38</v>
      </c>
      <c r="T52" s="70">
        <f>+AA13</f>
        <v>0.7</v>
      </c>
      <c r="U52" s="28">
        <f>+T52*SUM(U11:U13)</f>
        <v>30698499.999999996</v>
      </c>
    </row>
    <row r="53" spans="4:39" x14ac:dyDescent="0.25">
      <c r="D53" s="12" t="s">
        <v>24</v>
      </c>
      <c r="AG53" t="s">
        <v>24</v>
      </c>
    </row>
    <row r="54" spans="4:39" ht="18" thickBot="1" x14ac:dyDescent="0.45">
      <c r="G54" s="63" t="s">
        <v>24</v>
      </c>
      <c r="H54" s="63"/>
      <c r="I54" s="63"/>
      <c r="J54" s="63"/>
      <c r="K54" s="63"/>
      <c r="Q54" t="s">
        <v>63</v>
      </c>
      <c r="U54" s="36">
        <v>30</v>
      </c>
    </row>
    <row r="55" spans="4:39" x14ac:dyDescent="0.25">
      <c r="G55" s="72">
        <f>+H55-$Y$7</f>
        <v>40750000</v>
      </c>
      <c r="H55" s="72">
        <f>+I55-$Y$7</f>
        <v>41750000</v>
      </c>
      <c r="I55" s="78">
        <f>+AA7</f>
        <v>42750000</v>
      </c>
      <c r="J55" s="72">
        <f>+I55+$Y$7</f>
        <v>43750000</v>
      </c>
      <c r="K55" s="72">
        <f>+J55+$Y$7</f>
        <v>44750000</v>
      </c>
      <c r="Q55" t="s">
        <v>51</v>
      </c>
      <c r="U55" s="19">
        <f>+AA14</f>
        <v>0.06</v>
      </c>
      <c r="AI55" s="28">
        <f>+AJ55-$Y$7</f>
        <v>-2000000</v>
      </c>
      <c r="AJ55" s="28">
        <f>+AK55-$Y$7</f>
        <v>-1000000</v>
      </c>
      <c r="AK55" s="28">
        <v>0</v>
      </c>
      <c r="AL55" s="28">
        <f>+AK55+$Y$7</f>
        <v>1000000</v>
      </c>
      <c r="AM55" s="28">
        <f>+AL55+$Y$7</f>
        <v>2000000</v>
      </c>
    </row>
    <row r="56" spans="4:39" x14ac:dyDescent="0.25">
      <c r="E56" s="58"/>
      <c r="F56" s="58" t="s">
        <v>81</v>
      </c>
      <c r="G56" s="64" t="str">
        <f t="shared" ref="G56:K57" si="23">+AI56</f>
        <v>12.2%/1.7x</v>
      </c>
      <c r="H56" s="65" t="str">
        <f t="shared" si="23"/>
        <v>11.6%/1.6x</v>
      </c>
      <c r="I56" s="75" t="str">
        <f t="shared" si="23"/>
        <v>11.0%/1.6x</v>
      </c>
      <c r="J56" s="65" t="str">
        <f t="shared" si="23"/>
        <v>10.4%/1.6x</v>
      </c>
      <c r="K56" s="66" t="str">
        <f t="shared" si="23"/>
        <v>9.8%/1.5x</v>
      </c>
      <c r="AG56" s="58" t="s">
        <v>17</v>
      </c>
      <c r="AH56" t="str">
        <f>+U17</f>
        <v>11.0%/1.6x</v>
      </c>
      <c r="AI56" s="39" t="str">
        <f t="dataTable" ref="AI56:AM57" dt2D="0" dtr="1" r1="Z7" ca="1"/>
        <v>12.2%/1.7x</v>
      </c>
      <c r="AJ56" s="15" t="str">
        <v>11.6%/1.6x</v>
      </c>
      <c r="AK56" s="15" t="str">
        <v>11.0%/1.6x</v>
      </c>
      <c r="AL56" s="15" t="str">
        <v>10.4%/1.6x</v>
      </c>
      <c r="AM56" s="60" t="str">
        <v>9.8%/1.5x</v>
      </c>
    </row>
    <row r="57" spans="4:39" ht="15.75" thickBot="1" x14ac:dyDescent="0.3">
      <c r="E57" s="58"/>
      <c r="F57" s="58" t="s">
        <v>82</v>
      </c>
      <c r="G57" s="67" t="str">
        <f t="shared" si="23"/>
        <v>23.2%/2.5x</v>
      </c>
      <c r="H57" s="68" t="str">
        <f t="shared" si="23"/>
        <v>21.6%/2.4x</v>
      </c>
      <c r="I57" s="76" t="str">
        <f t="shared" si="23"/>
        <v>20.1%/2.3x</v>
      </c>
      <c r="J57" s="68" t="str">
        <f t="shared" si="23"/>
        <v>18.6%/2.2x</v>
      </c>
      <c r="K57" s="69" t="str">
        <f t="shared" si="23"/>
        <v>17.1%/2.0x</v>
      </c>
      <c r="AG57" s="58" t="s">
        <v>18</v>
      </c>
      <c r="AH57" t="str">
        <f>+U18</f>
        <v>20.1%/2.3x</v>
      </c>
      <c r="AI57" s="45" t="str">
        <v>23.2%/2.5x</v>
      </c>
      <c r="AJ57" s="46" t="str">
        <v>21.6%/2.4x</v>
      </c>
      <c r="AK57" s="46" t="str">
        <v>20.1%/2.3x</v>
      </c>
      <c r="AL57" s="46" t="str">
        <v>18.6%/2.2x</v>
      </c>
      <c r="AM57" s="61" t="str">
        <v>17.1%/2.0x</v>
      </c>
    </row>
    <row r="59" spans="4:39" x14ac:dyDescent="0.25">
      <c r="D59" s="12" t="s">
        <v>32</v>
      </c>
      <c r="AG59" t="s">
        <v>32</v>
      </c>
    </row>
    <row r="60" spans="4:39" ht="18" thickBot="1" x14ac:dyDescent="0.45">
      <c r="G60" s="63" t="s">
        <v>32</v>
      </c>
      <c r="H60" s="63"/>
      <c r="I60" s="63"/>
      <c r="J60" s="63"/>
      <c r="K60" s="63"/>
      <c r="AI60">
        <f>+AJ60-$Y$9</f>
        <v>-5.0000000000000001E-3</v>
      </c>
      <c r="AJ60" s="62">
        <f>+AK60-$Y$9</f>
        <v>-2.5000000000000001E-3</v>
      </c>
      <c r="AK60">
        <v>0</v>
      </c>
      <c r="AL60" s="62">
        <f>+AK60+$Y$9</f>
        <v>2.5000000000000001E-3</v>
      </c>
      <c r="AM60" s="62">
        <f>+AL60+$Y$9</f>
        <v>5.0000000000000001E-3</v>
      </c>
    </row>
    <row r="61" spans="4:39" x14ac:dyDescent="0.25">
      <c r="G61" s="71">
        <f>+H61-$Y$9</f>
        <v>8.4999999999999992E-2</v>
      </c>
      <c r="H61" s="71">
        <f>+I61-$Y$9</f>
        <v>8.7499999999999994E-2</v>
      </c>
      <c r="I61" s="74">
        <f>+AA9</f>
        <v>0.09</v>
      </c>
      <c r="J61" s="71">
        <f>+I61+$Y$9</f>
        <v>9.2499999999999999E-2</v>
      </c>
      <c r="K61" s="71">
        <f>+J61+$Y$9</f>
        <v>9.5000000000000001E-2</v>
      </c>
      <c r="AG61" s="58" t="s">
        <v>17</v>
      </c>
      <c r="AH61" t="str">
        <f>+U17</f>
        <v>11.0%/1.6x</v>
      </c>
      <c r="AI61" s="39" t="str">
        <f t="dataTable" ref="AI61:AM62" dt2D="0" dtr="1" r1="Z9" ca="1"/>
        <v>12.0%/1.7x</v>
      </c>
      <c r="AJ61" s="15" t="str">
        <v>11.5%/1.6x</v>
      </c>
      <c r="AK61" s="15" t="str">
        <v>11.0%/1.6x</v>
      </c>
      <c r="AL61" s="15" t="str">
        <v>10.5%/1.6x</v>
      </c>
      <c r="AM61" s="60" t="str">
        <v>10.0%/1.5x</v>
      </c>
    </row>
    <row r="62" spans="4:39" x14ac:dyDescent="0.25">
      <c r="D62" s="58"/>
      <c r="F62" s="58" t="s">
        <v>81</v>
      </c>
      <c r="G62" s="64" t="str">
        <f t="shared" ref="G62:K63" si="24">+AI61</f>
        <v>12.0%/1.7x</v>
      </c>
      <c r="H62" s="65" t="str">
        <f t="shared" si="24"/>
        <v>11.5%/1.6x</v>
      </c>
      <c r="I62" s="75" t="str">
        <f t="shared" si="24"/>
        <v>11.0%/1.6x</v>
      </c>
      <c r="J62" s="65" t="str">
        <f t="shared" si="24"/>
        <v>10.5%/1.6x</v>
      </c>
      <c r="K62" s="66" t="str">
        <f t="shared" si="24"/>
        <v>10.0%/1.5x</v>
      </c>
      <c r="AG62" s="58" t="s">
        <v>18</v>
      </c>
      <c r="AH62" t="str">
        <f>+U18</f>
        <v>20.1%/2.3x</v>
      </c>
      <c r="AI62" s="45" t="str">
        <v>22.5%/2.5x</v>
      </c>
      <c r="AJ62" s="46" t="str">
        <v>21.3%/2.4x</v>
      </c>
      <c r="AK62" s="46" t="str">
        <v>20.1%/2.3x</v>
      </c>
      <c r="AL62" s="46" t="str">
        <v>18.9%/2.2x</v>
      </c>
      <c r="AM62" s="61" t="str">
        <v>17.8%/2.1x</v>
      </c>
    </row>
    <row r="63" spans="4:39" ht="15.75" thickBot="1" x14ac:dyDescent="0.3">
      <c r="D63" s="58"/>
      <c r="F63" s="58" t="s">
        <v>82</v>
      </c>
      <c r="G63" s="67" t="str">
        <f t="shared" si="24"/>
        <v>22.5%/2.5x</v>
      </c>
      <c r="H63" s="68" t="str">
        <f t="shared" si="24"/>
        <v>21.3%/2.4x</v>
      </c>
      <c r="I63" s="76" t="str">
        <f t="shared" si="24"/>
        <v>20.1%/2.3x</v>
      </c>
      <c r="J63" s="68" t="str">
        <f t="shared" si="24"/>
        <v>18.9%/2.2x</v>
      </c>
      <c r="K63" s="69" t="str">
        <f t="shared" si="24"/>
        <v>17.8%/2.1x</v>
      </c>
    </row>
    <row r="64" spans="4:39" x14ac:dyDescent="0.25">
      <c r="AG64" t="s">
        <v>29</v>
      </c>
    </row>
    <row r="65" spans="4:39" x14ac:dyDescent="0.25">
      <c r="D65" s="12" t="s">
        <v>29</v>
      </c>
      <c r="AI65">
        <f>+AJ65-$Y$8</f>
        <v>-2</v>
      </c>
      <c r="AJ65" s="28">
        <f>+AK65-$Y$8</f>
        <v>-1</v>
      </c>
      <c r="AK65">
        <v>0</v>
      </c>
      <c r="AL65" s="28">
        <f>+AK65+$Y$8</f>
        <v>1</v>
      </c>
      <c r="AM65" s="28">
        <f>+AL65+$Y$8</f>
        <v>2</v>
      </c>
    </row>
    <row r="66" spans="4:39" ht="18" thickBot="1" x14ac:dyDescent="0.45">
      <c r="G66" s="63" t="s">
        <v>29</v>
      </c>
      <c r="H66" s="63"/>
      <c r="I66" s="63"/>
      <c r="J66" s="63"/>
      <c r="K66" s="63"/>
      <c r="AG66" s="58" t="s">
        <v>17</v>
      </c>
      <c r="AH66" t="str">
        <f>+U17</f>
        <v>11.0%/1.6x</v>
      </c>
      <c r="AI66" s="39" t="str">
        <f t="dataTable" ref="AI66:AM67" dt2D="0" dtr="1" r1="Z8"/>
        <v>2.6%/1.1x</v>
      </c>
      <c r="AJ66" s="15" t="str">
        <v>10.7%/1.4x</v>
      </c>
      <c r="AK66" s="15" t="str">
        <v>11.0%/1.6x</v>
      </c>
      <c r="AL66" s="15" t="str">
        <v>11.2%/1.7x</v>
      </c>
      <c r="AM66" s="60" t="str">
        <v>-9.5%/0.6x</v>
      </c>
    </row>
    <row r="67" spans="4:39" x14ac:dyDescent="0.25">
      <c r="D67" s="58"/>
      <c r="G67" s="1">
        <f>+H67-$Y$8</f>
        <v>3</v>
      </c>
      <c r="H67" s="1">
        <f>+I67-$Y$8</f>
        <v>4</v>
      </c>
      <c r="I67" s="77">
        <f>+AA8</f>
        <v>5</v>
      </c>
      <c r="J67" s="1">
        <f>+I67+$Y$8</f>
        <v>6</v>
      </c>
      <c r="K67" s="1">
        <f>+J67+$Y$8</f>
        <v>7</v>
      </c>
      <c r="AG67" s="58" t="s">
        <v>18</v>
      </c>
      <c r="AH67" t="str">
        <f>+U18</f>
        <v>20.1%/2.3x</v>
      </c>
      <c r="AI67" s="45" t="str">
        <v>-6.5%/0.8x</v>
      </c>
      <c r="AJ67" s="46" t="str">
        <v>19.9%/1.9x</v>
      </c>
      <c r="AK67" s="46" t="str">
        <v>20.1%/2.3x</v>
      </c>
      <c r="AL67" s="46" t="str">
        <v>20.1%/2.6x</v>
      </c>
      <c r="AM67" s="61" t="str">
        <v>0.0%/-0.1x</v>
      </c>
    </row>
    <row r="68" spans="4:39" x14ac:dyDescent="0.25">
      <c r="D68" s="58"/>
      <c r="F68" s="58" t="s">
        <v>81</v>
      </c>
      <c r="G68" s="64" t="str">
        <f t="shared" ref="G68:K69" si="25">+AI66</f>
        <v>2.6%/1.1x</v>
      </c>
      <c r="H68" s="65" t="str">
        <f t="shared" si="25"/>
        <v>10.7%/1.4x</v>
      </c>
      <c r="I68" s="75" t="str">
        <f t="shared" si="25"/>
        <v>11.0%/1.6x</v>
      </c>
      <c r="J68" s="65" t="str">
        <f t="shared" si="25"/>
        <v>11.2%/1.7x</v>
      </c>
      <c r="K68" s="66" t="str">
        <f t="shared" si="25"/>
        <v>-9.5%/0.6x</v>
      </c>
    </row>
    <row r="69" spans="4:39" ht="15.75" thickBot="1" x14ac:dyDescent="0.3">
      <c r="F69" s="58" t="s">
        <v>82</v>
      </c>
      <c r="G69" s="67" t="str">
        <f t="shared" si="25"/>
        <v>-6.5%/0.8x</v>
      </c>
      <c r="H69" s="68" t="str">
        <f t="shared" si="25"/>
        <v>19.9%/1.9x</v>
      </c>
      <c r="I69" s="76" t="str">
        <f t="shared" si="25"/>
        <v>20.1%/2.3x</v>
      </c>
      <c r="J69" s="68" t="str">
        <f t="shared" si="25"/>
        <v>20.1%/2.6x</v>
      </c>
      <c r="K69" s="69" t="str">
        <f t="shared" si="25"/>
        <v>0.0%/-0.1x</v>
      </c>
    </row>
  </sheetData>
  <conditionalFormatting sqref="D3:U69">
    <cfRule type="expression" dxfId="0" priority="1">
      <formula>+$A$2=1</formula>
    </cfRule>
  </conditionalFormatting>
  <pageMargins left="0.25" right="0.25" top="0.25" bottom="0.25" header="0.3" footer="0.3"/>
  <pageSetup scale="4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Model</vt:lpstr>
      <vt:lpstr>Sheet2</vt:lpstr>
      <vt:lpstr>Sheet3</vt:lpstr>
      <vt:lpstr>Model!Print_Area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2019-09-29T05:14:57Z</cp:lastPrinted>
  <dcterms:created xsi:type="dcterms:W3CDTF">2019-09-26T15:57:55Z</dcterms:created>
  <dcterms:modified xsi:type="dcterms:W3CDTF">2019-11-09T21:20:08Z</dcterms:modified>
</cp:coreProperties>
</file>