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D0B4D0F-00DC-4EE5-B26C-04122AD8EFCF}" xr6:coauthVersionLast="47" xr6:coauthVersionMax="47" xr10:uidLastSave="{00000000-0000-0000-0000-000000000000}"/>
  <bookViews>
    <workbookView xWindow="-108" yWindow="-108" windowWidth="23256" windowHeight="12576" tabRatio="684" firstSheet="4" activeTab="7" xr2:uid="{00000000-000D-0000-FFFF-FFFF00000000}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PPE Schedule" sheetId="2" r:id="rId5"/>
    <sheet name="Debt Schedule" sheetId="3" r:id="rId6"/>
    <sheet name="WSO Cover Page" sheetId="16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7">DCF!$A$1:$M$41,DCF!$O$43:$U$50</definedName>
    <definedName name="_xlnm.Print_Area" localSheetId="5">'Debt Schedule'!$A$1:$Q$40</definedName>
    <definedName name="_xlnm.Print_Area" localSheetId="1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0" i="7" l="1"/>
  <c r="M8" i="7"/>
  <c r="M10" i="7"/>
  <c r="M12" i="7"/>
  <c r="M14" i="7"/>
  <c r="M16" i="7"/>
  <c r="M18" i="7"/>
  <c r="M20" i="7"/>
  <c r="C26" i="7"/>
  <c r="G5" i="7"/>
  <c r="H5" i="7"/>
  <c r="I5" i="7"/>
  <c r="J5" i="7"/>
  <c r="K5" i="7"/>
  <c r="L5" i="7"/>
  <c r="M5" i="7"/>
  <c r="M22" i="7"/>
  <c r="C31" i="7"/>
  <c r="C14" i="10"/>
  <c r="C15" i="10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5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<sst xmlns="http://schemas.openxmlformats.org/spreadsheetml/2006/main" count="322" uniqueCount="210">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</sst>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24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7" fontId="12" fillId="0" borderId="0" xfId="0" applyNumberFormat="1" applyFont="1"/>
    <xf numFmtId="164" fontId="10" fillId="0" borderId="0" xfId="0" applyNumberFormat="1" applyFont="1" applyAlignment="1">
      <alignment horizontal="left"/>
    </xf>
    <xf numFmtId="164" fontId="12" fillId="0" borderId="0" xfId="0" applyNumberFormat="1" applyFont="1" applyAlignment="1">
      <alignment horizontal="left"/>
    </xf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Border="1" applyAlignment="1">
      <alignment horizontal="left"/>
    </xf>
    <xf numFmtId="167" fontId="12" fillId="0" borderId="1" xfId="0" applyNumberFormat="1" applyFont="1" applyBorder="1"/>
    <xf numFmtId="164" fontId="12" fillId="5" borderId="0" xfId="0" applyNumberFormat="1" applyFont="1" applyFill="1"/>
    <xf numFmtId="164" fontId="10" fillId="0" borderId="1" xfId="0" applyNumberFormat="1" applyFont="1" applyBorder="1" applyAlignment="1">
      <alignment horizontal="left"/>
    </xf>
    <xf numFmtId="164" fontId="12" fillId="0" borderId="2" xfId="0" applyNumberFormat="1" applyFont="1" applyBorder="1" applyAlignment="1">
      <alignment horizontal="left"/>
    </xf>
    <xf numFmtId="167" fontId="10" fillId="0" borderId="3" xfId="0" applyNumberFormat="1" applyFont="1" applyBorder="1"/>
    <xf numFmtId="164" fontId="10" fillId="0" borderId="4" xfId="0" applyNumberFormat="1" applyFont="1" applyBorder="1" applyAlignment="1">
      <alignment horizontal="left"/>
    </xf>
    <xf numFmtId="167" fontId="10" fillId="0" borderId="5" xfId="0" applyNumberFormat="1" applyFont="1" applyBorder="1"/>
    <xf numFmtId="164" fontId="10" fillId="0" borderId="4" xfId="0" applyNumberFormat="1" applyFont="1" applyBorder="1" applyAlignment="1">
      <alignment horizontal="left" indent="2"/>
    </xf>
    <xf numFmtId="164" fontId="11" fillId="0" borderId="4" xfId="0" applyNumberFormat="1" applyFont="1" applyBorder="1" applyAlignment="1">
      <alignment horizontal="left" indent="2"/>
    </xf>
    <xf numFmtId="9" fontId="11" fillId="0" borderId="5" xfId="0" applyNumberFormat="1" applyFont="1" applyBorder="1"/>
    <xf numFmtId="164" fontId="10" fillId="0" borderId="6" xfId="0" applyNumberFormat="1" applyFont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/>
    <xf numFmtId="164" fontId="13" fillId="0" borderId="0" xfId="0" applyNumberFormat="1" applyFont="1" applyAlignment="1">
      <alignment horizontal="left" indent="2"/>
    </xf>
    <xf numFmtId="167" fontId="13" fillId="0" borderId="0" xfId="0" applyNumberFormat="1" applyFont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2" fillId="0" borderId="17" xfId="0" applyNumberFormat="1" applyFont="1" applyBorder="1"/>
    <xf numFmtId="164" fontId="12" fillId="0" borderId="8" xfId="0" applyNumberFormat="1" applyFont="1" applyBorder="1"/>
    <xf numFmtId="167" fontId="10" fillId="0" borderId="8" xfId="0" applyNumberFormat="1" applyFont="1" applyBorder="1"/>
    <xf numFmtId="167" fontId="12" fillId="0" borderId="8" xfId="0" applyNumberFormat="1" applyFont="1" applyBorder="1"/>
    <xf numFmtId="167" fontId="12" fillId="0" borderId="21" xfId="0" applyNumberFormat="1" applyFont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70" fontId="10" fillId="0" borderId="17" xfId="0" applyNumberFormat="1" applyFont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/>
    <xf numFmtId="170" fontId="10" fillId="3" borderId="0" xfId="0" applyNumberFormat="1" applyFont="1" applyFill="1"/>
    <xf numFmtId="170" fontId="10" fillId="0" borderId="5" xfId="0" applyNumberFormat="1" applyFont="1" applyBorder="1"/>
    <xf numFmtId="170" fontId="10" fillId="0" borderId="12" xfId="0" applyNumberFormat="1" applyFont="1" applyBorder="1"/>
    <xf numFmtId="170" fontId="10" fillId="0" borderId="22" xfId="0" applyNumberFormat="1" applyFont="1" applyBorder="1"/>
    <xf numFmtId="170" fontId="10" fillId="3" borderId="12" xfId="0" applyNumberFormat="1" applyFont="1" applyFill="1" applyBorder="1"/>
    <xf numFmtId="170" fontId="10" fillId="0" borderId="7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Border="1"/>
    <xf numFmtId="9" fontId="11" fillId="0" borderId="24" xfId="0" applyNumberFormat="1" applyFont="1" applyBorder="1"/>
    <xf numFmtId="167" fontId="12" fillId="0" borderId="24" xfId="0" applyNumberFormat="1" applyFont="1" applyBorder="1"/>
    <xf numFmtId="167" fontId="12" fillId="0" borderId="25" xfId="0" applyNumberFormat="1" applyFont="1" applyBorder="1"/>
    <xf numFmtId="167" fontId="10" fillId="0" borderId="24" xfId="0" applyNumberFormat="1" applyFont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9" fontId="5" fillId="0" borderId="0" xfId="0" applyNumberFormat="1" applyFont="1"/>
    <xf numFmtId="0" fontId="4" fillId="4" borderId="24" xfId="0" applyFont="1" applyFill="1" applyBorder="1"/>
    <xf numFmtId="1" fontId="4" fillId="4" borderId="24" xfId="0" applyNumberFormat="1" applyFont="1" applyFill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5" xfId="0" applyFont="1" applyFill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/>
    <xf numFmtId="167" fontId="12" fillId="2" borderId="0" xfId="0" applyNumberFormat="1" applyFont="1" applyFill="1"/>
    <xf numFmtId="0" fontId="7" fillId="4" borderId="0" xfId="0" applyFont="1" applyFill="1"/>
    <xf numFmtId="1" fontId="4" fillId="4" borderId="0" xfId="0" applyNumberFormat="1" applyFont="1" applyFill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6" fillId="6" borderId="20" xfId="0" applyNumberFormat="1" applyFont="1" applyFill="1" applyBorder="1"/>
    <xf numFmtId="164" fontId="20" fillId="0" borderId="0" xfId="0" applyNumberFormat="1" applyFont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71" fontId="11" fillId="0" borderId="0" xfId="0" applyNumberFormat="1" applyFont="1"/>
    <xf numFmtId="0" fontId="1" fillId="9" borderId="0" xfId="2" applyFill="1"/>
    <xf numFmtId="0" fontId="1" fillId="0" borderId="28" xfId="2" applyBorder="1"/>
    <xf numFmtId="0" fontId="1" fillId="0" borderId="29" xfId="2" applyBorder="1"/>
    <xf numFmtId="0" fontId="1" fillId="0" borderId="30" xfId="2" applyBorder="1"/>
    <xf numFmtId="0" fontId="1" fillId="0" borderId="31" xfId="2" applyBorder="1"/>
    <xf numFmtId="0" fontId="1" fillId="0" borderId="0" xfId="2"/>
    <xf numFmtId="0" fontId="1" fillId="0" borderId="32" xfId="2" applyBorder="1"/>
    <xf numFmtId="0" fontId="28" fillId="0" borderId="0" xfId="2" applyFont="1" applyAlignment="1">
      <alignment horizontal="center" vertical="center" wrapText="1"/>
    </xf>
    <xf numFmtId="0" fontId="28" fillId="10" borderId="0" xfId="2" applyFont="1" applyFill="1" applyAlignment="1">
      <alignment horizontal="center"/>
    </xf>
    <xf numFmtId="0" fontId="28" fillId="0" borderId="0" xfId="2" applyFont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32" fillId="0" borderId="0" xfId="3" applyFont="1" applyFill="1" applyBorder="1" applyAlignment="1">
      <alignment wrapText="1"/>
    </xf>
    <xf numFmtId="0" fontId="27" fillId="0" borderId="31" xfId="2" applyFont="1" applyBorder="1" applyAlignment="1">
      <alignment wrapText="1"/>
    </xf>
    <xf numFmtId="0" fontId="27" fillId="0" borderId="0" xfId="2" applyFont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Border="1"/>
    <xf numFmtId="0" fontId="1" fillId="0" borderId="34" xfId="2" applyBorder="1"/>
    <xf numFmtId="0" fontId="1" fillId="0" borderId="35" xfId="2" applyBorder="1"/>
    <xf numFmtId="0" fontId="26" fillId="6" borderId="0" xfId="0" applyFont="1" applyFill="1" applyAlignment="1">
      <alignment horizontal="center"/>
    </xf>
    <xf numFmtId="0" fontId="28" fillId="0" borderId="0" xfId="2" applyFont="1" applyAlignment="1">
      <alignment horizontal="center" vertical="center" wrapText="1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50917856"/>
        <c:axId val="1751081664"/>
      </c:barChart>
      <c:catAx>
        <c:axId val="175091785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1081664"/>
        <c:crosses val="autoZero"/>
        <c:auto val="1"/>
        <c:lblAlgn val="ctr"/>
        <c:lblOffset val="100"/>
        <c:noMultiLvlLbl val="0"/>
      </c:catAx>
      <c:valAx>
        <c:axId val="1751081664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917856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the-talent-oasi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wall-street-mentors-finance-mock-interviews" TargetMode="Externa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best-resume-review-service-finance-pros-help-your-cv" TargetMode="External"/><Relationship Id="rId5" Type="http://schemas.openxmlformats.org/officeDocument/2006/relationships/hyperlink" Target="https://www.wallstreetoasis.com/all-wso-template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www.wallstreetoasis.com/finance-interview-courses-wall-street-oasis" TargetMode="External"/><Relationship Id="rId9" Type="http://schemas.openxmlformats.org/officeDocument/2006/relationships/hyperlink" Target="https://www.wallstreetoasis.com/gmat-pill-promo-code-333-off-gmat-prep-discount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topLeftCell="A67" zoomScaleSheetLayoutView="100" workbookViewId="0">
      <selection activeCell="J21" sqref="J21"/>
    </sheetView>
  </sheetViews>
  <sheetFormatPr defaultColWidth="8.77734375" defaultRowHeight="14.4" x14ac:dyDescent="0.3"/>
  <cols>
    <col min="1" max="1" width="2.6640625" customWidth="1"/>
    <col min="2" max="2" width="33.77734375" bestFit="1" customWidth="1"/>
  </cols>
  <sheetData>
    <row r="2" spans="2:18" x14ac:dyDescent="0.3">
      <c r="B2" s="183" t="s">
        <v>179</v>
      </c>
      <c r="C2" s="184">
        <v>1</v>
      </c>
    </row>
    <row r="3" spans="2:18" x14ac:dyDescent="0.3">
      <c r="B3" s="185" t="s">
        <v>180</v>
      </c>
      <c r="C3" s="186">
        <v>1</v>
      </c>
    </row>
    <row r="4" spans="2:18" x14ac:dyDescent="0.3">
      <c r="B4" s="185" t="s">
        <v>181</v>
      </c>
      <c r="C4" s="186">
        <v>2</v>
      </c>
    </row>
    <row r="5" spans="2:18" x14ac:dyDescent="0.3">
      <c r="B5" s="187" t="s">
        <v>182</v>
      </c>
      <c r="C5" s="188">
        <v>3</v>
      </c>
    </row>
    <row r="9" spans="2:18" x14ac:dyDescent="0.3">
      <c r="B9" s="218" t="s">
        <v>187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</row>
    <row r="11" spans="2:18" x14ac:dyDescent="0.3">
      <c r="B11" s="189" t="s">
        <v>188</v>
      </c>
    </row>
    <row r="12" spans="2:18" x14ac:dyDescent="0.3">
      <c r="B12" s="190">
        <f>$C$2</f>
        <v>1</v>
      </c>
      <c r="D12" s="191">
        <v>2007</v>
      </c>
      <c r="E12" s="191">
        <f>+D12+1</f>
        <v>2008</v>
      </c>
      <c r="F12" s="191">
        <f>+E12+1</f>
        <v>2009</v>
      </c>
      <c r="G12" s="191">
        <f t="shared" ref="G12:N12" si="0">+F12+1</f>
        <v>2010</v>
      </c>
      <c r="H12" s="191">
        <f t="shared" si="0"/>
        <v>2011</v>
      </c>
      <c r="I12" s="191">
        <f t="shared" si="0"/>
        <v>2012</v>
      </c>
      <c r="J12" s="191">
        <f t="shared" si="0"/>
        <v>2013</v>
      </c>
      <c r="K12" s="191">
        <f t="shared" si="0"/>
        <v>2014</v>
      </c>
      <c r="L12" s="191">
        <f t="shared" si="0"/>
        <v>2015</v>
      </c>
      <c r="M12" s="191">
        <f t="shared" si="0"/>
        <v>2016</v>
      </c>
      <c r="N12" s="191">
        <f t="shared" si="0"/>
        <v>2017</v>
      </c>
      <c r="O12" s="191">
        <f>+N12+1</f>
        <v>2018</v>
      </c>
      <c r="P12" s="191">
        <f>+O12+1</f>
        <v>2019</v>
      </c>
      <c r="Q12" s="191">
        <f>+P12+1</f>
        <v>2020</v>
      </c>
      <c r="R12" s="191">
        <f>+Q12+1</f>
        <v>2021</v>
      </c>
    </row>
    <row r="13" spans="2:18" x14ac:dyDescent="0.3">
      <c r="B13" t="s">
        <v>183</v>
      </c>
      <c r="D13" s="192"/>
      <c r="E13" s="192"/>
      <c r="F13" s="192"/>
      <c r="G13" s="192"/>
      <c r="H13" s="192"/>
      <c r="I13" s="192">
        <f t="shared" ref="I13:N13" si="1">CHOOSE($B12,I14,I15,I16)</f>
        <v>0.05</v>
      </c>
      <c r="J13" s="192">
        <f t="shared" si="1"/>
        <v>0.06</v>
      </c>
      <c r="K13" s="192">
        <f t="shared" si="1"/>
        <v>7.0000000000000007E-2</v>
      </c>
      <c r="L13" s="192">
        <f t="shared" si="1"/>
        <v>0.08</v>
      </c>
      <c r="M13" s="192">
        <f t="shared" si="1"/>
        <v>0.1</v>
      </c>
      <c r="N13" s="192">
        <f t="shared" si="1"/>
        <v>0.08</v>
      </c>
      <c r="O13" s="192">
        <f>CHOOSE($B12,O14,O15,O16)</f>
        <v>0.06</v>
      </c>
      <c r="P13" s="192">
        <f>CHOOSE($B12,P14,P15,P16)</f>
        <v>0.04</v>
      </c>
      <c r="Q13" s="192">
        <f>CHOOSE($B12,Q14,Q15,Q16)</f>
        <v>0.03</v>
      </c>
      <c r="R13" s="192">
        <f>CHOOSE($B12,R14,R15,R16)</f>
        <v>0.01</v>
      </c>
    </row>
    <row r="14" spans="2:18" x14ac:dyDescent="0.3">
      <c r="B14" t="s">
        <v>184</v>
      </c>
      <c r="D14" s="193"/>
      <c r="E14" s="193"/>
      <c r="F14" s="193"/>
      <c r="G14" s="193"/>
      <c r="H14" s="193"/>
      <c r="I14" s="193">
        <v>0.05</v>
      </c>
      <c r="J14" s="193">
        <v>0.06</v>
      </c>
      <c r="K14" s="193">
        <v>7.0000000000000007E-2</v>
      </c>
      <c r="L14" s="193">
        <v>0.08</v>
      </c>
      <c r="M14" s="193">
        <v>0.1</v>
      </c>
      <c r="N14" s="193">
        <v>0.08</v>
      </c>
      <c r="O14" s="193">
        <v>0.06</v>
      </c>
      <c r="P14" s="193">
        <v>0.04</v>
      </c>
      <c r="Q14" s="193">
        <v>0.03</v>
      </c>
      <c r="R14" s="193">
        <v>0.01</v>
      </c>
    </row>
    <row r="15" spans="2:18" x14ac:dyDescent="0.3">
      <c r="B15" t="s">
        <v>185</v>
      </c>
      <c r="D15" s="193"/>
      <c r="E15" s="193"/>
      <c r="F15" s="193"/>
      <c r="G15" s="193"/>
      <c r="H15" s="193"/>
      <c r="I15" s="193">
        <v>0.02</v>
      </c>
      <c r="J15" s="193">
        <v>0.02</v>
      </c>
      <c r="K15" s="193">
        <v>0.02</v>
      </c>
      <c r="L15" s="193">
        <v>0.02</v>
      </c>
      <c r="M15" s="193">
        <v>0.02</v>
      </c>
      <c r="N15" s="193">
        <v>0.02</v>
      </c>
      <c r="O15" s="193">
        <v>0.01</v>
      </c>
      <c r="P15" s="193">
        <v>0.01</v>
      </c>
      <c r="Q15" s="193">
        <v>0.01</v>
      </c>
      <c r="R15" s="193">
        <v>0.01</v>
      </c>
    </row>
    <row r="16" spans="2:18" x14ac:dyDescent="0.3">
      <c r="B16" t="s">
        <v>186</v>
      </c>
      <c r="D16" s="193"/>
      <c r="E16" s="193"/>
      <c r="F16" s="193"/>
      <c r="G16" s="193"/>
      <c r="H16" s="193"/>
      <c r="I16" s="193">
        <f>+I14+1%</f>
        <v>6.0000000000000005E-2</v>
      </c>
      <c r="J16" s="193">
        <f t="shared" ref="J16:R16" si="2">+J14+1%</f>
        <v>6.9999999999999993E-2</v>
      </c>
      <c r="K16" s="193">
        <f t="shared" si="2"/>
        <v>0.08</v>
      </c>
      <c r="L16" s="193">
        <f t="shared" si="2"/>
        <v>0.09</v>
      </c>
      <c r="M16" s="193">
        <f t="shared" si="2"/>
        <v>0.11</v>
      </c>
      <c r="N16" s="193">
        <f t="shared" si="2"/>
        <v>0.09</v>
      </c>
      <c r="O16" s="193">
        <f t="shared" si="2"/>
        <v>6.9999999999999993E-2</v>
      </c>
      <c r="P16" s="193">
        <f t="shared" si="2"/>
        <v>0.05</v>
      </c>
      <c r="Q16" s="193">
        <f t="shared" si="2"/>
        <v>0.04</v>
      </c>
      <c r="R16" s="193">
        <f t="shared" si="2"/>
        <v>0.02</v>
      </c>
    </row>
    <row r="19" spans="2:18" x14ac:dyDescent="0.3">
      <c r="B19" s="189" t="s">
        <v>189</v>
      </c>
    </row>
    <row r="20" spans="2:18" x14ac:dyDescent="0.3">
      <c r="B20" s="190">
        <f>$C$2</f>
        <v>1</v>
      </c>
      <c r="D20" s="191">
        <v>2007</v>
      </c>
      <c r="E20" s="191">
        <f t="shared" ref="E20:R20" si="3">+D20+1</f>
        <v>2008</v>
      </c>
      <c r="F20" s="191">
        <f t="shared" si="3"/>
        <v>2009</v>
      </c>
      <c r="G20" s="191">
        <f t="shared" si="3"/>
        <v>2010</v>
      </c>
      <c r="H20" s="191">
        <f t="shared" si="3"/>
        <v>2011</v>
      </c>
      <c r="I20" s="191">
        <f t="shared" si="3"/>
        <v>2012</v>
      </c>
      <c r="J20" s="191">
        <f t="shared" si="3"/>
        <v>2013</v>
      </c>
      <c r="K20" s="191">
        <f t="shared" si="3"/>
        <v>2014</v>
      </c>
      <c r="L20" s="191">
        <f t="shared" si="3"/>
        <v>2015</v>
      </c>
      <c r="M20" s="191">
        <f t="shared" si="3"/>
        <v>2016</v>
      </c>
      <c r="N20" s="191">
        <f t="shared" si="3"/>
        <v>2017</v>
      </c>
      <c r="O20" s="191">
        <f t="shared" si="3"/>
        <v>2018</v>
      </c>
      <c r="P20" s="191">
        <f t="shared" si="3"/>
        <v>2019</v>
      </c>
      <c r="Q20" s="191">
        <f t="shared" si="3"/>
        <v>2020</v>
      </c>
      <c r="R20" s="191">
        <f t="shared" si="3"/>
        <v>2021</v>
      </c>
    </row>
    <row r="21" spans="2:18" x14ac:dyDescent="0.3">
      <c r="B21" t="s">
        <v>183</v>
      </c>
      <c r="D21" s="192"/>
      <c r="E21" s="192"/>
      <c r="F21" s="192"/>
      <c r="G21" s="192"/>
      <c r="H21" s="192"/>
      <c r="I21" s="192">
        <f t="shared" ref="I21:N21" si="4">CHOOSE($B20,I22,I23,I24)</f>
        <v>0.04</v>
      </c>
      <c r="J21" s="192">
        <f t="shared" si="4"/>
        <v>0.05</v>
      </c>
      <c r="K21" s="192">
        <f t="shared" si="4"/>
        <v>0.06</v>
      </c>
      <c r="L21" s="192">
        <f t="shared" si="4"/>
        <v>7.0000000000000007E-2</v>
      </c>
      <c r="M21" s="192">
        <f t="shared" si="4"/>
        <v>0.08</v>
      </c>
      <c r="N21" s="192">
        <f t="shared" si="4"/>
        <v>7.0000000000000007E-2</v>
      </c>
      <c r="O21" s="192">
        <f>CHOOSE($B20,O22,O23,O24)</f>
        <v>0.06</v>
      </c>
      <c r="P21" s="192">
        <f>CHOOSE($B20,P22,P23,P24)</f>
        <v>0.05</v>
      </c>
      <c r="Q21" s="192">
        <f>CHOOSE($B20,Q22,Q23,Q24)</f>
        <v>0.03</v>
      </c>
      <c r="R21" s="192">
        <f>CHOOSE($B20,R22,R23,R24)</f>
        <v>0.01</v>
      </c>
    </row>
    <row r="22" spans="2:18" x14ac:dyDescent="0.3">
      <c r="B22" t="s">
        <v>184</v>
      </c>
      <c r="D22" s="193"/>
      <c r="E22" s="193"/>
      <c r="F22" s="193"/>
      <c r="G22" s="193"/>
      <c r="H22" s="193"/>
      <c r="I22" s="193">
        <v>0.04</v>
      </c>
      <c r="J22" s="193">
        <v>0.05</v>
      </c>
      <c r="K22" s="193">
        <v>0.06</v>
      </c>
      <c r="L22" s="193">
        <v>7.0000000000000007E-2</v>
      </c>
      <c r="M22" s="193">
        <v>0.08</v>
      </c>
      <c r="N22" s="193">
        <v>7.0000000000000007E-2</v>
      </c>
      <c r="O22" s="193">
        <v>0.06</v>
      </c>
      <c r="P22" s="193">
        <v>0.05</v>
      </c>
      <c r="Q22" s="193">
        <v>0.03</v>
      </c>
      <c r="R22" s="193">
        <v>0.01</v>
      </c>
    </row>
    <row r="23" spans="2:18" x14ac:dyDescent="0.3">
      <c r="B23" t="s">
        <v>185</v>
      </c>
      <c r="D23" s="193"/>
      <c r="E23" s="193"/>
      <c r="F23" s="193"/>
      <c r="G23" s="193"/>
      <c r="H23" s="193"/>
      <c r="I23" s="193">
        <v>0.02</v>
      </c>
      <c r="J23" s="193">
        <v>0.02</v>
      </c>
      <c r="K23" s="193">
        <v>0.02</v>
      </c>
      <c r="L23" s="193">
        <v>0.02</v>
      </c>
      <c r="M23" s="193">
        <v>0.02</v>
      </c>
      <c r="N23" s="193">
        <v>0.02</v>
      </c>
      <c r="O23" s="193">
        <v>0.01</v>
      </c>
      <c r="P23" s="193">
        <v>0.01</v>
      </c>
      <c r="Q23" s="193">
        <v>0.01</v>
      </c>
      <c r="R23" s="193">
        <v>0.01</v>
      </c>
    </row>
    <row r="24" spans="2:18" x14ac:dyDescent="0.3">
      <c r="B24" t="s">
        <v>186</v>
      </c>
      <c r="D24" s="193"/>
      <c r="E24" s="193"/>
      <c r="F24" s="193"/>
      <c r="G24" s="193"/>
      <c r="H24" s="193"/>
      <c r="I24" s="193">
        <f>+I22+1%</f>
        <v>0.05</v>
      </c>
      <c r="J24" s="193">
        <f t="shared" ref="J24:R24" si="5">+J22+1%</f>
        <v>6.0000000000000005E-2</v>
      </c>
      <c r="K24" s="193">
        <f t="shared" si="5"/>
        <v>6.9999999999999993E-2</v>
      </c>
      <c r="L24" s="193">
        <f t="shared" si="5"/>
        <v>0.08</v>
      </c>
      <c r="M24" s="193">
        <f t="shared" si="5"/>
        <v>0.09</v>
      </c>
      <c r="N24" s="193">
        <f t="shared" si="5"/>
        <v>0.08</v>
      </c>
      <c r="O24" s="193">
        <f t="shared" si="5"/>
        <v>6.9999999999999993E-2</v>
      </c>
      <c r="P24" s="193">
        <f t="shared" si="5"/>
        <v>6.0000000000000005E-2</v>
      </c>
      <c r="Q24" s="193">
        <f t="shared" si="5"/>
        <v>0.04</v>
      </c>
      <c r="R24" s="193">
        <f t="shared" si="5"/>
        <v>0.02</v>
      </c>
    </row>
    <row r="27" spans="2:18" x14ac:dyDescent="0.3">
      <c r="B27" s="189" t="s">
        <v>190</v>
      </c>
    </row>
    <row r="28" spans="2:18" x14ac:dyDescent="0.3">
      <c r="B28" s="190">
        <f>$C$2</f>
        <v>1</v>
      </c>
      <c r="D28" s="191">
        <v>2007</v>
      </c>
      <c r="E28" s="191">
        <f t="shared" ref="E28:R28" si="6">+D28+1</f>
        <v>2008</v>
      </c>
      <c r="F28" s="191">
        <f t="shared" si="6"/>
        <v>2009</v>
      </c>
      <c r="G28" s="191">
        <f t="shared" si="6"/>
        <v>2010</v>
      </c>
      <c r="H28" s="191">
        <f t="shared" si="6"/>
        <v>2011</v>
      </c>
      <c r="I28" s="191">
        <f t="shared" si="6"/>
        <v>2012</v>
      </c>
      <c r="J28" s="191">
        <f t="shared" si="6"/>
        <v>2013</v>
      </c>
      <c r="K28" s="191">
        <f t="shared" si="6"/>
        <v>2014</v>
      </c>
      <c r="L28" s="191">
        <f t="shared" si="6"/>
        <v>2015</v>
      </c>
      <c r="M28" s="191">
        <f t="shared" si="6"/>
        <v>2016</v>
      </c>
      <c r="N28" s="191">
        <f t="shared" si="6"/>
        <v>2017</v>
      </c>
      <c r="O28" s="191">
        <f t="shared" si="6"/>
        <v>2018</v>
      </c>
      <c r="P28" s="191">
        <f t="shared" si="6"/>
        <v>2019</v>
      </c>
      <c r="Q28" s="191">
        <f t="shared" si="6"/>
        <v>2020</v>
      </c>
      <c r="R28" s="191">
        <f t="shared" si="6"/>
        <v>2021</v>
      </c>
    </row>
    <row r="29" spans="2:18" x14ac:dyDescent="0.3">
      <c r="B29" t="s">
        <v>183</v>
      </c>
      <c r="D29" s="192"/>
      <c r="E29" s="192"/>
      <c r="F29" s="192"/>
      <c r="G29" s="192"/>
      <c r="H29" s="192"/>
      <c r="I29" s="192">
        <f t="shared" ref="I29:N29" si="7">CHOOSE($B28,I30,I31,I32)</f>
        <v>4.4999999999999998E-2</v>
      </c>
      <c r="J29" s="192">
        <f t="shared" si="7"/>
        <v>0.05</v>
      </c>
      <c r="K29" s="192">
        <f t="shared" si="7"/>
        <v>5.5E-2</v>
      </c>
      <c r="L29" s="192">
        <f t="shared" si="7"/>
        <v>0.06</v>
      </c>
      <c r="M29" s="192">
        <f t="shared" si="7"/>
        <v>0.06</v>
      </c>
      <c r="N29" s="192">
        <f t="shared" si="7"/>
        <v>0.05</v>
      </c>
      <c r="O29" s="192">
        <f>CHOOSE($B28,O30,O31,O32)</f>
        <v>0.04</v>
      </c>
      <c r="P29" s="192">
        <f>CHOOSE($B28,P30,P31,P32)</f>
        <v>0.03</v>
      </c>
      <c r="Q29" s="192">
        <f>CHOOSE($B28,Q30,Q31,Q32)</f>
        <v>0.02</v>
      </c>
      <c r="R29" s="192">
        <f>CHOOSE($B28,R30,R31,R32)</f>
        <v>0.01</v>
      </c>
    </row>
    <row r="30" spans="2:18" x14ac:dyDescent="0.3">
      <c r="B30" t="s">
        <v>184</v>
      </c>
      <c r="D30" s="193"/>
      <c r="E30" s="193"/>
      <c r="F30" s="193"/>
      <c r="G30" s="193"/>
      <c r="H30" s="193"/>
      <c r="I30" s="193">
        <v>4.4999999999999998E-2</v>
      </c>
      <c r="J30" s="193">
        <v>0.05</v>
      </c>
      <c r="K30" s="193">
        <v>5.5E-2</v>
      </c>
      <c r="L30" s="193">
        <v>0.06</v>
      </c>
      <c r="M30" s="193">
        <v>0.06</v>
      </c>
      <c r="N30" s="193">
        <v>0.05</v>
      </c>
      <c r="O30" s="193">
        <v>0.04</v>
      </c>
      <c r="P30" s="193">
        <v>0.03</v>
      </c>
      <c r="Q30" s="193">
        <v>0.02</v>
      </c>
      <c r="R30" s="193">
        <v>0.01</v>
      </c>
    </row>
    <row r="31" spans="2:18" x14ac:dyDescent="0.3">
      <c r="B31" t="s">
        <v>185</v>
      </c>
      <c r="D31" s="193"/>
      <c r="E31" s="193"/>
      <c r="F31" s="193"/>
      <c r="G31" s="193"/>
      <c r="H31" s="193"/>
      <c r="I31" s="193">
        <v>0.02</v>
      </c>
      <c r="J31" s="193">
        <v>0.02</v>
      </c>
      <c r="K31" s="193">
        <v>0.02</v>
      </c>
      <c r="L31" s="193">
        <v>0.02</v>
      </c>
      <c r="M31" s="193">
        <v>0.02</v>
      </c>
      <c r="N31" s="193">
        <v>0.02</v>
      </c>
      <c r="O31" s="193">
        <v>0.01</v>
      </c>
      <c r="P31" s="193">
        <v>0.01</v>
      </c>
      <c r="Q31" s="193">
        <v>0.01</v>
      </c>
      <c r="R31" s="193">
        <v>0.01</v>
      </c>
    </row>
    <row r="32" spans="2:18" x14ac:dyDescent="0.3">
      <c r="B32" t="s">
        <v>186</v>
      </c>
      <c r="D32" s="193"/>
      <c r="E32" s="193"/>
      <c r="F32" s="193"/>
      <c r="G32" s="193"/>
      <c r="H32" s="193"/>
      <c r="I32" s="193">
        <f>+I30+1%</f>
        <v>5.5E-2</v>
      </c>
      <c r="J32" s="193">
        <f t="shared" ref="J32:R32" si="8">+J30+1%</f>
        <v>6.0000000000000005E-2</v>
      </c>
      <c r="K32" s="193">
        <f t="shared" si="8"/>
        <v>6.5000000000000002E-2</v>
      </c>
      <c r="L32" s="193">
        <f t="shared" si="8"/>
        <v>6.9999999999999993E-2</v>
      </c>
      <c r="M32" s="193">
        <f t="shared" si="8"/>
        <v>6.9999999999999993E-2</v>
      </c>
      <c r="N32" s="193">
        <f t="shared" si="8"/>
        <v>6.0000000000000005E-2</v>
      </c>
      <c r="O32" s="193">
        <f t="shared" si="8"/>
        <v>0.05</v>
      </c>
      <c r="P32" s="193">
        <f t="shared" si="8"/>
        <v>0.04</v>
      </c>
      <c r="Q32" s="193">
        <f t="shared" si="8"/>
        <v>0.03</v>
      </c>
      <c r="R32" s="193">
        <f t="shared" si="8"/>
        <v>0.02</v>
      </c>
    </row>
    <row r="35" spans="2:18" x14ac:dyDescent="0.3">
      <c r="B35" s="189" t="s">
        <v>191</v>
      </c>
    </row>
    <row r="36" spans="2:18" x14ac:dyDescent="0.3">
      <c r="B36" s="190">
        <f>$C$2</f>
        <v>1</v>
      </c>
      <c r="D36" s="191">
        <v>2007</v>
      </c>
      <c r="E36" s="191">
        <f t="shared" ref="E36:R36" si="9">+D36+1</f>
        <v>2008</v>
      </c>
      <c r="F36" s="191">
        <f t="shared" si="9"/>
        <v>2009</v>
      </c>
      <c r="G36" s="191">
        <f t="shared" si="9"/>
        <v>2010</v>
      </c>
      <c r="H36" s="191">
        <f t="shared" si="9"/>
        <v>2011</v>
      </c>
      <c r="I36" s="191">
        <f t="shared" si="9"/>
        <v>2012</v>
      </c>
      <c r="J36" s="191">
        <f t="shared" si="9"/>
        <v>2013</v>
      </c>
      <c r="K36" s="191">
        <f t="shared" si="9"/>
        <v>2014</v>
      </c>
      <c r="L36" s="191">
        <f t="shared" si="9"/>
        <v>2015</v>
      </c>
      <c r="M36" s="191">
        <f t="shared" si="9"/>
        <v>2016</v>
      </c>
      <c r="N36" s="191">
        <f t="shared" si="9"/>
        <v>2017</v>
      </c>
      <c r="O36" s="191">
        <f t="shared" si="9"/>
        <v>2018</v>
      </c>
      <c r="P36" s="191">
        <f t="shared" si="9"/>
        <v>2019</v>
      </c>
      <c r="Q36" s="191">
        <f t="shared" si="9"/>
        <v>2020</v>
      </c>
      <c r="R36" s="191">
        <f t="shared" si="9"/>
        <v>2021</v>
      </c>
    </row>
    <row r="37" spans="2:18" x14ac:dyDescent="0.3">
      <c r="B37" t="s">
        <v>183</v>
      </c>
      <c r="D37" s="192"/>
      <c r="E37" s="192"/>
      <c r="F37" s="192"/>
      <c r="G37" s="192"/>
      <c r="H37" s="192"/>
      <c r="I37" s="192">
        <f t="shared" ref="I37:N37" si="10">CHOOSE($B36,I38,I39,I40)</f>
        <v>0.1</v>
      </c>
      <c r="J37" s="192">
        <f t="shared" si="10"/>
        <v>0.11</v>
      </c>
      <c r="K37" s="192">
        <f t="shared" si="10"/>
        <v>0.12</v>
      </c>
      <c r="L37" s="192">
        <f t="shared" si="10"/>
        <v>0.14000000000000001</v>
      </c>
      <c r="M37" s="192">
        <f t="shared" si="10"/>
        <v>0.15</v>
      </c>
      <c r="N37" s="192">
        <f t="shared" si="10"/>
        <v>0.12</v>
      </c>
      <c r="O37" s="192">
        <f>CHOOSE($B36,O38,O39,O40)</f>
        <v>0.08</v>
      </c>
      <c r="P37" s="192">
        <f>CHOOSE($B36,P38,P39,P40)</f>
        <v>0.05</v>
      </c>
      <c r="Q37" s="192">
        <f>CHOOSE($B36,Q38,Q39,Q40)</f>
        <v>0.03</v>
      </c>
      <c r="R37" s="192">
        <f>CHOOSE($B36,R38,R39,R40)</f>
        <v>0.01</v>
      </c>
    </row>
    <row r="38" spans="2:18" x14ac:dyDescent="0.3">
      <c r="B38" t="s">
        <v>184</v>
      </c>
      <c r="D38" s="193"/>
      <c r="E38" s="193"/>
      <c r="F38" s="193"/>
      <c r="G38" s="193"/>
      <c r="H38" s="193"/>
      <c r="I38" s="193">
        <v>0.1</v>
      </c>
      <c r="J38" s="193">
        <v>0.11</v>
      </c>
      <c r="K38" s="193">
        <v>0.12</v>
      </c>
      <c r="L38" s="193">
        <v>0.14000000000000001</v>
      </c>
      <c r="M38" s="193">
        <v>0.15</v>
      </c>
      <c r="N38" s="193">
        <v>0.12</v>
      </c>
      <c r="O38" s="193">
        <v>0.08</v>
      </c>
      <c r="P38" s="193">
        <v>0.05</v>
      </c>
      <c r="Q38" s="193">
        <v>0.03</v>
      </c>
      <c r="R38" s="193">
        <v>0.01</v>
      </c>
    </row>
    <row r="39" spans="2:18" x14ac:dyDescent="0.3">
      <c r="B39" t="s">
        <v>185</v>
      </c>
      <c r="D39" s="193"/>
      <c r="E39" s="193"/>
      <c r="F39" s="193"/>
      <c r="G39" s="193"/>
      <c r="H39" s="193"/>
      <c r="I39" s="193">
        <v>0.05</v>
      </c>
      <c r="J39" s="193">
        <v>0.04</v>
      </c>
      <c r="K39" s="193">
        <v>0.03</v>
      </c>
      <c r="L39" s="193">
        <v>0.02</v>
      </c>
      <c r="M39" s="193">
        <v>0.02</v>
      </c>
      <c r="N39" s="193">
        <v>0.02</v>
      </c>
      <c r="O39" s="193">
        <v>0.02</v>
      </c>
      <c r="P39" s="193">
        <v>0.02</v>
      </c>
      <c r="Q39" s="193">
        <v>0.01</v>
      </c>
      <c r="R39" s="193">
        <v>0.01</v>
      </c>
    </row>
    <row r="40" spans="2:18" x14ac:dyDescent="0.3">
      <c r="B40" t="s">
        <v>186</v>
      </c>
      <c r="D40" s="193"/>
      <c r="E40" s="193"/>
      <c r="F40" s="193"/>
      <c r="G40" s="193"/>
      <c r="H40" s="193"/>
      <c r="I40" s="193">
        <f>+I38+1%</f>
        <v>0.11</v>
      </c>
      <c r="J40" s="193">
        <f t="shared" ref="J40:R40" si="11">+J38+1%</f>
        <v>0.12</v>
      </c>
      <c r="K40" s="193">
        <f t="shared" si="11"/>
        <v>0.13</v>
      </c>
      <c r="L40" s="193">
        <f t="shared" si="11"/>
        <v>0.15000000000000002</v>
      </c>
      <c r="M40" s="193">
        <f t="shared" si="11"/>
        <v>0.16</v>
      </c>
      <c r="N40" s="193">
        <f t="shared" si="11"/>
        <v>0.13</v>
      </c>
      <c r="O40" s="193">
        <f t="shared" si="11"/>
        <v>0.09</v>
      </c>
      <c r="P40" s="193">
        <f t="shared" si="11"/>
        <v>6.0000000000000005E-2</v>
      </c>
      <c r="Q40" s="193">
        <f t="shared" si="11"/>
        <v>0.04</v>
      </c>
      <c r="R40" s="193">
        <f t="shared" si="11"/>
        <v>0.02</v>
      </c>
    </row>
    <row r="43" spans="2:18" x14ac:dyDescent="0.3">
      <c r="B43" s="189" t="s">
        <v>192</v>
      </c>
    </row>
    <row r="44" spans="2:18" x14ac:dyDescent="0.3">
      <c r="B44" s="190">
        <f>$C$2</f>
        <v>1</v>
      </c>
      <c r="D44" s="191">
        <v>2007</v>
      </c>
      <c r="E44" s="191">
        <f t="shared" ref="E44:R44" si="12">+D44+1</f>
        <v>2008</v>
      </c>
      <c r="F44" s="191">
        <f t="shared" si="12"/>
        <v>2009</v>
      </c>
      <c r="G44" s="191">
        <f t="shared" si="12"/>
        <v>2010</v>
      </c>
      <c r="H44" s="191">
        <f t="shared" si="12"/>
        <v>2011</v>
      </c>
      <c r="I44" s="191">
        <f t="shared" si="12"/>
        <v>2012</v>
      </c>
      <c r="J44" s="191">
        <f t="shared" si="12"/>
        <v>2013</v>
      </c>
      <c r="K44" s="191">
        <f t="shared" si="12"/>
        <v>2014</v>
      </c>
      <c r="L44" s="191">
        <f t="shared" si="12"/>
        <v>2015</v>
      </c>
      <c r="M44" s="191">
        <f t="shared" si="12"/>
        <v>2016</v>
      </c>
      <c r="N44" s="191">
        <f t="shared" si="12"/>
        <v>2017</v>
      </c>
      <c r="O44" s="191">
        <f t="shared" si="12"/>
        <v>2018</v>
      </c>
      <c r="P44" s="191">
        <f t="shared" si="12"/>
        <v>2019</v>
      </c>
      <c r="Q44" s="191">
        <f t="shared" si="12"/>
        <v>2020</v>
      </c>
      <c r="R44" s="191">
        <f t="shared" si="12"/>
        <v>2021</v>
      </c>
    </row>
    <row r="45" spans="2:18" x14ac:dyDescent="0.3">
      <c r="B45" t="s">
        <v>183</v>
      </c>
      <c r="D45" s="192"/>
      <c r="E45" s="192"/>
      <c r="F45" s="192"/>
      <c r="G45" s="192"/>
      <c r="H45" s="192"/>
      <c r="I45" s="192">
        <f t="shared" ref="I45:R45" si="13">CHOOSE($B44,I46,I47,I48)</f>
        <v>0.71</v>
      </c>
      <c r="J45" s="192">
        <f t="shared" si="13"/>
        <v>0.71</v>
      </c>
      <c r="K45" s="192">
        <f t="shared" si="13"/>
        <v>0.71</v>
      </c>
      <c r="L45" s="192">
        <f t="shared" si="13"/>
        <v>0.71</v>
      </c>
      <c r="M45" s="192">
        <f t="shared" si="13"/>
        <v>0.71</v>
      </c>
      <c r="N45" s="192">
        <f t="shared" si="13"/>
        <v>0.71</v>
      </c>
      <c r="O45" s="192">
        <f t="shared" si="13"/>
        <v>0.71</v>
      </c>
      <c r="P45" s="192">
        <f t="shared" si="13"/>
        <v>0.71</v>
      </c>
      <c r="Q45" s="192">
        <f t="shared" si="13"/>
        <v>0.71</v>
      </c>
      <c r="R45" s="192">
        <f t="shared" si="13"/>
        <v>0.71</v>
      </c>
    </row>
    <row r="46" spans="2:18" x14ac:dyDescent="0.3">
      <c r="B46" t="s">
        <v>184</v>
      </c>
      <c r="D46" s="193"/>
      <c r="E46" s="193"/>
      <c r="F46" s="193"/>
      <c r="G46" s="193"/>
      <c r="H46" s="193"/>
      <c r="I46" s="193">
        <v>0.71</v>
      </c>
      <c r="J46" s="193">
        <v>0.71</v>
      </c>
      <c r="K46" s="193">
        <v>0.71</v>
      </c>
      <c r="L46" s="193">
        <v>0.71</v>
      </c>
      <c r="M46" s="193">
        <v>0.71</v>
      </c>
      <c r="N46" s="193">
        <v>0.71</v>
      </c>
      <c r="O46" s="193">
        <v>0.71</v>
      </c>
      <c r="P46" s="193">
        <v>0.71</v>
      </c>
      <c r="Q46" s="193">
        <v>0.71</v>
      </c>
      <c r="R46" s="193">
        <v>0.71</v>
      </c>
    </row>
    <row r="47" spans="2:18" x14ac:dyDescent="0.3">
      <c r="B47" t="s">
        <v>185</v>
      </c>
      <c r="D47" s="193"/>
      <c r="E47" s="193"/>
      <c r="F47" s="193"/>
      <c r="G47" s="193"/>
      <c r="H47" s="193"/>
      <c r="I47" s="193">
        <f>+I46+1%</f>
        <v>0.72</v>
      </c>
      <c r="J47" s="193">
        <f t="shared" ref="J47:R47" si="14">+J46+1%</f>
        <v>0.72</v>
      </c>
      <c r="K47" s="193">
        <f t="shared" si="14"/>
        <v>0.72</v>
      </c>
      <c r="L47" s="193">
        <f t="shared" si="14"/>
        <v>0.72</v>
      </c>
      <c r="M47" s="193">
        <f t="shared" si="14"/>
        <v>0.72</v>
      </c>
      <c r="N47" s="193">
        <f t="shared" si="14"/>
        <v>0.72</v>
      </c>
      <c r="O47" s="193">
        <f t="shared" si="14"/>
        <v>0.72</v>
      </c>
      <c r="P47" s="193">
        <f t="shared" si="14"/>
        <v>0.72</v>
      </c>
      <c r="Q47" s="193">
        <f t="shared" si="14"/>
        <v>0.72</v>
      </c>
      <c r="R47" s="193">
        <f t="shared" si="14"/>
        <v>0.72</v>
      </c>
    </row>
    <row r="48" spans="2:18" x14ac:dyDescent="0.3">
      <c r="B48" t="s">
        <v>186</v>
      </c>
      <c r="D48" s="193"/>
      <c r="E48" s="193"/>
      <c r="F48" s="193"/>
      <c r="G48" s="193"/>
      <c r="H48" s="193"/>
      <c r="I48" s="193">
        <f>+I46-1%</f>
        <v>0.7</v>
      </c>
      <c r="J48" s="193">
        <f t="shared" ref="J48:R48" si="15">+J46-1%</f>
        <v>0.7</v>
      </c>
      <c r="K48" s="193">
        <f t="shared" si="15"/>
        <v>0.7</v>
      </c>
      <c r="L48" s="193">
        <f t="shared" si="15"/>
        <v>0.7</v>
      </c>
      <c r="M48" s="193">
        <f t="shared" si="15"/>
        <v>0.7</v>
      </c>
      <c r="N48" s="193">
        <f t="shared" si="15"/>
        <v>0.7</v>
      </c>
      <c r="O48" s="193">
        <f t="shared" si="15"/>
        <v>0.7</v>
      </c>
      <c r="P48" s="193">
        <f t="shared" si="15"/>
        <v>0.7</v>
      </c>
      <c r="Q48" s="193">
        <f t="shared" si="15"/>
        <v>0.7</v>
      </c>
      <c r="R48" s="193">
        <f t="shared" si="15"/>
        <v>0.7</v>
      </c>
    </row>
    <row r="51" spans="2:18" x14ac:dyDescent="0.3">
      <c r="B51" s="189" t="s">
        <v>193</v>
      </c>
    </row>
    <row r="52" spans="2:18" x14ac:dyDescent="0.3">
      <c r="B52" s="190">
        <f>$C$2</f>
        <v>1</v>
      </c>
      <c r="D52" s="191">
        <v>2007</v>
      </c>
      <c r="E52" s="191">
        <f t="shared" ref="E52:R52" si="16">+D52+1</f>
        <v>2008</v>
      </c>
      <c r="F52" s="191">
        <f t="shared" si="16"/>
        <v>2009</v>
      </c>
      <c r="G52" s="191">
        <f t="shared" si="16"/>
        <v>2010</v>
      </c>
      <c r="H52" s="191">
        <f t="shared" si="16"/>
        <v>2011</v>
      </c>
      <c r="I52" s="191">
        <f t="shared" si="16"/>
        <v>2012</v>
      </c>
      <c r="J52" s="191">
        <f t="shared" si="16"/>
        <v>2013</v>
      </c>
      <c r="K52" s="191">
        <f t="shared" si="16"/>
        <v>2014</v>
      </c>
      <c r="L52" s="191">
        <f t="shared" si="16"/>
        <v>2015</v>
      </c>
      <c r="M52" s="191">
        <f t="shared" si="16"/>
        <v>2016</v>
      </c>
      <c r="N52" s="191">
        <f t="shared" si="16"/>
        <v>2017</v>
      </c>
      <c r="O52" s="191">
        <f t="shared" si="16"/>
        <v>2018</v>
      </c>
      <c r="P52" s="191">
        <f t="shared" si="16"/>
        <v>2019</v>
      </c>
      <c r="Q52" s="191">
        <f t="shared" si="16"/>
        <v>2020</v>
      </c>
      <c r="R52" s="191">
        <f t="shared" si="16"/>
        <v>2021</v>
      </c>
    </row>
    <row r="53" spans="2:18" x14ac:dyDescent="0.3">
      <c r="B53" t="s">
        <v>183</v>
      </c>
      <c r="D53" s="192"/>
      <c r="E53" s="192"/>
      <c r="F53" s="192"/>
      <c r="G53" s="192"/>
      <c r="H53" s="192"/>
      <c r="I53" s="192">
        <f t="shared" ref="I53:R53" si="17">CHOOSE($B52,I54,I55,I56)</f>
        <v>0.03</v>
      </c>
      <c r="J53" s="192">
        <f t="shared" si="17"/>
        <v>0.03</v>
      </c>
      <c r="K53" s="192">
        <f t="shared" si="17"/>
        <v>0.03</v>
      </c>
      <c r="L53" s="192">
        <f t="shared" si="17"/>
        <v>0.03</v>
      </c>
      <c r="M53" s="192">
        <f t="shared" si="17"/>
        <v>0.03</v>
      </c>
      <c r="N53" s="192">
        <f t="shared" si="17"/>
        <v>0.03</v>
      </c>
      <c r="O53" s="192">
        <f t="shared" si="17"/>
        <v>0.03</v>
      </c>
      <c r="P53" s="192">
        <f t="shared" si="17"/>
        <v>0.03</v>
      </c>
      <c r="Q53" s="192">
        <f t="shared" si="17"/>
        <v>0.03</v>
      </c>
      <c r="R53" s="192">
        <f t="shared" si="17"/>
        <v>0.03</v>
      </c>
    </row>
    <row r="54" spans="2:18" x14ac:dyDescent="0.3">
      <c r="B54" t="s">
        <v>184</v>
      </c>
      <c r="D54" s="193"/>
      <c r="E54" s="193"/>
      <c r="F54" s="193"/>
      <c r="G54" s="193"/>
      <c r="H54" s="193"/>
      <c r="I54" s="193">
        <v>0.03</v>
      </c>
      <c r="J54" s="193">
        <v>0.03</v>
      </c>
      <c r="K54" s="193">
        <v>0.03</v>
      </c>
      <c r="L54" s="193">
        <v>0.03</v>
      </c>
      <c r="M54" s="193">
        <v>0.03</v>
      </c>
      <c r="N54" s="193">
        <v>0.03</v>
      </c>
      <c r="O54" s="193">
        <v>0.03</v>
      </c>
      <c r="P54" s="193">
        <v>0.03</v>
      </c>
      <c r="Q54" s="193">
        <v>0.03</v>
      </c>
      <c r="R54" s="193">
        <v>0.03</v>
      </c>
    </row>
    <row r="55" spans="2:18" x14ac:dyDescent="0.3">
      <c r="B55" t="s">
        <v>185</v>
      </c>
      <c r="D55" s="193"/>
      <c r="E55" s="193"/>
      <c r="F55" s="193"/>
      <c r="G55" s="193"/>
      <c r="H55" s="193"/>
      <c r="I55" s="193">
        <f>+I54+0.5%</f>
        <v>3.4999999999999996E-2</v>
      </c>
      <c r="J55" s="193">
        <f t="shared" ref="J55:R55" si="18">+J54+0.5%</f>
        <v>3.4999999999999996E-2</v>
      </c>
      <c r="K55" s="193">
        <f t="shared" si="18"/>
        <v>3.4999999999999996E-2</v>
      </c>
      <c r="L55" s="193">
        <f t="shared" si="18"/>
        <v>3.4999999999999996E-2</v>
      </c>
      <c r="M55" s="193">
        <f t="shared" si="18"/>
        <v>3.4999999999999996E-2</v>
      </c>
      <c r="N55" s="193">
        <f t="shared" si="18"/>
        <v>3.4999999999999996E-2</v>
      </c>
      <c r="O55" s="193">
        <f t="shared" si="18"/>
        <v>3.4999999999999996E-2</v>
      </c>
      <c r="P55" s="193">
        <f t="shared" si="18"/>
        <v>3.4999999999999996E-2</v>
      </c>
      <c r="Q55" s="193">
        <f t="shared" si="18"/>
        <v>3.4999999999999996E-2</v>
      </c>
      <c r="R55" s="193">
        <f t="shared" si="18"/>
        <v>3.4999999999999996E-2</v>
      </c>
    </row>
    <row r="56" spans="2:18" x14ac:dyDescent="0.3">
      <c r="B56" t="s">
        <v>186</v>
      </c>
      <c r="D56" s="193"/>
      <c r="E56" s="193"/>
      <c r="F56" s="193"/>
      <c r="G56" s="193"/>
      <c r="H56" s="193"/>
      <c r="I56" s="193">
        <f>I54-0.5%</f>
        <v>2.4999999999999998E-2</v>
      </c>
      <c r="J56" s="193">
        <f t="shared" ref="J56:R56" si="19">J54-0.5%</f>
        <v>2.4999999999999998E-2</v>
      </c>
      <c r="K56" s="193">
        <f t="shared" si="19"/>
        <v>2.4999999999999998E-2</v>
      </c>
      <c r="L56" s="193">
        <f t="shared" si="19"/>
        <v>2.4999999999999998E-2</v>
      </c>
      <c r="M56" s="193">
        <f t="shared" si="19"/>
        <v>2.4999999999999998E-2</v>
      </c>
      <c r="N56" s="193">
        <f t="shared" si="19"/>
        <v>2.4999999999999998E-2</v>
      </c>
      <c r="O56" s="193">
        <f t="shared" si="19"/>
        <v>2.4999999999999998E-2</v>
      </c>
      <c r="P56" s="193">
        <f t="shared" si="19"/>
        <v>2.4999999999999998E-2</v>
      </c>
      <c r="Q56" s="193">
        <f t="shared" si="19"/>
        <v>2.4999999999999998E-2</v>
      </c>
      <c r="R56" s="193">
        <f t="shared" si="19"/>
        <v>2.4999999999999998E-2</v>
      </c>
    </row>
    <row r="60" spans="2:18" x14ac:dyDescent="0.3">
      <c r="B60" s="189" t="s">
        <v>194</v>
      </c>
    </row>
    <row r="61" spans="2:18" x14ac:dyDescent="0.3">
      <c r="B61" s="190">
        <f>$C$2</f>
        <v>1</v>
      </c>
      <c r="D61" s="191">
        <v>2007</v>
      </c>
      <c r="E61" s="191">
        <f t="shared" ref="E61:R61" si="20">+D61+1</f>
        <v>2008</v>
      </c>
      <c r="F61" s="191">
        <f t="shared" si="20"/>
        <v>2009</v>
      </c>
      <c r="G61" s="191">
        <f t="shared" si="20"/>
        <v>2010</v>
      </c>
      <c r="H61" s="191">
        <f t="shared" si="20"/>
        <v>2011</v>
      </c>
      <c r="I61" s="191">
        <f t="shared" si="20"/>
        <v>2012</v>
      </c>
      <c r="J61" s="191">
        <f t="shared" si="20"/>
        <v>2013</v>
      </c>
      <c r="K61" s="191">
        <f t="shared" si="20"/>
        <v>2014</v>
      </c>
      <c r="L61" s="191">
        <f t="shared" si="20"/>
        <v>2015</v>
      </c>
      <c r="M61" s="191">
        <f t="shared" si="20"/>
        <v>2016</v>
      </c>
      <c r="N61" s="191">
        <f t="shared" si="20"/>
        <v>2017</v>
      </c>
      <c r="O61" s="191">
        <f t="shared" si="20"/>
        <v>2018</v>
      </c>
      <c r="P61" s="191">
        <f t="shared" si="20"/>
        <v>2019</v>
      </c>
      <c r="Q61" s="191">
        <f t="shared" si="20"/>
        <v>2020</v>
      </c>
      <c r="R61" s="191">
        <f t="shared" si="20"/>
        <v>2021</v>
      </c>
    </row>
    <row r="62" spans="2:18" x14ac:dyDescent="0.3">
      <c r="B62" t="s">
        <v>183</v>
      </c>
      <c r="D62" s="192"/>
      <c r="E62" s="192"/>
      <c r="F62" s="192"/>
      <c r="G62" s="192"/>
      <c r="H62" s="192"/>
      <c r="I62" s="192">
        <f t="shared" ref="I62:R62" si="21">CHOOSE($B61,I63,I64,I65)</f>
        <v>0.12</v>
      </c>
      <c r="J62" s="192">
        <f t="shared" si="21"/>
        <v>0.12</v>
      </c>
      <c r="K62" s="192">
        <f t="shared" si="21"/>
        <v>0.12</v>
      </c>
      <c r="L62" s="192">
        <f t="shared" si="21"/>
        <v>0.12</v>
      </c>
      <c r="M62" s="192">
        <f t="shared" si="21"/>
        <v>0.12</v>
      </c>
      <c r="N62" s="192">
        <f t="shared" si="21"/>
        <v>0.12</v>
      </c>
      <c r="O62" s="192">
        <f t="shared" si="21"/>
        <v>0.12</v>
      </c>
      <c r="P62" s="192">
        <f t="shared" si="21"/>
        <v>0.12</v>
      </c>
      <c r="Q62" s="192">
        <f t="shared" si="21"/>
        <v>0.12</v>
      </c>
      <c r="R62" s="192">
        <f t="shared" si="21"/>
        <v>0.12</v>
      </c>
    </row>
    <row r="63" spans="2:18" x14ac:dyDescent="0.3">
      <c r="B63" t="s">
        <v>184</v>
      </c>
      <c r="D63" s="193"/>
      <c r="E63" s="193"/>
      <c r="F63" s="193"/>
      <c r="G63" s="193"/>
      <c r="H63" s="193"/>
      <c r="I63" s="193">
        <v>0.12</v>
      </c>
      <c r="J63" s="193">
        <v>0.12</v>
      </c>
      <c r="K63" s="193">
        <v>0.12</v>
      </c>
      <c r="L63" s="193">
        <v>0.12</v>
      </c>
      <c r="M63" s="193">
        <v>0.12</v>
      </c>
      <c r="N63" s="193">
        <v>0.12</v>
      </c>
      <c r="O63" s="193">
        <v>0.12</v>
      </c>
      <c r="P63" s="193">
        <v>0.12</v>
      </c>
      <c r="Q63" s="193">
        <v>0.12</v>
      </c>
      <c r="R63" s="193">
        <v>0.12</v>
      </c>
    </row>
    <row r="64" spans="2:18" x14ac:dyDescent="0.3">
      <c r="B64" t="s">
        <v>185</v>
      </c>
      <c r="D64" s="193"/>
      <c r="E64" s="193"/>
      <c r="F64" s="193"/>
      <c r="G64" s="193"/>
      <c r="H64" s="193"/>
      <c r="I64" s="193">
        <f t="shared" ref="I64:R64" si="22">+I63+0.5%</f>
        <v>0.125</v>
      </c>
      <c r="J64" s="193">
        <f t="shared" si="22"/>
        <v>0.125</v>
      </c>
      <c r="K64" s="193">
        <f t="shared" si="22"/>
        <v>0.125</v>
      </c>
      <c r="L64" s="193">
        <f t="shared" si="22"/>
        <v>0.125</v>
      </c>
      <c r="M64" s="193">
        <f t="shared" si="22"/>
        <v>0.125</v>
      </c>
      <c r="N64" s="193">
        <f t="shared" si="22"/>
        <v>0.125</v>
      </c>
      <c r="O64" s="193">
        <f t="shared" si="22"/>
        <v>0.125</v>
      </c>
      <c r="P64" s="193">
        <f t="shared" si="22"/>
        <v>0.125</v>
      </c>
      <c r="Q64" s="193">
        <f t="shared" si="22"/>
        <v>0.125</v>
      </c>
      <c r="R64" s="193">
        <f t="shared" si="22"/>
        <v>0.125</v>
      </c>
    </row>
    <row r="65" spans="2:18" x14ac:dyDescent="0.3">
      <c r="B65" t="s">
        <v>186</v>
      </c>
      <c r="D65" s="193"/>
      <c r="E65" s="193"/>
      <c r="F65" s="193"/>
      <c r="G65" s="193"/>
      <c r="H65" s="193"/>
      <c r="I65" s="193">
        <f>I63-0.5%</f>
        <v>0.11499999999999999</v>
      </c>
      <c r="J65" s="193">
        <f t="shared" ref="J65:R65" si="23">J63-0.5%</f>
        <v>0.11499999999999999</v>
      </c>
      <c r="K65" s="193">
        <f t="shared" si="23"/>
        <v>0.11499999999999999</v>
      </c>
      <c r="L65" s="193">
        <f t="shared" si="23"/>
        <v>0.11499999999999999</v>
      </c>
      <c r="M65" s="193">
        <f t="shared" si="23"/>
        <v>0.11499999999999999</v>
      </c>
      <c r="N65" s="193">
        <f t="shared" si="23"/>
        <v>0.11499999999999999</v>
      </c>
      <c r="O65" s="193">
        <f t="shared" si="23"/>
        <v>0.11499999999999999</v>
      </c>
      <c r="P65" s="193">
        <f t="shared" si="23"/>
        <v>0.11499999999999999</v>
      </c>
      <c r="Q65" s="193">
        <f t="shared" si="23"/>
        <v>0.11499999999999999</v>
      </c>
      <c r="R65" s="193">
        <f t="shared" si="23"/>
        <v>0.11499999999999999</v>
      </c>
    </row>
    <row r="68" spans="2:18" x14ac:dyDescent="0.3">
      <c r="B68" s="189" t="s">
        <v>195</v>
      </c>
    </row>
    <row r="69" spans="2:18" x14ac:dyDescent="0.3">
      <c r="B69" s="190">
        <f>$C$2</f>
        <v>1</v>
      </c>
      <c r="D69" s="191">
        <v>2007</v>
      </c>
      <c r="E69" s="191">
        <f t="shared" ref="E69:R69" si="24">+D69+1</f>
        <v>2008</v>
      </c>
      <c r="F69" s="191">
        <f t="shared" si="24"/>
        <v>2009</v>
      </c>
      <c r="G69" s="191">
        <f t="shared" si="24"/>
        <v>2010</v>
      </c>
      <c r="H69" s="191">
        <f t="shared" si="24"/>
        <v>2011</v>
      </c>
      <c r="I69" s="191">
        <f t="shared" si="24"/>
        <v>2012</v>
      </c>
      <c r="J69" s="191">
        <f t="shared" si="24"/>
        <v>2013</v>
      </c>
      <c r="K69" s="191">
        <f t="shared" si="24"/>
        <v>2014</v>
      </c>
      <c r="L69" s="191">
        <f t="shared" si="24"/>
        <v>2015</v>
      </c>
      <c r="M69" s="191">
        <f t="shared" si="24"/>
        <v>2016</v>
      </c>
      <c r="N69" s="191">
        <f t="shared" si="24"/>
        <v>2017</v>
      </c>
      <c r="O69" s="191">
        <f t="shared" si="24"/>
        <v>2018</v>
      </c>
      <c r="P69" s="191">
        <f t="shared" si="24"/>
        <v>2019</v>
      </c>
      <c r="Q69" s="191">
        <f t="shared" si="24"/>
        <v>2020</v>
      </c>
      <c r="R69" s="191">
        <f t="shared" si="24"/>
        <v>2021</v>
      </c>
    </row>
    <row r="70" spans="2:18" x14ac:dyDescent="0.3">
      <c r="B70" t="s">
        <v>183</v>
      </c>
      <c r="D70" s="192"/>
      <c r="E70" s="192"/>
      <c r="F70" s="192"/>
      <c r="G70" s="192"/>
      <c r="H70" s="192"/>
      <c r="I70" s="192">
        <f t="shared" ref="I70:R70" si="25">CHOOSE($B69,I71,I72,I73)</f>
        <v>0.02</v>
      </c>
      <c r="J70" s="192">
        <f t="shared" si="25"/>
        <v>0.02</v>
      </c>
      <c r="K70" s="192">
        <f t="shared" si="25"/>
        <v>0.02</v>
      </c>
      <c r="L70" s="192">
        <f t="shared" si="25"/>
        <v>0.02</v>
      </c>
      <c r="M70" s="192">
        <f t="shared" si="25"/>
        <v>0.02</v>
      </c>
      <c r="N70" s="192">
        <f t="shared" si="25"/>
        <v>0.01</v>
      </c>
      <c r="O70" s="192">
        <f t="shared" si="25"/>
        <v>0.01</v>
      </c>
      <c r="P70" s="192">
        <f t="shared" si="25"/>
        <v>0.01</v>
      </c>
      <c r="Q70" s="192">
        <f t="shared" si="25"/>
        <v>0.01</v>
      </c>
      <c r="R70" s="192">
        <f t="shared" si="25"/>
        <v>0.01</v>
      </c>
    </row>
    <row r="71" spans="2:18" x14ac:dyDescent="0.3">
      <c r="B71" t="s">
        <v>184</v>
      </c>
      <c r="D71" s="193"/>
      <c r="E71" s="193"/>
      <c r="F71" s="193"/>
      <c r="G71" s="193"/>
      <c r="H71" s="193"/>
      <c r="I71" s="193">
        <v>0.02</v>
      </c>
      <c r="J71" s="193">
        <v>0.02</v>
      </c>
      <c r="K71" s="193">
        <v>0.02</v>
      </c>
      <c r="L71" s="193">
        <v>0.02</v>
      </c>
      <c r="M71" s="193">
        <v>0.02</v>
      </c>
      <c r="N71" s="193">
        <v>0.01</v>
      </c>
      <c r="O71" s="193">
        <v>0.01</v>
      </c>
      <c r="P71" s="193">
        <v>0.01</v>
      </c>
      <c r="Q71" s="193">
        <v>0.01</v>
      </c>
      <c r="R71" s="193">
        <v>0.01</v>
      </c>
    </row>
    <row r="72" spans="2:18" x14ac:dyDescent="0.3">
      <c r="B72" t="s">
        <v>185</v>
      </c>
      <c r="D72" s="193"/>
      <c r="E72" s="193"/>
      <c r="F72" s="193"/>
      <c r="G72" s="193"/>
      <c r="H72" s="193"/>
      <c r="I72" s="193">
        <v>0.01</v>
      </c>
      <c r="J72" s="193">
        <v>0.01</v>
      </c>
      <c r="K72" s="193">
        <v>0.01</v>
      </c>
      <c r="L72" s="193">
        <v>0.01</v>
      </c>
      <c r="M72" s="193">
        <v>0.01</v>
      </c>
      <c r="N72" s="193">
        <v>0.01</v>
      </c>
      <c r="O72" s="193">
        <v>0.01</v>
      </c>
      <c r="P72" s="193">
        <v>0.01</v>
      </c>
      <c r="Q72" s="193">
        <v>0.01</v>
      </c>
      <c r="R72" s="193">
        <v>0.01</v>
      </c>
    </row>
    <row r="73" spans="2:18" x14ac:dyDescent="0.3">
      <c r="B73" t="s">
        <v>186</v>
      </c>
      <c r="D73" s="193"/>
      <c r="E73" s="193"/>
      <c r="F73" s="193"/>
      <c r="G73" s="193"/>
      <c r="H73" s="193"/>
      <c r="I73" s="193">
        <v>0.03</v>
      </c>
      <c r="J73" s="193">
        <v>0.03</v>
      </c>
      <c r="K73" s="193">
        <v>0.03</v>
      </c>
      <c r="L73" s="193">
        <v>0.02</v>
      </c>
      <c r="M73" s="193">
        <v>0.02</v>
      </c>
      <c r="N73" s="193">
        <v>0.01</v>
      </c>
      <c r="O73" s="193">
        <v>0.01</v>
      </c>
      <c r="P73" s="193">
        <v>0.01</v>
      </c>
      <c r="Q73" s="193">
        <v>0.01</v>
      </c>
      <c r="R73" s="193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D8" sqref="D8"/>
    </sheetView>
  </sheetViews>
  <sheetFormatPr defaultColWidth="8.77734375" defaultRowHeight="14.4" x14ac:dyDescent="0.3"/>
  <cols>
    <col min="1" max="1" width="24" bestFit="1" customWidth="1"/>
  </cols>
  <sheetData>
    <row r="1" spans="1:21" x14ac:dyDescent="0.3">
      <c r="A1" s="94" t="s">
        <v>115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</row>
    <row r="2" spans="1:21" x14ac:dyDescent="0.3">
      <c r="A2" s="94" t="s">
        <v>144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21" x14ac:dyDescent="0.3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</row>
    <row r="4" spans="1:21" x14ac:dyDescent="0.3">
      <c r="A4" s="134" t="str">
        <f>'Balance Sheet'!B4</f>
        <v>(YE 31-Dec, USDm)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</row>
    <row r="5" spans="1:21" x14ac:dyDescent="0.3">
      <c r="A5" s="101"/>
      <c r="B5" s="101"/>
      <c r="C5" s="101"/>
      <c r="D5" s="133">
        <v>1</v>
      </c>
      <c r="E5" s="133">
        <v>2</v>
      </c>
      <c r="F5" s="133">
        <v>3</v>
      </c>
      <c r="G5" s="133">
        <f>+F5+1</f>
        <v>4</v>
      </c>
      <c r="H5" s="133">
        <f t="shared" ref="H5:M5" si="0">+G5+1</f>
        <v>5</v>
      </c>
      <c r="I5" s="133">
        <f t="shared" si="0"/>
        <v>6</v>
      </c>
      <c r="J5" s="133">
        <f t="shared" si="0"/>
        <v>7</v>
      </c>
      <c r="K5" s="133">
        <f t="shared" si="0"/>
        <v>8</v>
      </c>
      <c r="L5" s="133">
        <f t="shared" si="0"/>
        <v>9</v>
      </c>
      <c r="M5" s="133">
        <f t="shared" si="0"/>
        <v>10</v>
      </c>
    </row>
    <row r="6" spans="1:21" x14ac:dyDescent="0.3">
      <c r="A6" s="101"/>
      <c r="B6" s="101"/>
      <c r="C6" s="58">
        <f>+'Balance Sheet'!G4</f>
        <v>2011</v>
      </c>
      <c r="D6" s="59">
        <f>+'Balance Sheet'!I4</f>
        <v>2012</v>
      </c>
      <c r="E6" s="60">
        <f>+'Balance Sheet'!J4</f>
        <v>2013</v>
      </c>
      <c r="F6" s="60">
        <f>+'Balance Sheet'!K4</f>
        <v>2014</v>
      </c>
      <c r="G6" s="60">
        <f>+'Balance Sheet'!L4</f>
        <v>2015</v>
      </c>
      <c r="H6" s="60">
        <f>+'Balance Sheet'!M4</f>
        <v>2016</v>
      </c>
      <c r="I6" s="60">
        <f>+'Balance Sheet'!N4</f>
        <v>2017</v>
      </c>
      <c r="J6" s="60">
        <f>+'Balance Sheet'!O4</f>
        <v>2018</v>
      </c>
      <c r="K6" s="60">
        <f>+'Balance Sheet'!P4</f>
        <v>2019</v>
      </c>
      <c r="L6" s="60">
        <f>+'Balance Sheet'!Q4</f>
        <v>2020</v>
      </c>
      <c r="M6" s="60">
        <f>+'Balance Sheet'!R4</f>
        <v>2021</v>
      </c>
      <c r="N6" s="101"/>
      <c r="O6" s="101"/>
      <c r="P6" s="101"/>
      <c r="Q6" s="101"/>
      <c r="R6" s="101"/>
      <c r="S6" s="101"/>
      <c r="T6" s="101"/>
      <c r="U6" s="101"/>
    </row>
    <row r="7" spans="1:21" x14ac:dyDescent="0.3">
      <c r="A7" s="101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</row>
    <row r="8" spans="1:21" x14ac:dyDescent="0.3">
      <c r="A8" s="114" t="s">
        <v>147</v>
      </c>
      <c r="B8" s="114"/>
      <c r="C8" s="115"/>
      <c r="D8" s="92">
        <f>+'LBO Modelling'!C23</f>
        <v>23.173239258332437</v>
      </c>
      <c r="E8" s="92">
        <f>+'LBO Modelling'!D23</f>
        <v>25.873815500654111</v>
      </c>
      <c r="F8" s="92">
        <f>+'LBO Modelling'!E23</f>
        <v>30.62192054910296</v>
      </c>
      <c r="G8" s="92">
        <f>+'LBO Modelling'!F23</f>
        <v>35.573992987806278</v>
      </c>
      <c r="H8" s="92">
        <f>+'LBO Modelling'!G23</f>
        <v>41.788232462371568</v>
      </c>
      <c r="I8" s="92">
        <f>+'LBO Modelling'!H23</f>
        <v>47.085133446101999</v>
      </c>
      <c r="J8" s="92">
        <f>+'LBO Modelling'!I23</f>
        <v>0</v>
      </c>
      <c r="K8" s="92">
        <f>+'LBO Modelling'!J23</f>
        <v>7.1300633336337285</v>
      </c>
      <c r="L8" s="92">
        <f>+'LBO Modelling'!K23</f>
        <v>67.566466292276687</v>
      </c>
      <c r="M8" s="92">
        <f>+'LBO Modelling'!L23</f>
        <v>67.867102897176039</v>
      </c>
      <c r="N8" s="101"/>
      <c r="O8" s="101"/>
      <c r="P8" s="101"/>
      <c r="Q8" s="101"/>
      <c r="R8" s="101"/>
      <c r="S8" s="101"/>
      <c r="T8" s="101"/>
      <c r="U8" s="101"/>
    </row>
    <row r="9" spans="1:21" x14ac:dyDescent="0.3">
      <c r="A9" s="104"/>
      <c r="B9" s="104"/>
      <c r="C9" s="132"/>
      <c r="D9" s="6"/>
      <c r="E9" s="6"/>
      <c r="F9" s="6"/>
      <c r="G9" s="6"/>
      <c r="H9" s="6"/>
      <c r="I9" s="6"/>
      <c r="J9" s="6"/>
      <c r="K9" s="6"/>
      <c r="L9" s="6"/>
      <c r="M9" s="6"/>
      <c r="N9" s="101"/>
      <c r="O9" s="101"/>
      <c r="P9" s="101"/>
      <c r="Q9" s="101"/>
      <c r="R9" s="101"/>
      <c r="S9" s="101"/>
      <c r="T9" s="101"/>
      <c r="U9" s="101"/>
    </row>
    <row r="10" spans="1:21" x14ac:dyDescent="0.3">
      <c r="A10" s="131" t="s">
        <v>102</v>
      </c>
      <c r="B10" s="131"/>
      <c r="C10" s="131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01"/>
      <c r="O10" s="101"/>
      <c r="P10" s="101"/>
      <c r="Q10" s="101"/>
      <c r="R10" s="101"/>
      <c r="S10" s="101"/>
      <c r="T10" s="101"/>
      <c r="U10" s="101"/>
    </row>
    <row r="11" spans="1:21" x14ac:dyDescent="0.3">
      <c r="A11" s="101"/>
      <c r="B11" s="101"/>
      <c r="C11" s="101"/>
      <c r="D11" s="6"/>
      <c r="E11" s="6"/>
      <c r="F11" s="6"/>
      <c r="G11" s="6"/>
      <c r="H11" s="6"/>
      <c r="I11" s="6"/>
      <c r="J11" s="6"/>
      <c r="K11" s="6"/>
      <c r="L11" s="6"/>
      <c r="M11" s="6"/>
      <c r="N11" s="101"/>
      <c r="O11" s="101"/>
      <c r="P11" s="101"/>
      <c r="Q11" s="101"/>
      <c r="R11" s="101"/>
      <c r="S11" s="101"/>
      <c r="T11" s="101"/>
      <c r="U11" s="101"/>
    </row>
    <row r="12" spans="1:21" x14ac:dyDescent="0.3">
      <c r="A12" s="101" t="s">
        <v>103</v>
      </c>
      <c r="B12" s="101"/>
      <c r="C12" s="101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01"/>
      <c r="O12" s="101"/>
      <c r="P12" s="101"/>
      <c r="Q12" s="101"/>
      <c r="R12" s="101"/>
      <c r="S12" s="101"/>
      <c r="T12" s="101"/>
      <c r="U12" s="101"/>
    </row>
    <row r="13" spans="1:21" x14ac:dyDescent="0.3">
      <c r="A13" s="101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</row>
    <row r="14" spans="1:21" x14ac:dyDescent="0.3">
      <c r="A14" s="106" t="s">
        <v>146</v>
      </c>
      <c r="B14" s="107"/>
      <c r="C14" s="116">
        <f>+'WACC Calculation'!C7</f>
        <v>0.15</v>
      </c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</row>
    <row r="15" spans="1:21" x14ac:dyDescent="0.3">
      <c r="A15" s="117" t="s">
        <v>104</v>
      </c>
      <c r="B15" s="104"/>
      <c r="C15" s="118">
        <f>+DCF!C27</f>
        <v>0.02</v>
      </c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</row>
    <row r="16" spans="1:21" x14ac:dyDescent="0.3">
      <c r="A16" s="119"/>
      <c r="B16" s="101"/>
      <c r="C16" s="112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</row>
    <row r="17" spans="1:21" x14ac:dyDescent="0.3">
      <c r="A17" s="119"/>
      <c r="B17" s="101"/>
      <c r="C17" s="120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</row>
    <row r="18" spans="1:21" x14ac:dyDescent="0.3">
      <c r="A18" s="117" t="s">
        <v>105</v>
      </c>
      <c r="B18" s="104"/>
      <c r="C18" s="35">
        <f>(M8*(1+C14))/(C14-C15)</f>
        <v>600.36283332117262</v>
      </c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</row>
    <row r="19" spans="1:21" x14ac:dyDescent="0.3">
      <c r="A19" s="119" t="s">
        <v>106</v>
      </c>
      <c r="B19" s="101"/>
      <c r="C19" s="35">
        <f>C18*M10</f>
        <v>148.4005105209848</v>
      </c>
      <c r="D19" s="101"/>
      <c r="E19" s="101"/>
      <c r="F19" s="137"/>
      <c r="G19" s="137"/>
      <c r="H19" s="137"/>
      <c r="I19" s="137"/>
      <c r="J19" s="137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</row>
    <row r="20" spans="1:21" x14ac:dyDescent="0.3">
      <c r="A20" s="119"/>
      <c r="B20" s="101"/>
      <c r="C20" s="35"/>
      <c r="D20" s="101"/>
      <c r="E20" s="101"/>
      <c r="F20" s="137"/>
      <c r="G20" s="137"/>
      <c r="H20" s="137"/>
      <c r="I20" s="137"/>
      <c r="J20" s="137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</row>
    <row r="21" spans="1:21" x14ac:dyDescent="0.3">
      <c r="A21" s="119" t="s">
        <v>107</v>
      </c>
      <c r="B21" s="101"/>
      <c r="C21" s="35">
        <f>SUM(D12:M12)</f>
        <v>159.63440680482657</v>
      </c>
      <c r="D21" s="101"/>
      <c r="E21" s="101"/>
      <c r="F21" s="137"/>
      <c r="G21" s="137"/>
      <c r="H21" s="137"/>
      <c r="I21" s="137"/>
      <c r="J21" s="137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</row>
    <row r="22" spans="1:21" x14ac:dyDescent="0.3">
      <c r="A22" s="119"/>
      <c r="B22" s="101"/>
      <c r="C22" s="35"/>
      <c r="D22" s="101"/>
      <c r="E22" s="101"/>
      <c r="F22" s="137"/>
      <c r="G22" s="137"/>
      <c r="H22" s="137"/>
      <c r="I22" s="137"/>
      <c r="J22" s="137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</row>
    <row r="23" spans="1:21" x14ac:dyDescent="0.3">
      <c r="A23" s="117" t="s">
        <v>111</v>
      </c>
      <c r="B23" s="104"/>
      <c r="C23" s="122">
        <f>+C19+C21</f>
        <v>308.03491732581136</v>
      </c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</row>
    <row r="24" spans="1:21" x14ac:dyDescent="0.3">
      <c r="A24" s="119" t="s">
        <v>109</v>
      </c>
      <c r="B24" s="101"/>
      <c r="C24" s="35">
        <f>+'Balance Sheet'!H23</f>
        <v>234.99599999999981</v>
      </c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</row>
    <row r="25" spans="1:21" x14ac:dyDescent="0.3">
      <c r="A25" s="119" t="s">
        <v>110</v>
      </c>
      <c r="B25" s="101"/>
      <c r="C25" s="35">
        <v>0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</row>
    <row r="26" spans="1:21" x14ac:dyDescent="0.3">
      <c r="A26" s="109" t="s">
        <v>126</v>
      </c>
      <c r="B26" s="110"/>
      <c r="C26" s="123">
        <f>+C23+C24</f>
        <v>543.03091732581117</v>
      </c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</row>
    <row r="27" spans="1:21" x14ac:dyDescent="0.3">
      <c r="A27" s="93"/>
      <c r="B27" s="93"/>
      <c r="C27" s="6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</row>
    <row r="28" spans="1:21" x14ac:dyDescent="0.3">
      <c r="A28" s="106" t="s">
        <v>113</v>
      </c>
      <c r="B28" s="107"/>
      <c r="C28" s="108">
        <f>+C26/DCF!D8</f>
        <v>13.704509962599342</v>
      </c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</row>
    <row r="29" spans="1:21" x14ac:dyDescent="0.3">
      <c r="A29" s="109" t="s">
        <v>114</v>
      </c>
      <c r="B29" s="110"/>
      <c r="C29" s="111">
        <f>+C26/DCF!D12</f>
        <v>15.367887026723869</v>
      </c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</row>
    <row r="30" spans="1:21" x14ac:dyDescent="0.3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222"/>
      <c r="Q30" s="222"/>
      <c r="R30" s="222"/>
      <c r="S30" s="222"/>
      <c r="T30" s="222"/>
      <c r="U30" s="222"/>
    </row>
    <row r="31" spans="1:21" x14ac:dyDescent="0.3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Q31" s="221" t="s">
        <v>112</v>
      </c>
      <c r="R31" s="221"/>
      <c r="S31" s="221"/>
      <c r="T31" s="221"/>
      <c r="U31" s="221"/>
    </row>
    <row r="32" spans="1:21" x14ac:dyDescent="0.3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223" t="s">
        <v>96</v>
      </c>
      <c r="R32" s="223"/>
      <c r="S32" s="223"/>
      <c r="T32" s="223"/>
      <c r="U32" s="223"/>
    </row>
    <row r="33" spans="1:21" x14ac:dyDescent="0.3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24">
        <f>C26</f>
        <v>543.03091732581117</v>
      </c>
      <c r="Q33" s="135">
        <f>+R33-0.01</f>
        <v>0.12999999999999998</v>
      </c>
      <c r="R33" s="135">
        <f>+S33-0.01</f>
        <v>0.13999999999999999</v>
      </c>
      <c r="S33" s="135">
        <v>0.15</v>
      </c>
      <c r="T33" s="135">
        <f>+S33+0.01</f>
        <v>0.16</v>
      </c>
      <c r="U33" s="135">
        <f>+T33+0.01</f>
        <v>0.17</v>
      </c>
    </row>
    <row r="34" spans="1:21" x14ac:dyDescent="0.3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220" t="s">
        <v>104</v>
      </c>
      <c r="P34" s="195">
        <f>+P35-0.005</f>
        <v>9.9999999999999985E-3</v>
      </c>
      <c r="Q34" s="125">
        <f t="dataTable" ref="Q34:U38" dt2D="1" dtr="0" r1="C14" r2="C15"/>
        <v>597.53667788267626</v>
      </c>
      <c r="R34" s="64">
        <v>562.23831125613037</v>
      </c>
      <c r="S34" s="64">
        <v>532.43088086002649</v>
      </c>
      <c r="T34" s="64">
        <v>506.9868015076591</v>
      </c>
      <c r="U34" s="33">
        <v>485.06228722877199</v>
      </c>
    </row>
    <row r="35" spans="1:21" x14ac:dyDescent="0.3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220"/>
      <c r="P35" s="195">
        <f>+P36-0.005</f>
        <v>1.4999999999999999E-2</v>
      </c>
      <c r="Q35" s="126">
        <v>605.72215949140127</v>
      </c>
      <c r="R35" s="129">
        <v>568.659749163578</v>
      </c>
      <c r="S35" s="129">
        <v>537.53460212133018</v>
      </c>
      <c r="T35" s="129">
        <v>511.0892973583862</v>
      </c>
      <c r="U35" s="35">
        <v>488.3927522615387</v>
      </c>
    </row>
    <row r="36" spans="1:21" x14ac:dyDescent="0.3">
      <c r="A36" s="101"/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220"/>
      <c r="P36" s="195">
        <v>0.02</v>
      </c>
      <c r="Q36" s="126">
        <v>614.65177579182841</v>
      </c>
      <c r="R36" s="129">
        <v>575.61630689664617</v>
      </c>
      <c r="S36" s="130">
        <v>543.03091732581117</v>
      </c>
      <c r="T36" s="129">
        <v>515.48482862702258</v>
      </c>
      <c r="U36" s="35">
        <v>491.94524829648992</v>
      </c>
    </row>
    <row r="37" spans="1:21" x14ac:dyDescent="0.3">
      <c r="A37" s="101"/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220"/>
      <c r="P37" s="195">
        <f>+P36+0.005</f>
        <v>2.5000000000000001E-2</v>
      </c>
      <c r="Q37" s="126">
        <v>624.43183173991542</v>
      </c>
      <c r="R37" s="129">
        <v>583.17778269345945</v>
      </c>
      <c r="S37" s="129">
        <v>548.9669377466505</v>
      </c>
      <c r="T37" s="129">
        <v>520.20595480444661</v>
      </c>
      <c r="U37" s="35">
        <v>495.74274405798951</v>
      </c>
    </row>
    <row r="38" spans="1:21" x14ac:dyDescent="0.3">
      <c r="A38" s="101"/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220"/>
      <c r="P38" s="195">
        <f>+P37+0.005</f>
        <v>3.0000000000000002E-2</v>
      </c>
      <c r="Q38" s="127">
        <v>635.18989328281123</v>
      </c>
      <c r="R38" s="128">
        <v>591.42666538089225</v>
      </c>
      <c r="S38" s="128">
        <v>555.39762653589332</v>
      </c>
      <c r="T38" s="128">
        <v>525.29024453398029</v>
      </c>
      <c r="U38" s="121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defaultColWidth="8.77734375" defaultRowHeight="13.2" x14ac:dyDescent="0.25"/>
  <cols>
    <col min="1" max="1" width="15.109375" style="1" customWidth="1"/>
    <col min="2" max="2" width="13" style="1" customWidth="1"/>
    <col min="3" max="3" width="12.44140625" style="1" customWidth="1"/>
    <col min="4" max="8" width="10.109375" style="1" bestFit="1" customWidth="1"/>
    <col min="9" max="16384" width="8.77734375" style="1"/>
  </cols>
  <sheetData>
    <row r="1" spans="1:13" x14ac:dyDescent="0.25">
      <c r="A1" s="94" t="s">
        <v>115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</row>
    <row r="2" spans="1:13" x14ac:dyDescent="0.25">
      <c r="A2" s="94" t="s">
        <v>148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x14ac:dyDescent="0.25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</row>
    <row r="4" spans="1:13" x14ac:dyDescent="0.25">
      <c r="A4" s="101" t="s">
        <v>149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</row>
    <row r="5" spans="1:13" x14ac:dyDescent="0.25">
      <c r="A5" s="101" t="s">
        <v>150</v>
      </c>
      <c r="B5" s="101"/>
      <c r="C5" s="162">
        <f>'LBO Modelling'!C6</f>
        <v>12</v>
      </c>
      <c r="D5" s="162"/>
      <c r="E5" s="101"/>
      <c r="F5" s="101"/>
      <c r="G5" s="101"/>
      <c r="H5" s="101"/>
      <c r="I5" s="101"/>
      <c r="J5" s="101"/>
      <c r="K5" s="101"/>
      <c r="L5" s="101"/>
      <c r="M5" s="101"/>
    </row>
    <row r="6" spans="1:13" x14ac:dyDescent="0.25">
      <c r="A6" s="101" t="s">
        <v>151</v>
      </c>
      <c r="B6" s="101"/>
      <c r="C6" s="162">
        <f>+DCF!D8</f>
        <v>39.624249156502799</v>
      </c>
      <c r="D6" s="162"/>
      <c r="E6" s="101"/>
      <c r="F6" s="101"/>
      <c r="G6" s="101"/>
      <c r="H6" s="101"/>
      <c r="I6" s="101"/>
      <c r="J6" s="101"/>
      <c r="K6" s="101"/>
      <c r="L6" s="101"/>
      <c r="M6" s="101"/>
    </row>
    <row r="7" spans="1:13" x14ac:dyDescent="0.25">
      <c r="A7" s="101" t="s">
        <v>152</v>
      </c>
      <c r="B7" s="101"/>
      <c r="C7" s="162">
        <f>+C5</f>
        <v>12</v>
      </c>
      <c r="D7" s="162"/>
      <c r="E7" s="101"/>
      <c r="F7" s="101"/>
      <c r="G7" s="101"/>
      <c r="H7" s="101"/>
      <c r="I7" s="101"/>
      <c r="J7" s="101"/>
      <c r="K7" s="101"/>
      <c r="L7" s="101"/>
      <c r="M7" s="101"/>
    </row>
    <row r="8" spans="1:13" x14ac:dyDescent="0.25">
      <c r="A8" s="101" t="s">
        <v>153</v>
      </c>
      <c r="B8" s="101"/>
      <c r="C8" s="136">
        <f>DCF!I8</f>
        <v>59.774436969643936</v>
      </c>
      <c r="D8" s="162"/>
      <c r="E8" s="101"/>
      <c r="F8" s="101"/>
      <c r="G8" s="101"/>
      <c r="H8" s="101"/>
      <c r="I8" s="101"/>
      <c r="J8" s="101"/>
      <c r="K8" s="101"/>
      <c r="L8" s="101"/>
      <c r="M8" s="101"/>
    </row>
    <row r="9" spans="1:13" x14ac:dyDescent="0.25">
      <c r="A9" s="101" t="s">
        <v>154</v>
      </c>
      <c r="B9" s="101"/>
      <c r="C9" s="136">
        <f>+C7*C8</f>
        <v>717.29324363572721</v>
      </c>
      <c r="D9" s="162"/>
      <c r="E9" s="101"/>
      <c r="F9" s="101"/>
      <c r="G9" s="101"/>
      <c r="H9" s="101"/>
      <c r="I9" s="101"/>
      <c r="J9" s="101"/>
      <c r="K9" s="101"/>
      <c r="L9" s="101"/>
      <c r="M9" s="101"/>
    </row>
    <row r="10" spans="1:13" x14ac:dyDescent="0.25">
      <c r="A10" s="101" t="s">
        <v>155</v>
      </c>
      <c r="B10" s="101"/>
      <c r="C10" s="136">
        <f>+'Balance Sheet'!M23-'Balance Sheet'!M13</f>
        <v>77.964799241732436</v>
      </c>
      <c r="D10" s="162"/>
      <c r="E10" s="101"/>
      <c r="F10" s="101"/>
      <c r="G10" s="101"/>
      <c r="H10" s="101"/>
      <c r="I10" s="101"/>
      <c r="J10" s="101"/>
      <c r="K10" s="101"/>
      <c r="L10" s="101"/>
      <c r="M10" s="101"/>
    </row>
    <row r="11" spans="1:13" x14ac:dyDescent="0.25">
      <c r="A11" s="101" t="s">
        <v>156</v>
      </c>
      <c r="B11" s="101"/>
      <c r="C11" s="136">
        <f>+C9-C10</f>
        <v>639.3284443939948</v>
      </c>
      <c r="D11" s="162"/>
      <c r="E11" s="101"/>
      <c r="F11" s="101"/>
      <c r="G11" s="101"/>
      <c r="H11" s="101"/>
      <c r="I11" s="101"/>
      <c r="J11" s="101"/>
      <c r="K11" s="101"/>
      <c r="L11" s="101"/>
      <c r="M11" s="101"/>
    </row>
    <row r="12" spans="1:13" x14ac:dyDescent="0.25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</row>
    <row r="13" spans="1:13" x14ac:dyDescent="0.25">
      <c r="A13" s="134" t="str">
        <f>'Balance Sheet'!B4</f>
        <v>(YE 31-Dec, USDm)</v>
      </c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</row>
    <row r="14" spans="1:13" x14ac:dyDescent="0.25">
      <c r="A14" s="101"/>
      <c r="B14" s="101"/>
      <c r="C14" s="169">
        <v>40908</v>
      </c>
      <c r="D14" s="169">
        <f>+C14+366</f>
        <v>41274</v>
      </c>
      <c r="E14" s="169">
        <f>+D14+365</f>
        <v>41639</v>
      </c>
      <c r="F14" s="169">
        <f>+E14+365</f>
        <v>42004</v>
      </c>
      <c r="G14" s="169">
        <f>+F14+365</f>
        <v>42369</v>
      </c>
      <c r="H14" s="169">
        <f>+G14+366</f>
        <v>42735</v>
      </c>
      <c r="I14" s="133">
        <f>+H14+1</f>
        <v>42736</v>
      </c>
      <c r="J14" s="133">
        <f>+I14+1</f>
        <v>42737</v>
      </c>
      <c r="K14" s="133">
        <f>+J14+1</f>
        <v>42738</v>
      </c>
      <c r="L14" s="133">
        <f>+K14+1</f>
        <v>42739</v>
      </c>
      <c r="M14" s="133">
        <f>+L14+1</f>
        <v>42740</v>
      </c>
    </row>
    <row r="15" spans="1:13" x14ac:dyDescent="0.25">
      <c r="A15" s="101"/>
      <c r="B15" s="101"/>
      <c r="C15" s="58">
        <f>+'Balance Sheet'!G4</f>
        <v>2011</v>
      </c>
      <c r="D15" s="59">
        <f>+'Balance Sheet'!I4</f>
        <v>2012</v>
      </c>
      <c r="E15" s="60">
        <f>+'Balance Sheet'!J4</f>
        <v>2013</v>
      </c>
      <c r="F15" s="60">
        <f>+'Balance Sheet'!K4</f>
        <v>2014</v>
      </c>
      <c r="G15" s="60">
        <f>+'Balance Sheet'!L4</f>
        <v>2015</v>
      </c>
      <c r="H15" s="60">
        <f>+'Balance Sheet'!M4</f>
        <v>2016</v>
      </c>
      <c r="I15" s="60">
        <f>+'Balance Sheet'!N4</f>
        <v>2017</v>
      </c>
      <c r="J15" s="60">
        <f>+'Balance Sheet'!O4</f>
        <v>2018</v>
      </c>
      <c r="K15" s="60">
        <f>+'Balance Sheet'!P4</f>
        <v>2019</v>
      </c>
      <c r="L15" s="60">
        <f>+'Balance Sheet'!Q4</f>
        <v>2020</v>
      </c>
      <c r="M15" s="60">
        <f>+'Balance Sheet'!R4</f>
        <v>2021</v>
      </c>
    </row>
    <row r="16" spans="1:13" x14ac:dyDescent="0.25">
      <c r="A16" s="101"/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</row>
    <row r="17" spans="1:13" x14ac:dyDescent="0.25">
      <c r="A17" s="163" t="s">
        <v>147</v>
      </c>
      <c r="B17" s="114"/>
      <c r="C17" s="164"/>
      <c r="D17" s="165"/>
      <c r="E17" s="165"/>
      <c r="F17" s="165"/>
      <c r="G17" s="165"/>
      <c r="H17" s="165"/>
      <c r="I17" s="165"/>
      <c r="J17" s="165"/>
      <c r="K17" s="165"/>
      <c r="L17" s="165"/>
      <c r="M17" s="165"/>
    </row>
    <row r="18" spans="1:13" x14ac:dyDescent="0.25">
      <c r="A18" s="101" t="s">
        <v>157</v>
      </c>
      <c r="B18" s="104"/>
      <c r="C18" s="166">
        <f>-'LBO Modelling'!D12</f>
        <v>-240.49498987803378</v>
      </c>
      <c r="D18" s="167"/>
      <c r="E18" s="167"/>
      <c r="F18" s="167"/>
      <c r="G18" s="167"/>
      <c r="H18" s="167"/>
      <c r="I18" s="167"/>
      <c r="J18" s="167"/>
      <c r="K18" s="167"/>
      <c r="L18" s="167"/>
      <c r="M18" s="167"/>
    </row>
    <row r="19" spans="1:13" x14ac:dyDescent="0.25">
      <c r="A19" s="101" t="s">
        <v>158</v>
      </c>
      <c r="B19" s="131"/>
      <c r="C19" s="166"/>
      <c r="D19" s="167"/>
      <c r="E19" s="167"/>
      <c r="F19" s="167"/>
      <c r="G19" s="167"/>
      <c r="H19" s="167">
        <f>+C11</f>
        <v>639.3284443939948</v>
      </c>
      <c r="I19" s="167"/>
      <c r="J19" s="167"/>
      <c r="K19" s="167"/>
      <c r="L19" s="167"/>
      <c r="M19" s="167"/>
    </row>
    <row r="20" spans="1:13" x14ac:dyDescent="0.25">
      <c r="A20" s="104" t="s">
        <v>159</v>
      </c>
      <c r="B20" s="104"/>
      <c r="C20" s="168">
        <f t="shared" ref="C20:H20" si="0">+C17+C18+C19</f>
        <v>-240.49498987803378</v>
      </c>
      <c r="D20" s="168">
        <f t="shared" si="0"/>
        <v>0</v>
      </c>
      <c r="E20" s="168">
        <f t="shared" si="0"/>
        <v>0</v>
      </c>
      <c r="F20" s="168">
        <f t="shared" si="0"/>
        <v>0</v>
      </c>
      <c r="G20" s="168">
        <f t="shared" si="0"/>
        <v>0</v>
      </c>
      <c r="H20" s="168">
        <f t="shared" si="0"/>
        <v>639.3284443939948</v>
      </c>
      <c r="I20" s="167"/>
      <c r="J20" s="167"/>
      <c r="K20" s="167"/>
      <c r="L20" s="167"/>
      <c r="M20" s="167"/>
    </row>
    <row r="21" spans="1:13" x14ac:dyDescent="0.25">
      <c r="A21" s="101"/>
      <c r="B21" s="101"/>
      <c r="C21" s="101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170" t="s">
        <v>160</v>
      </c>
      <c r="B22" s="171"/>
      <c r="C22" s="172">
        <f>+XIRR(C20:H20,C14:H14)</f>
        <v>0.2157118022441864</v>
      </c>
    </row>
    <row r="24" spans="1:13" x14ac:dyDescent="0.2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25">
      <c r="A25" s="101"/>
      <c r="B25" s="101"/>
      <c r="C25" s="58">
        <v>2011</v>
      </c>
      <c r="D25" s="59">
        <v>2012</v>
      </c>
      <c r="E25" s="60">
        <v>2013</v>
      </c>
      <c r="F25" s="60">
        <v>2014</v>
      </c>
      <c r="G25" s="60">
        <v>2015</v>
      </c>
      <c r="H25" s="60">
        <v>2016</v>
      </c>
      <c r="I25" s="60">
        <v>2017</v>
      </c>
      <c r="J25" s="60">
        <v>2018</v>
      </c>
      <c r="K25" s="60">
        <v>2019</v>
      </c>
      <c r="L25" s="60">
        <v>2020</v>
      </c>
      <c r="M25" s="60">
        <v>2021</v>
      </c>
    </row>
    <row r="26" spans="1:13" x14ac:dyDescent="0.25">
      <c r="A26" s="101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</row>
    <row r="27" spans="1:13" x14ac:dyDescent="0.25">
      <c r="A27" s="104" t="s">
        <v>159</v>
      </c>
      <c r="B27" s="104"/>
      <c r="C27" s="168"/>
      <c r="D27" s="168"/>
      <c r="E27" s="168"/>
      <c r="F27" s="168"/>
      <c r="G27" s="168"/>
      <c r="H27" s="168">
        <f>+H20</f>
        <v>639.3284443939948</v>
      </c>
      <c r="I27" s="167"/>
      <c r="J27" s="167"/>
      <c r="K27" s="167"/>
      <c r="L27" s="167"/>
      <c r="M27" s="167"/>
    </row>
    <row r="28" spans="1:13" x14ac:dyDescent="0.25">
      <c r="A28" s="104"/>
      <c r="B28" s="104"/>
      <c r="C28" s="168"/>
      <c r="D28" s="168"/>
      <c r="E28" s="168"/>
      <c r="F28" s="168"/>
      <c r="G28" s="168"/>
      <c r="H28" s="168"/>
      <c r="I28" s="167"/>
      <c r="J28" s="167"/>
      <c r="K28" s="167"/>
      <c r="L28" s="167"/>
      <c r="M28" s="167"/>
    </row>
    <row r="29" spans="1:13" x14ac:dyDescent="0.25">
      <c r="A29" s="131" t="s">
        <v>102</v>
      </c>
      <c r="B29" s="131"/>
      <c r="C29" s="131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25">
      <c r="A30" s="101"/>
      <c r="B30" s="101"/>
      <c r="C30" s="101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101" t="s">
        <v>103</v>
      </c>
      <c r="B31" s="101"/>
      <c r="C31" s="101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25">
      <c r="A32" s="101"/>
      <c r="B32" s="101"/>
      <c r="C32" s="101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101"/>
      <c r="B33" s="101"/>
      <c r="C33" s="101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170" t="s">
        <v>160</v>
      </c>
      <c r="B34" s="171"/>
      <c r="C34" s="172">
        <v>0.2157118022441864</v>
      </c>
    </row>
    <row r="36" spans="1:13" x14ac:dyDescent="0.25">
      <c r="A36" s="1" t="s">
        <v>161</v>
      </c>
      <c r="C36" s="6">
        <f>+SUM(D31:H31)</f>
        <v>240.75253162762777</v>
      </c>
    </row>
    <row r="37" spans="1:13" x14ac:dyDescent="0.25">
      <c r="A37" s="1" t="s">
        <v>109</v>
      </c>
      <c r="C37" s="6">
        <f>+DCF!C36</f>
        <v>234.99599999999981</v>
      </c>
    </row>
    <row r="38" spans="1:13" x14ac:dyDescent="0.25">
      <c r="A38" s="173" t="s">
        <v>162</v>
      </c>
      <c r="B38" s="173"/>
      <c r="C38" s="22">
        <f>C36+C37</f>
        <v>475.74853162762759</v>
      </c>
    </row>
    <row r="39" spans="1:13" x14ac:dyDescent="0.25">
      <c r="A39" s="173" t="s">
        <v>163</v>
      </c>
      <c r="B39" s="173"/>
      <c r="C39" s="174">
        <f>+C38/DCF!D8</f>
        <v>12.006499599489615</v>
      </c>
    </row>
    <row r="42" spans="1:13" x14ac:dyDescent="0.25">
      <c r="C42" s="105" t="s">
        <v>164</v>
      </c>
      <c r="D42" s="105"/>
      <c r="E42" s="105"/>
      <c r="F42" s="105"/>
      <c r="G42" s="105"/>
      <c r="H42" s="105"/>
      <c r="I42" s="105"/>
      <c r="J42" s="105"/>
      <c r="K42" s="105"/>
      <c r="L42" s="105"/>
      <c r="M42" s="105"/>
    </row>
    <row r="43" spans="1:13" x14ac:dyDescent="0.25">
      <c r="C43" s="178">
        <v>0.15</v>
      </c>
      <c r="D43" s="13">
        <f>+C43+0.01</f>
        <v>0.16</v>
      </c>
      <c r="E43" s="13">
        <f t="shared" ref="E43:L43" si="2">+D43+0.01</f>
        <v>0.17</v>
      </c>
      <c r="F43" s="13">
        <f t="shared" si="2"/>
        <v>0.18000000000000002</v>
      </c>
      <c r="G43" s="13">
        <f t="shared" si="2"/>
        <v>0.19000000000000003</v>
      </c>
      <c r="H43" s="178">
        <f t="shared" si="2"/>
        <v>0.20000000000000004</v>
      </c>
      <c r="I43" s="13">
        <f t="shared" si="2"/>
        <v>0.21000000000000005</v>
      </c>
      <c r="J43" s="178">
        <v>0.2157118022441864</v>
      </c>
      <c r="K43" s="13">
        <f t="shared" si="2"/>
        <v>0.22571180224418641</v>
      </c>
      <c r="L43" s="13">
        <f t="shared" si="2"/>
        <v>0.23571180224418642</v>
      </c>
      <c r="M43" s="178">
        <v>0.25</v>
      </c>
    </row>
    <row r="44" spans="1:13" x14ac:dyDescent="0.25">
      <c r="A44" s="175" t="s">
        <v>165</v>
      </c>
      <c r="B44" s="176">
        <f>+C38</f>
        <v>475.74853162762759</v>
      </c>
      <c r="C44" s="179">
        <f t="dataTable" ref="C44:M44" dt2D="0" dtr="1" r1="C34"/>
        <v>552.85522876714037</v>
      </c>
      <c r="D44" s="177">
        <v>539.38859350049586</v>
      </c>
      <c r="E44" s="177">
        <v>526.6008334937485</v>
      </c>
      <c r="F44" s="177">
        <v>514.45235524289728</v>
      </c>
      <c r="G44" s="177">
        <v>502.90618244160231</v>
      </c>
      <c r="H44" s="179">
        <v>491.92776295411937</v>
      </c>
      <c r="I44" s="177">
        <v>481.48479147752607</v>
      </c>
      <c r="J44" s="179">
        <v>475.74853162762759</v>
      </c>
      <c r="K44" s="177">
        <v>466.08655075116474</v>
      </c>
      <c r="L44" s="177">
        <v>456.88616542462773</v>
      </c>
      <c r="M44" s="179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77734375" defaultRowHeight="13.2" x14ac:dyDescent="0.25"/>
  <cols>
    <col min="1" max="1" width="3.33203125" style="1" customWidth="1"/>
    <col min="2" max="2" width="20.33203125" style="1" bestFit="1" customWidth="1"/>
    <col min="3" max="16384" width="8.77734375" style="1"/>
  </cols>
  <sheetData>
    <row r="2" spans="2:3" x14ac:dyDescent="0.25">
      <c r="B2" s="99" t="s">
        <v>91</v>
      </c>
    </row>
    <row r="4" spans="2:3" x14ac:dyDescent="0.25">
      <c r="B4" s="93" t="s">
        <v>92</v>
      </c>
      <c r="C4" s="96">
        <v>0.4</v>
      </c>
    </row>
    <row r="5" spans="2:3" x14ac:dyDescent="0.25">
      <c r="B5" s="93" t="s">
        <v>54</v>
      </c>
      <c r="C5" s="97">
        <f>1-C4</f>
        <v>0.6</v>
      </c>
    </row>
    <row r="6" spans="2:3" x14ac:dyDescent="0.25">
      <c r="C6" s="97"/>
    </row>
    <row r="7" spans="2:3" x14ac:dyDescent="0.25">
      <c r="B7" s="93" t="s">
        <v>93</v>
      </c>
      <c r="C7" s="98">
        <v>0.15</v>
      </c>
    </row>
    <row r="8" spans="2:3" x14ac:dyDescent="0.25">
      <c r="B8" s="93" t="s">
        <v>94</v>
      </c>
      <c r="C8" s="98">
        <f>+'LBO Modelling'!G11</f>
        <v>6.0000000000000005E-2</v>
      </c>
    </row>
    <row r="9" spans="2:3" x14ac:dyDescent="0.25">
      <c r="B9" s="93" t="s">
        <v>95</v>
      </c>
      <c r="C9" s="97">
        <f>+C8</f>
        <v>6.0000000000000005E-2</v>
      </c>
    </row>
    <row r="10" spans="2:3" x14ac:dyDescent="0.25">
      <c r="B10" s="93"/>
      <c r="C10" s="97"/>
    </row>
    <row r="11" spans="2:3" x14ac:dyDescent="0.25">
      <c r="B11" s="94" t="s">
        <v>96</v>
      </c>
      <c r="C11" s="95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77734375" defaultRowHeight="13.2" x14ac:dyDescent="0.25"/>
  <cols>
    <col min="1" max="2" width="8.77734375" style="1"/>
    <col min="3" max="3" width="26.33203125" style="1" bestFit="1" customWidth="1"/>
    <col min="4" max="5" width="8.77734375" style="1"/>
    <col min="6" max="6" width="5.44140625" style="1" bestFit="1" customWidth="1"/>
    <col min="7" max="7" width="42.77734375" style="1" bestFit="1" customWidth="1"/>
    <col min="8" max="8" width="5.44140625" style="1" bestFit="1" customWidth="1"/>
    <col min="9" max="9" width="12.6640625" style="1" bestFit="1" customWidth="1"/>
    <col min="10" max="16384" width="8.77734375" style="1"/>
  </cols>
  <sheetData>
    <row r="4" spans="3:10" x14ac:dyDescent="0.25">
      <c r="C4" s="1" t="s">
        <v>173</v>
      </c>
      <c r="D4" s="1">
        <f>+DCF!$D$8</f>
        <v>39.624249156502799</v>
      </c>
    </row>
    <row r="6" spans="3:10" x14ac:dyDescent="0.25">
      <c r="C6" s="180" t="s">
        <v>172</v>
      </c>
      <c r="D6" s="177">
        <f>+G6*J6</f>
        <v>396.24249156502799</v>
      </c>
      <c r="E6" s="177">
        <f>+F6-D6</f>
        <v>79.248498313005598</v>
      </c>
      <c r="F6" s="177">
        <f>+H6*J6</f>
        <v>475.49098987803359</v>
      </c>
      <c r="G6" s="140">
        <v>10</v>
      </c>
      <c r="H6" s="140">
        <v>12</v>
      </c>
      <c r="I6" s="1" t="s">
        <v>166</v>
      </c>
      <c r="J6" s="1">
        <f>+DCF!D8</f>
        <v>39.624249156502799</v>
      </c>
    </row>
    <row r="7" spans="3:10" x14ac:dyDescent="0.25">
      <c r="C7" s="1" t="s">
        <v>167</v>
      </c>
      <c r="D7" s="177">
        <v>550</v>
      </c>
      <c r="E7" s="177">
        <f>+F7-D7</f>
        <v>200</v>
      </c>
      <c r="F7" s="177">
        <v>750</v>
      </c>
      <c r="G7" s="1" t="s">
        <v>169</v>
      </c>
    </row>
    <row r="8" spans="3:10" x14ac:dyDescent="0.25">
      <c r="C8" s="1" t="s">
        <v>145</v>
      </c>
      <c r="D8" s="177">
        <v>510</v>
      </c>
      <c r="E8" s="177">
        <f>+F8-D8</f>
        <v>70</v>
      </c>
      <c r="F8" s="177">
        <v>580</v>
      </c>
      <c r="G8" s="1" t="s">
        <v>170</v>
      </c>
    </row>
    <row r="9" spans="3:10" x14ac:dyDescent="0.25">
      <c r="C9" s="1" t="s">
        <v>168</v>
      </c>
      <c r="D9" s="177">
        <v>440</v>
      </c>
      <c r="E9" s="177">
        <f>+F9-D9</f>
        <v>50</v>
      </c>
      <c r="F9" s="177">
        <v>490</v>
      </c>
      <c r="G9" s="1" t="s">
        <v>171</v>
      </c>
    </row>
    <row r="14" spans="3:10" x14ac:dyDescent="0.2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2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2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2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25">
      <c r="C21" s="180" t="s">
        <v>172</v>
      </c>
      <c r="D21" s="140">
        <f>D6/$D$4</f>
        <v>10</v>
      </c>
      <c r="F21" s="140">
        <f>F6/$D$4</f>
        <v>12</v>
      </c>
      <c r="J21" s="1">
        <v>400</v>
      </c>
      <c r="K21" s="1">
        <v>750</v>
      </c>
    </row>
    <row r="22" spans="3:11" x14ac:dyDescent="0.25">
      <c r="C22" s="1" t="s">
        <v>167</v>
      </c>
      <c r="D22" s="140">
        <f>D7/$D$4</f>
        <v>13.880389198737376</v>
      </c>
      <c r="F22" s="140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25">
      <c r="C23" s="1" t="s">
        <v>145</v>
      </c>
      <c r="D23" s="140">
        <f>D8/$D$4</f>
        <v>12.870906347920112</v>
      </c>
      <c r="F23" s="140">
        <f>F8/$D$4</f>
        <v>14.637501336850322</v>
      </c>
    </row>
    <row r="24" spans="3:11" x14ac:dyDescent="0.25">
      <c r="C24" s="1" t="s">
        <v>168</v>
      </c>
      <c r="D24" s="140">
        <f>D9/$D$4</f>
        <v>11.1043113589899</v>
      </c>
      <c r="F24" s="140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77734375" defaultRowHeight="14.4" x14ac:dyDescent="0.3"/>
  <sheetData>
    <row r="2" spans="1:8" x14ac:dyDescent="0.3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3">
      <c r="A3" t="s">
        <v>173</v>
      </c>
      <c r="B3">
        <f>+DCF!$D$8</f>
        <v>39.624249156502799</v>
      </c>
      <c r="C3" s="140">
        <f t="shared" ref="C3:H3" si="0">C2/$B$3</f>
        <v>7.5711213811294771</v>
      </c>
      <c r="D3" s="140">
        <f t="shared" si="0"/>
        <v>10.094828508172636</v>
      </c>
      <c r="E3" s="140">
        <f t="shared" si="0"/>
        <v>12.618535635215796</v>
      </c>
      <c r="F3" s="140">
        <f t="shared" si="0"/>
        <v>15.142242762258954</v>
      </c>
      <c r="G3" s="140">
        <f t="shared" si="0"/>
        <v>17.665949889302112</v>
      </c>
      <c r="H3" s="140">
        <f t="shared" si="0"/>
        <v>20.189657016345272</v>
      </c>
    </row>
    <row r="4" spans="1:8" x14ac:dyDescent="0.3">
      <c r="A4" t="s">
        <v>174</v>
      </c>
      <c r="B4">
        <f>+DCF!$E$8</f>
        <v>42.687896050238059</v>
      </c>
      <c r="C4" s="140">
        <f t="shared" ref="C4:H4" si="1">C2/$B$4</f>
        <v>7.0277532452510503</v>
      </c>
      <c r="D4" s="140">
        <f t="shared" si="1"/>
        <v>9.3703376603347337</v>
      </c>
      <c r="E4" s="140">
        <f t="shared" si="1"/>
        <v>11.712922075418417</v>
      </c>
      <c r="F4" s="140">
        <f t="shared" si="1"/>
        <v>14.055506490502101</v>
      </c>
      <c r="G4" s="140">
        <f t="shared" si="1"/>
        <v>16.398090905585782</v>
      </c>
      <c r="H4" s="140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C25" sqref="C25"/>
    </sheetView>
  </sheetViews>
  <sheetFormatPr defaultColWidth="8.77734375" defaultRowHeight="13.2" x14ac:dyDescent="0.25"/>
  <cols>
    <col min="1" max="1" width="2.6640625" style="2" customWidth="1"/>
    <col min="2" max="2" width="42.33203125" style="2" customWidth="1"/>
    <col min="3" max="3" width="9.33203125" style="6" bestFit="1" customWidth="1"/>
    <col min="4" max="5" width="9.44140625" style="6" bestFit="1" customWidth="1"/>
    <col min="6" max="17" width="9.33203125" style="6" bestFit="1" customWidth="1"/>
    <col min="18" max="16384" width="8.77734375" style="6"/>
  </cols>
  <sheetData>
    <row r="1" spans="1:17" s="2" customFormat="1" x14ac:dyDescent="0.25"/>
    <row r="2" spans="1:17" s="2" customFormat="1" x14ac:dyDescent="0.25">
      <c r="B2" s="61" t="s">
        <v>85</v>
      </c>
    </row>
    <row r="3" spans="1:17" s="2" customFormat="1" x14ac:dyDescent="0.25">
      <c r="B3" s="5"/>
    </row>
    <row r="4" spans="1:17" s="2" customFormat="1" x14ac:dyDescent="0.25">
      <c r="B4" s="55" t="s">
        <v>0</v>
      </c>
      <c r="C4" s="57">
        <v>2007</v>
      </c>
      <c r="D4" s="57">
        <f>+C4+1</f>
        <v>2008</v>
      </c>
      <c r="E4" s="57">
        <f t="shared" ref="E4:Q4" si="0">+D4+1</f>
        <v>2009</v>
      </c>
      <c r="F4" s="57">
        <f t="shared" si="0"/>
        <v>2010</v>
      </c>
      <c r="G4" s="58">
        <f t="shared" si="0"/>
        <v>2011</v>
      </c>
      <c r="H4" s="59">
        <f t="shared" si="0"/>
        <v>2012</v>
      </c>
      <c r="I4" s="60">
        <f t="shared" si="0"/>
        <v>2013</v>
      </c>
      <c r="J4" s="60">
        <f t="shared" si="0"/>
        <v>2014</v>
      </c>
      <c r="K4" s="60">
        <f t="shared" si="0"/>
        <v>2015</v>
      </c>
      <c r="L4" s="60">
        <f t="shared" si="0"/>
        <v>2016</v>
      </c>
      <c r="M4" s="60">
        <f t="shared" si="0"/>
        <v>2017</v>
      </c>
      <c r="N4" s="60">
        <f t="shared" si="0"/>
        <v>2018</v>
      </c>
      <c r="O4" s="60">
        <f t="shared" si="0"/>
        <v>2019</v>
      </c>
      <c r="P4" s="60">
        <f t="shared" si="0"/>
        <v>2020</v>
      </c>
      <c r="Q4" s="60">
        <f t="shared" si="0"/>
        <v>2021</v>
      </c>
    </row>
    <row r="5" spans="1:17" s="2" customFormat="1" ht="4.95" customHeight="1" x14ac:dyDescent="0.25">
      <c r="B5" s="5"/>
      <c r="C5" s="3"/>
      <c r="D5" s="3"/>
      <c r="E5" s="3"/>
      <c r="F5" s="3"/>
      <c r="G5" s="47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25">
      <c r="B6" s="19" t="s">
        <v>86</v>
      </c>
      <c r="C6" s="22">
        <v>212.63800000000001</v>
      </c>
      <c r="D6" s="22">
        <v>260.48200000000003</v>
      </c>
      <c r="E6" s="22">
        <v>273.50599999999997</v>
      </c>
      <c r="F6" s="22">
        <v>277.60899999999998</v>
      </c>
      <c r="G6" s="62">
        <v>291.48899999999998</v>
      </c>
      <c r="H6" s="22">
        <f>+H9+H45</f>
        <v>308.60898117018746</v>
      </c>
      <c r="I6" s="22">
        <f t="shared" ref="I6:Q6" si="1">+I9+I45</f>
        <v>331.0081842554917</v>
      </c>
      <c r="J6" s="22">
        <f t="shared" si="1"/>
        <v>362.51112477322846</v>
      </c>
      <c r="K6" s="22">
        <f t="shared" si="1"/>
        <v>399.52298795291426</v>
      </c>
      <c r="L6" s="22">
        <f t="shared" si="1"/>
        <v>444.66890018218101</v>
      </c>
      <c r="M6" s="22">
        <f t="shared" si="1"/>
        <v>486.50462728897151</v>
      </c>
      <c r="N6" s="22">
        <f t="shared" si="1"/>
        <v>522.25520195999081</v>
      </c>
      <c r="O6" s="22">
        <f t="shared" si="1"/>
        <v>550.46246161646002</v>
      </c>
      <c r="P6" s="22">
        <f t="shared" si="1"/>
        <v>571.5559195603737</v>
      </c>
      <c r="Q6" s="22">
        <f t="shared" si="1"/>
        <v>583.04419354353718</v>
      </c>
    </row>
    <row r="7" spans="1:17" s="7" customFormat="1" x14ac:dyDescent="0.2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49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25">
      <c r="G8" s="48"/>
    </row>
    <row r="9" spans="1:17" x14ac:dyDescent="0.25">
      <c r="B9" s="18" t="s">
        <v>1</v>
      </c>
      <c r="C9" s="22">
        <f>+C6-C45</f>
        <v>192.30742148760331</v>
      </c>
      <c r="D9" s="22">
        <f>+D6-D45</f>
        <v>238.11836363636365</v>
      </c>
      <c r="E9" s="22">
        <f>+E6-E45</f>
        <v>248.90599999999998</v>
      </c>
      <c r="F9" s="22">
        <f>+F6-F45</f>
        <v>250.54899999999998</v>
      </c>
      <c r="G9" s="62">
        <f>+G6-G45</f>
        <v>261.72299999999996</v>
      </c>
      <c r="H9" s="22">
        <f>+H13+H24+H35</f>
        <v>275.64864288018748</v>
      </c>
      <c r="I9" s="22">
        <f t="shared" ref="I9:Q9" si="3">+I13+I24+I35</f>
        <v>294.01903130356072</v>
      </c>
      <c r="J9" s="22">
        <f t="shared" si="3"/>
        <v>320.11179035393627</v>
      </c>
      <c r="K9" s="22">
        <f t="shared" si="3"/>
        <v>350.2210418901613</v>
      </c>
      <c r="L9" s="22">
        <f t="shared" si="3"/>
        <v>386.95111192651615</v>
      </c>
      <c r="M9" s="22">
        <f t="shared" si="3"/>
        <v>420.8264016770853</v>
      </c>
      <c r="N9" s="22">
        <f t="shared" si="3"/>
        <v>450.32966352790197</v>
      </c>
      <c r="O9" s="22">
        <f t="shared" si="3"/>
        <v>474.0343844785225</v>
      </c>
      <c r="P9" s="22">
        <f t="shared" si="3"/>
        <v>492.04779091377719</v>
      </c>
      <c r="Q9" s="22">
        <f t="shared" si="3"/>
        <v>501.93795151114415</v>
      </c>
    </row>
    <row r="10" spans="1:17" s="7" customFormat="1" x14ac:dyDescent="0.25">
      <c r="A10" s="5"/>
      <c r="B10" s="15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49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25">
      <c r="A11" s="5"/>
      <c r="B11" s="15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49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25">
      <c r="B12" s="14"/>
      <c r="G12" s="48"/>
    </row>
    <row r="13" spans="1:17" x14ac:dyDescent="0.25">
      <c r="B13" s="16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48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25">
      <c r="A14" s="5"/>
      <c r="B14" s="17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49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25">
      <c r="A15" s="5"/>
      <c r="B15" s="17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49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25">
      <c r="B16" s="16"/>
      <c r="G16" s="48"/>
    </row>
    <row r="17" spans="1:17" x14ac:dyDescent="0.25">
      <c r="B17" s="26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48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25">
      <c r="B18" s="26" t="s">
        <v>11</v>
      </c>
      <c r="C18" s="8"/>
      <c r="D18" s="8">
        <f>D17/C17-1</f>
        <v>0.1030790234798975</v>
      </c>
      <c r="E18" s="8">
        <f>E17/D17-1</f>
        <v>2.9247412864432443E-2</v>
      </c>
      <c r="F18" s="25">
        <f>F17/E17-1</f>
        <v>-2.1601484220167277E-3</v>
      </c>
      <c r="G18" s="49">
        <f>G17/F17-1</f>
        <v>3.5537112916392388E-2</v>
      </c>
      <c r="H18" s="8">
        <f>Assumptions!I13</f>
        <v>0.05</v>
      </c>
      <c r="I18" s="8">
        <f>Assumptions!J13</f>
        <v>0.06</v>
      </c>
      <c r="J18" s="8">
        <f>Assumptions!K13</f>
        <v>7.0000000000000007E-2</v>
      </c>
      <c r="K18" s="8">
        <f>Assumptions!L13</f>
        <v>0.08</v>
      </c>
      <c r="L18" s="8">
        <f>Assumptions!M13</f>
        <v>0.1</v>
      </c>
      <c r="M18" s="8">
        <f>Assumptions!N13</f>
        <v>0.08</v>
      </c>
      <c r="N18" s="8">
        <f>Assumptions!O13</f>
        <v>0.06</v>
      </c>
      <c r="O18" s="8">
        <f>Assumptions!P13</f>
        <v>0.04</v>
      </c>
      <c r="P18" s="8">
        <f>Assumptions!Q13</f>
        <v>0.03</v>
      </c>
      <c r="Q18" s="8">
        <f>Assumptions!R13</f>
        <v>0.01</v>
      </c>
    </row>
    <row r="19" spans="1:17" x14ac:dyDescent="0.25">
      <c r="B19" s="26"/>
      <c r="G19" s="48"/>
    </row>
    <row r="20" spans="1:17" x14ac:dyDescent="0.25">
      <c r="B20" s="26" t="s">
        <v>6</v>
      </c>
      <c r="C20" s="12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48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25">
      <c r="B21" s="26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50">
        <v>8.7500000000000008E-3</v>
      </c>
      <c r="H21" s="196">
        <v>6.6499999999999997E-3</v>
      </c>
      <c r="I21" s="196">
        <v>1.102E-2</v>
      </c>
      <c r="J21" s="196">
        <v>2.3449999999999999E-2</v>
      </c>
      <c r="K21" s="97">
        <v>0.02</v>
      </c>
      <c r="L21" s="97">
        <v>1.7999999999999999E-2</v>
      </c>
      <c r="M21" s="97">
        <v>1.6E-2</v>
      </c>
      <c r="N21" s="97">
        <v>1.4E-2</v>
      </c>
      <c r="O21" s="97">
        <v>1.2E-2</v>
      </c>
      <c r="P21" s="97">
        <v>0.01</v>
      </c>
      <c r="Q21" s="97">
        <v>0.01</v>
      </c>
    </row>
    <row r="22" spans="1:17" x14ac:dyDescent="0.25">
      <c r="B22" s="14"/>
      <c r="G22" s="48"/>
    </row>
    <row r="23" spans="1:17" x14ac:dyDescent="0.25">
      <c r="B23" s="14"/>
      <c r="G23" s="48"/>
    </row>
    <row r="24" spans="1:17" x14ac:dyDescent="0.25">
      <c r="B24" s="16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48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25">
      <c r="A25" s="5"/>
      <c r="B25" s="17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49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25">
      <c r="A26" s="5"/>
      <c r="B26" s="17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49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25">
      <c r="B27" s="16"/>
      <c r="G27" s="48"/>
    </row>
    <row r="28" spans="1:17" x14ac:dyDescent="0.25">
      <c r="B28" s="26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48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25">
      <c r="A29" s="5"/>
      <c r="B29" s="26" t="s">
        <v>11</v>
      </c>
      <c r="C29" s="8"/>
      <c r="D29" s="8">
        <f>D28/C28-1</f>
        <v>0.1030790234798975</v>
      </c>
      <c r="E29" s="8">
        <f>E28/D28-1</f>
        <v>2.9247412864432443E-2</v>
      </c>
      <c r="F29" s="25">
        <f>F28/E28-1</f>
        <v>-2.1601484220167277E-3</v>
      </c>
      <c r="G29" s="49">
        <f>G28/F28-1</f>
        <v>3.5537112916392388E-2</v>
      </c>
      <c r="H29" s="8">
        <f>Assumptions!I21</f>
        <v>0.04</v>
      </c>
      <c r="I29" s="8">
        <f>Assumptions!J21</f>
        <v>0.05</v>
      </c>
      <c r="J29" s="8">
        <f>Assumptions!K21</f>
        <v>0.06</v>
      </c>
      <c r="K29" s="8">
        <f>Assumptions!L21</f>
        <v>7.0000000000000007E-2</v>
      </c>
      <c r="L29" s="8">
        <f>Assumptions!M21</f>
        <v>0.08</v>
      </c>
      <c r="M29" s="8">
        <f>Assumptions!N21</f>
        <v>7.0000000000000007E-2</v>
      </c>
      <c r="N29" s="8">
        <f>Assumptions!O21</f>
        <v>0.06</v>
      </c>
      <c r="O29" s="8">
        <f>Assumptions!P21</f>
        <v>0.05</v>
      </c>
      <c r="P29" s="8">
        <f>Assumptions!Q21</f>
        <v>0.03</v>
      </c>
      <c r="Q29" s="8">
        <f>Assumptions!R21</f>
        <v>0.01</v>
      </c>
    </row>
    <row r="30" spans="1:17" x14ac:dyDescent="0.25">
      <c r="B30" s="26"/>
      <c r="G30" s="48"/>
    </row>
    <row r="31" spans="1:17" x14ac:dyDescent="0.25">
      <c r="B31" s="26" t="s">
        <v>6</v>
      </c>
      <c r="C31" s="12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48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25">
      <c r="A32" s="5"/>
      <c r="B32" s="26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51">
        <f>+G21</f>
        <v>8.7500000000000008E-3</v>
      </c>
      <c r="H32" s="196">
        <f>+H21</f>
        <v>6.6499999999999997E-3</v>
      </c>
      <c r="I32" s="196">
        <f t="shared" ref="I32:Q32" si="16">+I21</f>
        <v>1.102E-2</v>
      </c>
      <c r="J32" s="196">
        <f t="shared" si="16"/>
        <v>2.3449999999999999E-2</v>
      </c>
      <c r="K32" s="97">
        <f t="shared" si="16"/>
        <v>0.02</v>
      </c>
      <c r="L32" s="97">
        <f t="shared" si="16"/>
        <v>1.7999999999999999E-2</v>
      </c>
      <c r="M32" s="97">
        <f t="shared" si="16"/>
        <v>1.6E-2</v>
      </c>
      <c r="N32" s="97">
        <f t="shared" si="16"/>
        <v>1.4E-2</v>
      </c>
      <c r="O32" s="97">
        <f t="shared" si="16"/>
        <v>1.2E-2</v>
      </c>
      <c r="P32" s="97">
        <f t="shared" si="16"/>
        <v>0.01</v>
      </c>
      <c r="Q32" s="97">
        <f t="shared" si="16"/>
        <v>0.01</v>
      </c>
    </row>
    <row r="33" spans="1:17" x14ac:dyDescent="0.25">
      <c r="B33" s="16"/>
      <c r="G33" s="48"/>
    </row>
    <row r="34" spans="1:17" x14ac:dyDescent="0.25">
      <c r="B34" s="16"/>
      <c r="G34" s="48"/>
    </row>
    <row r="35" spans="1:17" x14ac:dyDescent="0.25">
      <c r="B35" s="16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48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25">
      <c r="A36" s="5"/>
      <c r="B36" s="17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49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25">
      <c r="A37" s="5"/>
      <c r="B37" s="17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49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25">
      <c r="B38" s="16"/>
      <c r="G38" s="48"/>
    </row>
    <row r="39" spans="1:17" x14ac:dyDescent="0.25">
      <c r="B39" s="26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48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25">
      <c r="B40" s="26" t="s">
        <v>11</v>
      </c>
      <c r="C40" s="8"/>
      <c r="D40" s="8">
        <f>D39/C39-1</f>
        <v>0.10307902347989772</v>
      </c>
      <c r="E40" s="8">
        <f>E39/D39-1</f>
        <v>2.9247412864432443E-2</v>
      </c>
      <c r="F40" s="25">
        <f>F39/E39-1</f>
        <v>-2.1601484220167277E-3</v>
      </c>
      <c r="G40" s="49">
        <f>G39/F39-1</f>
        <v>3.5537112916392166E-2</v>
      </c>
      <c r="H40" s="8">
        <f>Assumptions!I29</f>
        <v>4.4999999999999998E-2</v>
      </c>
      <c r="I40" s="8">
        <f>Assumptions!J29</f>
        <v>0.05</v>
      </c>
      <c r="J40" s="8">
        <f>Assumptions!K29</f>
        <v>5.5E-2</v>
      </c>
      <c r="K40" s="8">
        <f>Assumptions!L29</f>
        <v>0.06</v>
      </c>
      <c r="L40" s="8">
        <f>Assumptions!M29</f>
        <v>0.06</v>
      </c>
      <c r="M40" s="8">
        <f>Assumptions!N29</f>
        <v>0.05</v>
      </c>
      <c r="N40" s="8">
        <f>Assumptions!O29</f>
        <v>0.04</v>
      </c>
      <c r="O40" s="8">
        <f>Assumptions!P29</f>
        <v>0.03</v>
      </c>
      <c r="P40" s="8">
        <f>Assumptions!Q29</f>
        <v>0.02</v>
      </c>
      <c r="Q40" s="8">
        <f>Assumptions!R29</f>
        <v>0.01</v>
      </c>
    </row>
    <row r="41" spans="1:17" x14ac:dyDescent="0.25">
      <c r="B41" s="26"/>
      <c r="G41" s="48"/>
    </row>
    <row r="42" spans="1:17" x14ac:dyDescent="0.25">
      <c r="B42" s="26" t="s">
        <v>6</v>
      </c>
      <c r="C42" s="12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48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25">
      <c r="B43" s="26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51">
        <f>+G32</f>
        <v>8.7500000000000008E-3</v>
      </c>
      <c r="H43" s="196">
        <f>+H32</f>
        <v>6.6499999999999997E-3</v>
      </c>
      <c r="I43" s="196">
        <f t="shared" ref="I43:Q43" si="22">+I32</f>
        <v>1.102E-2</v>
      </c>
      <c r="J43" s="196">
        <f t="shared" si="22"/>
        <v>2.3449999999999999E-2</v>
      </c>
      <c r="K43" s="97">
        <f t="shared" si="22"/>
        <v>0.02</v>
      </c>
      <c r="L43" s="97">
        <f t="shared" si="22"/>
        <v>1.7999999999999999E-2</v>
      </c>
      <c r="M43" s="97">
        <f t="shared" si="22"/>
        <v>1.6E-2</v>
      </c>
      <c r="N43" s="97">
        <f t="shared" si="22"/>
        <v>1.4E-2</v>
      </c>
      <c r="O43" s="97">
        <f t="shared" si="22"/>
        <v>1.2E-2</v>
      </c>
      <c r="P43" s="97">
        <f t="shared" si="22"/>
        <v>0.01</v>
      </c>
      <c r="Q43" s="97">
        <f t="shared" si="22"/>
        <v>0.01</v>
      </c>
    </row>
    <row r="44" spans="1:17" x14ac:dyDescent="0.25">
      <c r="B44" s="16"/>
      <c r="G44" s="48"/>
    </row>
    <row r="45" spans="1:17" x14ac:dyDescent="0.25">
      <c r="B45" s="18" t="s">
        <v>2</v>
      </c>
      <c r="C45" s="22">
        <f>+C55*C58</f>
        <v>20.330578512396688</v>
      </c>
      <c r="D45" s="22">
        <f>+D55*D58</f>
        <v>22.36363636363636</v>
      </c>
      <c r="E45" s="22">
        <f>+E55*E58</f>
        <v>24.599999999999998</v>
      </c>
      <c r="F45" s="22">
        <f>+F55*F58</f>
        <v>27.06</v>
      </c>
      <c r="G45" s="62">
        <f>+G55*G58</f>
        <v>29.766000000000002</v>
      </c>
      <c r="H45" s="22">
        <f>+H49*H52</f>
        <v>32.96033829000001</v>
      </c>
      <c r="I45" s="22">
        <f t="shared" ref="I45:Q45" si="23">+I49*I52</f>
        <v>36.989152951930954</v>
      </c>
      <c r="J45" s="22">
        <f t="shared" si="23"/>
        <v>42.399334419292188</v>
      </c>
      <c r="K45" s="22">
        <f t="shared" si="23"/>
        <v>49.301946062752954</v>
      </c>
      <c r="L45" s="22">
        <f t="shared" si="23"/>
        <v>57.717788255664878</v>
      </c>
      <c r="M45" s="22">
        <f t="shared" si="23"/>
        <v>65.678225611886191</v>
      </c>
      <c r="N45" s="22">
        <f t="shared" si="23"/>
        <v>71.9255384320888</v>
      </c>
      <c r="O45" s="22">
        <f t="shared" si="23"/>
        <v>76.428077137937564</v>
      </c>
      <c r="P45" s="22">
        <f t="shared" si="23"/>
        <v>79.508128646596447</v>
      </c>
      <c r="Q45" s="22">
        <f t="shared" si="23"/>
        <v>81.106242032393041</v>
      </c>
    </row>
    <row r="46" spans="1:17" s="7" customFormat="1" x14ac:dyDescent="0.25">
      <c r="A46" s="5"/>
      <c r="B46" s="15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49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25">
      <c r="A47" s="5"/>
      <c r="B47" s="15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49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25">
      <c r="A48" s="5"/>
      <c r="B48" s="15"/>
      <c r="D48" s="8"/>
      <c r="E48" s="8"/>
      <c r="G48" s="52"/>
    </row>
    <row r="49" spans="1:17" x14ac:dyDescent="0.25">
      <c r="B49" s="17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48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25">
      <c r="B50" s="17" t="s">
        <v>11</v>
      </c>
      <c r="C50" s="8"/>
      <c r="D50" s="25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49">
        <f>G49/F49-1</f>
        <v>9.0458488228005063E-2</v>
      </c>
      <c r="H50" s="8">
        <f>Assumptions!I37</f>
        <v>0.1</v>
      </c>
      <c r="I50" s="8">
        <f>Assumptions!J37</f>
        <v>0.11</v>
      </c>
      <c r="J50" s="8">
        <f>Assumptions!K37</f>
        <v>0.12</v>
      </c>
      <c r="K50" s="8">
        <f>Assumptions!L37</f>
        <v>0.14000000000000001</v>
      </c>
      <c r="L50" s="8">
        <f>Assumptions!M37</f>
        <v>0.15</v>
      </c>
      <c r="M50" s="8">
        <f>Assumptions!N37</f>
        <v>0.12</v>
      </c>
      <c r="N50" s="8">
        <f>Assumptions!O37</f>
        <v>0.08</v>
      </c>
      <c r="O50" s="8">
        <f>Assumptions!P37</f>
        <v>0.05</v>
      </c>
      <c r="P50" s="8">
        <f>Assumptions!Q37</f>
        <v>0.03</v>
      </c>
      <c r="Q50" s="8">
        <f>Assumptions!R37</f>
        <v>0.01</v>
      </c>
    </row>
    <row r="51" spans="1:17" x14ac:dyDescent="0.25">
      <c r="B51" s="17"/>
      <c r="G51" s="48"/>
    </row>
    <row r="52" spans="1:17" x14ac:dyDescent="0.25">
      <c r="B52" s="17" t="s">
        <v>9</v>
      </c>
      <c r="C52" s="12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48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25">
      <c r="B53" s="17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51">
        <f>+G43</f>
        <v>8.7500000000000008E-3</v>
      </c>
      <c r="H53" s="196">
        <f>+H43</f>
        <v>6.6499999999999997E-3</v>
      </c>
      <c r="I53" s="196">
        <f t="shared" ref="I53:Q53" si="29">+I43</f>
        <v>1.102E-2</v>
      </c>
      <c r="J53" s="196">
        <f t="shared" si="29"/>
        <v>2.3449999999999999E-2</v>
      </c>
      <c r="K53" s="196">
        <f t="shared" si="29"/>
        <v>0.02</v>
      </c>
      <c r="L53" s="196">
        <f t="shared" si="29"/>
        <v>1.7999999999999999E-2</v>
      </c>
      <c r="M53" s="196">
        <f t="shared" si="29"/>
        <v>1.6E-2</v>
      </c>
      <c r="N53" s="196">
        <f t="shared" si="29"/>
        <v>1.4E-2</v>
      </c>
      <c r="O53" s="196">
        <f t="shared" si="29"/>
        <v>1.2E-2</v>
      </c>
      <c r="P53" s="196">
        <f t="shared" si="29"/>
        <v>0.01</v>
      </c>
      <c r="Q53" s="196">
        <f t="shared" si="29"/>
        <v>0.01</v>
      </c>
    </row>
    <row r="54" spans="1:17" x14ac:dyDescent="0.25">
      <c r="B54" s="17"/>
      <c r="G54" s="48"/>
    </row>
    <row r="55" spans="1:17" x14ac:dyDescent="0.25">
      <c r="B55" s="17" t="s">
        <v>3</v>
      </c>
      <c r="C55" s="6">
        <f>+D55/(D56+1)</f>
        <v>67.7685950413223</v>
      </c>
      <c r="D55" s="6">
        <f>+E55/(E56+1)</f>
        <v>74.545454545454533</v>
      </c>
      <c r="E55" s="194">
        <v>82</v>
      </c>
      <c r="F55" s="6">
        <f>+E55*(1+F56)</f>
        <v>90.2</v>
      </c>
      <c r="G55" s="48">
        <f>+F55*(1+G56)</f>
        <v>99.220000000000013</v>
      </c>
    </row>
    <row r="56" spans="1:17" x14ac:dyDescent="0.25">
      <c r="B56" s="17" t="s">
        <v>11</v>
      </c>
      <c r="D56" s="9">
        <f>E56</f>
        <v>0.1</v>
      </c>
      <c r="E56" s="10">
        <v>0.1</v>
      </c>
      <c r="F56" s="13">
        <f>E56</f>
        <v>0.1</v>
      </c>
      <c r="G56" s="53">
        <f>F56</f>
        <v>0.1</v>
      </c>
    </row>
    <row r="57" spans="1:17" x14ac:dyDescent="0.25">
      <c r="B57" s="16"/>
      <c r="E57" s="11"/>
      <c r="G57" s="48"/>
    </row>
    <row r="58" spans="1:17" s="7" customFormat="1" x14ac:dyDescent="0.25">
      <c r="A58" s="5"/>
      <c r="B58" s="17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51">
        <f>F58</f>
        <v>0.3</v>
      </c>
    </row>
    <row r="59" spans="1:17" x14ac:dyDescent="0.25">
      <c r="B59" s="20"/>
      <c r="C59" s="21"/>
      <c r="D59" s="21"/>
      <c r="E59" s="21"/>
      <c r="F59" s="21"/>
      <c r="G59" s="54"/>
      <c r="H59" s="21"/>
      <c r="I59" s="21"/>
      <c r="J59" s="21"/>
      <c r="K59" s="21"/>
      <c r="L59" s="21"/>
      <c r="M59" s="21"/>
      <c r="N59" s="21"/>
      <c r="O59" s="21"/>
      <c r="P59" s="21"/>
      <c r="Q59" s="21"/>
    </row>
    <row r="60" spans="1:17" x14ac:dyDescent="0.25">
      <c r="G60" s="48"/>
    </row>
    <row r="61" spans="1:17" x14ac:dyDescent="0.25">
      <c r="B61" s="14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48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25">
      <c r="A62" s="5"/>
      <c r="B62" s="15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49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25">
      <c r="G63" s="48"/>
    </row>
    <row r="64" spans="1:17" x14ac:dyDescent="0.25">
      <c r="B64" s="19" t="s">
        <v>20</v>
      </c>
      <c r="C64" s="22">
        <f>+C6+C61</f>
        <v>210.512</v>
      </c>
      <c r="D64" s="22">
        <f>+D6+D61</f>
        <v>257.87700000000001</v>
      </c>
      <c r="E64" s="22">
        <f>+E6+E61</f>
        <v>269.40299999999996</v>
      </c>
      <c r="F64" s="22">
        <f>+F6+F61</f>
        <v>272.05699999999996</v>
      </c>
      <c r="G64" s="62">
        <f>+G6+G61</f>
        <v>282.74399999999997</v>
      </c>
      <c r="H64" s="22">
        <f t="shared" ref="H64:Q64" si="32">+H6+H61</f>
        <v>299.35036235323969</v>
      </c>
      <c r="I64" s="22">
        <f t="shared" si="32"/>
        <v>321.07756398743948</v>
      </c>
      <c r="J64" s="22">
        <f t="shared" si="32"/>
        <v>351.63538062459202</v>
      </c>
      <c r="K64" s="22">
        <f t="shared" si="32"/>
        <v>387.53684600708357</v>
      </c>
      <c r="L64" s="22">
        <f t="shared" si="32"/>
        <v>431.32832975896378</v>
      </c>
      <c r="M64" s="22">
        <f t="shared" si="32"/>
        <v>471.90893768956278</v>
      </c>
      <c r="N64" s="22">
        <f t="shared" si="32"/>
        <v>506.58695464657546</v>
      </c>
      <c r="O64" s="22">
        <f t="shared" si="32"/>
        <v>533.94796457939879</v>
      </c>
      <c r="P64" s="22">
        <f t="shared" si="32"/>
        <v>554.40859490470757</v>
      </c>
      <c r="Q64" s="22">
        <f t="shared" si="32"/>
        <v>565.55220766229218</v>
      </c>
    </row>
    <row r="65" spans="1:17" x14ac:dyDescent="0.2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49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25">
      <c r="G66" s="48"/>
    </row>
    <row r="67" spans="1:17" x14ac:dyDescent="0.25">
      <c r="B67" s="14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48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25">
      <c r="A68" s="5"/>
      <c r="B68" s="15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49">
        <f>-G67/G6</f>
        <v>0.69999897080164264</v>
      </c>
      <c r="H68" s="8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25">
      <c r="G69" s="48"/>
    </row>
    <row r="70" spans="1:17" x14ac:dyDescent="0.25">
      <c r="B70" s="19" t="s">
        <v>21</v>
      </c>
      <c r="C70" s="22">
        <f>+C64+C67</f>
        <v>61.664999999999992</v>
      </c>
      <c r="D70" s="22">
        <f>+D64+D67</f>
        <v>80.749000000000024</v>
      </c>
      <c r="E70" s="22">
        <f>+E64+E67</f>
        <v>64.272999999999968</v>
      </c>
      <c r="F70" s="22">
        <f>+F64+F67</f>
        <v>70.790999999999968</v>
      </c>
      <c r="G70" s="62">
        <f>+G64+G67</f>
        <v>78.70199999999997</v>
      </c>
      <c r="H70" s="22">
        <f t="shared" ref="H70:Q70" si="35">+H64+H67</f>
        <v>80.237985722406592</v>
      </c>
      <c r="I70" s="22">
        <f t="shared" si="35"/>
        <v>86.061753166040376</v>
      </c>
      <c r="J70" s="22">
        <f t="shared" si="35"/>
        <v>94.252482035599826</v>
      </c>
      <c r="K70" s="22">
        <f t="shared" si="35"/>
        <v>103.87552456051446</v>
      </c>
      <c r="L70" s="22">
        <f t="shared" si="35"/>
        <v>115.61341062961526</v>
      </c>
      <c r="M70" s="22">
        <f t="shared" si="35"/>
        <v>126.490652314393</v>
      </c>
      <c r="N70" s="22">
        <f t="shared" si="35"/>
        <v>135.78576125498199</v>
      </c>
      <c r="O70" s="22">
        <f t="shared" si="35"/>
        <v>143.11961683171216</v>
      </c>
      <c r="P70" s="22">
        <f t="shared" si="35"/>
        <v>148.60389201684228</v>
      </c>
      <c r="Q70" s="22">
        <f t="shared" si="35"/>
        <v>151.59083024638079</v>
      </c>
    </row>
    <row r="71" spans="1:17" x14ac:dyDescent="0.2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49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25">
      <c r="G72" s="48"/>
    </row>
    <row r="73" spans="1:17" x14ac:dyDescent="0.25">
      <c r="B73" s="14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48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25">
      <c r="B74" s="15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49">
        <f>-G73/G64</f>
        <v>2.6791019438078264E-2</v>
      </c>
      <c r="H74" s="8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25">
      <c r="B75" s="14"/>
      <c r="G75" s="48"/>
    </row>
    <row r="76" spans="1:17" x14ac:dyDescent="0.25">
      <c r="B76" s="14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48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25">
      <c r="B77" s="15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49">
        <f>-G76/G64</f>
        <v>0.11819172113289761</v>
      </c>
      <c r="H77" s="8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25">
      <c r="G78" s="48"/>
    </row>
    <row r="79" spans="1:17" x14ac:dyDescent="0.25">
      <c r="B79" s="19" t="s">
        <v>26</v>
      </c>
      <c r="C79" s="22">
        <f>+C70+C73+C76</f>
        <v>30.387999999999991</v>
      </c>
      <c r="D79" s="22">
        <f>+D70+D73+D76</f>
        <v>39.450000000000024</v>
      </c>
      <c r="E79" s="22">
        <f>+E70+E73+E76</f>
        <v>21.709999999999965</v>
      </c>
      <c r="F79" s="22">
        <f>+F70+F73+F76</f>
        <v>29.707999999999963</v>
      </c>
      <c r="G79" s="62">
        <f>+G70+G73+G76</f>
        <v>37.708999999999968</v>
      </c>
      <c r="H79" s="22">
        <f t="shared" ref="H79:Q79" si="39">+H70+H73+H76</f>
        <v>35.335431369420647</v>
      </c>
      <c r="I79" s="22">
        <f t="shared" si="39"/>
        <v>37.900118567924459</v>
      </c>
      <c r="J79" s="22">
        <f t="shared" si="39"/>
        <v>41.507174941911018</v>
      </c>
      <c r="K79" s="22">
        <f t="shared" si="39"/>
        <v>45.744997659451933</v>
      </c>
      <c r="L79" s="22">
        <f t="shared" si="39"/>
        <v>50.914161165770686</v>
      </c>
      <c r="M79" s="22">
        <f t="shared" si="39"/>
        <v>55.704311660958588</v>
      </c>
      <c r="N79" s="22">
        <f t="shared" si="39"/>
        <v>59.797718057995681</v>
      </c>
      <c r="O79" s="22">
        <f t="shared" si="39"/>
        <v>63.027422144802358</v>
      </c>
      <c r="P79" s="22">
        <f t="shared" si="39"/>
        <v>65.442602781136145</v>
      </c>
      <c r="Q79" s="22">
        <f t="shared" si="39"/>
        <v>66.757999097036972</v>
      </c>
    </row>
    <row r="80" spans="1:17" s="7" customFormat="1" x14ac:dyDescent="0.2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49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25">
      <c r="G81" s="48"/>
    </row>
    <row r="82" spans="1:17" x14ac:dyDescent="0.25">
      <c r="B82" s="14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48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25">
      <c r="B83" s="15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49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25">
      <c r="A84" s="5"/>
      <c r="B84" s="15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49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25">
      <c r="B85" s="14"/>
      <c r="G85" s="48"/>
    </row>
    <row r="86" spans="1:17" x14ac:dyDescent="0.25">
      <c r="B86" s="14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48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25">
      <c r="A87" s="5"/>
      <c r="B87" s="15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49">
        <f>-G86/G6</f>
        <v>7.4994253642504524E-3</v>
      </c>
      <c r="H87" s="8">
        <f>Assumptions!I70</f>
        <v>0.02</v>
      </c>
      <c r="I87" s="8">
        <f>Assumptions!J70</f>
        <v>0.02</v>
      </c>
      <c r="J87" s="8">
        <f>Assumptions!K70</f>
        <v>0.02</v>
      </c>
      <c r="K87" s="8">
        <f>Assumptions!L70</f>
        <v>0.02</v>
      </c>
      <c r="L87" s="8">
        <f>Assumptions!M70</f>
        <v>0.02</v>
      </c>
      <c r="M87" s="8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25">
      <c r="B88" s="14"/>
      <c r="G88" s="48"/>
    </row>
    <row r="89" spans="1:17" x14ac:dyDescent="0.25">
      <c r="B89" s="24" t="s">
        <v>25</v>
      </c>
      <c r="C89" s="22">
        <f>+C79-C82</f>
        <v>32.992999999999995</v>
      </c>
      <c r="D89" s="22">
        <f>+D79-D82</f>
        <v>42.055000000000021</v>
      </c>
      <c r="E89" s="22">
        <f>+E79-E82</f>
        <v>23.076999999999963</v>
      </c>
      <c r="F89" s="22">
        <f>+F79-F82</f>
        <v>31.095999999999961</v>
      </c>
      <c r="G89" s="62">
        <f>+G79-G82</f>
        <v>39.165999999999968</v>
      </c>
      <c r="H89" s="22">
        <f t="shared" ref="H89:Q89" si="45">+H79-H82</f>
        <v>39.624249156502799</v>
      </c>
      <c r="I89" s="22">
        <f t="shared" si="45"/>
        <v>42.687896050238059</v>
      </c>
      <c r="J89" s="22">
        <f t="shared" si="45"/>
        <v>46.956151629936492</v>
      </c>
      <c r="K89" s="22">
        <f t="shared" si="45"/>
        <v>51.976825213899915</v>
      </c>
      <c r="L89" s="22">
        <f t="shared" si="45"/>
        <v>58.102296996391786</v>
      </c>
      <c r="M89" s="22">
        <f t="shared" si="45"/>
        <v>59.774436969643936</v>
      </c>
      <c r="N89" s="22">
        <f t="shared" si="45"/>
        <v>64.314986645891068</v>
      </c>
      <c r="O89" s="22">
        <f t="shared" si="45"/>
        <v>67.944718926806743</v>
      </c>
      <c r="P89" s="22">
        <f t="shared" si="45"/>
        <v>70.710356019086149</v>
      </c>
      <c r="Q89" s="22">
        <f t="shared" si="45"/>
        <v>72.296918935700575</v>
      </c>
    </row>
    <row r="90" spans="1:17" x14ac:dyDescent="0.25">
      <c r="B90" s="27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49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25">
      <c r="G91" s="48"/>
    </row>
    <row r="92" spans="1:17" x14ac:dyDescent="0.25">
      <c r="B92" s="19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48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25">
      <c r="G93" s="48"/>
    </row>
    <row r="94" spans="1:17" x14ac:dyDescent="0.25">
      <c r="B94" s="19" t="s">
        <v>42</v>
      </c>
      <c r="C94" s="22">
        <f>+C79+C92</f>
        <v>27.08799999999999</v>
      </c>
      <c r="D94" s="22">
        <f>+D79+D92</f>
        <v>36.450000000000024</v>
      </c>
      <c r="E94" s="22">
        <f>+E79+E92</f>
        <v>19.009999999999966</v>
      </c>
      <c r="F94" s="22">
        <f>+F79+F92</f>
        <v>27.307999999999964</v>
      </c>
      <c r="G94" s="62">
        <f>+G79+G92</f>
        <v>35.608999999999966</v>
      </c>
      <c r="H94" s="22">
        <f t="shared" ref="H94:Q94" si="47">+H79+H92</f>
        <v>22.410651369420655</v>
      </c>
      <c r="I94" s="22">
        <f t="shared" si="47"/>
        <v>24.975338567924467</v>
      </c>
      <c r="J94" s="22">
        <f t="shared" si="47"/>
        <v>28.582394941911026</v>
      </c>
      <c r="K94" s="22">
        <f t="shared" si="47"/>
        <v>32.820217659451941</v>
      </c>
      <c r="L94" s="22">
        <f t="shared" si="47"/>
        <v>37.989381165770695</v>
      </c>
      <c r="M94" s="22">
        <f t="shared" si="47"/>
        <v>42.779531660958597</v>
      </c>
      <c r="N94" s="22">
        <f t="shared" si="47"/>
        <v>46.87293805799569</v>
      </c>
      <c r="O94" s="22">
        <f t="shared" si="47"/>
        <v>63.027422144802358</v>
      </c>
      <c r="P94" s="22">
        <f t="shared" si="47"/>
        <v>65.442602781136145</v>
      </c>
      <c r="Q94" s="22">
        <f t="shared" si="47"/>
        <v>66.757999097036972</v>
      </c>
    </row>
    <row r="95" spans="1:17" x14ac:dyDescent="0.2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49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25">
      <c r="B96" s="5"/>
      <c r="G96" s="48"/>
    </row>
    <row r="97" spans="2:17" x14ac:dyDescent="0.25">
      <c r="B97" s="14" t="s">
        <v>43</v>
      </c>
      <c r="C97" s="6">
        <v>0</v>
      </c>
      <c r="D97" s="6">
        <v>0</v>
      </c>
      <c r="E97" s="6">
        <v>0</v>
      </c>
      <c r="F97" s="6">
        <v>0</v>
      </c>
      <c r="G97" s="48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25">
      <c r="G98" s="48"/>
    </row>
    <row r="99" spans="2:17" x14ac:dyDescent="0.25">
      <c r="B99" s="30" t="s">
        <v>44</v>
      </c>
      <c r="C99" s="73">
        <f>+C94+C97</f>
        <v>27.08799999999999</v>
      </c>
      <c r="D99" s="73">
        <f t="shared" ref="D99:Q99" si="49">+D94+D97</f>
        <v>36.450000000000024</v>
      </c>
      <c r="E99" s="73">
        <f t="shared" si="49"/>
        <v>19.009999999999966</v>
      </c>
      <c r="F99" s="73">
        <f t="shared" si="49"/>
        <v>27.307999999999964</v>
      </c>
      <c r="G99" s="74">
        <f t="shared" si="49"/>
        <v>35.608999999999966</v>
      </c>
      <c r="H99" s="73">
        <f t="shared" si="49"/>
        <v>22.410651369420655</v>
      </c>
      <c r="I99" s="73">
        <f t="shared" si="49"/>
        <v>24.975338567924467</v>
      </c>
      <c r="J99" s="73">
        <f t="shared" si="49"/>
        <v>28.582394941911026</v>
      </c>
      <c r="K99" s="73">
        <f t="shared" si="49"/>
        <v>32.820217659451941</v>
      </c>
      <c r="L99" s="73">
        <f t="shared" si="49"/>
        <v>37.989381165770695</v>
      </c>
      <c r="M99" s="73">
        <f t="shared" si="49"/>
        <v>42.779531660958597</v>
      </c>
      <c r="N99" s="73">
        <f t="shared" si="49"/>
        <v>46.87293805799569</v>
      </c>
      <c r="O99" s="73">
        <f t="shared" si="49"/>
        <v>63.027422144802358</v>
      </c>
      <c r="P99" s="73">
        <f t="shared" si="49"/>
        <v>65.442602781136145</v>
      </c>
      <c r="Q99" s="73">
        <f t="shared" si="49"/>
        <v>66.757999097036972</v>
      </c>
    </row>
    <row r="100" spans="2:17" x14ac:dyDescent="0.2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49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2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2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2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25">
      <c r="B106" s="2" t="s">
        <v>176</v>
      </c>
      <c r="C106" s="181">
        <f>C105/C103</f>
        <v>1</v>
      </c>
      <c r="D106" s="181">
        <f>D105/D103</f>
        <v>0.90709784805611715</v>
      </c>
      <c r="E106" s="181">
        <f>E105/E103</f>
        <v>0.88148372838757183</v>
      </c>
      <c r="F106" s="181">
        <f>F105/F103</f>
        <v>0.91072806791870331</v>
      </c>
      <c r="G106" s="181">
        <f>G105/G103</f>
        <v>0.94418628402185567</v>
      </c>
    </row>
    <row r="107" spans="2:17" x14ac:dyDescent="0.25">
      <c r="B107" s="2" t="s">
        <v>177</v>
      </c>
      <c r="C107" s="182">
        <f>-C104/C64</f>
        <v>0</v>
      </c>
      <c r="D107" s="182">
        <f>-D104/D64</f>
        <v>1.5150633829306219E-2</v>
      </c>
      <c r="E107" s="182">
        <f>-E104/E64</f>
        <v>1.0152076999884931E-2</v>
      </c>
      <c r="F107" s="182">
        <f>-F104/F64</f>
        <v>1.020374406833862E-2</v>
      </c>
      <c r="G107" s="182">
        <f>-G104/G64</f>
        <v>7.7313753784342028E-3</v>
      </c>
    </row>
    <row r="109" spans="2:17" x14ac:dyDescent="0.25">
      <c r="B109" s="2" t="s">
        <v>196</v>
      </c>
      <c r="C109" s="97">
        <f>C99/'Balance Sheet'!C19</f>
        <v>0.65184329579362743</v>
      </c>
      <c r="D109" s="97">
        <f>D99/'Balance Sheet'!D19</f>
        <v>0.46727174832705193</v>
      </c>
      <c r="E109" s="97">
        <f>E99/'Balance Sheet'!E19</f>
        <v>0.19594706027871658</v>
      </c>
      <c r="F109" s="97">
        <f>F99/'Balance Sheet'!F19</f>
        <v>0.21965187735272332</v>
      </c>
      <c r="G109" s="97">
        <f>G99/'Balance Sheet'!G19</f>
        <v>0.22264948447162236</v>
      </c>
    </row>
    <row r="110" spans="2:17" x14ac:dyDescent="0.25">
      <c r="B110" s="2" t="s">
        <v>197</v>
      </c>
      <c r="C110" s="97">
        <f>C99/'Balance Sheet'!C15</f>
        <v>0.20202261269055211</v>
      </c>
      <c r="D110" s="97">
        <f>D99/'Balance Sheet'!D15</f>
        <v>0.20816438418750224</v>
      </c>
      <c r="E110" s="97">
        <f>E99/'Balance Sheet'!E15</f>
        <v>9.2554274001548101E-2</v>
      </c>
      <c r="F110" s="97">
        <f>F99/'Balance Sheet'!F15</f>
        <v>0.11939176132140626</v>
      </c>
      <c r="G110" s="97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defaultColWidth="8.77734375" defaultRowHeight="13.2" x14ac:dyDescent="0.25"/>
  <cols>
    <col min="1" max="1" width="2.6640625" style="2" customWidth="1"/>
    <col min="2" max="2" width="41.109375" style="2" customWidth="1"/>
    <col min="3" max="5" width="9.4414062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77734375" style="6"/>
  </cols>
  <sheetData>
    <row r="1" spans="1:18" s="2" customFormat="1" x14ac:dyDescent="0.25"/>
    <row r="2" spans="1:18" s="2" customFormat="1" x14ac:dyDescent="0.25">
      <c r="B2" s="61" t="s">
        <v>45</v>
      </c>
    </row>
    <row r="3" spans="1:18" s="2" customFormat="1" x14ac:dyDescent="0.25">
      <c r="B3" s="5"/>
    </row>
    <row r="4" spans="1:18" s="2" customFormat="1" x14ac:dyDescent="0.25">
      <c r="B4" s="56" t="s">
        <v>0</v>
      </c>
      <c r="C4" s="57">
        <f>'Income Statement'!C4</f>
        <v>2007</v>
      </c>
      <c r="D4" s="57">
        <f>'Income Statement'!D4</f>
        <v>2008</v>
      </c>
      <c r="E4" s="57">
        <f>'Income Statement'!E4</f>
        <v>2009</v>
      </c>
      <c r="F4" s="57">
        <f>'Income Statement'!F4</f>
        <v>2010</v>
      </c>
      <c r="G4" s="153">
        <f>'Income Statement'!G4</f>
        <v>2011</v>
      </c>
      <c r="H4" s="154" t="s">
        <v>118</v>
      </c>
      <c r="I4" s="59">
        <f>'Income Statement'!H4</f>
        <v>2012</v>
      </c>
      <c r="J4" s="60">
        <f>'Income Statement'!I4</f>
        <v>2013</v>
      </c>
      <c r="K4" s="60">
        <f>'Income Statement'!J4</f>
        <v>2014</v>
      </c>
      <c r="L4" s="60">
        <f>'Income Statement'!K4</f>
        <v>2015</v>
      </c>
      <c r="M4" s="60">
        <f>'Income Statement'!L4</f>
        <v>2016</v>
      </c>
      <c r="N4" s="60">
        <f>'Income Statement'!M4</f>
        <v>2017</v>
      </c>
      <c r="O4" s="60">
        <f>'Income Statement'!N4</f>
        <v>2018</v>
      </c>
      <c r="P4" s="60">
        <f>'Income Statement'!O4</f>
        <v>2019</v>
      </c>
      <c r="Q4" s="60">
        <f>'Income Statement'!P4</f>
        <v>2020</v>
      </c>
      <c r="R4" s="60">
        <f>'Income Statement'!Q4</f>
        <v>2021</v>
      </c>
    </row>
    <row r="5" spans="1:18" s="2" customFormat="1" x14ac:dyDescent="0.25">
      <c r="B5" s="5"/>
      <c r="C5" s="3"/>
      <c r="D5" s="3"/>
      <c r="E5" s="3"/>
      <c r="F5" s="3"/>
      <c r="G5" s="3"/>
      <c r="H5" s="15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B6" s="30" t="s">
        <v>46</v>
      </c>
      <c r="H6" s="156"/>
    </row>
    <row r="7" spans="1:18" s="7" customFormat="1" x14ac:dyDescent="0.25">
      <c r="A7" s="5"/>
      <c r="B7" s="5"/>
      <c r="D7" s="8"/>
      <c r="E7" s="8"/>
      <c r="F7" s="8"/>
      <c r="G7" s="8"/>
      <c r="H7" s="157"/>
    </row>
    <row r="8" spans="1:18" x14ac:dyDescent="0.25">
      <c r="B8" s="2" t="s">
        <v>48</v>
      </c>
      <c r="C8" s="6">
        <f>'PPE Schedule'!C9</f>
        <v>6.5</v>
      </c>
      <c r="D8" s="6">
        <f>'PPE Schedule'!D9</f>
        <v>7.8019999999999996</v>
      </c>
      <c r="E8" s="6">
        <f>'PPE Schedule'!E9</f>
        <v>9.17</v>
      </c>
      <c r="F8" s="6">
        <f>'PPE Schedule'!F9</f>
        <v>10.558</v>
      </c>
      <c r="G8" s="6">
        <f>'PPE Schedule'!G9</f>
        <v>11.287000000000001</v>
      </c>
      <c r="H8" s="156">
        <f>G8</f>
        <v>11.287000000000001</v>
      </c>
      <c r="I8" s="6">
        <f>'PPE Schedule'!H9</f>
        <v>13.170361836321595</v>
      </c>
      <c r="J8" s="6">
        <f>'PPE Schedule'!I9</f>
        <v>15.002748039117826</v>
      </c>
      <c r="K8" s="6">
        <f>'PPE Schedule'!J9</f>
        <v>16.803993846556921</v>
      </c>
      <c r="L8" s="6">
        <f>'PPE Schedule'!K9</f>
        <v>18.562626051167229</v>
      </c>
      <c r="M8" s="6">
        <f>'PPE Schedule'!L9</f>
        <v>20.267868224189748</v>
      </c>
      <c r="N8" s="6">
        <f>'PPE Schedule'!M9</f>
        <v>21.062789188394113</v>
      </c>
      <c r="O8" s="6">
        <f>'PPE Schedule'!N9</f>
        <v>21.768072620098639</v>
      </c>
      <c r="P8" s="6">
        <f>'PPE Schedule'!O9</f>
        <v>22.355400454258856</v>
      </c>
      <c r="Q8" s="6">
        <f>'PPE Schedule'!P9</f>
        <v>22.803206411912587</v>
      </c>
      <c r="R8" s="6">
        <f>'PPE Schedule'!Q9</f>
        <v>23.094728508684355</v>
      </c>
    </row>
    <row r="9" spans="1:18" x14ac:dyDescent="0.25">
      <c r="B9" s="139" t="s">
        <v>119</v>
      </c>
      <c r="H9" s="158">
        <f>+H15-H11-H12-H8</f>
        <v>499.1829898780336</v>
      </c>
      <c r="I9" s="6">
        <f>+H9</f>
        <v>499.1829898780336</v>
      </c>
      <c r="J9" s="6">
        <f t="shared" ref="J9:R9" si="0">+I9</f>
        <v>499.1829898780336</v>
      </c>
      <c r="K9" s="6">
        <f t="shared" si="0"/>
        <v>499.1829898780336</v>
      </c>
      <c r="L9" s="6">
        <f t="shared" si="0"/>
        <v>499.1829898780336</v>
      </c>
      <c r="M9" s="6">
        <f t="shared" si="0"/>
        <v>499.1829898780336</v>
      </c>
      <c r="N9" s="6">
        <f t="shared" si="0"/>
        <v>499.1829898780336</v>
      </c>
      <c r="O9" s="6">
        <f t="shared" si="0"/>
        <v>499.1829898780336</v>
      </c>
      <c r="P9" s="6">
        <f t="shared" si="0"/>
        <v>499.1829898780336</v>
      </c>
      <c r="Q9" s="6">
        <f t="shared" si="0"/>
        <v>499.1829898780336</v>
      </c>
      <c r="R9" s="6">
        <f t="shared" si="0"/>
        <v>499.1829898780336</v>
      </c>
    </row>
    <row r="10" spans="1:18" s="7" customFormat="1" x14ac:dyDescent="0.25">
      <c r="A10" s="5"/>
      <c r="B10" s="23" t="s">
        <v>49</v>
      </c>
      <c r="C10" s="8"/>
      <c r="D10" s="8"/>
      <c r="E10" s="8"/>
      <c r="F10" s="8"/>
      <c r="G10" s="8"/>
      <c r="H10" s="157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18" s="7" customFormat="1" x14ac:dyDescent="0.25">
      <c r="A11" s="5"/>
      <c r="B11" s="14" t="s">
        <v>50</v>
      </c>
      <c r="C11" s="6">
        <v>31.896000000000001</v>
      </c>
      <c r="D11" s="6">
        <v>26.047999999999998</v>
      </c>
      <c r="E11" s="6">
        <v>20.513000000000002</v>
      </c>
      <c r="F11" s="6">
        <v>13.88</v>
      </c>
      <c r="G11" s="6">
        <v>14.574</v>
      </c>
      <c r="H11" s="156">
        <f>G11</f>
        <v>14.574</v>
      </c>
      <c r="I11" s="6">
        <f>+I43/365*'Income Statement'!H64</f>
        <v>16.402759580999433</v>
      </c>
      <c r="J11" s="6">
        <f>+J43/365*'Income Statement'!I64</f>
        <v>17.593291177393944</v>
      </c>
      <c r="K11" s="6">
        <f>+K43/365*'Income Statement'!J64</f>
        <v>19.267692089018741</v>
      </c>
      <c r="L11" s="6">
        <f>+L43/365*'Income Statement'!K64</f>
        <v>21.234895671621015</v>
      </c>
      <c r="M11" s="6">
        <f>+M43/365*'Income Statement'!L64</f>
        <v>23.634429027888423</v>
      </c>
      <c r="N11" s="6">
        <f>+N43/365*'Income Statement'!M64</f>
        <v>25.858023982989739</v>
      </c>
      <c r="O11" s="6">
        <f>+O43/365*'Income Statement'!N64</f>
        <v>27.758189295702763</v>
      </c>
      <c r="P11" s="6">
        <f>+P43/365*'Income Statement'!O64</f>
        <v>29.257422716679383</v>
      </c>
      <c r="Q11" s="6">
        <f>+Q43/365*'Income Statement'!P64</f>
        <v>30.378553145463428</v>
      </c>
      <c r="R11" s="6">
        <f>+R43/365*'Income Statement'!Q64</f>
        <v>30.989162063687242</v>
      </c>
    </row>
    <row r="12" spans="1:18" x14ac:dyDescent="0.25">
      <c r="B12" s="14" t="s">
        <v>51</v>
      </c>
      <c r="C12" s="6">
        <v>27.643000000000001</v>
      </c>
      <c r="D12" s="6">
        <v>19.536000000000001</v>
      </c>
      <c r="E12" s="6">
        <v>16.41</v>
      </c>
      <c r="F12" s="6">
        <v>19.433</v>
      </c>
      <c r="G12" s="6">
        <v>23.318999999999999</v>
      </c>
      <c r="H12" s="156">
        <f>G12</f>
        <v>23.318999999999999</v>
      </c>
      <c r="I12" s="6">
        <f>+I45/365*-'Income Statement'!H67</f>
        <v>24.012315247214584</v>
      </c>
      <c r="J12" s="6">
        <f>+J45/365*-'Income Statement'!I67</f>
        <v>25.755157350290311</v>
      </c>
      <c r="K12" s="6">
        <f>+K45/365*-'Income Statement'!J67</f>
        <v>28.206345050848459</v>
      </c>
      <c r="L12" s="6">
        <f>+L45/365*-'Income Statement'!K67</f>
        <v>31.086172213322641</v>
      </c>
      <c r="M12" s="6">
        <f>+M45/365*-'Income Statement'!L67</f>
        <v>34.598895247051892</v>
      </c>
      <c r="N12" s="6">
        <f>+N45/365*-'Income Statement'!M67</f>
        <v>37.854058671251479</v>
      </c>
      <c r="O12" s="6">
        <f>+O45/365*-'Income Statement'!N67</f>
        <v>40.635747220996542</v>
      </c>
      <c r="P12" s="6">
        <f>+P45/365*-'Income Statement'!O67</f>
        <v>42.830503862760175</v>
      </c>
      <c r="Q12" s="6">
        <f>+Q45/365*-'Income Statement'!P67</f>
        <v>44.471748261683864</v>
      </c>
      <c r="R12" s="6">
        <f>+R45/365*-'Income Statement'!Q67</f>
        <v>45.365630401743708</v>
      </c>
    </row>
    <row r="13" spans="1:18" x14ac:dyDescent="0.25">
      <c r="B13" s="14" t="s">
        <v>59</v>
      </c>
      <c r="C13" s="6">
        <f>+C37</f>
        <v>68.045000000000002</v>
      </c>
      <c r="D13" s="6">
        <f>+'Cash Flow Statement'!D27</f>
        <v>121.71600000000002</v>
      </c>
      <c r="E13" s="6">
        <f>+'Cash Flow Statement'!E27</f>
        <v>159.29999999999998</v>
      </c>
      <c r="F13" s="6">
        <f>+'Cash Flow Statement'!F27</f>
        <v>184.85499999999996</v>
      </c>
      <c r="G13" s="6">
        <f>+'Cash Flow Statement'!G27</f>
        <v>213.62499999999994</v>
      </c>
      <c r="H13" s="156">
        <v>0</v>
      </c>
      <c r="I13" s="6">
        <f>+'Cash Flow Statement'!H27</f>
        <v>23.173239258332437</v>
      </c>
      <c r="J13" s="6">
        <f>+'Cash Flow Statement'!I27</f>
        <v>49.047054758986548</v>
      </c>
      <c r="K13" s="6">
        <f>+'Cash Flow Statement'!J27</f>
        <v>79.6689753080895</v>
      </c>
      <c r="L13" s="6">
        <f>+'Cash Flow Statement'!K27</f>
        <v>115.24296829589579</v>
      </c>
      <c r="M13" s="6">
        <f>+'Cash Flow Statement'!L27</f>
        <v>157.03120075826737</v>
      </c>
      <c r="N13" s="6">
        <f>+'Cash Flow Statement'!M27</f>
        <v>204.11633420436937</v>
      </c>
      <c r="O13" s="6">
        <f>+'Cash Flow Statement'!N27</f>
        <v>78.395622754874069</v>
      </c>
      <c r="P13" s="6">
        <f>+'Cash Flow Statement'!O27</f>
        <v>85.525686088507783</v>
      </c>
      <c r="Q13" s="6">
        <f>+'Cash Flow Statement'!P27</f>
        <v>153.09215238078448</v>
      </c>
      <c r="R13" s="6">
        <f>+'Cash Flow Statement'!Q27</f>
        <v>220.95925527796052</v>
      </c>
    </row>
    <row r="14" spans="1:18" s="7" customFormat="1" x14ac:dyDescent="0.25">
      <c r="A14" s="5"/>
      <c r="B14" s="17"/>
      <c r="C14" s="8"/>
      <c r="D14" s="8"/>
      <c r="E14" s="8"/>
      <c r="F14" s="8"/>
      <c r="G14" s="8"/>
      <c r="H14" s="157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18" s="7" customFormat="1" ht="13.8" thickBot="1" x14ac:dyDescent="0.3">
      <c r="A15" s="5"/>
      <c r="B15" s="28" t="s">
        <v>60</v>
      </c>
      <c r="C15" s="29">
        <f>+C8+C11+C12+C13</f>
        <v>134.084</v>
      </c>
      <c r="D15" s="29">
        <f>+D8+D11+D12+D13</f>
        <v>175.10200000000003</v>
      </c>
      <c r="E15" s="29">
        <f>+E8+E11+E12+E13</f>
        <v>205.39299999999997</v>
      </c>
      <c r="F15" s="29">
        <f>+F8+F11+F12+F13</f>
        <v>228.72599999999997</v>
      </c>
      <c r="G15" s="29">
        <f>+G8+G11+G12+G13</f>
        <v>262.80499999999995</v>
      </c>
      <c r="H15" s="159">
        <f>+H28</f>
        <v>548.36298987803355</v>
      </c>
      <c r="I15" s="29">
        <f>+I8+I11+I12+I13+I9</f>
        <v>575.94166580090166</v>
      </c>
      <c r="J15" s="29">
        <f t="shared" ref="J15:R15" si="1">+J8+J11+J12+J13+J9</f>
        <v>606.58124120382217</v>
      </c>
      <c r="K15" s="29">
        <f t="shared" si="1"/>
        <v>643.12999617254718</v>
      </c>
      <c r="L15" s="29">
        <f t="shared" si="1"/>
        <v>685.30965211004025</v>
      </c>
      <c r="M15" s="29">
        <f t="shared" si="1"/>
        <v>734.71538313543101</v>
      </c>
      <c r="N15" s="29">
        <f t="shared" si="1"/>
        <v>788.07419592503834</v>
      </c>
      <c r="O15" s="29">
        <f t="shared" si="1"/>
        <v>667.74062176970563</v>
      </c>
      <c r="P15" s="29">
        <f t="shared" si="1"/>
        <v>679.1520030002398</v>
      </c>
      <c r="Q15" s="29">
        <f t="shared" si="1"/>
        <v>749.92865007787793</v>
      </c>
      <c r="R15" s="29">
        <f t="shared" si="1"/>
        <v>819.59176613010936</v>
      </c>
    </row>
    <row r="16" spans="1:18" ht="13.8" thickTop="1" x14ac:dyDescent="0.25">
      <c r="B16" s="16"/>
      <c r="H16" s="156"/>
    </row>
    <row r="17" spans="1:18" x14ac:dyDescent="0.25">
      <c r="B17" s="30" t="s">
        <v>47</v>
      </c>
      <c r="H17" s="156"/>
    </row>
    <row r="18" spans="1:18" x14ac:dyDescent="0.25">
      <c r="B18" s="16"/>
      <c r="H18" s="156"/>
    </row>
    <row r="19" spans="1:18" s="7" customFormat="1" x14ac:dyDescent="0.25">
      <c r="A19" s="5"/>
      <c r="B19" s="23" t="s">
        <v>55</v>
      </c>
      <c r="C19" s="22">
        <f>+C20+C21</f>
        <v>41.556000000000012</v>
      </c>
      <c r="D19" s="22">
        <f>+D20+D21</f>
        <v>78.006000000000029</v>
      </c>
      <c r="E19" s="22">
        <f>+E20+E21</f>
        <v>97.015999999999991</v>
      </c>
      <c r="F19" s="22">
        <f>+F20+F21</f>
        <v>124.32399999999996</v>
      </c>
      <c r="G19" s="22">
        <f>+G20+G21</f>
        <v>159.93299999999994</v>
      </c>
      <c r="H19" s="160">
        <f>+'LBO Modelling'!D12</f>
        <v>240.49498987803378</v>
      </c>
      <c r="I19" s="22">
        <f>+H19+'Income Statement'!H99</f>
        <v>262.90564124745441</v>
      </c>
      <c r="J19" s="22">
        <f>+I19+'Income Statement'!I99</f>
        <v>287.88097981537885</v>
      </c>
      <c r="K19" s="22">
        <f>+J19+'Income Statement'!J99</f>
        <v>316.4633747572899</v>
      </c>
      <c r="L19" s="22">
        <f>+K19+'Income Statement'!K99</f>
        <v>349.28359241674184</v>
      </c>
      <c r="M19" s="22">
        <f>+L19+'Income Statement'!L99</f>
        <v>387.27297358251252</v>
      </c>
      <c r="N19" s="22">
        <f>+M19+'Income Statement'!M99</f>
        <v>430.0525052434711</v>
      </c>
      <c r="O19" s="22">
        <f>+N19+'Income Statement'!N99</f>
        <v>476.92544330146677</v>
      </c>
      <c r="P19" s="22">
        <f>+O19+'Income Statement'!O99</f>
        <v>539.95286544626913</v>
      </c>
      <c r="Q19" s="22">
        <f>+P19+'Income Statement'!P99</f>
        <v>605.39546822740522</v>
      </c>
      <c r="R19" s="22">
        <f>+Q19+'Income Statement'!Q99</f>
        <v>672.1534673244422</v>
      </c>
    </row>
    <row r="20" spans="1:18" x14ac:dyDescent="0.25">
      <c r="B20" s="16" t="s">
        <v>56</v>
      </c>
      <c r="C20" s="6">
        <f>+C15-C21-C23-C26</f>
        <v>13.045000000000009</v>
      </c>
      <c r="D20" s="6">
        <f>+C20</f>
        <v>13.045000000000009</v>
      </c>
      <c r="E20" s="6">
        <f>+D20</f>
        <v>13.045000000000009</v>
      </c>
      <c r="F20" s="6">
        <f>+E20</f>
        <v>13.045000000000009</v>
      </c>
      <c r="G20" s="6">
        <f>+F20</f>
        <v>13.045000000000009</v>
      </c>
      <c r="H20" s="156"/>
    </row>
    <row r="21" spans="1:18" x14ac:dyDescent="0.25">
      <c r="B21" s="16" t="s">
        <v>57</v>
      </c>
      <c r="C21" s="6">
        <v>28.510999999999999</v>
      </c>
      <c r="D21" s="6">
        <f>+C21+'Income Statement'!D99</f>
        <v>64.961000000000027</v>
      </c>
      <c r="E21" s="6">
        <f>+D21+'Income Statement'!E99</f>
        <v>83.970999999999989</v>
      </c>
      <c r="F21" s="6">
        <f>+E21+'Income Statement'!F99</f>
        <v>111.27899999999995</v>
      </c>
      <c r="G21" s="6">
        <f>+F21+'Income Statement'!G99</f>
        <v>146.88799999999992</v>
      </c>
      <c r="H21" s="156"/>
    </row>
    <row r="22" spans="1:18" x14ac:dyDescent="0.25">
      <c r="B22" s="16"/>
      <c r="H22" s="156"/>
    </row>
    <row r="23" spans="1:18" x14ac:dyDescent="0.25">
      <c r="B23" s="23" t="s">
        <v>58</v>
      </c>
      <c r="C23" s="6">
        <f>'Debt Schedule'!C8</f>
        <v>50</v>
      </c>
      <c r="D23" s="6">
        <f>'Debt Schedule'!D8</f>
        <v>45</v>
      </c>
      <c r="E23" s="6">
        <f>'Debt Schedule'!E8</f>
        <v>40</v>
      </c>
      <c r="F23" s="6">
        <f>'Debt Schedule'!F8</f>
        <v>35</v>
      </c>
      <c r="G23" s="6">
        <f>'Debt Schedule'!G8</f>
        <v>30</v>
      </c>
      <c r="H23" s="160">
        <f>+'LBO Modelling'!D8</f>
        <v>234.99599999999981</v>
      </c>
      <c r="I23" s="6">
        <f>+'LBO Modelling'!C58</f>
        <v>234.99599999999981</v>
      </c>
      <c r="J23" s="6">
        <f>+'LBO Modelling'!D58</f>
        <v>234.99599999999981</v>
      </c>
      <c r="K23" s="6">
        <f>+'LBO Modelling'!E58</f>
        <v>234.99599999999981</v>
      </c>
      <c r="L23" s="6">
        <f>+'LBO Modelling'!F58</f>
        <v>234.99599999999981</v>
      </c>
      <c r="M23" s="6">
        <f>+'LBO Modelling'!G58</f>
        <v>234.99599999999981</v>
      </c>
      <c r="N23" s="6">
        <f>+'LBO Modelling'!H58</f>
        <v>234.99599999999981</v>
      </c>
      <c r="O23" s="6">
        <f>+'LBO Modelling'!I58</f>
        <v>58.748999999999953</v>
      </c>
      <c r="P23" s="6">
        <f>+'LBO Modelling'!J58</f>
        <v>0</v>
      </c>
      <c r="Q23" s="6">
        <f>+'LBO Modelling'!K58</f>
        <v>0</v>
      </c>
      <c r="R23" s="6">
        <f>+'LBO Modelling'!L58</f>
        <v>0</v>
      </c>
    </row>
    <row r="24" spans="1:18" x14ac:dyDescent="0.25">
      <c r="B24" s="16"/>
      <c r="H24" s="156"/>
    </row>
    <row r="25" spans="1:18" s="7" customFormat="1" x14ac:dyDescent="0.25">
      <c r="A25" s="5"/>
      <c r="B25" s="23" t="s">
        <v>52</v>
      </c>
      <c r="C25" s="8"/>
      <c r="D25" s="8"/>
      <c r="E25" s="8"/>
      <c r="F25" s="8"/>
      <c r="G25" s="8"/>
      <c r="H25" s="157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18" s="7" customFormat="1" x14ac:dyDescent="0.25">
      <c r="A26" s="5"/>
      <c r="B26" s="14" t="s">
        <v>53</v>
      </c>
      <c r="C26" s="6">
        <v>42.527999999999999</v>
      </c>
      <c r="D26" s="6">
        <v>52.095999999999997</v>
      </c>
      <c r="E26" s="6">
        <v>68.376999999999995</v>
      </c>
      <c r="F26" s="6">
        <v>69.402000000000001</v>
      </c>
      <c r="G26" s="6">
        <v>72.872</v>
      </c>
      <c r="H26" s="156">
        <f>G26</f>
        <v>72.872</v>
      </c>
      <c r="I26" s="6">
        <f>+I44/365*-'Income Statement'!H67</f>
        <v>78.040024553447395</v>
      </c>
      <c r="J26" s="6">
        <f>+J44/365*-'Income Statement'!I67</f>
        <v>83.704261388443513</v>
      </c>
      <c r="K26" s="6">
        <f>+K44/365*-'Income Statement'!J67</f>
        <v>91.670621415257486</v>
      </c>
      <c r="L26" s="6">
        <f>+L44/365*-'Income Statement'!K67</f>
        <v>101.03005969329858</v>
      </c>
      <c r="M26" s="6">
        <f>+M44/365*-'Income Statement'!L67</f>
        <v>112.44640955291864</v>
      </c>
      <c r="N26" s="6">
        <f>+N44/365*-'Income Statement'!M67</f>
        <v>123.02569068156731</v>
      </c>
      <c r="O26" s="6">
        <f>+O44/365*-'Income Statement'!N67</f>
        <v>132.06617846823877</v>
      </c>
      <c r="P26" s="6">
        <f>+P44/365*-'Income Statement'!O67</f>
        <v>139.19913755397056</v>
      </c>
      <c r="Q26" s="6">
        <f>+Q44/365*-'Income Statement'!P67</f>
        <v>144.53318185047257</v>
      </c>
      <c r="R26" s="6">
        <f>+R44/365*-'Income Statement'!Q67</f>
        <v>147.43829880566707</v>
      </c>
    </row>
    <row r="27" spans="1:18" x14ac:dyDescent="0.25">
      <c r="B27" s="16"/>
      <c r="H27" s="156"/>
    </row>
    <row r="28" spans="1:18" ht="13.8" thickBot="1" x14ac:dyDescent="0.3">
      <c r="B28" s="31" t="s">
        <v>61</v>
      </c>
      <c r="C28" s="29">
        <f>+C19+C23+C26</f>
        <v>134.084</v>
      </c>
      <c r="D28" s="29">
        <f>+D20+D21+D23+D26</f>
        <v>175.10200000000003</v>
      </c>
      <c r="E28" s="29">
        <f>+E20+E21+E23+E26</f>
        <v>205.39299999999997</v>
      </c>
      <c r="F28" s="29">
        <f>+F20+F21+F23+F26</f>
        <v>228.72599999999994</v>
      </c>
      <c r="G28" s="29">
        <f>+G20+G21+G23+G26</f>
        <v>262.80499999999995</v>
      </c>
      <c r="H28" s="159">
        <f>+H19+H23+H26</f>
        <v>548.36298987803355</v>
      </c>
      <c r="I28" s="29">
        <f t="shared" ref="I28:R28" si="2">+I19+I23+I26</f>
        <v>575.94166580090166</v>
      </c>
      <c r="J28" s="29">
        <f t="shared" si="2"/>
        <v>606.58124120382217</v>
      </c>
      <c r="K28" s="29">
        <f t="shared" si="2"/>
        <v>643.12999617254718</v>
      </c>
      <c r="L28" s="29">
        <f t="shared" si="2"/>
        <v>685.30965211004025</v>
      </c>
      <c r="M28" s="29">
        <f t="shared" si="2"/>
        <v>734.71538313543101</v>
      </c>
      <c r="N28" s="29">
        <f t="shared" si="2"/>
        <v>788.07419592503823</v>
      </c>
      <c r="O28" s="29">
        <f t="shared" si="2"/>
        <v>667.74062176970551</v>
      </c>
      <c r="P28" s="29">
        <f t="shared" si="2"/>
        <v>679.15200300023969</v>
      </c>
      <c r="Q28" s="29">
        <f t="shared" si="2"/>
        <v>749.92865007787782</v>
      </c>
      <c r="R28" s="29">
        <f t="shared" si="2"/>
        <v>819.59176613010925</v>
      </c>
    </row>
    <row r="29" spans="1:18" s="44" customFormat="1" ht="13.8" thickTop="1" x14ac:dyDescent="0.25">
      <c r="A29" s="42"/>
      <c r="B29" s="43" t="s">
        <v>67</v>
      </c>
      <c r="C29" s="44">
        <f t="shared" ref="C29:R29" si="3">+C15-C28</f>
        <v>0</v>
      </c>
      <c r="D29" s="44">
        <f t="shared" si="3"/>
        <v>0</v>
      </c>
      <c r="E29" s="44">
        <f t="shared" si="3"/>
        <v>0</v>
      </c>
      <c r="F29" s="44">
        <f t="shared" si="3"/>
        <v>0</v>
      </c>
      <c r="G29" s="44">
        <f t="shared" si="3"/>
        <v>0</v>
      </c>
      <c r="H29" s="44">
        <f t="shared" si="3"/>
        <v>0</v>
      </c>
      <c r="I29" s="44">
        <f t="shared" si="3"/>
        <v>0</v>
      </c>
      <c r="J29" s="44">
        <f t="shared" si="3"/>
        <v>0</v>
      </c>
      <c r="K29" s="44">
        <f t="shared" si="3"/>
        <v>0</v>
      </c>
      <c r="L29" s="44">
        <f t="shared" si="3"/>
        <v>0</v>
      </c>
      <c r="M29" s="44">
        <f t="shared" si="3"/>
        <v>0</v>
      </c>
      <c r="N29" s="44">
        <f t="shared" si="3"/>
        <v>0</v>
      </c>
      <c r="O29" s="44">
        <f t="shared" si="3"/>
        <v>0</v>
      </c>
      <c r="P29" s="44">
        <f t="shared" si="3"/>
        <v>0</v>
      </c>
      <c r="Q29" s="44">
        <f t="shared" si="3"/>
        <v>0</v>
      </c>
      <c r="R29" s="44">
        <f t="shared" si="3"/>
        <v>0</v>
      </c>
    </row>
    <row r="30" spans="1:18" x14ac:dyDescent="0.25">
      <c r="B30" s="16"/>
    </row>
    <row r="31" spans="1:18" x14ac:dyDescent="0.25">
      <c r="B31" s="32" t="s">
        <v>62</v>
      </c>
      <c r="C31" s="33"/>
    </row>
    <row r="32" spans="1:18" x14ac:dyDescent="0.25">
      <c r="B32" s="34" t="s">
        <v>63</v>
      </c>
      <c r="C32" s="35">
        <v>3</v>
      </c>
      <c r="D32" s="8"/>
      <c r="E32" s="8"/>
      <c r="F32" s="8"/>
      <c r="G32" s="8"/>
      <c r="H32" s="8"/>
    </row>
    <row r="33" spans="1:18" ht="4.95" customHeight="1" x14ac:dyDescent="0.25">
      <c r="B33" s="36"/>
      <c r="C33" s="35"/>
    </row>
    <row r="34" spans="1:18" x14ac:dyDescent="0.25">
      <c r="B34" s="34" t="s">
        <v>66</v>
      </c>
      <c r="C34" s="35">
        <f>+C32</f>
        <v>3</v>
      </c>
    </row>
    <row r="35" spans="1:18" s="7" customFormat="1" x14ac:dyDescent="0.25">
      <c r="A35" s="5"/>
      <c r="B35" s="34" t="s">
        <v>64</v>
      </c>
      <c r="C35" s="35">
        <f>+C34*C26</f>
        <v>127.584</v>
      </c>
      <c r="D35" s="8"/>
      <c r="E35" s="8"/>
      <c r="F35" s="8"/>
      <c r="G35" s="8"/>
      <c r="H35" s="8"/>
    </row>
    <row r="36" spans="1:18" s="7" customFormat="1" ht="4.95" customHeight="1" x14ac:dyDescent="0.25">
      <c r="A36" s="5"/>
      <c r="B36" s="37"/>
      <c r="C36" s="38"/>
      <c r="D36" s="8"/>
      <c r="E36" s="8"/>
      <c r="F36" s="8"/>
      <c r="G36" s="8"/>
      <c r="H36" s="8"/>
    </row>
    <row r="37" spans="1:18" x14ac:dyDescent="0.25">
      <c r="B37" s="40" t="s">
        <v>65</v>
      </c>
      <c r="C37" s="41">
        <f>+C35-C11-C12</f>
        <v>68.045000000000002</v>
      </c>
    </row>
    <row r="38" spans="1:18" x14ac:dyDescent="0.25">
      <c r="B38" s="16"/>
    </row>
    <row r="39" spans="1:18" x14ac:dyDescent="0.25">
      <c r="B39" s="17"/>
      <c r="C39" s="8"/>
      <c r="D39" s="8"/>
      <c r="E39" s="8"/>
      <c r="F39" s="8"/>
      <c r="G39" s="8"/>
      <c r="H39" s="8"/>
    </row>
    <row r="40" spans="1:18" x14ac:dyDescent="0.25">
      <c r="B40" s="76" t="s">
        <v>87</v>
      </c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33"/>
    </row>
    <row r="41" spans="1:18" x14ac:dyDescent="0.25">
      <c r="B41" s="36"/>
      <c r="R41" s="35"/>
    </row>
    <row r="42" spans="1:18" x14ac:dyDescent="0.25">
      <c r="B42" s="37"/>
      <c r="C42" s="57">
        <f>+C4</f>
        <v>2007</v>
      </c>
      <c r="D42" s="57">
        <f t="shared" ref="D42:R42" si="4">+D4</f>
        <v>2008</v>
      </c>
      <c r="E42" s="57">
        <f t="shared" si="4"/>
        <v>2009</v>
      </c>
      <c r="F42" s="57">
        <f t="shared" si="4"/>
        <v>2010</v>
      </c>
      <c r="G42" s="57">
        <f t="shared" si="4"/>
        <v>2011</v>
      </c>
      <c r="H42" s="138"/>
      <c r="I42" s="59">
        <f t="shared" si="4"/>
        <v>2012</v>
      </c>
      <c r="J42" s="60">
        <f t="shared" si="4"/>
        <v>2013</v>
      </c>
      <c r="K42" s="60">
        <f t="shared" si="4"/>
        <v>2014</v>
      </c>
      <c r="L42" s="60">
        <f t="shared" si="4"/>
        <v>2015</v>
      </c>
      <c r="M42" s="60">
        <f t="shared" si="4"/>
        <v>2016</v>
      </c>
      <c r="N42" s="60">
        <f t="shared" si="4"/>
        <v>2017</v>
      </c>
      <c r="O42" s="60">
        <f t="shared" si="4"/>
        <v>2018</v>
      </c>
      <c r="P42" s="60">
        <f t="shared" si="4"/>
        <v>2019</v>
      </c>
      <c r="Q42" s="60">
        <f t="shared" si="4"/>
        <v>2020</v>
      </c>
      <c r="R42" s="60">
        <f t="shared" si="4"/>
        <v>2021</v>
      </c>
    </row>
    <row r="43" spans="1:18" x14ac:dyDescent="0.25">
      <c r="B43" s="34" t="s">
        <v>88</v>
      </c>
      <c r="C43" s="77">
        <f>+C11/'Income Statement'!C64*365</f>
        <v>55.303450634643156</v>
      </c>
      <c r="D43" s="77">
        <f>+D11/'Income Statement'!D64*365</f>
        <v>36.868429522601858</v>
      </c>
      <c r="E43" s="77">
        <f>+E11/'Income Statement'!E64*365</f>
        <v>27.791988210970189</v>
      </c>
      <c r="F43" s="77">
        <f>+F11/'Income Statement'!F64*365</f>
        <v>18.621832924717985</v>
      </c>
      <c r="G43" s="75">
        <f>+G11/'Income Statement'!G64*365</f>
        <v>18.81387403446227</v>
      </c>
      <c r="H43" s="77"/>
      <c r="I43" s="78">
        <v>20</v>
      </c>
      <c r="J43" s="77">
        <f>+I43</f>
        <v>20</v>
      </c>
      <c r="K43" s="77">
        <f t="shared" ref="K43:R43" si="5">+J43</f>
        <v>20</v>
      </c>
      <c r="L43" s="77">
        <f t="shared" si="5"/>
        <v>20</v>
      </c>
      <c r="M43" s="77">
        <f t="shared" si="5"/>
        <v>20</v>
      </c>
      <c r="N43" s="77">
        <f t="shared" si="5"/>
        <v>20</v>
      </c>
      <c r="O43" s="77">
        <f t="shared" si="5"/>
        <v>20</v>
      </c>
      <c r="P43" s="77">
        <f t="shared" si="5"/>
        <v>20</v>
      </c>
      <c r="Q43" s="77">
        <f t="shared" si="5"/>
        <v>20</v>
      </c>
      <c r="R43" s="79">
        <f t="shared" si="5"/>
        <v>20</v>
      </c>
    </row>
    <row r="44" spans="1:18" x14ac:dyDescent="0.25">
      <c r="B44" s="34" t="s">
        <v>89</v>
      </c>
      <c r="C44" s="77">
        <f>+C26/-'Income Statement'!C67*365</f>
        <v>104.28641490926925</v>
      </c>
      <c r="D44" s="77">
        <f>+D26/-'Income Statement'!D67*365</f>
        <v>107.35197145567048</v>
      </c>
      <c r="E44" s="77">
        <f>+E26/-'Income Statement'!E67*365</f>
        <v>121.66725978647686</v>
      </c>
      <c r="F44" s="77">
        <f>+F26/-'Income Statement'!F67*365</f>
        <v>125.86194389514375</v>
      </c>
      <c r="G44" s="75">
        <f>+G26/-'Income Statement'!G67*365</f>
        <v>130.35688730751511</v>
      </c>
      <c r="H44" s="77"/>
      <c r="I44" s="78">
        <v>130</v>
      </c>
      <c r="J44" s="77">
        <f t="shared" ref="J44:R45" si="6">+I44</f>
        <v>130</v>
      </c>
      <c r="K44" s="77">
        <f t="shared" si="6"/>
        <v>130</v>
      </c>
      <c r="L44" s="77">
        <f t="shared" si="6"/>
        <v>130</v>
      </c>
      <c r="M44" s="77">
        <f t="shared" si="6"/>
        <v>130</v>
      </c>
      <c r="N44" s="77">
        <f t="shared" si="6"/>
        <v>130</v>
      </c>
      <c r="O44" s="77">
        <f t="shared" si="6"/>
        <v>130</v>
      </c>
      <c r="P44" s="77">
        <f t="shared" si="6"/>
        <v>130</v>
      </c>
      <c r="Q44" s="77">
        <f t="shared" si="6"/>
        <v>130</v>
      </c>
      <c r="R44" s="79">
        <f t="shared" si="6"/>
        <v>130</v>
      </c>
    </row>
    <row r="45" spans="1:18" x14ac:dyDescent="0.25">
      <c r="B45" s="39" t="s">
        <v>90</v>
      </c>
      <c r="C45" s="80">
        <f>+C12/-'Income Statement'!C67*365</f>
        <v>67.785679254536532</v>
      </c>
      <c r="D45" s="80">
        <f>+D12/-'Income Statement'!D67*365</f>
        <v>40.256989295876437</v>
      </c>
      <c r="E45" s="80">
        <f>+E12/-'Income Statement'!E67*365</f>
        <v>29.19928825622776</v>
      </c>
      <c r="F45" s="80">
        <f>+F12/-'Income Statement'!F67*365</f>
        <v>35.242142239623192</v>
      </c>
      <c r="G45" s="81">
        <f>+G12/-'Income Statement'!G67*365</f>
        <v>41.714132384509071</v>
      </c>
      <c r="H45" s="80"/>
      <c r="I45" s="82">
        <v>40</v>
      </c>
      <c r="J45" s="80">
        <f t="shared" si="6"/>
        <v>40</v>
      </c>
      <c r="K45" s="80">
        <f t="shared" si="6"/>
        <v>40</v>
      </c>
      <c r="L45" s="80">
        <f t="shared" si="6"/>
        <v>40</v>
      </c>
      <c r="M45" s="80">
        <f t="shared" si="6"/>
        <v>40</v>
      </c>
      <c r="N45" s="80">
        <f t="shared" si="6"/>
        <v>40</v>
      </c>
      <c r="O45" s="80">
        <f t="shared" si="6"/>
        <v>40</v>
      </c>
      <c r="P45" s="80">
        <f t="shared" si="6"/>
        <v>40</v>
      </c>
      <c r="Q45" s="80">
        <f t="shared" si="6"/>
        <v>40</v>
      </c>
      <c r="R45" s="83">
        <f t="shared" si="6"/>
        <v>40</v>
      </c>
    </row>
    <row r="46" spans="1:18" s="7" customFormat="1" x14ac:dyDescent="0.25">
      <c r="A46" s="5"/>
      <c r="B46" s="15"/>
      <c r="C46" s="8"/>
      <c r="D46" s="8"/>
      <c r="E46" s="8"/>
      <c r="F46" s="8"/>
      <c r="G46" s="8"/>
      <c r="H46" s="8"/>
    </row>
    <row r="47" spans="1:18" s="7" customFormat="1" x14ac:dyDescent="0.25">
      <c r="A47" s="5"/>
      <c r="B47" s="15"/>
      <c r="C47" s="8"/>
      <c r="D47" s="8"/>
      <c r="E47" s="8"/>
      <c r="F47" s="8"/>
      <c r="G47" s="8"/>
      <c r="H47" s="8"/>
    </row>
    <row r="49" spans="2:7" x14ac:dyDescent="0.2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2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00"/>
  <sheetViews>
    <sheetView showGridLines="0" zoomScaleSheetLayoutView="100" workbookViewId="0">
      <selection activeCell="F8" sqref="F8"/>
    </sheetView>
  </sheetViews>
  <sheetFormatPr defaultColWidth="8.77734375" defaultRowHeight="13.2" x14ac:dyDescent="0.25"/>
  <cols>
    <col min="1" max="1" width="2.6640625" style="2" customWidth="1"/>
    <col min="2" max="2" width="41.109375" style="2" customWidth="1"/>
    <col min="3" max="3" width="9.33203125" style="6" bestFit="1" customWidth="1"/>
    <col min="4" max="5" width="9.44140625" style="6" bestFit="1" customWidth="1"/>
    <col min="6" max="17" width="9.33203125" style="6" bestFit="1" customWidth="1"/>
    <col min="18" max="16384" width="8.77734375" style="6"/>
  </cols>
  <sheetData>
    <row r="1" spans="1:17" s="2" customFormat="1" x14ac:dyDescent="0.25"/>
    <row r="2" spans="1:17" s="2" customFormat="1" x14ac:dyDescent="0.25">
      <c r="B2" s="61" t="s">
        <v>68</v>
      </c>
    </row>
    <row r="3" spans="1:17" s="2" customFormat="1" x14ac:dyDescent="0.25">
      <c r="B3" s="5"/>
    </row>
    <row r="4" spans="1:17" s="2" customFormat="1" x14ac:dyDescent="0.25">
      <c r="B4" s="56" t="s">
        <v>0</v>
      </c>
      <c r="C4" s="57">
        <f>'Income Statement'!C4</f>
        <v>2007</v>
      </c>
      <c r="D4" s="57">
        <f>'Income Statement'!D4</f>
        <v>2008</v>
      </c>
      <c r="E4" s="57">
        <f>'Income Statement'!E4</f>
        <v>2009</v>
      </c>
      <c r="F4" s="57">
        <f>'Income Statement'!F4</f>
        <v>2010</v>
      </c>
      <c r="G4" s="58">
        <f>'Income Statement'!G4</f>
        <v>2011</v>
      </c>
      <c r="H4" s="59">
        <f>'Income Statement'!H4</f>
        <v>2012</v>
      </c>
      <c r="I4" s="60">
        <f>'Income Statement'!I4</f>
        <v>2013</v>
      </c>
      <c r="J4" s="60">
        <f>'Income Statement'!J4</f>
        <v>2014</v>
      </c>
      <c r="K4" s="60">
        <f>'Income Statement'!K4</f>
        <v>2015</v>
      </c>
      <c r="L4" s="60">
        <f>'Income Statement'!L4</f>
        <v>2016</v>
      </c>
      <c r="M4" s="60">
        <f>'Income Statement'!M4</f>
        <v>2017</v>
      </c>
      <c r="N4" s="60">
        <f>'Income Statement'!N4</f>
        <v>2018</v>
      </c>
      <c r="O4" s="60">
        <f>'Income Statement'!O4</f>
        <v>2019</v>
      </c>
      <c r="P4" s="60">
        <f>'Income Statement'!P4</f>
        <v>2020</v>
      </c>
      <c r="Q4" s="60">
        <f>'Income Statement'!Q4</f>
        <v>2021</v>
      </c>
    </row>
    <row r="5" spans="1:17" x14ac:dyDescent="0.25">
      <c r="B5" s="19"/>
      <c r="G5" s="48"/>
    </row>
    <row r="6" spans="1:17" x14ac:dyDescent="0.25">
      <c r="A6" s="5"/>
      <c r="B6" s="14" t="s">
        <v>70</v>
      </c>
      <c r="C6" s="6">
        <f>'Income Statement'!C99</f>
        <v>27.08799999999999</v>
      </c>
      <c r="D6" s="6">
        <f>'Income Statement'!D99</f>
        <v>36.450000000000024</v>
      </c>
      <c r="E6" s="6">
        <f>'Income Statement'!E99</f>
        <v>19.009999999999966</v>
      </c>
      <c r="F6" s="6">
        <f>'Income Statement'!F99</f>
        <v>27.307999999999964</v>
      </c>
      <c r="G6" s="48">
        <f>'Income Statement'!G99</f>
        <v>35.608999999999966</v>
      </c>
      <c r="H6" s="6">
        <f>'Income Statement'!H99</f>
        <v>22.410651369420655</v>
      </c>
      <c r="I6" s="6">
        <f>'Income Statement'!I99</f>
        <v>24.975338567924467</v>
      </c>
      <c r="J6" s="6">
        <f>'Income Statement'!J99</f>
        <v>28.582394941911026</v>
      </c>
      <c r="K6" s="6">
        <f>'Income Statement'!K99</f>
        <v>32.820217659451941</v>
      </c>
      <c r="L6" s="6">
        <f>'Income Statement'!L99</f>
        <v>37.989381165770695</v>
      </c>
      <c r="M6" s="6">
        <f>'Income Statement'!M99</f>
        <v>42.779531660958597</v>
      </c>
      <c r="N6" s="6">
        <f>'Income Statement'!N99</f>
        <v>46.87293805799569</v>
      </c>
      <c r="O6" s="6">
        <f>'Income Statement'!O99</f>
        <v>63.027422144802358</v>
      </c>
      <c r="P6" s="6">
        <f>'Income Statement'!P99</f>
        <v>65.442602781136145</v>
      </c>
      <c r="Q6" s="6">
        <f>'Income Statement'!Q99</f>
        <v>66.757999097036972</v>
      </c>
    </row>
    <row r="7" spans="1:17" x14ac:dyDescent="0.25">
      <c r="B7" s="14" t="s">
        <v>71</v>
      </c>
      <c r="C7" s="6">
        <f>-'Income Statement'!C92</f>
        <v>3.3</v>
      </c>
      <c r="D7" s="6">
        <f>-'Income Statement'!D92</f>
        <v>3</v>
      </c>
      <c r="E7" s="6">
        <f>-'Income Statement'!E92</f>
        <v>2.6999999999999997</v>
      </c>
      <c r="F7" s="6">
        <f>-'Income Statement'!F92</f>
        <v>2.4</v>
      </c>
      <c r="G7" s="48">
        <f>-'Income Statement'!G92</f>
        <v>2.1</v>
      </c>
      <c r="H7" s="6">
        <f>-'Income Statement'!H92</f>
        <v>12.924779999999989</v>
      </c>
      <c r="I7" s="6">
        <f>-'Income Statement'!I92</f>
        <v>12.924779999999989</v>
      </c>
      <c r="J7" s="6">
        <f>-'Income Statement'!J92</f>
        <v>12.924779999999989</v>
      </c>
      <c r="K7" s="6">
        <f>-'Income Statement'!K92</f>
        <v>12.924779999999989</v>
      </c>
      <c r="L7" s="6">
        <f>-'Income Statement'!L92</f>
        <v>12.924779999999989</v>
      </c>
      <c r="M7" s="6">
        <f>-'Income Statement'!M92</f>
        <v>12.924779999999989</v>
      </c>
      <c r="N7" s="6">
        <f>-'Income Statement'!N92</f>
        <v>12.924779999999989</v>
      </c>
      <c r="O7" s="6">
        <f>-'Income Statement'!O92</f>
        <v>0</v>
      </c>
      <c r="P7" s="6">
        <f>-'Income Statement'!P92</f>
        <v>0</v>
      </c>
      <c r="Q7" s="6">
        <f>-'Income Statement'!Q92</f>
        <v>0</v>
      </c>
    </row>
    <row r="8" spans="1:17" x14ac:dyDescent="0.25">
      <c r="B8" s="14" t="s">
        <v>72</v>
      </c>
      <c r="C8" s="6">
        <f>-'Income Statement'!C82</f>
        <v>2.6050000000000004</v>
      </c>
      <c r="D8" s="6">
        <f>-'Income Statement'!D82</f>
        <v>2.6050000000000004</v>
      </c>
      <c r="E8" s="6">
        <f>-'Income Statement'!E82</f>
        <v>1.3669999999999991</v>
      </c>
      <c r="F8" s="6">
        <f>-'Income Statement'!F82</f>
        <v>1.3879999999999999</v>
      </c>
      <c r="G8" s="48">
        <f>-'Income Statement'!G82</f>
        <v>1.456999999999999</v>
      </c>
      <c r="H8" s="6">
        <f>-'Income Statement'!H82</f>
        <v>4.288817787082154</v>
      </c>
      <c r="I8" s="6">
        <f>-'Income Statement'!I82</f>
        <v>4.7877774823136034</v>
      </c>
      <c r="J8" s="6">
        <f>-'Income Statement'!J82</f>
        <v>5.4489766880254766</v>
      </c>
      <c r="K8" s="6">
        <f>-'Income Statement'!K82</f>
        <v>6.23182755444798</v>
      </c>
      <c r="L8" s="6">
        <f>-'Income Statement'!L82</f>
        <v>7.1881358306211016</v>
      </c>
      <c r="M8" s="6">
        <f>-'Income Statement'!M82</f>
        <v>4.0701253086853466</v>
      </c>
      <c r="N8" s="6">
        <f>-'Income Statement'!N82</f>
        <v>4.5172685878953844</v>
      </c>
      <c r="O8" s="6">
        <f>-'Income Statement'!O82</f>
        <v>4.9172967820043842</v>
      </c>
      <c r="P8" s="6">
        <f>-'Income Statement'!P82</f>
        <v>5.267753237950008</v>
      </c>
      <c r="Q8" s="6">
        <f>-'Income Statement'!Q82</f>
        <v>5.5389198386636034</v>
      </c>
    </row>
    <row r="9" spans="1:17" s="7" customFormat="1" x14ac:dyDescent="0.25">
      <c r="A9" s="5"/>
      <c r="B9" s="14"/>
      <c r="C9" s="8"/>
      <c r="D9" s="8"/>
      <c r="E9" s="8"/>
      <c r="F9" s="8"/>
      <c r="G9" s="4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s="7" customFormat="1" x14ac:dyDescent="0.25">
      <c r="A10" s="5"/>
      <c r="B10" s="14" t="s">
        <v>73</v>
      </c>
      <c r="C10" s="6"/>
      <c r="D10" s="6">
        <f t="shared" ref="D10:Q10" si="0">SUM(D11:D13)</f>
        <v>23.523</v>
      </c>
      <c r="E10" s="6">
        <f t="shared" si="0"/>
        <v>24.941999999999997</v>
      </c>
      <c r="F10" s="6">
        <f t="shared" si="0"/>
        <v>4.6350000000000069</v>
      </c>
      <c r="G10" s="48">
        <f t="shared" si="0"/>
        <v>-1.1099999999999994</v>
      </c>
      <c r="H10" s="6">
        <f t="shared" si="0"/>
        <v>2.6459497252333772</v>
      </c>
      <c r="I10" s="6">
        <f t="shared" si="0"/>
        <v>2.7308631355258797</v>
      </c>
      <c r="J10" s="6">
        <f t="shared" si="0"/>
        <v>3.8407714146310283</v>
      </c>
      <c r="K10" s="6">
        <f t="shared" si="0"/>
        <v>4.5124075329646409</v>
      </c>
      <c r="L10" s="6">
        <f t="shared" si="0"/>
        <v>5.5040934696233954</v>
      </c>
      <c r="M10" s="6">
        <f t="shared" si="0"/>
        <v>5.1005227493477712</v>
      </c>
      <c r="N10" s="6">
        <f t="shared" si="0"/>
        <v>4.3586339242133754</v>
      </c>
      <c r="O10" s="6">
        <f t="shared" si="0"/>
        <v>3.4389690229915324</v>
      </c>
      <c r="P10" s="6">
        <f t="shared" si="0"/>
        <v>2.5716694687942798</v>
      </c>
      <c r="Q10" s="6">
        <f t="shared" si="0"/>
        <v>1.4006258969108423</v>
      </c>
    </row>
    <row r="11" spans="1:17" s="7" customFormat="1" x14ac:dyDescent="0.25">
      <c r="A11" s="5"/>
      <c r="B11" s="17" t="s">
        <v>74</v>
      </c>
      <c r="D11" s="7">
        <f>-'Balance Sheet'!D11+'Balance Sheet'!C11</f>
        <v>5.8480000000000025</v>
      </c>
      <c r="E11" s="7">
        <f>-'Balance Sheet'!E11+'Balance Sheet'!D11</f>
        <v>5.5349999999999966</v>
      </c>
      <c r="F11" s="7">
        <f>-'Balance Sheet'!F11+'Balance Sheet'!E11</f>
        <v>6.6330000000000009</v>
      </c>
      <c r="G11" s="52">
        <f>-'Balance Sheet'!G11+'Balance Sheet'!F11</f>
        <v>-0.69399999999999906</v>
      </c>
      <c r="H11" s="7">
        <f>-'Balance Sheet'!I11+'Balance Sheet'!G11</f>
        <v>-1.8287595809994333</v>
      </c>
      <c r="I11" s="7">
        <f>-'Balance Sheet'!J11+'Balance Sheet'!I11</f>
        <v>-1.1905315963945107</v>
      </c>
      <c r="J11" s="7">
        <f>-'Balance Sheet'!K11+'Balance Sheet'!J11</f>
        <v>-1.6744009116247973</v>
      </c>
      <c r="K11" s="7">
        <f>-'Balance Sheet'!L11+'Balance Sheet'!K11</f>
        <v>-1.9672035826022736</v>
      </c>
      <c r="L11" s="7">
        <f>-'Balance Sheet'!M11+'Balance Sheet'!L11</f>
        <v>-2.3995333562674084</v>
      </c>
      <c r="M11" s="7">
        <f>-'Balance Sheet'!N11+'Balance Sheet'!M11</f>
        <v>-2.2235949551013157</v>
      </c>
      <c r="N11" s="7">
        <f>-'Balance Sheet'!O11+'Balance Sheet'!N11</f>
        <v>-1.9001653127130247</v>
      </c>
      <c r="O11" s="7">
        <f>-'Balance Sheet'!P11+'Balance Sheet'!O11</f>
        <v>-1.4992334209766192</v>
      </c>
      <c r="P11" s="7">
        <f>-'Balance Sheet'!Q11+'Balance Sheet'!P11</f>
        <v>-1.1211304287840456</v>
      </c>
      <c r="Q11" s="7">
        <f>-'Balance Sheet'!R11+'Balance Sheet'!Q11</f>
        <v>-0.61060891822381436</v>
      </c>
    </row>
    <row r="12" spans="1:17" s="7" customFormat="1" x14ac:dyDescent="0.25">
      <c r="A12" s="5"/>
      <c r="B12" s="17" t="s">
        <v>75</v>
      </c>
      <c r="D12" s="7">
        <f>+'Balance Sheet'!D26-'Balance Sheet'!C26</f>
        <v>9.5679999999999978</v>
      </c>
      <c r="E12" s="7">
        <f>+'Balance Sheet'!E26-'Balance Sheet'!D26</f>
        <v>16.280999999999999</v>
      </c>
      <c r="F12" s="7">
        <f>+'Balance Sheet'!F26-'Balance Sheet'!E26</f>
        <v>1.0250000000000057</v>
      </c>
      <c r="G12" s="52">
        <f>+'Balance Sheet'!G26-'Balance Sheet'!F26</f>
        <v>3.4699999999999989</v>
      </c>
      <c r="H12" s="7">
        <f>+'Balance Sheet'!I26-'Balance Sheet'!G26</f>
        <v>5.1680245534473954</v>
      </c>
      <c r="I12" s="7">
        <f>+'Balance Sheet'!J26-'Balance Sheet'!I26</f>
        <v>5.6642368349961174</v>
      </c>
      <c r="J12" s="7">
        <f>+'Balance Sheet'!K26-'Balance Sheet'!J26</f>
        <v>7.9663600268139731</v>
      </c>
      <c r="K12" s="7">
        <f>+'Balance Sheet'!L26-'Balance Sheet'!K26</f>
        <v>9.3594382780410967</v>
      </c>
      <c r="L12" s="7">
        <f>+'Balance Sheet'!M26-'Balance Sheet'!L26</f>
        <v>11.416349859620055</v>
      </c>
      <c r="M12" s="7">
        <f>+'Balance Sheet'!N26-'Balance Sheet'!M26</f>
        <v>10.579281128648674</v>
      </c>
      <c r="N12" s="7">
        <f>+'Balance Sheet'!O26-'Balance Sheet'!N26</f>
        <v>9.0404877866714628</v>
      </c>
      <c r="O12" s="7">
        <f>+'Balance Sheet'!P26-'Balance Sheet'!O26</f>
        <v>7.1329590857317839</v>
      </c>
      <c r="P12" s="7">
        <f>+'Balance Sheet'!Q26-'Balance Sheet'!P26</f>
        <v>5.3340442965020145</v>
      </c>
      <c r="Q12" s="7">
        <f>+'Balance Sheet'!R26-'Balance Sheet'!Q26</f>
        <v>2.9051169551945009</v>
      </c>
    </row>
    <row r="13" spans="1:17" s="7" customFormat="1" x14ac:dyDescent="0.25">
      <c r="A13" s="5"/>
      <c r="B13" s="17" t="s">
        <v>76</v>
      </c>
      <c r="C13" s="8"/>
      <c r="D13" s="7">
        <f>+'Balance Sheet'!C12-'Balance Sheet'!D12</f>
        <v>8.1069999999999993</v>
      </c>
      <c r="E13" s="7">
        <f>+'Balance Sheet'!D12-'Balance Sheet'!E12</f>
        <v>3.1260000000000012</v>
      </c>
      <c r="F13" s="7">
        <f>+'Balance Sheet'!E12-'Balance Sheet'!F12</f>
        <v>-3.0229999999999997</v>
      </c>
      <c r="G13" s="52">
        <f>+'Balance Sheet'!F12-'Balance Sheet'!G12</f>
        <v>-3.8859999999999992</v>
      </c>
      <c r="H13" s="7">
        <f>+'Balance Sheet'!G12-'Balance Sheet'!I12</f>
        <v>-0.69331524721458493</v>
      </c>
      <c r="I13" s="7">
        <f>+'Balance Sheet'!I12-'Balance Sheet'!J12</f>
        <v>-1.7428421030757271</v>
      </c>
      <c r="J13" s="7">
        <f>+'Balance Sheet'!J12-'Balance Sheet'!K12</f>
        <v>-2.4511877005581475</v>
      </c>
      <c r="K13" s="7">
        <f>+'Balance Sheet'!K12-'Balance Sheet'!L12</f>
        <v>-2.8798271624741822</v>
      </c>
      <c r="L13" s="7">
        <f>+'Balance Sheet'!L12-'Balance Sheet'!M12</f>
        <v>-3.5127230337292517</v>
      </c>
      <c r="M13" s="7">
        <f>+'Balance Sheet'!M12-'Balance Sheet'!N12</f>
        <v>-3.255163424199587</v>
      </c>
      <c r="N13" s="7">
        <f>+'Balance Sheet'!N12-'Balance Sheet'!O12</f>
        <v>-2.7816885497450627</v>
      </c>
      <c r="O13" s="7">
        <f>+'Balance Sheet'!O12-'Balance Sheet'!P12</f>
        <v>-2.1947566417636324</v>
      </c>
      <c r="P13" s="7">
        <f>+'Balance Sheet'!P12-'Balance Sheet'!Q12</f>
        <v>-1.6412443989236891</v>
      </c>
      <c r="Q13" s="7">
        <f>+'Balance Sheet'!Q12-'Balance Sheet'!R12</f>
        <v>-0.89388214005984423</v>
      </c>
    </row>
    <row r="14" spans="1:17" s="7" customFormat="1" x14ac:dyDescent="0.25">
      <c r="A14" s="5"/>
      <c r="B14" s="14"/>
      <c r="C14" s="22"/>
      <c r="D14" s="22"/>
      <c r="E14" s="22"/>
      <c r="F14" s="22"/>
      <c r="G14" s="62"/>
      <c r="H14" s="22"/>
      <c r="I14" s="22"/>
      <c r="J14" s="22"/>
      <c r="K14" s="22"/>
      <c r="L14" s="22"/>
      <c r="M14" s="22"/>
      <c r="N14" s="22"/>
      <c r="O14" s="22"/>
      <c r="P14" s="22"/>
      <c r="Q14" s="22"/>
    </row>
    <row r="15" spans="1:17" x14ac:dyDescent="0.25">
      <c r="B15" s="14" t="s">
        <v>77</v>
      </c>
      <c r="D15" s="6">
        <f>-D7</f>
        <v>-3</v>
      </c>
      <c r="E15" s="6">
        <f>-E7</f>
        <v>-2.6999999999999997</v>
      </c>
      <c r="F15" s="6">
        <f>-F7</f>
        <v>-2.4</v>
      </c>
      <c r="G15" s="48">
        <f>-G7</f>
        <v>-2.1</v>
      </c>
      <c r="H15" s="6">
        <f t="shared" ref="H15:Q15" si="1">-H7</f>
        <v>-12.924779999999989</v>
      </c>
      <c r="I15" s="6">
        <f t="shared" si="1"/>
        <v>-12.924779999999989</v>
      </c>
      <c r="J15" s="6">
        <f t="shared" si="1"/>
        <v>-12.924779999999989</v>
      </c>
      <c r="K15" s="6">
        <f t="shared" si="1"/>
        <v>-12.924779999999989</v>
      </c>
      <c r="L15" s="6">
        <f t="shared" si="1"/>
        <v>-12.924779999999989</v>
      </c>
      <c r="M15" s="6">
        <f t="shared" si="1"/>
        <v>-12.924779999999989</v>
      </c>
      <c r="N15" s="6">
        <f t="shared" si="1"/>
        <v>-12.924779999999989</v>
      </c>
      <c r="O15" s="6">
        <f t="shared" si="1"/>
        <v>0</v>
      </c>
      <c r="P15" s="6">
        <f t="shared" si="1"/>
        <v>0</v>
      </c>
      <c r="Q15" s="6">
        <f t="shared" si="1"/>
        <v>0</v>
      </c>
    </row>
    <row r="16" spans="1:17" x14ac:dyDescent="0.25">
      <c r="B16" s="14" t="s">
        <v>78</v>
      </c>
      <c r="D16" s="6">
        <f>+'Income Statement'!D97</f>
        <v>0</v>
      </c>
      <c r="E16" s="6">
        <f>+'Income Statement'!E97</f>
        <v>0</v>
      </c>
      <c r="F16" s="6">
        <f>+'Income Statement'!F97</f>
        <v>0</v>
      </c>
      <c r="G16" s="48">
        <f>+'Income Statement'!G97</f>
        <v>0</v>
      </c>
      <c r="H16" s="6">
        <f>+'Income Statement'!H97</f>
        <v>0</v>
      </c>
      <c r="I16" s="6">
        <f>+'Income Statement'!I97</f>
        <v>0</v>
      </c>
      <c r="J16" s="6">
        <f>+'Income Statement'!J97</f>
        <v>0</v>
      </c>
      <c r="K16" s="6">
        <f>+'Income Statement'!K97</f>
        <v>0</v>
      </c>
      <c r="L16" s="6">
        <f>+'Income Statement'!L97</f>
        <v>0</v>
      </c>
      <c r="M16" s="6">
        <f>+'Income Statement'!M97</f>
        <v>0</v>
      </c>
      <c r="N16" s="6">
        <f>+'Income Statement'!N97</f>
        <v>0</v>
      </c>
      <c r="O16" s="6">
        <f>+'Income Statement'!O97</f>
        <v>0</v>
      </c>
      <c r="P16" s="6">
        <f>+'Income Statement'!P97</f>
        <v>0</v>
      </c>
      <c r="Q16" s="6">
        <f>+'Income Statement'!Q97</f>
        <v>0</v>
      </c>
    </row>
    <row r="17" spans="1:17" s="7" customFormat="1" x14ac:dyDescent="0.25">
      <c r="A17" s="5"/>
      <c r="B17" s="88" t="s">
        <v>69</v>
      </c>
      <c r="C17" s="89"/>
      <c r="D17" s="90">
        <f>+D6+D7+D8+D10+D15+D16</f>
        <v>62.578000000000017</v>
      </c>
      <c r="E17" s="90">
        <f>+E6+E7+E8+E10+E15+E16</f>
        <v>45.31899999999996</v>
      </c>
      <c r="F17" s="90">
        <f>+F6+F7+F8+F10+F15+F16</f>
        <v>33.330999999999968</v>
      </c>
      <c r="G17" s="91">
        <f>+G6+G7+G8+G10+G15+G16</f>
        <v>35.955999999999968</v>
      </c>
      <c r="H17" s="90">
        <f t="shared" ref="H17:Q17" si="2">+H6+H7+H8+H10+H15+H16</f>
        <v>29.345418881736187</v>
      </c>
      <c r="I17" s="90">
        <f t="shared" si="2"/>
        <v>32.493979185763948</v>
      </c>
      <c r="J17" s="90">
        <f t="shared" si="2"/>
        <v>37.87214304456753</v>
      </c>
      <c r="K17" s="90">
        <f t="shared" si="2"/>
        <v>43.564452746864568</v>
      </c>
      <c r="L17" s="90">
        <f t="shared" si="2"/>
        <v>50.681610466015194</v>
      </c>
      <c r="M17" s="90">
        <f t="shared" si="2"/>
        <v>51.950179718991713</v>
      </c>
      <c r="N17" s="90">
        <f t="shared" si="2"/>
        <v>55.748840570104456</v>
      </c>
      <c r="O17" s="90">
        <f t="shared" si="2"/>
        <v>71.383687949798272</v>
      </c>
      <c r="P17" s="90">
        <f t="shared" si="2"/>
        <v>73.282025487880432</v>
      </c>
      <c r="Q17" s="90">
        <f t="shared" si="2"/>
        <v>73.697544832611413</v>
      </c>
    </row>
    <row r="18" spans="1:17" s="7" customFormat="1" x14ac:dyDescent="0.25">
      <c r="A18" s="5"/>
      <c r="B18" s="17"/>
      <c r="C18" s="8"/>
      <c r="D18" s="6"/>
      <c r="E18" s="6"/>
      <c r="F18" s="6"/>
      <c r="G18" s="48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s="7" customFormat="1" x14ac:dyDescent="0.25">
      <c r="A19" s="5"/>
      <c r="B19" s="14" t="s">
        <v>30</v>
      </c>
      <c r="C19" s="8"/>
      <c r="D19" s="6">
        <f>-'PPE Schedule'!D6</f>
        <v>-3.907</v>
      </c>
      <c r="E19" s="6">
        <f>-'PPE Schedule'!E6</f>
        <v>-2.7349999999999999</v>
      </c>
      <c r="F19" s="6">
        <f>-'PPE Schedule'!F6</f>
        <v>-2.7759999999999998</v>
      </c>
      <c r="G19" s="48">
        <f>-'PPE Schedule'!G6</f>
        <v>-2.1859999999999999</v>
      </c>
      <c r="H19" s="6">
        <f>-'PPE Schedule'!H6</f>
        <v>-6.1721796234037498</v>
      </c>
      <c r="I19" s="6">
        <f>-'PPE Schedule'!I6</f>
        <v>-6.6201636851098344</v>
      </c>
      <c r="J19" s="6">
        <f>-'PPE Schedule'!J6</f>
        <v>-7.2502224954645698</v>
      </c>
      <c r="K19" s="6">
        <f>-'PPE Schedule'!K6</f>
        <v>-7.9904597590582851</v>
      </c>
      <c r="L19" s="6">
        <f>-'PPE Schedule'!L6</f>
        <v>-8.8933780036436207</v>
      </c>
      <c r="M19" s="6">
        <f>-'PPE Schedule'!M6</f>
        <v>-4.8650462728897148</v>
      </c>
      <c r="N19" s="6">
        <f>-'PPE Schedule'!N6</f>
        <v>-5.2225520195999087</v>
      </c>
      <c r="O19" s="6">
        <f>-'PPE Schedule'!O6</f>
        <v>-5.5046246161646</v>
      </c>
      <c r="P19" s="6">
        <f>-'PPE Schedule'!P6</f>
        <v>-5.7155591956037375</v>
      </c>
      <c r="Q19" s="6">
        <f>-'PPE Schedule'!Q6</f>
        <v>-5.8304419354353723</v>
      </c>
    </row>
    <row r="20" spans="1:17" x14ac:dyDescent="0.25">
      <c r="B20" s="88" t="s">
        <v>79</v>
      </c>
      <c r="C20" s="92"/>
      <c r="D20" s="90">
        <f>+D19</f>
        <v>-3.907</v>
      </c>
      <c r="E20" s="90">
        <f>+E19</f>
        <v>-2.7349999999999999</v>
      </c>
      <c r="F20" s="90">
        <f>+F19</f>
        <v>-2.7759999999999998</v>
      </c>
      <c r="G20" s="91">
        <f>+G19</f>
        <v>-2.1859999999999999</v>
      </c>
      <c r="H20" s="90">
        <f t="shared" ref="H20:Q20" si="3">+H19</f>
        <v>-6.1721796234037498</v>
      </c>
      <c r="I20" s="90">
        <f t="shared" si="3"/>
        <v>-6.6201636851098344</v>
      </c>
      <c r="J20" s="90">
        <f t="shared" si="3"/>
        <v>-7.2502224954645698</v>
      </c>
      <c r="K20" s="90">
        <f t="shared" si="3"/>
        <v>-7.9904597590582851</v>
      </c>
      <c r="L20" s="90">
        <f t="shared" si="3"/>
        <v>-8.8933780036436207</v>
      </c>
      <c r="M20" s="90">
        <f t="shared" si="3"/>
        <v>-4.8650462728897148</v>
      </c>
      <c r="N20" s="90">
        <f t="shared" si="3"/>
        <v>-5.2225520195999087</v>
      </c>
      <c r="O20" s="90">
        <f t="shared" si="3"/>
        <v>-5.5046246161646</v>
      </c>
      <c r="P20" s="90">
        <f t="shared" si="3"/>
        <v>-5.7155591956037375</v>
      </c>
      <c r="Q20" s="90">
        <f t="shared" si="3"/>
        <v>-5.8304419354353723</v>
      </c>
    </row>
    <row r="21" spans="1:17" s="7" customFormat="1" x14ac:dyDescent="0.25">
      <c r="A21" s="5"/>
      <c r="B21" s="23"/>
      <c r="C21" s="8"/>
      <c r="D21" s="8"/>
      <c r="E21" s="8"/>
      <c r="F21" s="8"/>
      <c r="G21" s="4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5">
      <c r="B22" s="14" t="s">
        <v>81</v>
      </c>
      <c r="D22" s="6">
        <f>'Debt Schedule'!D7</f>
        <v>-5</v>
      </c>
      <c r="E22" s="6">
        <f>'Debt Schedule'!E7</f>
        <v>-5</v>
      </c>
      <c r="F22" s="6">
        <f>'Debt Schedule'!F7</f>
        <v>-5</v>
      </c>
      <c r="G22" s="48">
        <f>'Debt Schedule'!G7</f>
        <v>-5</v>
      </c>
      <c r="H22" s="6">
        <f>'LBO Modelling'!C57</f>
        <v>0</v>
      </c>
      <c r="I22" s="6">
        <f>'LBO Modelling'!D57</f>
        <v>0</v>
      </c>
      <c r="J22" s="6">
        <f>'LBO Modelling'!E57</f>
        <v>0</v>
      </c>
      <c r="K22" s="6">
        <f>'LBO Modelling'!F57</f>
        <v>0</v>
      </c>
      <c r="L22" s="6">
        <f>'LBO Modelling'!G57</f>
        <v>0</v>
      </c>
      <c r="M22" s="6">
        <f>'LBO Modelling'!H57</f>
        <v>0</v>
      </c>
      <c r="N22" s="6">
        <f>'LBO Modelling'!I57</f>
        <v>-176.24699999999984</v>
      </c>
      <c r="O22" s="6">
        <f>'LBO Modelling'!J57</f>
        <v>-58.748999999999953</v>
      </c>
      <c r="P22" s="6">
        <f>'LBO Modelling'!K57</f>
        <v>0</v>
      </c>
      <c r="Q22" s="6">
        <f>'LBO Modelling'!L57</f>
        <v>0</v>
      </c>
    </row>
    <row r="23" spans="1:17" x14ac:dyDescent="0.25">
      <c r="B23" s="88" t="s">
        <v>80</v>
      </c>
      <c r="C23" s="92"/>
      <c r="D23" s="90">
        <f>+D22</f>
        <v>-5</v>
      </c>
      <c r="E23" s="90">
        <f>+E22</f>
        <v>-5</v>
      </c>
      <c r="F23" s="90">
        <f>+F22</f>
        <v>-5</v>
      </c>
      <c r="G23" s="91">
        <f>+G22</f>
        <v>-5</v>
      </c>
      <c r="H23" s="90">
        <f t="shared" ref="H23:Q23" si="4">+H22</f>
        <v>0</v>
      </c>
      <c r="I23" s="90">
        <f t="shared" si="4"/>
        <v>0</v>
      </c>
      <c r="J23" s="90">
        <f t="shared" si="4"/>
        <v>0</v>
      </c>
      <c r="K23" s="90">
        <f t="shared" si="4"/>
        <v>0</v>
      </c>
      <c r="L23" s="90">
        <f t="shared" si="4"/>
        <v>0</v>
      </c>
      <c r="M23" s="90">
        <f t="shared" si="4"/>
        <v>0</v>
      </c>
      <c r="N23" s="90">
        <f t="shared" si="4"/>
        <v>-176.24699999999984</v>
      </c>
      <c r="O23" s="90">
        <f t="shared" si="4"/>
        <v>-58.748999999999953</v>
      </c>
      <c r="P23" s="90">
        <f t="shared" si="4"/>
        <v>0</v>
      </c>
      <c r="Q23" s="90">
        <f t="shared" si="4"/>
        <v>0</v>
      </c>
    </row>
    <row r="24" spans="1:17" x14ac:dyDescent="0.25">
      <c r="B24" s="16"/>
      <c r="G24" s="48"/>
    </row>
    <row r="25" spans="1:17" x14ac:dyDescent="0.25">
      <c r="B25" s="63" t="s">
        <v>82</v>
      </c>
      <c r="C25" s="64"/>
      <c r="D25" s="65">
        <f t="shared" ref="D25:Q25" si="5">+D17+D20+D23</f>
        <v>53.671000000000021</v>
      </c>
      <c r="E25" s="65">
        <f t="shared" si="5"/>
        <v>37.583999999999961</v>
      </c>
      <c r="F25" s="65">
        <f t="shared" si="5"/>
        <v>25.554999999999968</v>
      </c>
      <c r="G25" s="66">
        <f t="shared" si="5"/>
        <v>28.769999999999968</v>
      </c>
      <c r="H25" s="65">
        <f t="shared" si="5"/>
        <v>23.173239258332437</v>
      </c>
      <c r="I25" s="65">
        <f t="shared" si="5"/>
        <v>25.873815500654114</v>
      </c>
      <c r="J25" s="65">
        <f t="shared" si="5"/>
        <v>30.62192054910296</v>
      </c>
      <c r="K25" s="65">
        <f t="shared" si="5"/>
        <v>35.573992987806285</v>
      </c>
      <c r="L25" s="65">
        <f t="shared" si="5"/>
        <v>41.788232462371575</v>
      </c>
      <c r="M25" s="65">
        <f t="shared" si="5"/>
        <v>47.085133446101999</v>
      </c>
      <c r="N25" s="65">
        <f t="shared" si="5"/>
        <v>-125.7207114494953</v>
      </c>
      <c r="O25" s="65">
        <f t="shared" si="5"/>
        <v>7.1300633336337143</v>
      </c>
      <c r="P25" s="65">
        <f t="shared" si="5"/>
        <v>67.566466292276701</v>
      </c>
      <c r="Q25" s="65">
        <f t="shared" si="5"/>
        <v>67.867102897176039</v>
      </c>
    </row>
    <row r="26" spans="1:17" s="7" customFormat="1" x14ac:dyDescent="0.25">
      <c r="A26" s="5"/>
      <c r="B26" s="23" t="s">
        <v>83</v>
      </c>
      <c r="C26" s="8"/>
      <c r="D26" s="6">
        <f>+'Balance Sheet'!C13</f>
        <v>68.045000000000002</v>
      </c>
      <c r="E26" s="6">
        <f>+D27</f>
        <v>121.71600000000002</v>
      </c>
      <c r="F26" s="6">
        <f t="shared" ref="F26:Q26" si="6">+E27</f>
        <v>159.29999999999998</v>
      </c>
      <c r="G26" s="48">
        <f t="shared" si="6"/>
        <v>184.85499999999996</v>
      </c>
      <c r="H26" s="6">
        <f>+'Balance Sheet'!H13</f>
        <v>0</v>
      </c>
      <c r="I26" s="6">
        <f t="shared" si="6"/>
        <v>23.173239258332437</v>
      </c>
      <c r="J26" s="6">
        <f t="shared" si="6"/>
        <v>49.047054758986548</v>
      </c>
      <c r="K26" s="6">
        <f t="shared" si="6"/>
        <v>79.6689753080895</v>
      </c>
      <c r="L26" s="6">
        <f t="shared" si="6"/>
        <v>115.24296829589579</v>
      </c>
      <c r="M26" s="6">
        <f t="shared" si="6"/>
        <v>157.03120075826737</v>
      </c>
      <c r="N26" s="6">
        <f t="shared" si="6"/>
        <v>204.11633420436937</v>
      </c>
      <c r="O26" s="6">
        <f t="shared" si="6"/>
        <v>78.395622754874069</v>
      </c>
      <c r="P26" s="6">
        <f t="shared" si="6"/>
        <v>85.525686088507783</v>
      </c>
      <c r="Q26" s="6">
        <f t="shared" si="6"/>
        <v>153.09215238078448</v>
      </c>
    </row>
    <row r="27" spans="1:17" s="7" customFormat="1" ht="13.8" thickBot="1" x14ac:dyDescent="0.3">
      <c r="A27" s="5"/>
      <c r="B27" s="84" t="s">
        <v>84</v>
      </c>
      <c r="C27" s="85"/>
      <c r="D27" s="86">
        <f t="shared" ref="D27:Q27" si="7">D25+D26</f>
        <v>121.71600000000002</v>
      </c>
      <c r="E27" s="86">
        <f t="shared" si="7"/>
        <v>159.29999999999998</v>
      </c>
      <c r="F27" s="86">
        <f t="shared" si="7"/>
        <v>184.85499999999996</v>
      </c>
      <c r="G27" s="87">
        <f t="shared" si="7"/>
        <v>213.62499999999994</v>
      </c>
      <c r="H27" s="86">
        <f t="shared" si="7"/>
        <v>23.173239258332437</v>
      </c>
      <c r="I27" s="86">
        <f t="shared" si="7"/>
        <v>49.047054758986548</v>
      </c>
      <c r="J27" s="86">
        <f t="shared" si="7"/>
        <v>79.6689753080895</v>
      </c>
      <c r="K27" s="86">
        <f t="shared" si="7"/>
        <v>115.24296829589579</v>
      </c>
      <c r="L27" s="86">
        <f t="shared" si="7"/>
        <v>157.03120075826737</v>
      </c>
      <c r="M27" s="86">
        <f t="shared" si="7"/>
        <v>204.11633420436937</v>
      </c>
      <c r="N27" s="86">
        <f t="shared" si="7"/>
        <v>78.395622754874069</v>
      </c>
      <c r="O27" s="86">
        <f t="shared" si="7"/>
        <v>85.525686088507783</v>
      </c>
      <c r="P27" s="86">
        <f t="shared" si="7"/>
        <v>153.09215238078448</v>
      </c>
      <c r="Q27" s="86">
        <f t="shared" si="7"/>
        <v>220.95925527796052</v>
      </c>
    </row>
    <row r="28" spans="1:17" ht="13.8" thickTop="1" x14ac:dyDescent="0.25">
      <c r="B28" s="16"/>
    </row>
    <row r="29" spans="1:17" x14ac:dyDescent="0.25">
      <c r="B29" s="23"/>
      <c r="C29" s="22"/>
      <c r="D29" s="22"/>
      <c r="E29" s="22"/>
      <c r="F29" s="22"/>
      <c r="G29" s="22"/>
    </row>
    <row r="30" spans="1:17" s="7" customFormat="1" x14ac:dyDescent="0.25">
      <c r="A30" s="5"/>
      <c r="B30" s="17"/>
      <c r="D30" s="8"/>
      <c r="E30" s="8"/>
      <c r="F30" s="8"/>
      <c r="G30" s="8"/>
    </row>
    <row r="31" spans="1:17" x14ac:dyDescent="0.25">
      <c r="B31" s="16"/>
    </row>
    <row r="32" spans="1:17" x14ac:dyDescent="0.25">
      <c r="B32" s="24"/>
    </row>
    <row r="33" spans="1:7" x14ac:dyDescent="0.25">
      <c r="B33" s="23"/>
      <c r="D33" s="8"/>
      <c r="E33" s="8"/>
      <c r="F33" s="8"/>
      <c r="G33" s="8"/>
    </row>
    <row r="34" spans="1:7" x14ac:dyDescent="0.25">
      <c r="B34" s="16"/>
    </row>
    <row r="35" spans="1:7" x14ac:dyDescent="0.25">
      <c r="B35" s="23"/>
    </row>
    <row r="36" spans="1:7" s="7" customFormat="1" x14ac:dyDescent="0.25">
      <c r="A36" s="5"/>
      <c r="B36" s="23"/>
      <c r="C36" s="6"/>
      <c r="D36" s="8"/>
      <c r="E36" s="8"/>
      <c r="F36" s="8"/>
      <c r="G36" s="8"/>
    </row>
    <row r="37" spans="1:7" s="7" customFormat="1" x14ac:dyDescent="0.25">
      <c r="A37" s="5"/>
      <c r="B37" s="17"/>
      <c r="C37" s="8"/>
      <c r="D37" s="8"/>
      <c r="E37" s="8"/>
      <c r="F37" s="8"/>
      <c r="G37" s="8"/>
    </row>
    <row r="38" spans="1:7" x14ac:dyDescent="0.25">
      <c r="B38" s="23"/>
    </row>
    <row r="39" spans="1:7" x14ac:dyDescent="0.25">
      <c r="B39" s="16"/>
    </row>
    <row r="40" spans="1:7" x14ac:dyDescent="0.25">
      <c r="B40" s="17"/>
      <c r="C40" s="8"/>
      <c r="D40" s="8"/>
      <c r="E40" s="8"/>
      <c r="F40" s="8"/>
      <c r="G40" s="8"/>
    </row>
    <row r="41" spans="1:7" x14ac:dyDescent="0.25">
      <c r="B41" s="16"/>
    </row>
    <row r="42" spans="1:7" x14ac:dyDescent="0.25">
      <c r="B42" s="16"/>
    </row>
    <row r="43" spans="1:7" x14ac:dyDescent="0.25">
      <c r="B43" s="17"/>
      <c r="C43" s="8"/>
      <c r="D43" s="8"/>
      <c r="E43" s="8"/>
      <c r="F43" s="8"/>
      <c r="G43" s="8"/>
    </row>
    <row r="44" spans="1:7" x14ac:dyDescent="0.25">
      <c r="B44" s="14"/>
    </row>
    <row r="45" spans="1:7" x14ac:dyDescent="0.25">
      <c r="B45" s="14"/>
    </row>
    <row r="46" spans="1:7" x14ac:dyDescent="0.25">
      <c r="B46" s="18"/>
    </row>
    <row r="47" spans="1:7" s="7" customFormat="1" x14ac:dyDescent="0.25">
      <c r="A47" s="5"/>
      <c r="B47" s="15"/>
      <c r="C47" s="8"/>
      <c r="D47" s="8"/>
      <c r="E47" s="8"/>
      <c r="F47" s="8"/>
      <c r="G47" s="8"/>
    </row>
    <row r="48" spans="1:7" s="7" customFormat="1" x14ac:dyDescent="0.25">
      <c r="A48" s="5"/>
      <c r="B48" s="15"/>
      <c r="C48" s="8"/>
      <c r="D48" s="8"/>
      <c r="E48" s="8"/>
      <c r="F48" s="8"/>
      <c r="G48" s="8"/>
    </row>
    <row r="49" spans="1:7" s="7" customFormat="1" x14ac:dyDescent="0.25">
      <c r="A49" s="5"/>
      <c r="B49" s="15"/>
      <c r="D49" s="8"/>
      <c r="E49" s="8"/>
    </row>
    <row r="50" spans="1:7" x14ac:dyDescent="0.25">
      <c r="B50" s="16"/>
    </row>
    <row r="51" spans="1:7" x14ac:dyDescent="0.25">
      <c r="B51" s="17"/>
      <c r="C51" s="8"/>
      <c r="D51" s="8"/>
      <c r="E51" s="8"/>
      <c r="F51" s="8"/>
      <c r="G51" s="8"/>
    </row>
    <row r="52" spans="1:7" x14ac:dyDescent="0.25">
      <c r="B52" s="16"/>
    </row>
    <row r="53" spans="1:7" x14ac:dyDescent="0.25">
      <c r="B53" s="16"/>
    </row>
    <row r="54" spans="1:7" x14ac:dyDescent="0.25">
      <c r="B54" s="17"/>
      <c r="C54" s="8"/>
      <c r="D54" s="8"/>
      <c r="E54" s="8"/>
      <c r="F54" s="8"/>
      <c r="G54" s="8"/>
    </row>
    <row r="55" spans="1:7" x14ac:dyDescent="0.25">
      <c r="B55" s="16"/>
    </row>
    <row r="56" spans="1:7" x14ac:dyDescent="0.25">
      <c r="B56" s="16"/>
    </row>
    <row r="57" spans="1:7" x14ac:dyDescent="0.25">
      <c r="B57" s="17"/>
      <c r="D57" s="8"/>
      <c r="E57" s="8"/>
      <c r="F57" s="13"/>
      <c r="G57" s="13"/>
    </row>
    <row r="58" spans="1:7" x14ac:dyDescent="0.25">
      <c r="B58" s="16"/>
      <c r="E58" s="8"/>
    </row>
    <row r="59" spans="1:7" s="7" customFormat="1" x14ac:dyDescent="0.25">
      <c r="A59" s="5"/>
      <c r="B59" s="17"/>
      <c r="C59" s="8"/>
      <c r="D59" s="8"/>
      <c r="E59" s="8"/>
      <c r="F59" s="8"/>
      <c r="G59" s="8"/>
    </row>
    <row r="63" spans="1:7" s="7" customFormat="1" x14ac:dyDescent="0.25">
      <c r="A63" s="5"/>
      <c r="B63" s="5"/>
      <c r="C63" s="8"/>
      <c r="D63" s="8"/>
      <c r="E63" s="8"/>
      <c r="F63" s="8"/>
      <c r="G63" s="8"/>
    </row>
    <row r="66" spans="1:7" x14ac:dyDescent="0.25">
      <c r="B66" s="5"/>
      <c r="D66" s="8"/>
      <c r="E66" s="8"/>
      <c r="F66" s="8"/>
      <c r="G66" s="8"/>
    </row>
    <row r="69" spans="1:7" s="7" customFormat="1" x14ac:dyDescent="0.25">
      <c r="A69" s="5"/>
      <c r="B69" s="5"/>
      <c r="C69" s="8"/>
      <c r="D69" s="8"/>
      <c r="E69" s="8"/>
      <c r="F69" s="8"/>
      <c r="G69" s="8"/>
    </row>
    <row r="71" spans="1:7" x14ac:dyDescent="0.25">
      <c r="B71" s="19"/>
    </row>
    <row r="72" spans="1:7" x14ac:dyDescent="0.25">
      <c r="B72" s="5"/>
      <c r="C72" s="8"/>
      <c r="D72" s="8"/>
      <c r="E72" s="8"/>
      <c r="F72" s="8"/>
      <c r="G72" s="8"/>
    </row>
    <row r="75" spans="1:7" x14ac:dyDescent="0.25">
      <c r="B75" s="5"/>
      <c r="C75" s="8"/>
      <c r="D75" s="8"/>
      <c r="E75" s="8"/>
      <c r="F75" s="8"/>
      <c r="G75" s="8"/>
    </row>
    <row r="78" spans="1:7" x14ac:dyDescent="0.25">
      <c r="B78" s="5"/>
      <c r="C78" s="8"/>
      <c r="D78" s="8"/>
      <c r="E78" s="8"/>
      <c r="F78" s="8"/>
      <c r="G78" s="8"/>
    </row>
    <row r="80" spans="1:7" x14ac:dyDescent="0.25">
      <c r="B80" s="19"/>
    </row>
    <row r="81" spans="1:7" s="7" customFormat="1" x14ac:dyDescent="0.25">
      <c r="A81" s="5"/>
      <c r="B81" s="5"/>
      <c r="C81" s="8"/>
      <c r="D81" s="8"/>
      <c r="E81" s="8"/>
      <c r="F81" s="8"/>
      <c r="G81" s="8"/>
    </row>
    <row r="84" spans="1:7" x14ac:dyDescent="0.25">
      <c r="B84" s="5"/>
      <c r="C84" s="8"/>
      <c r="D84" s="8"/>
      <c r="E84" s="8"/>
      <c r="F84" s="8"/>
      <c r="G84" s="8"/>
    </row>
    <row r="85" spans="1:7" s="7" customFormat="1" x14ac:dyDescent="0.25">
      <c r="A85" s="5"/>
      <c r="B85" s="5"/>
      <c r="C85" s="8"/>
      <c r="D85" s="8"/>
      <c r="E85" s="8"/>
      <c r="F85" s="8"/>
      <c r="G85" s="8"/>
    </row>
    <row r="88" spans="1:7" s="7" customFormat="1" x14ac:dyDescent="0.25">
      <c r="A88" s="5"/>
      <c r="B88" s="5"/>
      <c r="C88" s="8"/>
      <c r="D88" s="8"/>
      <c r="E88" s="8"/>
      <c r="F88" s="8"/>
      <c r="G88" s="8"/>
    </row>
    <row r="90" spans="1:7" x14ac:dyDescent="0.25">
      <c r="B90" s="19"/>
    </row>
    <row r="91" spans="1:7" x14ac:dyDescent="0.25">
      <c r="B91" s="5"/>
      <c r="C91" s="8"/>
      <c r="D91" s="8"/>
      <c r="E91" s="8"/>
      <c r="F91" s="8"/>
      <c r="G91" s="8"/>
    </row>
    <row r="93" spans="1:7" x14ac:dyDescent="0.25">
      <c r="B93" s="19"/>
    </row>
    <row r="95" spans="1:7" x14ac:dyDescent="0.25">
      <c r="B95" s="19"/>
    </row>
    <row r="96" spans="1:7" x14ac:dyDescent="0.25">
      <c r="B96" s="5"/>
      <c r="C96" s="8"/>
      <c r="D96" s="8"/>
      <c r="E96" s="8"/>
      <c r="F96" s="8"/>
      <c r="G96" s="8"/>
    </row>
    <row r="97" spans="2:2" x14ac:dyDescent="0.25">
      <c r="B97" s="5"/>
    </row>
    <row r="100" spans="2:2" x14ac:dyDescent="0.25">
      <c r="B100" s="19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1"/>
  <sheetViews>
    <sheetView showGridLines="0" zoomScaleSheetLayoutView="100" workbookViewId="0">
      <selection activeCell="F5" sqref="F5"/>
    </sheetView>
  </sheetViews>
  <sheetFormatPr defaultColWidth="8.77734375" defaultRowHeight="13.2" x14ac:dyDescent="0.25"/>
  <cols>
    <col min="1" max="1" width="2.6640625" style="2" customWidth="1"/>
    <col min="2" max="2" width="41.109375" style="2" customWidth="1"/>
    <col min="3" max="3" width="9.33203125" style="6" bestFit="1" customWidth="1"/>
    <col min="4" max="5" width="9.44140625" style="6" bestFit="1" customWidth="1"/>
    <col min="6" max="17" width="9.33203125" style="6" bestFit="1" customWidth="1"/>
    <col min="18" max="16384" width="8.77734375" style="6"/>
  </cols>
  <sheetData>
    <row r="1" spans="1:17" s="2" customFormat="1" x14ac:dyDescent="0.25"/>
    <row r="2" spans="1:17" s="2" customFormat="1" x14ac:dyDescent="0.25">
      <c r="B2" s="67" t="s">
        <v>31</v>
      </c>
    </row>
    <row r="3" spans="1:17" s="2" customFormat="1" x14ac:dyDescent="0.25"/>
    <row r="4" spans="1:17" s="2" customFormat="1" x14ac:dyDescent="0.25">
      <c r="B4" s="68" t="str">
        <f>'Income Statement'!B4</f>
        <v>(YE 31-Dec, USDm)</v>
      </c>
      <c r="C4" s="57">
        <f>'Income Statement'!C4</f>
        <v>2007</v>
      </c>
      <c r="D4" s="57">
        <f>'Income Statement'!D4</f>
        <v>2008</v>
      </c>
      <c r="E4" s="57">
        <f>'Income Statement'!E4</f>
        <v>2009</v>
      </c>
      <c r="F4" s="57">
        <f>'Income Statement'!F4</f>
        <v>2010</v>
      </c>
      <c r="G4" s="57">
        <f>'Income Statement'!G4</f>
        <v>2011</v>
      </c>
      <c r="H4" s="60">
        <f>'Income Statement'!H4</f>
        <v>2012</v>
      </c>
      <c r="I4" s="60">
        <f>'Income Statement'!I4</f>
        <v>2013</v>
      </c>
      <c r="J4" s="60">
        <f>'Income Statement'!J4</f>
        <v>2014</v>
      </c>
      <c r="K4" s="60">
        <f>'Income Statement'!K4</f>
        <v>2015</v>
      </c>
      <c r="L4" s="60">
        <f>'Income Statement'!L4</f>
        <v>2016</v>
      </c>
      <c r="M4" s="60">
        <f>'Income Statement'!M4</f>
        <v>2017</v>
      </c>
      <c r="N4" s="60">
        <f>'Income Statement'!N4</f>
        <v>2018</v>
      </c>
      <c r="O4" s="60">
        <f>'Income Statement'!O4</f>
        <v>2019</v>
      </c>
      <c r="P4" s="60">
        <f>'Income Statement'!P4</f>
        <v>2020</v>
      </c>
      <c r="Q4" s="60">
        <f>'Income Statement'!Q4</f>
        <v>2021</v>
      </c>
    </row>
    <row r="5" spans="1:17" s="2" customFormat="1" x14ac:dyDescent="0.25">
      <c r="B5" s="2" t="s">
        <v>32</v>
      </c>
      <c r="C5" s="6">
        <f>+C9-C8-C6</f>
        <v>5.9150000000000009</v>
      </c>
      <c r="D5" s="6">
        <f>+C9</f>
        <v>6.5</v>
      </c>
      <c r="E5" s="6">
        <f t="shared" ref="E5:Q5" si="0">+D9</f>
        <v>7.8019999999999996</v>
      </c>
      <c r="F5" s="6">
        <f t="shared" si="0"/>
        <v>9.17</v>
      </c>
      <c r="G5" s="6">
        <f t="shared" si="0"/>
        <v>10.558</v>
      </c>
      <c r="H5" s="6">
        <f t="shared" si="0"/>
        <v>11.287000000000001</v>
      </c>
      <c r="I5" s="6">
        <f t="shared" si="0"/>
        <v>13.170361836321595</v>
      </c>
      <c r="J5" s="6">
        <f t="shared" si="0"/>
        <v>15.002748039117826</v>
      </c>
      <c r="K5" s="6">
        <f t="shared" si="0"/>
        <v>16.803993846556921</v>
      </c>
      <c r="L5" s="6">
        <f t="shared" si="0"/>
        <v>18.562626051167229</v>
      </c>
      <c r="M5" s="6">
        <f t="shared" si="0"/>
        <v>20.267868224189748</v>
      </c>
      <c r="N5" s="6">
        <f t="shared" si="0"/>
        <v>21.062789188394113</v>
      </c>
      <c r="O5" s="6">
        <f t="shared" si="0"/>
        <v>21.768072620098639</v>
      </c>
      <c r="P5" s="6">
        <f t="shared" si="0"/>
        <v>22.355400454258856</v>
      </c>
      <c r="Q5" s="6">
        <f t="shared" si="0"/>
        <v>22.803206411912587</v>
      </c>
    </row>
    <row r="6" spans="1:17" x14ac:dyDescent="0.25">
      <c r="B6" s="14" t="s">
        <v>33</v>
      </c>
      <c r="C6" s="6">
        <f>-'Income Statement'!C86</f>
        <v>3.19</v>
      </c>
      <c r="D6" s="6">
        <f>-'Income Statement'!D86</f>
        <v>3.907</v>
      </c>
      <c r="E6" s="6">
        <f>-'Income Statement'!E86</f>
        <v>2.7349999999999999</v>
      </c>
      <c r="F6" s="6">
        <f>-'Income Statement'!F86</f>
        <v>2.7759999999999998</v>
      </c>
      <c r="G6" s="6">
        <f>-'Income Statement'!G86</f>
        <v>2.1859999999999999</v>
      </c>
      <c r="H6" s="6">
        <f>-'Income Statement'!H86</f>
        <v>6.1721796234037498</v>
      </c>
      <c r="I6" s="6">
        <f>-'Income Statement'!I86</f>
        <v>6.6201636851098344</v>
      </c>
      <c r="J6" s="6">
        <f>-'Income Statement'!J86</f>
        <v>7.2502224954645698</v>
      </c>
      <c r="K6" s="6">
        <f>-'Income Statement'!K86</f>
        <v>7.9904597590582851</v>
      </c>
      <c r="L6" s="6">
        <f>-'Income Statement'!L86</f>
        <v>8.8933780036436207</v>
      </c>
      <c r="M6" s="6">
        <f>-'Income Statement'!M86</f>
        <v>4.8650462728897148</v>
      </c>
      <c r="N6" s="6">
        <f>-'Income Statement'!N86</f>
        <v>5.2225520195999087</v>
      </c>
      <c r="O6" s="6">
        <f>-'Income Statement'!O86</f>
        <v>5.5046246161646</v>
      </c>
      <c r="P6" s="6">
        <f>-'Income Statement'!P86</f>
        <v>5.7155591956037375</v>
      </c>
      <c r="Q6" s="6">
        <f>-'Income Statement'!Q86</f>
        <v>5.8304419354353723</v>
      </c>
    </row>
    <row r="7" spans="1:17" s="7" customFormat="1" x14ac:dyDescent="0.25">
      <c r="A7" s="5"/>
      <c r="B7" s="14" t="s">
        <v>34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</row>
    <row r="8" spans="1:17" x14ac:dyDescent="0.25">
      <c r="B8" s="14" t="s">
        <v>35</v>
      </c>
      <c r="C8" s="6">
        <v>-2.6050000000000004</v>
      </c>
      <c r="D8" s="6">
        <f>+(-D5-D6)+D9</f>
        <v>-2.6050000000000004</v>
      </c>
      <c r="E8" s="6">
        <f>+(-E5-E6)+E9</f>
        <v>-1.3669999999999991</v>
      </c>
      <c r="F8" s="6">
        <f>+(-F5-F6)+F9</f>
        <v>-1.3879999999999999</v>
      </c>
      <c r="G8" s="6">
        <f>+(-G5-G6)+G9</f>
        <v>-1.456999999999999</v>
      </c>
      <c r="H8" s="6">
        <f>+'Income Statement'!H82</f>
        <v>-4.288817787082154</v>
      </c>
      <c r="I8" s="6">
        <f>+'Income Statement'!I82</f>
        <v>-4.7877774823136034</v>
      </c>
      <c r="J8" s="6">
        <f>+'Income Statement'!J82</f>
        <v>-5.4489766880254766</v>
      </c>
      <c r="K8" s="6">
        <f>+'Income Statement'!K82</f>
        <v>-6.23182755444798</v>
      </c>
      <c r="L8" s="6">
        <f>+'Income Statement'!L82</f>
        <v>-7.1881358306211016</v>
      </c>
      <c r="M8" s="6">
        <f>+'Income Statement'!M82</f>
        <v>-4.0701253086853466</v>
      </c>
      <c r="N8" s="6">
        <f>+'Income Statement'!N82</f>
        <v>-4.5172685878953844</v>
      </c>
      <c r="O8" s="6">
        <f>+'Income Statement'!O82</f>
        <v>-4.9172967820043842</v>
      </c>
      <c r="P8" s="6">
        <f>+'Income Statement'!P82</f>
        <v>-5.267753237950008</v>
      </c>
      <c r="Q8" s="6">
        <f>+'Income Statement'!Q82</f>
        <v>-5.5389198386636034</v>
      </c>
    </row>
    <row r="9" spans="1:17" ht="13.8" thickBot="1" x14ac:dyDescent="0.3">
      <c r="B9" s="84" t="s">
        <v>36</v>
      </c>
      <c r="C9" s="86">
        <v>6.5</v>
      </c>
      <c r="D9" s="86">
        <v>7.8019999999999996</v>
      </c>
      <c r="E9" s="86">
        <v>9.17</v>
      </c>
      <c r="F9" s="86">
        <v>10.558</v>
      </c>
      <c r="G9" s="86">
        <v>11.287000000000001</v>
      </c>
      <c r="H9" s="86">
        <f>+H5+H6+H7+H8</f>
        <v>13.170361836321595</v>
      </c>
      <c r="I9" s="86">
        <f t="shared" ref="I9:Q9" si="1">+I5+I6+I7+I8</f>
        <v>15.002748039117826</v>
      </c>
      <c r="J9" s="86">
        <f t="shared" si="1"/>
        <v>16.803993846556921</v>
      </c>
      <c r="K9" s="86">
        <f t="shared" si="1"/>
        <v>18.562626051167229</v>
      </c>
      <c r="L9" s="86">
        <f t="shared" si="1"/>
        <v>20.267868224189748</v>
      </c>
      <c r="M9" s="86">
        <f t="shared" si="1"/>
        <v>21.062789188394113</v>
      </c>
      <c r="N9" s="86">
        <f t="shared" si="1"/>
        <v>21.768072620098639</v>
      </c>
      <c r="O9" s="86">
        <f t="shared" si="1"/>
        <v>22.355400454258856</v>
      </c>
      <c r="P9" s="86">
        <f t="shared" si="1"/>
        <v>22.803206411912587</v>
      </c>
      <c r="Q9" s="86">
        <f t="shared" si="1"/>
        <v>23.094728508684355</v>
      </c>
    </row>
    <row r="10" spans="1:17" s="7" customFormat="1" ht="13.8" thickTop="1" x14ac:dyDescent="0.25">
      <c r="A10" s="5"/>
      <c r="B10" s="15"/>
      <c r="C10" s="8"/>
      <c r="D10" s="8"/>
      <c r="E10" s="8"/>
      <c r="F10" s="8"/>
      <c r="G10" s="8"/>
    </row>
    <row r="11" spans="1:17" s="7" customFormat="1" x14ac:dyDescent="0.25">
      <c r="A11" s="5"/>
      <c r="B11" s="15"/>
      <c r="C11" s="8"/>
      <c r="D11" s="8"/>
      <c r="E11" s="8"/>
      <c r="F11" s="8"/>
      <c r="G11" s="8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4"/>
  <sheetViews>
    <sheetView showGridLines="0" topLeftCell="A4" zoomScaleSheetLayoutView="100" workbookViewId="0">
      <selection activeCell="E5" sqref="E5"/>
    </sheetView>
  </sheetViews>
  <sheetFormatPr defaultColWidth="8.77734375" defaultRowHeight="13.2" x14ac:dyDescent="0.25"/>
  <cols>
    <col min="1" max="1" width="2.6640625" style="2" customWidth="1"/>
    <col min="2" max="2" width="41.109375" style="2" customWidth="1"/>
    <col min="3" max="16384" width="8.77734375" style="6"/>
  </cols>
  <sheetData>
    <row r="1" spans="1:17" s="2" customFormat="1" x14ac:dyDescent="0.25"/>
    <row r="2" spans="1:17" s="2" customFormat="1" x14ac:dyDescent="0.25">
      <c r="B2" s="67" t="s">
        <v>39</v>
      </c>
    </row>
    <row r="3" spans="1:17" s="2" customFormat="1" x14ac:dyDescent="0.25"/>
    <row r="4" spans="1:17" s="2" customFormat="1" x14ac:dyDescent="0.25">
      <c r="B4" s="68" t="str">
        <f>'Income Statement'!B4</f>
        <v>(YE 31-Dec, USDm)</v>
      </c>
      <c r="C4" s="45">
        <f>'Income Statement'!C4</f>
        <v>2007</v>
      </c>
      <c r="D4" s="45">
        <f>'Income Statement'!D4</f>
        <v>2008</v>
      </c>
      <c r="E4" s="45">
        <f>'Income Statement'!E4</f>
        <v>2009</v>
      </c>
      <c r="F4" s="45">
        <f>'Income Statement'!F4</f>
        <v>2010</v>
      </c>
      <c r="G4" s="45">
        <f>'Income Statement'!G4</f>
        <v>2011</v>
      </c>
      <c r="H4" s="46">
        <f>'Income Statement'!H4</f>
        <v>2012</v>
      </c>
      <c r="I4" s="46">
        <f>'Income Statement'!I4</f>
        <v>2013</v>
      </c>
      <c r="J4" s="46">
        <f>'Income Statement'!J4</f>
        <v>2014</v>
      </c>
      <c r="K4" s="46">
        <f>'Income Statement'!K4</f>
        <v>2015</v>
      </c>
      <c r="L4" s="46">
        <f>'Income Statement'!L4</f>
        <v>2016</v>
      </c>
      <c r="M4" s="46">
        <f>'Income Statement'!M4</f>
        <v>2017</v>
      </c>
      <c r="N4" s="46">
        <f>'Income Statement'!N4</f>
        <v>2018</v>
      </c>
      <c r="O4" s="46">
        <f>'Income Statement'!O4</f>
        <v>2019</v>
      </c>
      <c r="P4" s="46">
        <f>'Income Statement'!P4</f>
        <v>2020</v>
      </c>
      <c r="Q4" s="46">
        <f>'Income Statement'!Q4</f>
        <v>2021</v>
      </c>
    </row>
    <row r="5" spans="1:17" s="2" customFormat="1" x14ac:dyDescent="0.25">
      <c r="B5" s="2" t="s">
        <v>32</v>
      </c>
      <c r="C5" s="6">
        <f>+C8-C7</f>
        <v>55</v>
      </c>
      <c r="D5" s="6">
        <f>+C8</f>
        <v>50</v>
      </c>
      <c r="E5" s="6">
        <f>+D8</f>
        <v>45</v>
      </c>
      <c r="F5" s="6">
        <f>+E8</f>
        <v>40</v>
      </c>
      <c r="G5" s="6">
        <f>+F8</f>
        <v>35</v>
      </c>
      <c r="H5" s="6"/>
      <c r="I5" s="6"/>
      <c r="J5" s="6"/>
      <c r="K5" s="6"/>
      <c r="L5" s="6"/>
      <c r="M5" s="6"/>
      <c r="N5" s="6"/>
      <c r="O5" s="6"/>
      <c r="P5" s="6"/>
      <c r="Q5" s="6"/>
    </row>
    <row r="6" spans="1:17" x14ac:dyDescent="0.25">
      <c r="B6" s="14" t="s">
        <v>33</v>
      </c>
      <c r="C6" s="6">
        <v>0</v>
      </c>
      <c r="D6" s="6">
        <v>0</v>
      </c>
      <c r="E6" s="6">
        <v>0</v>
      </c>
      <c r="F6" s="6">
        <v>0</v>
      </c>
      <c r="G6" s="6">
        <v>0</v>
      </c>
    </row>
    <row r="7" spans="1:17" s="7" customFormat="1" ht="14.4" x14ac:dyDescent="0.3">
      <c r="A7" s="5"/>
      <c r="B7" s="14" t="s">
        <v>40</v>
      </c>
      <c r="C7" s="7">
        <f>+D7</f>
        <v>-5</v>
      </c>
      <c r="D7" s="7">
        <f>-D5+D8</f>
        <v>-5</v>
      </c>
      <c r="E7" s="7">
        <f>-E5+E8</f>
        <v>-5</v>
      </c>
      <c r="F7" s="7">
        <f>-F5+F8</f>
        <v>-5</v>
      </c>
      <c r="G7" s="7">
        <f>-G5+G8</f>
        <v>-5</v>
      </c>
      <c r="H7"/>
    </row>
    <row r="8" spans="1:17" ht="13.8" thickBot="1" x14ac:dyDescent="0.3">
      <c r="B8" s="28" t="s">
        <v>36</v>
      </c>
      <c r="C8" s="29">
        <v>50</v>
      </c>
      <c r="D8" s="29">
        <v>45</v>
      </c>
      <c r="E8" s="29">
        <v>40</v>
      </c>
      <c r="F8" s="29">
        <v>35</v>
      </c>
      <c r="G8" s="29">
        <v>30</v>
      </c>
      <c r="H8" s="29"/>
      <c r="I8" s="29"/>
      <c r="J8" s="29"/>
      <c r="K8" s="29"/>
      <c r="L8" s="29"/>
      <c r="M8" s="29"/>
      <c r="N8" s="29"/>
      <c r="O8" s="29"/>
      <c r="P8" s="29"/>
      <c r="Q8" s="29"/>
    </row>
    <row r="9" spans="1:17" s="7" customFormat="1" ht="13.8" thickTop="1" x14ac:dyDescent="0.25">
      <c r="A9" s="5"/>
      <c r="B9" s="15"/>
      <c r="C9" s="8"/>
      <c r="D9" s="8"/>
      <c r="E9" s="8"/>
      <c r="F9" s="8"/>
      <c r="G9" s="8"/>
    </row>
    <row r="10" spans="1:17" s="7" customFormat="1" x14ac:dyDescent="0.25">
      <c r="A10" s="5"/>
      <c r="B10" s="69" t="s">
        <v>41</v>
      </c>
      <c r="C10" s="70">
        <v>0.06</v>
      </c>
      <c r="D10" s="8"/>
      <c r="E10" s="8"/>
      <c r="F10" s="8"/>
      <c r="G10" s="8"/>
    </row>
    <row r="11" spans="1:17" x14ac:dyDescent="0.25">
      <c r="B11" s="23"/>
    </row>
    <row r="12" spans="1:17" x14ac:dyDescent="0.25">
      <c r="B12" s="69" t="s">
        <v>38</v>
      </c>
      <c r="C12" s="71">
        <f>+C5*$C$10</f>
        <v>3.3</v>
      </c>
      <c r="D12" s="71">
        <f>+D5*$C$10</f>
        <v>3</v>
      </c>
      <c r="E12" s="71">
        <f>+E5*$C$10</f>
        <v>2.6999999999999997</v>
      </c>
      <c r="F12" s="71">
        <f>+F5*$C$10</f>
        <v>2.4</v>
      </c>
      <c r="G12" s="71">
        <f>+G5*$C$10</f>
        <v>2.1</v>
      </c>
      <c r="H12" s="71"/>
      <c r="I12" s="71"/>
      <c r="J12" s="71"/>
      <c r="K12" s="71"/>
      <c r="L12" s="71"/>
      <c r="M12" s="71"/>
      <c r="N12" s="71"/>
      <c r="O12" s="71"/>
      <c r="P12" s="71"/>
      <c r="Q12" s="72"/>
    </row>
    <row r="13" spans="1:17" s="7" customFormat="1" x14ac:dyDescent="0.25">
      <c r="A13" s="5"/>
      <c r="B13" s="17"/>
      <c r="C13" s="8"/>
      <c r="D13" s="8"/>
      <c r="E13" s="8"/>
      <c r="F13" s="8"/>
      <c r="G13" s="8"/>
    </row>
    <row r="14" spans="1:17" x14ac:dyDescent="0.25">
      <c r="H14" s="151" t="s">
        <v>139</v>
      </c>
      <c r="I14" s="152"/>
      <c r="J14" s="15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H27"/>
  <sheetViews>
    <sheetView showGridLines="0" workbookViewId="0"/>
  </sheetViews>
  <sheetFormatPr defaultColWidth="10.77734375" defaultRowHeight="15.6" x14ac:dyDescent="0.3"/>
  <cols>
    <col min="1" max="1" width="4.33203125" style="197" customWidth="1"/>
    <col min="2" max="3" width="3.33203125" style="197" customWidth="1"/>
    <col min="4" max="4" width="72" style="197" customWidth="1"/>
    <col min="5" max="5" width="1.109375" style="197" customWidth="1"/>
    <col min="6" max="6" width="67.33203125" style="197" customWidth="1"/>
    <col min="7" max="8" width="3.109375" style="197" customWidth="1"/>
    <col min="9" max="16384" width="10.77734375" style="197"/>
  </cols>
  <sheetData>
    <row r="1" spans="2:8" ht="16.2" thickBot="1" x14ac:dyDescent="0.35"/>
    <row r="2" spans="2:8" x14ac:dyDescent="0.3">
      <c r="B2" s="198"/>
      <c r="C2" s="199"/>
      <c r="D2" s="199"/>
      <c r="E2" s="199"/>
      <c r="F2" s="199"/>
      <c r="G2" s="199"/>
      <c r="H2" s="200"/>
    </row>
    <row r="3" spans="2:8" x14ac:dyDescent="0.3">
      <c r="B3" s="201"/>
      <c r="C3" s="202"/>
      <c r="D3" s="202"/>
      <c r="E3" s="202"/>
      <c r="F3" s="202"/>
      <c r="G3" s="202"/>
      <c r="H3" s="203"/>
    </row>
    <row r="4" spans="2:8" x14ac:dyDescent="0.3">
      <c r="B4" s="201"/>
      <c r="C4" s="202"/>
      <c r="D4" s="202"/>
      <c r="E4" s="202"/>
      <c r="F4" s="202"/>
      <c r="G4" s="202"/>
      <c r="H4" s="203"/>
    </row>
    <row r="5" spans="2:8" x14ac:dyDescent="0.3">
      <c r="B5" s="201"/>
      <c r="C5" s="202"/>
      <c r="D5" s="202"/>
      <c r="E5" s="202"/>
      <c r="F5" s="202"/>
      <c r="G5" s="202"/>
      <c r="H5" s="203"/>
    </row>
    <row r="6" spans="2:8" x14ac:dyDescent="0.3">
      <c r="B6" s="201"/>
      <c r="C6" s="202"/>
      <c r="D6" s="202"/>
      <c r="E6" s="202"/>
      <c r="F6" s="202"/>
      <c r="G6" s="202"/>
      <c r="H6" s="203"/>
    </row>
    <row r="7" spans="2:8" x14ac:dyDescent="0.3">
      <c r="B7" s="201"/>
      <c r="C7" s="202"/>
      <c r="D7" s="202"/>
      <c r="E7" s="202"/>
      <c r="F7" s="202"/>
      <c r="G7" s="202"/>
      <c r="H7" s="203"/>
    </row>
    <row r="8" spans="2:8" x14ac:dyDescent="0.3">
      <c r="B8" s="201"/>
      <c r="C8" s="202"/>
      <c r="D8" s="202"/>
      <c r="E8" s="202"/>
      <c r="F8" s="202"/>
      <c r="G8" s="202"/>
      <c r="H8" s="203"/>
    </row>
    <row r="9" spans="2:8" x14ac:dyDescent="0.3">
      <c r="B9" s="201"/>
      <c r="C9" s="202"/>
      <c r="D9" s="202"/>
      <c r="E9" s="202"/>
      <c r="F9" s="202"/>
      <c r="G9" s="202"/>
      <c r="H9" s="203"/>
    </row>
    <row r="10" spans="2:8" x14ac:dyDescent="0.3">
      <c r="B10" s="201"/>
      <c r="C10" s="202"/>
      <c r="D10" s="202"/>
      <c r="E10" s="202"/>
      <c r="F10" s="202"/>
      <c r="G10" s="202"/>
      <c r="H10" s="203"/>
    </row>
    <row r="11" spans="2:8" x14ac:dyDescent="0.3">
      <c r="B11" s="201"/>
      <c r="C11" s="202"/>
      <c r="D11" s="202"/>
      <c r="E11" s="202"/>
      <c r="F11" s="202"/>
      <c r="G11" s="202"/>
      <c r="H11" s="203"/>
    </row>
    <row r="12" spans="2:8" x14ac:dyDescent="0.3">
      <c r="B12" s="201"/>
      <c r="C12" s="202"/>
      <c r="D12" s="202"/>
      <c r="E12" s="202"/>
      <c r="F12" s="202"/>
      <c r="G12" s="202"/>
      <c r="H12" s="203"/>
    </row>
    <row r="13" spans="2:8" ht="70.95" customHeight="1" x14ac:dyDescent="0.3">
      <c r="B13" s="201"/>
      <c r="C13" s="202"/>
      <c r="D13" s="219" t="s">
        <v>198</v>
      </c>
      <c r="E13" s="219"/>
      <c r="F13" s="219"/>
      <c r="G13" s="202"/>
      <c r="H13" s="203"/>
    </row>
    <row r="14" spans="2:8" ht="23.4" x14ac:dyDescent="0.3">
      <c r="B14" s="201"/>
      <c r="C14" s="202"/>
      <c r="D14" s="204"/>
      <c r="E14" s="204"/>
      <c r="F14" s="204"/>
      <c r="G14" s="202"/>
      <c r="H14" s="203"/>
    </row>
    <row r="15" spans="2:8" ht="23.4" x14ac:dyDescent="0.45">
      <c r="B15" s="201"/>
      <c r="C15" s="202"/>
      <c r="D15" s="205" t="s">
        <v>199</v>
      </c>
      <c r="E15" s="206"/>
      <c r="F15" s="205" t="s">
        <v>200</v>
      </c>
      <c r="G15" s="202"/>
      <c r="H15" s="203"/>
    </row>
    <row r="16" spans="2:8" ht="4.95" customHeight="1" x14ac:dyDescent="0.3">
      <c r="B16" s="201"/>
      <c r="C16" s="202"/>
      <c r="D16" s="207"/>
      <c r="E16" s="207"/>
      <c r="F16" s="208"/>
      <c r="G16" s="202"/>
      <c r="H16" s="203"/>
    </row>
    <row r="17" spans="2:8" ht="23.4" x14ac:dyDescent="0.45">
      <c r="B17" s="201"/>
      <c r="C17" s="202"/>
      <c r="D17" s="209" t="s">
        <v>201</v>
      </c>
      <c r="E17" s="209"/>
      <c r="F17" s="210" t="s">
        <v>202</v>
      </c>
      <c r="G17" s="202"/>
      <c r="H17" s="203"/>
    </row>
    <row r="18" spans="2:8" ht="23.4" x14ac:dyDescent="0.45">
      <c r="B18" s="201"/>
      <c r="C18" s="202"/>
      <c r="D18" s="210" t="s">
        <v>203</v>
      </c>
      <c r="E18" s="210"/>
      <c r="F18" s="210" t="s">
        <v>204</v>
      </c>
      <c r="G18" s="202"/>
      <c r="H18" s="203"/>
    </row>
    <row r="19" spans="2:8" ht="23.4" x14ac:dyDescent="0.45">
      <c r="B19" s="201"/>
      <c r="C19" s="202"/>
      <c r="D19" s="210" t="s">
        <v>205</v>
      </c>
      <c r="E19" s="210"/>
      <c r="F19" s="210" t="s">
        <v>206</v>
      </c>
      <c r="G19" s="202"/>
      <c r="H19" s="203"/>
    </row>
    <row r="20" spans="2:8" ht="23.4" x14ac:dyDescent="0.45">
      <c r="B20" s="201"/>
      <c r="C20" s="202"/>
      <c r="D20" s="210" t="s">
        <v>207</v>
      </c>
      <c r="E20" s="210"/>
      <c r="F20" s="210" t="s">
        <v>208</v>
      </c>
      <c r="G20" s="202"/>
      <c r="H20" s="203"/>
    </row>
    <row r="21" spans="2:8" ht="23.4" x14ac:dyDescent="0.45">
      <c r="B21" s="201"/>
      <c r="C21" s="202"/>
      <c r="D21" s="210" t="s">
        <v>209</v>
      </c>
      <c r="E21" s="210"/>
      <c r="F21" s="211"/>
      <c r="G21" s="202"/>
      <c r="H21" s="203"/>
    </row>
    <row r="22" spans="2:8" x14ac:dyDescent="0.3">
      <c r="B22" s="212"/>
      <c r="C22" s="213"/>
      <c r="D22" s="207"/>
      <c r="E22" s="207"/>
      <c r="F22" s="214"/>
      <c r="G22" s="202"/>
      <c r="H22" s="203"/>
    </row>
    <row r="23" spans="2:8" x14ac:dyDescent="0.3">
      <c r="B23" s="212"/>
      <c r="C23" s="213"/>
      <c r="D23" s="207"/>
      <c r="E23" s="207"/>
      <c r="F23" s="214"/>
      <c r="G23" s="202"/>
      <c r="H23" s="203"/>
    </row>
    <row r="24" spans="2:8" x14ac:dyDescent="0.3">
      <c r="B24" s="201"/>
      <c r="C24" s="202"/>
      <c r="D24" s="207"/>
      <c r="E24" s="207"/>
      <c r="F24" s="208"/>
      <c r="G24" s="202"/>
      <c r="H24" s="203"/>
    </row>
    <row r="25" spans="2:8" x14ac:dyDescent="0.3">
      <c r="B25" s="201"/>
      <c r="C25" s="202"/>
      <c r="D25" s="207"/>
      <c r="E25" s="207"/>
      <c r="F25" s="208"/>
      <c r="G25" s="202"/>
      <c r="H25" s="203"/>
    </row>
    <row r="26" spans="2:8" x14ac:dyDescent="0.3">
      <c r="B26" s="201"/>
      <c r="C26" s="202"/>
      <c r="D26" s="202"/>
      <c r="E26" s="202"/>
      <c r="F26" s="202"/>
      <c r="G26" s="202"/>
      <c r="H26" s="203"/>
    </row>
    <row r="27" spans="2:8" ht="16.2" thickBot="1" x14ac:dyDescent="0.35">
      <c r="B27" s="215"/>
      <c r="C27" s="216"/>
      <c r="D27" s="216"/>
      <c r="E27" s="216"/>
      <c r="F27" s="216"/>
      <c r="G27" s="216"/>
      <c r="H27" s="217"/>
    </row>
  </sheetData>
  <mergeCells count="1">
    <mergeCell ref="D13:F13"/>
  </mergeCells>
  <hyperlinks>
    <hyperlink ref="D17" r:id="rId1" xr:uid="{00000000-0004-0000-0600-000000000000}"/>
    <hyperlink ref="D18" r:id="rId2" xr:uid="{00000000-0004-0000-0600-000001000000}"/>
    <hyperlink ref="D19" r:id="rId3" xr:uid="{00000000-0004-0000-0600-000002000000}"/>
    <hyperlink ref="F17" r:id="rId4" display="Interview &amp; Prep Courses (IB, PE, HF, Consulting)" xr:uid="{00000000-0004-0000-0600-000003000000}"/>
    <hyperlink ref="D20" r:id="rId5" display="WSO Templates (Resume, Networking, Models, etc)" xr:uid="{00000000-0004-0000-0600-000004000000}"/>
    <hyperlink ref="F18" r:id="rId6" display="Resume Review Service" xr:uid="{00000000-0004-0000-0600-000005000000}"/>
    <hyperlink ref="F19" r:id="rId7" display="Find a Mentor" xr:uid="{00000000-0004-0000-0600-000006000000}"/>
    <hyperlink ref="D21" r:id="rId8" display="The Talent Oasis - Land a Job!" xr:uid="{00000000-0004-0000-0600-000007000000}"/>
    <hyperlink ref="F20" r:id="rId9" display="GMAT/Series 7 Exam Prep Courses" xr:uid="{00000000-0004-0000-0600-000008000000}"/>
  </hyperlinks>
  <pageMargins left="0.7" right="0.7" top="0.75" bottom="0.75" header="0.3" footer="0.3"/>
  <pageSetup orientation="portrait" horizontalDpi="0" verticalDpi="0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U50"/>
  <sheetViews>
    <sheetView showGridLines="0" tabSelected="1" topLeftCell="A12" zoomScaleSheetLayoutView="100" workbookViewId="0">
      <selection activeCell="D30" sqref="D30"/>
    </sheetView>
  </sheetViews>
  <sheetFormatPr defaultColWidth="8.77734375" defaultRowHeight="13.2" x14ac:dyDescent="0.25"/>
  <cols>
    <col min="1" max="1" width="8.77734375" style="101"/>
    <col min="2" max="2" width="13" style="101" customWidth="1"/>
    <col min="3" max="3" width="15.44140625" style="101" bestFit="1" customWidth="1"/>
    <col min="4" max="14" width="8.77734375" style="101"/>
    <col min="15" max="15" width="3.6640625" style="101" customWidth="1"/>
    <col min="16" max="16" width="6" style="101" customWidth="1"/>
    <col min="17" max="16384" width="8.77734375" style="101"/>
  </cols>
  <sheetData>
    <row r="1" spans="1:13" customFormat="1" ht="14.4" x14ac:dyDescent="0.3">
      <c r="A1" s="94" t="s">
        <v>115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</row>
    <row r="2" spans="1:13" customFormat="1" ht="14.4" x14ac:dyDescent="0.3">
      <c r="A2" s="94" t="s">
        <v>97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4" spans="1:13" customFormat="1" ht="14.4" x14ac:dyDescent="0.3">
      <c r="A4" s="134" t="str">
        <f>'Balance Sheet'!B4</f>
        <v>(YE 31-Dec, USDm)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</row>
    <row r="5" spans="1:13" customFormat="1" ht="14.4" x14ac:dyDescent="0.3">
      <c r="A5" s="101"/>
      <c r="B5" s="101"/>
      <c r="C5" s="101"/>
      <c r="D5" s="133">
        <v>1</v>
      </c>
      <c r="E5" s="133">
        <v>2</v>
      </c>
      <c r="F5" s="133">
        <v>3</v>
      </c>
      <c r="G5" s="133">
        <f>+F5+1</f>
        <v>4</v>
      </c>
      <c r="H5" s="133">
        <f t="shared" ref="H5:M5" si="0">+G5+1</f>
        <v>5</v>
      </c>
      <c r="I5" s="133">
        <f t="shared" si="0"/>
        <v>6</v>
      </c>
      <c r="J5" s="133">
        <f t="shared" si="0"/>
        <v>7</v>
      </c>
      <c r="K5" s="133">
        <f t="shared" si="0"/>
        <v>8</v>
      </c>
      <c r="L5" s="133">
        <f t="shared" si="0"/>
        <v>9</v>
      </c>
      <c r="M5" s="133">
        <f t="shared" si="0"/>
        <v>10</v>
      </c>
    </row>
    <row r="6" spans="1:13" x14ac:dyDescent="0.25">
      <c r="C6" s="58">
        <f>+'Balance Sheet'!G4</f>
        <v>2011</v>
      </c>
      <c r="D6" s="59">
        <f>+'Balance Sheet'!I4</f>
        <v>2012</v>
      </c>
      <c r="E6" s="60">
        <f>+'Balance Sheet'!J4</f>
        <v>2013</v>
      </c>
      <c r="F6" s="60">
        <f>+'Balance Sheet'!K4</f>
        <v>2014</v>
      </c>
      <c r="G6" s="60">
        <f>+'Balance Sheet'!L4</f>
        <v>2015</v>
      </c>
      <c r="H6" s="60">
        <f>+'Balance Sheet'!M4</f>
        <v>2016</v>
      </c>
      <c r="I6" s="60">
        <f>+'Balance Sheet'!N4</f>
        <v>2017</v>
      </c>
      <c r="J6" s="60">
        <f>+'Balance Sheet'!O4</f>
        <v>2018</v>
      </c>
      <c r="K6" s="60">
        <f>+'Balance Sheet'!P4</f>
        <v>2019</v>
      </c>
      <c r="L6" s="60">
        <f>+'Balance Sheet'!Q4</f>
        <v>2020</v>
      </c>
      <c r="M6" s="60">
        <f>+'Balance Sheet'!R4</f>
        <v>2021</v>
      </c>
    </row>
    <row r="8" spans="1:13" x14ac:dyDescent="0.25">
      <c r="A8" s="101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25">
      <c r="C9" s="102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25">
      <c r="A10" s="101" t="s">
        <v>98</v>
      </c>
      <c r="C10" s="102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25">
      <c r="C11" s="102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25">
      <c r="A12" s="101" t="s">
        <v>26</v>
      </c>
      <c r="C12" s="102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25">
      <c r="C13" s="102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25">
      <c r="A14" s="101" t="s">
        <v>43</v>
      </c>
      <c r="C14" s="102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93" customFormat="1" x14ac:dyDescent="0.25"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</row>
    <row r="16" spans="1:13" x14ac:dyDescent="0.25">
      <c r="A16" s="101" t="s">
        <v>99</v>
      </c>
      <c r="C16" s="102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25">
      <c r="A18" s="101" t="s">
        <v>100</v>
      </c>
      <c r="C18" s="103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25">
      <c r="A20" s="114" t="s">
        <v>101</v>
      </c>
      <c r="B20" s="114"/>
      <c r="C20" s="115"/>
      <c r="D20" s="92">
        <f t="shared" ref="D20:M20" si="2">+D12+D14+D16+D18+D10</f>
        <v>36.098019258332428</v>
      </c>
      <c r="E20" s="92">
        <f t="shared" si="2"/>
        <v>38.798595500654102</v>
      </c>
      <c r="F20" s="92">
        <f t="shared" si="2"/>
        <v>43.546700549102951</v>
      </c>
      <c r="G20" s="92">
        <f t="shared" si="2"/>
        <v>48.498772987806269</v>
      </c>
      <c r="H20" s="92">
        <f t="shared" si="2"/>
        <v>54.713012462371559</v>
      </c>
      <c r="I20" s="92">
        <f t="shared" si="2"/>
        <v>60.00991344610199</v>
      </c>
      <c r="J20" s="92">
        <f t="shared" si="2"/>
        <v>63.45106855050453</v>
      </c>
      <c r="K20" s="92">
        <f t="shared" si="2"/>
        <v>65.879063333633681</v>
      </c>
      <c r="L20" s="92">
        <f t="shared" si="2"/>
        <v>67.566466292276687</v>
      </c>
      <c r="M20" s="92">
        <f t="shared" si="2"/>
        <v>67.867102897176039</v>
      </c>
    </row>
    <row r="21" spans="1:13" ht="4.95" customHeight="1" x14ac:dyDescent="0.25">
      <c r="A21" s="104"/>
      <c r="B21" s="104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131" t="s">
        <v>102</v>
      </c>
      <c r="B22" s="131"/>
      <c r="C22" s="131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4.95" customHeight="1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101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25">
      <c r="A26" s="106" t="s">
        <v>96</v>
      </c>
      <c r="B26" s="107"/>
      <c r="C26" s="116">
        <f>+'WACC Calculation'!C11</f>
        <v>0.114</v>
      </c>
    </row>
    <row r="27" spans="1:13" x14ac:dyDescent="0.25">
      <c r="A27" s="117" t="s">
        <v>104</v>
      </c>
      <c r="B27" s="104"/>
      <c r="C27" s="118">
        <v>0.02</v>
      </c>
    </row>
    <row r="28" spans="1:13" x14ac:dyDescent="0.25">
      <c r="A28" s="119"/>
      <c r="C28" s="112"/>
    </row>
    <row r="29" spans="1:13" x14ac:dyDescent="0.25">
      <c r="A29" s="119"/>
      <c r="C29" s="120"/>
    </row>
    <row r="30" spans="1:13" x14ac:dyDescent="0.25">
      <c r="A30" s="117" t="s">
        <v>105</v>
      </c>
      <c r="B30" s="104"/>
      <c r="C30" s="35">
        <f>(M20*(1+C27))/(C26-C27)</f>
        <v>736.43026547999534</v>
      </c>
    </row>
    <row r="31" spans="1:13" x14ac:dyDescent="0.25">
      <c r="A31" s="119" t="s">
        <v>106</v>
      </c>
      <c r="C31" s="35">
        <f>C30*M22</f>
        <v>250.19563021263784</v>
      </c>
      <c r="F31" s="137"/>
      <c r="G31" s="137"/>
      <c r="H31" s="137"/>
      <c r="I31" s="137"/>
      <c r="J31" s="137"/>
    </row>
    <row r="32" spans="1:13" x14ac:dyDescent="0.25">
      <c r="A32" s="119"/>
      <c r="C32" s="35"/>
      <c r="F32" s="137"/>
      <c r="G32" s="137"/>
      <c r="H32" s="137"/>
      <c r="I32" s="137"/>
      <c r="J32" s="137"/>
    </row>
    <row r="33" spans="1:21" x14ac:dyDescent="0.25">
      <c r="A33" s="119" t="s">
        <v>107</v>
      </c>
      <c r="C33" s="35">
        <f>SUM(D24:M24)</f>
        <v>296.15476754740723</v>
      </c>
      <c r="F33" s="137"/>
      <c r="G33" s="137"/>
      <c r="H33" s="137"/>
      <c r="I33" s="137"/>
      <c r="J33" s="137"/>
    </row>
    <row r="34" spans="1:21" x14ac:dyDescent="0.25">
      <c r="A34" s="119"/>
      <c r="C34" s="35"/>
      <c r="F34" s="137"/>
      <c r="G34" s="137"/>
      <c r="H34" s="137"/>
      <c r="I34" s="137"/>
      <c r="J34" s="137"/>
    </row>
    <row r="35" spans="1:21" x14ac:dyDescent="0.25">
      <c r="A35" s="117" t="s">
        <v>108</v>
      </c>
      <c r="B35" s="104"/>
      <c r="C35" s="122">
        <f>+C31+C33</f>
        <v>546.3503977600451</v>
      </c>
      <c r="D35" s="161"/>
    </row>
    <row r="36" spans="1:21" x14ac:dyDescent="0.25">
      <c r="A36" s="119" t="s">
        <v>109</v>
      </c>
      <c r="C36" s="35">
        <f>+'Balance Sheet'!H23</f>
        <v>234.99599999999981</v>
      </c>
    </row>
    <row r="37" spans="1:21" x14ac:dyDescent="0.25">
      <c r="A37" s="119" t="s">
        <v>110</v>
      </c>
      <c r="C37" s="35">
        <v>0</v>
      </c>
    </row>
    <row r="38" spans="1:21" x14ac:dyDescent="0.25">
      <c r="A38" s="109" t="s">
        <v>111</v>
      </c>
      <c r="B38" s="110"/>
      <c r="C38" s="123">
        <f>+C35-C36</f>
        <v>311.35439776004529</v>
      </c>
    </row>
    <row r="39" spans="1:21" x14ac:dyDescent="0.25">
      <c r="A39" s="93"/>
      <c r="B39" s="93"/>
      <c r="C39" s="6"/>
    </row>
    <row r="40" spans="1:21" x14ac:dyDescent="0.25">
      <c r="A40" s="106" t="s">
        <v>113</v>
      </c>
      <c r="B40" s="107"/>
      <c r="C40" s="108">
        <f>+C35/D8</f>
        <v>13.788283926898906</v>
      </c>
    </row>
    <row r="41" spans="1:21" x14ac:dyDescent="0.25">
      <c r="A41" s="109" t="s">
        <v>114</v>
      </c>
      <c r="B41" s="110"/>
      <c r="C41" s="111">
        <f>+C35/D12</f>
        <v>15.46182900806067</v>
      </c>
    </row>
    <row r="42" spans="1:21" x14ac:dyDescent="0.25">
      <c r="P42" s="222"/>
      <c r="Q42" s="222"/>
      <c r="R42" s="222"/>
      <c r="S42" s="222"/>
      <c r="T42" s="222"/>
      <c r="U42" s="222"/>
    </row>
    <row r="43" spans="1:21" ht="15" customHeight="1" x14ac:dyDescent="0.3">
      <c r="P43"/>
      <c r="Q43" s="221" t="s">
        <v>112</v>
      </c>
      <c r="R43" s="221"/>
      <c r="S43" s="221"/>
      <c r="T43" s="221"/>
      <c r="U43" s="221"/>
    </row>
    <row r="44" spans="1:21" x14ac:dyDescent="0.25">
      <c r="Q44" s="223" t="s">
        <v>96</v>
      </c>
      <c r="R44" s="223"/>
      <c r="S44" s="223"/>
      <c r="T44" s="223"/>
      <c r="U44" s="223"/>
    </row>
    <row r="45" spans="1:21" x14ac:dyDescent="0.25">
      <c r="P45" s="124">
        <f>C35</f>
        <v>546.3503977600451</v>
      </c>
      <c r="Q45" s="135">
        <f>+R45-0.01</f>
        <v>8.5000000000000006E-2</v>
      </c>
      <c r="R45" s="135">
        <f>+S45-0.01</f>
        <v>9.5000000000000001E-2</v>
      </c>
      <c r="S45" s="135">
        <v>0.105</v>
      </c>
      <c r="T45" s="135">
        <f>+S45+0.01</f>
        <v>0.11499999999999999</v>
      </c>
      <c r="U45" s="135">
        <f>+T45+0.01</f>
        <v>0.12499999999999999</v>
      </c>
    </row>
    <row r="46" spans="1:21" x14ac:dyDescent="0.25">
      <c r="O46" s="220" t="s">
        <v>104</v>
      </c>
      <c r="P46" s="195">
        <f>+P47-0.005</f>
        <v>9.9999999999999985E-3</v>
      </c>
      <c r="Q46" s="125">
        <f t="dataTable" ref="Q46:U50" dt2D="1" dtr="0" r1="C26" r2="C27"/>
        <v>745.29643560213003</v>
      </c>
      <c r="R46" s="64">
        <v>649.92575630331123</v>
      </c>
      <c r="S46" s="64">
        <v>574.96767829558166</v>
      </c>
      <c r="T46" s="64">
        <v>514.57153602623612</v>
      </c>
      <c r="U46" s="33">
        <v>464.92289405729775</v>
      </c>
    </row>
    <row r="47" spans="1:21" x14ac:dyDescent="0.25">
      <c r="O47" s="220"/>
      <c r="P47" s="195">
        <f>+P48-0.005</f>
        <v>1.4999999999999999E-2</v>
      </c>
      <c r="Q47" s="126">
        <v>776.31361970010016</v>
      </c>
      <c r="R47" s="129">
        <v>671.9749813187143</v>
      </c>
      <c r="S47" s="129">
        <v>591.12623988383825</v>
      </c>
      <c r="T47" s="129">
        <v>526.70448047830723</v>
      </c>
      <c r="U47" s="35">
        <v>474.21611125140385</v>
      </c>
    </row>
    <row r="48" spans="1:21" x14ac:dyDescent="0.25">
      <c r="O48" s="220"/>
      <c r="P48" s="195">
        <v>0.02</v>
      </c>
      <c r="Q48" s="126">
        <v>812.10267827468124</v>
      </c>
      <c r="R48" s="129">
        <v>696.96410300283787</v>
      </c>
      <c r="S48" s="130">
        <v>609.18580871777226</v>
      </c>
      <c r="T48" s="129">
        <v>540.11457697796493</v>
      </c>
      <c r="U48" s="35">
        <v>484.39439674971061</v>
      </c>
    </row>
    <row r="49" spans="15:21" x14ac:dyDescent="0.25">
      <c r="O49" s="220"/>
      <c r="P49" s="195">
        <f>+P48+0.005</f>
        <v>2.5000000000000001E-2</v>
      </c>
      <c r="Q49" s="126">
        <v>853.85657994502549</v>
      </c>
      <c r="R49" s="129">
        <v>725.52309921326469</v>
      </c>
      <c r="S49" s="129">
        <v>629.50282365594774</v>
      </c>
      <c r="T49" s="129">
        <v>555.01468419980665</v>
      </c>
      <c r="U49" s="35">
        <v>495.59051079784786</v>
      </c>
    </row>
    <row r="50" spans="15:21" x14ac:dyDescent="0.25">
      <c r="O50" s="220"/>
      <c r="P50" s="195">
        <f>+P49+0.005</f>
        <v>3.0000000000000002E-2</v>
      </c>
      <c r="Q50" s="127">
        <v>903.20210010088726</v>
      </c>
      <c r="R50" s="128">
        <v>758.47578714837277</v>
      </c>
      <c r="S50" s="128">
        <v>652.52877391921345</v>
      </c>
      <c r="T50" s="128">
        <v>571.66774521245361</v>
      </c>
      <c r="U50" s="121">
        <v>507.96516316684176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96"/>
  <sheetViews>
    <sheetView showGridLines="0" topLeftCell="A48" zoomScaleSheetLayoutView="100" workbookViewId="0">
      <selection activeCell="H20" sqref="H20"/>
    </sheetView>
  </sheetViews>
  <sheetFormatPr defaultColWidth="8.77734375" defaultRowHeight="13.2" x14ac:dyDescent="0.25"/>
  <cols>
    <col min="1" max="1" width="2.6640625" style="2" customWidth="1"/>
    <col min="2" max="2" width="41.109375" style="2" customWidth="1"/>
    <col min="3" max="12" width="9.44140625" style="6" bestFit="1" customWidth="1"/>
    <col min="13" max="16384" width="8.77734375" style="6"/>
  </cols>
  <sheetData>
    <row r="1" spans="1:12" s="2" customFormat="1" x14ac:dyDescent="0.25"/>
    <row r="2" spans="1:12" s="2" customFormat="1" x14ac:dyDescent="0.25">
      <c r="B2" s="61" t="s">
        <v>116</v>
      </c>
      <c r="C2" s="61"/>
      <c r="D2" s="61"/>
    </row>
    <row r="3" spans="1:12" s="2" customFormat="1" x14ac:dyDescent="0.25">
      <c r="B3" s="5"/>
      <c r="D3" s="142" t="s">
        <v>127</v>
      </c>
    </row>
    <row r="4" spans="1:12" s="2" customFormat="1" x14ac:dyDescent="0.25">
      <c r="B4" s="2" t="s">
        <v>120</v>
      </c>
      <c r="D4" s="2">
        <f>'Income Statement'!G89</f>
        <v>39.165999999999968</v>
      </c>
    </row>
    <row r="5" spans="1:12" s="2" customFormat="1" x14ac:dyDescent="0.25">
      <c r="B5" s="2" t="s">
        <v>121</v>
      </c>
      <c r="D5" s="2">
        <f>+'Income Statement'!H89</f>
        <v>39.624249156502799</v>
      </c>
    </row>
    <row r="6" spans="1:12" s="2" customFormat="1" x14ac:dyDescent="0.25">
      <c r="B6" s="2" t="s">
        <v>122</v>
      </c>
      <c r="C6" s="140">
        <v>12</v>
      </c>
    </row>
    <row r="7" spans="1:12" s="2" customFormat="1" x14ac:dyDescent="0.25">
      <c r="B7" s="2" t="s">
        <v>123</v>
      </c>
      <c r="C7" s="140">
        <v>6</v>
      </c>
      <c r="I7" s="2">
        <f>475+213</f>
        <v>688</v>
      </c>
    </row>
    <row r="8" spans="1:12" s="2" customFormat="1" x14ac:dyDescent="0.25">
      <c r="B8" s="2" t="s">
        <v>128</v>
      </c>
      <c r="D8" s="19">
        <f>+D4*C7</f>
        <v>234.99599999999981</v>
      </c>
    </row>
    <row r="9" spans="1:12" s="2" customFormat="1" x14ac:dyDescent="0.25">
      <c r="B9" s="15" t="s">
        <v>124</v>
      </c>
      <c r="C9" s="141">
        <v>4.5</v>
      </c>
      <c r="D9" s="5">
        <f>+C9*D4</f>
        <v>176.24699999999984</v>
      </c>
      <c r="E9" s="150">
        <v>5.5E-2</v>
      </c>
      <c r="F9" s="148" t="s">
        <v>130</v>
      </c>
      <c r="G9" s="5">
        <f>+D9*E9</f>
        <v>9.6935849999999917</v>
      </c>
    </row>
    <row r="10" spans="1:12" s="2" customFormat="1" x14ac:dyDescent="0.25">
      <c r="B10" s="15" t="s">
        <v>125</v>
      </c>
      <c r="C10" s="141">
        <v>1.5</v>
      </c>
      <c r="D10" s="5">
        <f>+C10*D4</f>
        <v>58.748999999999953</v>
      </c>
      <c r="E10" s="150">
        <v>7.4999999999999997E-2</v>
      </c>
      <c r="F10" s="148" t="s">
        <v>131</v>
      </c>
      <c r="G10" s="5">
        <f>+D10*E10</f>
        <v>4.4061749999999966</v>
      </c>
    </row>
    <row r="11" spans="1:12" s="2" customFormat="1" x14ac:dyDescent="0.25">
      <c r="B11" s="143" t="s">
        <v>126</v>
      </c>
      <c r="C11" s="63"/>
      <c r="D11" s="144">
        <f>+C6*D5</f>
        <v>475.49098987803359</v>
      </c>
      <c r="G11" s="97">
        <f>+(G9+G10)/D8</f>
        <v>6.0000000000000005E-2</v>
      </c>
      <c r="H11" s="2" t="s">
        <v>136</v>
      </c>
    </row>
    <row r="12" spans="1:12" s="2" customFormat="1" x14ac:dyDescent="0.25">
      <c r="B12" s="145" t="s">
        <v>129</v>
      </c>
      <c r="C12" s="146"/>
      <c r="D12" s="147">
        <f>+D11-D8</f>
        <v>240.49498987803378</v>
      </c>
    </row>
    <row r="13" spans="1:12" s="2" customFormat="1" x14ac:dyDescent="0.25">
      <c r="B13" s="5"/>
      <c r="D13" s="13">
        <f>D12/D11</f>
        <v>0.50578243331113859</v>
      </c>
    </row>
    <row r="14" spans="1:12" s="2" customFormat="1" x14ac:dyDescent="0.25">
      <c r="B14" s="56" t="s">
        <v>0</v>
      </c>
      <c r="C14" s="59">
        <f>'Income Statement'!H4</f>
        <v>2012</v>
      </c>
      <c r="D14" s="60">
        <f>'Income Statement'!I4</f>
        <v>2013</v>
      </c>
      <c r="E14" s="60">
        <f>'Income Statement'!J4</f>
        <v>2014</v>
      </c>
      <c r="F14" s="60">
        <f>'Income Statement'!K4</f>
        <v>2015</v>
      </c>
      <c r="G14" s="60">
        <f>'Income Statement'!L4</f>
        <v>2016</v>
      </c>
      <c r="H14" s="60">
        <f>'Income Statement'!M4</f>
        <v>2017</v>
      </c>
      <c r="I14" s="60">
        <f>'Income Statement'!N4</f>
        <v>2018</v>
      </c>
      <c r="J14" s="60">
        <f>'Income Statement'!O4</f>
        <v>2019</v>
      </c>
      <c r="K14" s="60">
        <f>'Income Statement'!P4</f>
        <v>2020</v>
      </c>
      <c r="L14" s="60">
        <f>'Income Statement'!Q4</f>
        <v>2021</v>
      </c>
    </row>
    <row r="15" spans="1:12" x14ac:dyDescent="0.25">
      <c r="B15" s="19"/>
    </row>
    <row r="16" spans="1:12" x14ac:dyDescent="0.25">
      <c r="A16" s="5"/>
      <c r="B16" s="23" t="s">
        <v>117</v>
      </c>
      <c r="C16" s="6">
        <f>DCF!D20</f>
        <v>36.098019258332428</v>
      </c>
      <c r="D16" s="6">
        <f>DCF!E20</f>
        <v>38.798595500654102</v>
      </c>
      <c r="E16" s="6">
        <f>DCF!F20</f>
        <v>43.546700549102951</v>
      </c>
      <c r="F16" s="6">
        <f>DCF!G20</f>
        <v>48.498772987806269</v>
      </c>
      <c r="G16" s="6">
        <f>DCF!H20</f>
        <v>54.713012462371559</v>
      </c>
      <c r="H16" s="6">
        <f>DCF!I20</f>
        <v>60.00991344610199</v>
      </c>
      <c r="I16" s="6">
        <f>DCF!J20</f>
        <v>63.45106855050453</v>
      </c>
      <c r="J16" s="6">
        <f>DCF!K20</f>
        <v>65.879063333633681</v>
      </c>
      <c r="K16" s="6">
        <f>DCF!L20</f>
        <v>67.566466292276687</v>
      </c>
      <c r="L16" s="6">
        <f>DCF!M20</f>
        <v>67.867102897176039</v>
      </c>
    </row>
    <row r="17" spans="1:12" x14ac:dyDescent="0.25">
      <c r="B17" s="23"/>
    </row>
    <row r="18" spans="1:12" x14ac:dyDescent="0.25">
      <c r="B18" s="23" t="s">
        <v>132</v>
      </c>
    </row>
    <row r="19" spans="1:12" s="7" customFormat="1" x14ac:dyDescent="0.25">
      <c r="A19" s="5"/>
      <c r="B19" s="14" t="s">
        <v>133</v>
      </c>
      <c r="C19" s="6">
        <f>+C56</f>
        <v>-12.924779999999989</v>
      </c>
      <c r="D19" s="6">
        <f t="shared" ref="D19:L19" si="0">+D56</f>
        <v>-12.924779999999989</v>
      </c>
      <c r="E19" s="6">
        <f t="shared" si="0"/>
        <v>-12.924779999999989</v>
      </c>
      <c r="F19" s="6">
        <f t="shared" si="0"/>
        <v>-12.924779999999989</v>
      </c>
      <c r="G19" s="6">
        <f t="shared" si="0"/>
        <v>-12.924779999999989</v>
      </c>
      <c r="H19" s="6">
        <f t="shared" si="0"/>
        <v>-12.924779999999989</v>
      </c>
      <c r="I19" s="6">
        <f t="shared" si="0"/>
        <v>-12.924779999999989</v>
      </c>
      <c r="J19" s="6">
        <f t="shared" si="0"/>
        <v>0</v>
      </c>
      <c r="K19" s="6">
        <f t="shared" si="0"/>
        <v>0</v>
      </c>
      <c r="L19" s="6">
        <f t="shared" si="0"/>
        <v>0</v>
      </c>
    </row>
    <row r="20" spans="1:12" s="7" customFormat="1" x14ac:dyDescent="0.25">
      <c r="A20" s="5"/>
      <c r="B20" s="14" t="s">
        <v>134</v>
      </c>
      <c r="C20" s="6">
        <f>+C57</f>
        <v>0</v>
      </c>
      <c r="D20" s="6">
        <f t="shared" ref="D20:L20" si="1">+D57</f>
        <v>0</v>
      </c>
      <c r="E20" s="6">
        <f t="shared" si="1"/>
        <v>0</v>
      </c>
      <c r="F20" s="6">
        <f t="shared" si="1"/>
        <v>0</v>
      </c>
      <c r="G20" s="6">
        <f t="shared" si="1"/>
        <v>0</v>
      </c>
      <c r="H20" s="6">
        <f t="shared" si="1"/>
        <v>0</v>
      </c>
      <c r="I20" s="6">
        <f t="shared" si="1"/>
        <v>-176.24699999999984</v>
      </c>
      <c r="J20" s="6">
        <f t="shared" si="1"/>
        <v>-58.748999999999953</v>
      </c>
      <c r="K20" s="6">
        <f t="shared" si="1"/>
        <v>0</v>
      </c>
      <c r="L20" s="6">
        <f t="shared" si="1"/>
        <v>0</v>
      </c>
    </row>
    <row r="21" spans="1:12" s="7" customFormat="1" x14ac:dyDescent="0.25">
      <c r="A21" s="5"/>
      <c r="B21" s="14" t="s">
        <v>143</v>
      </c>
      <c r="C21" s="6"/>
      <c r="D21" s="6"/>
      <c r="E21" s="6"/>
      <c r="F21" s="6"/>
      <c r="G21" s="6"/>
      <c r="H21" s="6"/>
      <c r="I21" s="12">
        <v>-125.7207114494953</v>
      </c>
      <c r="J21" s="6"/>
      <c r="K21" s="6"/>
      <c r="L21" s="6"/>
    </row>
    <row r="22" spans="1:12" s="7" customFormat="1" x14ac:dyDescent="0.25">
      <c r="A22" s="5"/>
      <c r="B22" s="17"/>
    </row>
    <row r="23" spans="1:12" s="7" customFormat="1" ht="13.8" thickBot="1" x14ac:dyDescent="0.3">
      <c r="A23" s="5"/>
      <c r="B23" s="84" t="s">
        <v>142</v>
      </c>
      <c r="C23" s="86">
        <f>+C16+C19+C20</f>
        <v>23.173239258332437</v>
      </c>
      <c r="D23" s="86">
        <f t="shared" ref="D23:L23" si="2">+D16+D19+D20</f>
        <v>25.873815500654111</v>
      </c>
      <c r="E23" s="86">
        <f t="shared" si="2"/>
        <v>30.62192054910296</v>
      </c>
      <c r="F23" s="86">
        <f t="shared" si="2"/>
        <v>35.573992987806278</v>
      </c>
      <c r="G23" s="86">
        <f t="shared" si="2"/>
        <v>41.788232462371568</v>
      </c>
      <c r="H23" s="86">
        <f t="shared" si="2"/>
        <v>47.085133446101999</v>
      </c>
      <c r="I23" s="86">
        <f>+I16+I19+I20-I21</f>
        <v>0</v>
      </c>
      <c r="J23" s="86">
        <f t="shared" si="2"/>
        <v>7.1300633336337285</v>
      </c>
      <c r="K23" s="86">
        <f t="shared" si="2"/>
        <v>67.566466292276687</v>
      </c>
      <c r="L23" s="86">
        <f t="shared" si="2"/>
        <v>67.867102897176039</v>
      </c>
    </row>
    <row r="24" spans="1:12" ht="13.8" thickTop="1" x14ac:dyDescent="0.25">
      <c r="B24" s="16"/>
    </row>
    <row r="25" spans="1:12" x14ac:dyDescent="0.25">
      <c r="B25" s="23"/>
    </row>
    <row r="26" spans="1:12" s="7" customFormat="1" x14ac:dyDescent="0.25">
      <c r="A26" s="5"/>
      <c r="B26" s="149" t="s">
        <v>124</v>
      </c>
    </row>
    <row r="27" spans="1:12" x14ac:dyDescent="0.25">
      <c r="B27" s="16"/>
      <c r="C27" s="6">
        <v>1</v>
      </c>
      <c r="D27" s="6">
        <f>+C27+1</f>
        <v>2</v>
      </c>
      <c r="E27" s="6">
        <f t="shared" ref="E27:L27" si="3">+D27+1</f>
        <v>3</v>
      </c>
      <c r="F27" s="6">
        <f t="shared" si="3"/>
        <v>4</v>
      </c>
      <c r="G27" s="6">
        <f t="shared" si="3"/>
        <v>5</v>
      </c>
      <c r="H27" s="6">
        <f t="shared" si="3"/>
        <v>6</v>
      </c>
      <c r="I27" s="6">
        <f t="shared" si="3"/>
        <v>7</v>
      </c>
      <c r="J27" s="6">
        <f t="shared" si="3"/>
        <v>8</v>
      </c>
      <c r="K27" s="6">
        <f t="shared" si="3"/>
        <v>9</v>
      </c>
      <c r="L27" s="6">
        <f t="shared" si="3"/>
        <v>10</v>
      </c>
    </row>
    <row r="28" spans="1:12" x14ac:dyDescent="0.25">
      <c r="B28" s="68" t="str">
        <f>'Income Statement'!B4</f>
        <v>(YE 31-Dec, USDm)</v>
      </c>
      <c r="C28" s="46">
        <f>'Income Statement'!H4</f>
        <v>2012</v>
      </c>
      <c r="D28" s="46">
        <f>'Income Statement'!I4</f>
        <v>2013</v>
      </c>
      <c r="E28" s="46">
        <f>'Income Statement'!J4</f>
        <v>2014</v>
      </c>
      <c r="F28" s="46">
        <f>'Income Statement'!K4</f>
        <v>2015</v>
      </c>
      <c r="G28" s="46">
        <f>'Income Statement'!L4</f>
        <v>2016</v>
      </c>
      <c r="H28" s="46">
        <f>'Income Statement'!M4</f>
        <v>2017</v>
      </c>
      <c r="I28" s="46">
        <f>'Income Statement'!N4</f>
        <v>2018</v>
      </c>
      <c r="J28" s="46">
        <f>'Income Statement'!O4</f>
        <v>2019</v>
      </c>
      <c r="K28" s="46">
        <f>'Income Statement'!P4</f>
        <v>2020</v>
      </c>
      <c r="L28" s="46">
        <f>'Income Statement'!Q4</f>
        <v>2021</v>
      </c>
    </row>
    <row r="29" spans="1:12" x14ac:dyDescent="0.25">
      <c r="B29" s="2" t="s">
        <v>32</v>
      </c>
      <c r="C29" s="6">
        <f>+D9</f>
        <v>176.24699999999984</v>
      </c>
      <c r="D29" s="6">
        <f t="shared" ref="D29:L29" si="4">+C32</f>
        <v>176.24699999999984</v>
      </c>
      <c r="E29" s="6">
        <f t="shared" si="4"/>
        <v>176.24699999999984</v>
      </c>
      <c r="F29" s="6">
        <f t="shared" si="4"/>
        <v>176.24699999999984</v>
      </c>
      <c r="G29" s="6">
        <f t="shared" si="4"/>
        <v>176.24699999999984</v>
      </c>
      <c r="H29" s="6">
        <f t="shared" si="4"/>
        <v>176.24699999999984</v>
      </c>
      <c r="I29" s="6">
        <f t="shared" si="4"/>
        <v>176.24699999999984</v>
      </c>
      <c r="J29" s="6">
        <f t="shared" si="4"/>
        <v>0</v>
      </c>
      <c r="K29" s="6">
        <f t="shared" si="4"/>
        <v>0</v>
      </c>
      <c r="L29" s="6">
        <f t="shared" si="4"/>
        <v>0</v>
      </c>
    </row>
    <row r="30" spans="1:12" x14ac:dyDescent="0.25">
      <c r="B30" s="14" t="s">
        <v>33</v>
      </c>
    </row>
    <row r="31" spans="1:12" x14ac:dyDescent="0.25">
      <c r="B31" s="14" t="s">
        <v>40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7">
        <f>-I29</f>
        <v>-176.24699999999984</v>
      </c>
      <c r="J31" s="7"/>
      <c r="K31" s="7"/>
      <c r="L31" s="7"/>
    </row>
    <row r="32" spans="1:12" s="7" customFormat="1" ht="13.8" thickBot="1" x14ac:dyDescent="0.3">
      <c r="A32" s="5"/>
      <c r="B32" s="28" t="s">
        <v>36</v>
      </c>
      <c r="C32" s="29">
        <f>+C29+C30+C31</f>
        <v>176.24699999999984</v>
      </c>
      <c r="D32" s="29">
        <f t="shared" ref="D32:L32" si="5">+D29+D30+D31</f>
        <v>176.24699999999984</v>
      </c>
      <c r="E32" s="29">
        <f t="shared" si="5"/>
        <v>176.24699999999984</v>
      </c>
      <c r="F32" s="29">
        <f t="shared" si="5"/>
        <v>176.24699999999984</v>
      </c>
      <c r="G32" s="29">
        <f t="shared" si="5"/>
        <v>176.24699999999984</v>
      </c>
      <c r="H32" s="29">
        <f t="shared" si="5"/>
        <v>176.24699999999984</v>
      </c>
      <c r="I32" s="29">
        <f t="shared" si="5"/>
        <v>0</v>
      </c>
      <c r="J32" s="29">
        <f t="shared" si="5"/>
        <v>0</v>
      </c>
      <c r="K32" s="29">
        <f t="shared" si="5"/>
        <v>0</v>
      </c>
      <c r="L32" s="29">
        <f t="shared" si="5"/>
        <v>0</v>
      </c>
    </row>
    <row r="33" spans="1:17" s="7" customFormat="1" ht="13.8" thickTop="1" x14ac:dyDescent="0.25">
      <c r="A33" s="5"/>
      <c r="B33" s="15"/>
      <c r="C33" s="8"/>
      <c r="D33" s="8"/>
      <c r="E33" s="8"/>
      <c r="F33" s="8"/>
      <c r="G33" s="8"/>
    </row>
    <row r="34" spans="1:17" x14ac:dyDescent="0.25">
      <c r="B34" s="69" t="s">
        <v>41</v>
      </c>
      <c r="C34" s="70">
        <f>+E9</f>
        <v>5.5E-2</v>
      </c>
      <c r="D34" s="8"/>
      <c r="E34" s="8"/>
      <c r="F34" s="8"/>
      <c r="G34" s="8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x14ac:dyDescent="0.25">
      <c r="B35" s="23"/>
    </row>
    <row r="36" spans="1:17" x14ac:dyDescent="0.25">
      <c r="B36" s="69" t="s">
        <v>38</v>
      </c>
      <c r="C36" s="71">
        <f>+C29*$C$34</f>
        <v>9.6935849999999917</v>
      </c>
      <c r="D36" s="71">
        <f t="shared" ref="D36:I36" si="6">+D29*$C$34</f>
        <v>9.6935849999999917</v>
      </c>
      <c r="E36" s="71">
        <f t="shared" si="6"/>
        <v>9.6935849999999917</v>
      </c>
      <c r="F36" s="71">
        <f t="shared" si="6"/>
        <v>9.6935849999999917</v>
      </c>
      <c r="G36" s="71">
        <f t="shared" si="6"/>
        <v>9.6935849999999917</v>
      </c>
      <c r="H36" s="71">
        <f t="shared" si="6"/>
        <v>9.6935849999999917</v>
      </c>
      <c r="I36" s="71">
        <f t="shared" si="6"/>
        <v>9.6935849999999917</v>
      </c>
      <c r="J36" s="71"/>
      <c r="K36" s="71"/>
      <c r="L36" s="72"/>
    </row>
    <row r="37" spans="1:17" x14ac:dyDescent="0.25">
      <c r="B37" s="16"/>
    </row>
    <row r="38" spans="1:17" x14ac:dyDescent="0.25">
      <c r="B38" s="16"/>
    </row>
    <row r="39" spans="1:17" x14ac:dyDescent="0.25">
      <c r="B39" s="17"/>
    </row>
    <row r="40" spans="1:17" x14ac:dyDescent="0.25">
      <c r="B40" s="149" t="s">
        <v>135</v>
      </c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7" x14ac:dyDescent="0.25">
      <c r="B41" s="16"/>
      <c r="C41" s="6">
        <v>1</v>
      </c>
      <c r="D41" s="6">
        <f>+C41+1</f>
        <v>2</v>
      </c>
      <c r="E41" s="6">
        <f t="shared" ref="E41:L41" si="7">+D41+1</f>
        <v>3</v>
      </c>
      <c r="F41" s="6">
        <f t="shared" si="7"/>
        <v>4</v>
      </c>
      <c r="G41" s="6">
        <f t="shared" si="7"/>
        <v>5</v>
      </c>
      <c r="H41" s="6">
        <f t="shared" si="7"/>
        <v>6</v>
      </c>
      <c r="I41" s="6">
        <f t="shared" si="7"/>
        <v>7</v>
      </c>
      <c r="J41" s="6">
        <f t="shared" si="7"/>
        <v>8</v>
      </c>
      <c r="K41" s="6">
        <f t="shared" si="7"/>
        <v>9</v>
      </c>
      <c r="L41" s="6">
        <f t="shared" si="7"/>
        <v>10</v>
      </c>
    </row>
    <row r="42" spans="1:17" x14ac:dyDescent="0.25">
      <c r="B42" s="68" t="str">
        <f>+B28</f>
        <v>(YE 31-Dec, USDm)</v>
      </c>
      <c r="C42" s="46">
        <f>+C28</f>
        <v>2012</v>
      </c>
      <c r="D42" s="46">
        <f t="shared" ref="D42:L42" si="8">+D28</f>
        <v>2013</v>
      </c>
      <c r="E42" s="46">
        <f t="shared" si="8"/>
        <v>2014</v>
      </c>
      <c r="F42" s="46">
        <f t="shared" si="8"/>
        <v>2015</v>
      </c>
      <c r="G42" s="46">
        <f t="shared" si="8"/>
        <v>2016</v>
      </c>
      <c r="H42" s="46">
        <f t="shared" si="8"/>
        <v>2017</v>
      </c>
      <c r="I42" s="46">
        <f t="shared" si="8"/>
        <v>2018</v>
      </c>
      <c r="J42" s="46">
        <f t="shared" si="8"/>
        <v>2019</v>
      </c>
      <c r="K42" s="46">
        <f t="shared" si="8"/>
        <v>2020</v>
      </c>
      <c r="L42" s="46">
        <f t="shared" si="8"/>
        <v>2021</v>
      </c>
    </row>
    <row r="43" spans="1:17" s="7" customFormat="1" x14ac:dyDescent="0.25">
      <c r="A43" s="5"/>
      <c r="B43" s="2" t="s">
        <v>32</v>
      </c>
      <c r="C43" s="6">
        <f>+D10</f>
        <v>58.748999999999953</v>
      </c>
      <c r="D43" s="6">
        <f t="shared" ref="D43:L43" si="9">+C46</f>
        <v>58.748999999999953</v>
      </c>
      <c r="E43" s="6">
        <f t="shared" si="9"/>
        <v>58.748999999999953</v>
      </c>
      <c r="F43" s="6">
        <f t="shared" si="9"/>
        <v>58.748999999999953</v>
      </c>
      <c r="G43" s="6">
        <f t="shared" si="9"/>
        <v>58.748999999999953</v>
      </c>
      <c r="H43" s="6">
        <f t="shared" si="9"/>
        <v>58.748999999999953</v>
      </c>
      <c r="I43" s="6">
        <f t="shared" si="9"/>
        <v>58.748999999999953</v>
      </c>
      <c r="J43" s="6">
        <f t="shared" si="9"/>
        <v>58.748999999999953</v>
      </c>
      <c r="K43" s="6">
        <f t="shared" si="9"/>
        <v>0</v>
      </c>
      <c r="L43" s="6">
        <f t="shared" si="9"/>
        <v>0</v>
      </c>
    </row>
    <row r="44" spans="1:17" s="7" customFormat="1" x14ac:dyDescent="0.25">
      <c r="A44" s="5"/>
      <c r="B44" s="14" t="s">
        <v>33</v>
      </c>
      <c r="C44" s="6"/>
      <c r="D44" s="6"/>
      <c r="E44" s="6"/>
      <c r="F44" s="6"/>
      <c r="G44" s="6"/>
      <c r="H44" s="6"/>
      <c r="I44" s="6"/>
      <c r="J44" s="6"/>
      <c r="K44" s="6"/>
      <c r="L44" s="6"/>
    </row>
    <row r="45" spans="1:17" s="7" customFormat="1" x14ac:dyDescent="0.25">
      <c r="A45" s="5"/>
      <c r="B45" s="14" t="s">
        <v>40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7">
        <f>-J43</f>
        <v>-58.748999999999953</v>
      </c>
    </row>
    <row r="46" spans="1:17" ht="13.8" thickBot="1" x14ac:dyDescent="0.3">
      <c r="B46" s="28" t="s">
        <v>36</v>
      </c>
      <c r="C46" s="29">
        <f t="shared" ref="C46:L46" si="10">+C43+C44+C45</f>
        <v>58.748999999999953</v>
      </c>
      <c r="D46" s="29">
        <f t="shared" si="10"/>
        <v>58.748999999999953</v>
      </c>
      <c r="E46" s="29">
        <f t="shared" si="10"/>
        <v>58.748999999999953</v>
      </c>
      <c r="F46" s="29">
        <f t="shared" si="10"/>
        <v>58.748999999999953</v>
      </c>
      <c r="G46" s="29">
        <f t="shared" si="10"/>
        <v>58.748999999999953</v>
      </c>
      <c r="H46" s="29">
        <f t="shared" si="10"/>
        <v>58.748999999999953</v>
      </c>
      <c r="I46" s="29">
        <f t="shared" si="10"/>
        <v>58.748999999999953</v>
      </c>
      <c r="J46" s="29">
        <f t="shared" si="10"/>
        <v>0</v>
      </c>
      <c r="K46" s="29">
        <f t="shared" si="10"/>
        <v>0</v>
      </c>
      <c r="L46" s="29">
        <f t="shared" si="10"/>
        <v>0</v>
      </c>
    </row>
    <row r="47" spans="1:17" ht="13.8" thickTop="1" x14ac:dyDescent="0.25">
      <c r="B47" s="15"/>
      <c r="C47" s="8"/>
      <c r="D47" s="8"/>
      <c r="E47" s="8"/>
      <c r="F47" s="8"/>
      <c r="G47" s="8"/>
      <c r="H47" s="7"/>
      <c r="I47" s="7"/>
      <c r="J47" s="7"/>
      <c r="K47" s="7"/>
      <c r="L47" s="7"/>
    </row>
    <row r="48" spans="1:17" x14ac:dyDescent="0.25">
      <c r="B48" s="69" t="s">
        <v>41</v>
      </c>
      <c r="C48" s="70">
        <f>+E10</f>
        <v>7.4999999999999997E-2</v>
      </c>
      <c r="D48" s="8"/>
      <c r="E48" s="8"/>
      <c r="F48" s="8"/>
      <c r="G48" s="8"/>
      <c r="H48" s="7"/>
      <c r="I48" s="7"/>
      <c r="J48" s="7"/>
      <c r="K48" s="7"/>
      <c r="L48" s="7"/>
    </row>
    <row r="49" spans="1:12" x14ac:dyDescent="0.25">
      <c r="B49" s="23"/>
    </row>
    <row r="50" spans="1:12" x14ac:dyDescent="0.25">
      <c r="B50" s="69" t="s">
        <v>38</v>
      </c>
      <c r="C50" s="71">
        <f>+C43*$C$34</f>
        <v>3.2311949999999974</v>
      </c>
      <c r="D50" s="71">
        <f t="shared" ref="D50:I50" si="11">+D43*$C$34</f>
        <v>3.2311949999999974</v>
      </c>
      <c r="E50" s="71">
        <f t="shared" si="11"/>
        <v>3.2311949999999974</v>
      </c>
      <c r="F50" s="71">
        <f t="shared" si="11"/>
        <v>3.2311949999999974</v>
      </c>
      <c r="G50" s="71">
        <f t="shared" si="11"/>
        <v>3.2311949999999974</v>
      </c>
      <c r="H50" s="71">
        <f t="shared" si="11"/>
        <v>3.2311949999999974</v>
      </c>
      <c r="I50" s="71">
        <f t="shared" si="11"/>
        <v>3.2311949999999974</v>
      </c>
      <c r="J50" s="71"/>
      <c r="K50" s="71"/>
      <c r="L50" s="72"/>
    </row>
    <row r="51" spans="1:12" x14ac:dyDescent="0.25">
      <c r="B51" s="16"/>
    </row>
    <row r="52" spans="1:12" x14ac:dyDescent="0.25">
      <c r="B52" s="149" t="s">
        <v>140</v>
      </c>
    </row>
    <row r="53" spans="1:12" x14ac:dyDescent="0.25">
      <c r="B53" s="17"/>
    </row>
    <row r="54" spans="1:12" x14ac:dyDescent="0.25">
      <c r="B54" s="68" t="str">
        <f>+B42</f>
        <v>(YE 31-Dec, USDm)</v>
      </c>
      <c r="C54" s="46">
        <f>+C42</f>
        <v>2012</v>
      </c>
      <c r="D54" s="46">
        <f t="shared" ref="D54:L54" si="12">+D42</f>
        <v>2013</v>
      </c>
      <c r="E54" s="46">
        <f t="shared" si="12"/>
        <v>2014</v>
      </c>
      <c r="F54" s="46">
        <f t="shared" si="12"/>
        <v>2015</v>
      </c>
      <c r="G54" s="46">
        <f t="shared" si="12"/>
        <v>2016</v>
      </c>
      <c r="H54" s="46">
        <f t="shared" si="12"/>
        <v>2017</v>
      </c>
      <c r="I54" s="46">
        <f t="shared" si="12"/>
        <v>2018</v>
      </c>
      <c r="J54" s="46">
        <f t="shared" si="12"/>
        <v>2019</v>
      </c>
      <c r="K54" s="46">
        <f t="shared" si="12"/>
        <v>2020</v>
      </c>
      <c r="L54" s="46">
        <f t="shared" si="12"/>
        <v>2021</v>
      </c>
    </row>
    <row r="55" spans="1:12" s="7" customFormat="1" x14ac:dyDescent="0.25">
      <c r="A55" s="5"/>
      <c r="B55" s="17"/>
    </row>
    <row r="56" spans="1:12" x14ac:dyDescent="0.25">
      <c r="B56" s="2" t="s">
        <v>137</v>
      </c>
      <c r="C56" s="6">
        <f>-(+C36+C50)</f>
        <v>-12.924779999999989</v>
      </c>
      <c r="D56" s="6">
        <f t="shared" ref="D56:L56" si="13">-(+D36+D50)</f>
        <v>-12.924779999999989</v>
      </c>
      <c r="E56" s="6">
        <f t="shared" si="13"/>
        <v>-12.924779999999989</v>
      </c>
      <c r="F56" s="6">
        <f t="shared" si="13"/>
        <v>-12.924779999999989</v>
      </c>
      <c r="G56" s="6">
        <f t="shared" si="13"/>
        <v>-12.924779999999989</v>
      </c>
      <c r="H56" s="6">
        <f t="shared" si="13"/>
        <v>-12.924779999999989</v>
      </c>
      <c r="I56" s="6">
        <f t="shared" si="13"/>
        <v>-12.924779999999989</v>
      </c>
      <c r="J56" s="6">
        <f t="shared" si="13"/>
        <v>0</v>
      </c>
      <c r="K56" s="6">
        <f t="shared" si="13"/>
        <v>0</v>
      </c>
      <c r="L56" s="6">
        <f t="shared" si="13"/>
        <v>0</v>
      </c>
    </row>
    <row r="57" spans="1:12" x14ac:dyDescent="0.25">
      <c r="B57" s="2" t="s">
        <v>138</v>
      </c>
      <c r="C57" s="6">
        <f>+C31+C45</f>
        <v>0</v>
      </c>
      <c r="D57" s="6">
        <f t="shared" ref="D57:L57" si="14">+D31+D45</f>
        <v>0</v>
      </c>
      <c r="E57" s="6">
        <f t="shared" si="14"/>
        <v>0</v>
      </c>
      <c r="F57" s="6">
        <f t="shared" si="14"/>
        <v>0</v>
      </c>
      <c r="G57" s="6">
        <f t="shared" si="14"/>
        <v>0</v>
      </c>
      <c r="H57" s="6">
        <f t="shared" si="14"/>
        <v>0</v>
      </c>
      <c r="I57" s="6">
        <f t="shared" si="14"/>
        <v>-176.24699999999984</v>
      </c>
      <c r="J57" s="6">
        <f t="shared" si="14"/>
        <v>-58.748999999999953</v>
      </c>
      <c r="K57" s="6">
        <f t="shared" si="14"/>
        <v>0</v>
      </c>
      <c r="L57" s="6">
        <f t="shared" si="14"/>
        <v>0</v>
      </c>
    </row>
    <row r="58" spans="1:12" x14ac:dyDescent="0.25">
      <c r="B58" s="2" t="s">
        <v>141</v>
      </c>
      <c r="C58" s="6">
        <f>+C32+C46</f>
        <v>234.99599999999981</v>
      </c>
      <c r="D58" s="6">
        <f t="shared" ref="D58:L58" si="15">+D32+D46</f>
        <v>234.99599999999981</v>
      </c>
      <c r="E58" s="6">
        <f t="shared" si="15"/>
        <v>234.99599999999981</v>
      </c>
      <c r="F58" s="6">
        <f t="shared" si="15"/>
        <v>234.99599999999981</v>
      </c>
      <c r="G58" s="6">
        <f t="shared" si="15"/>
        <v>234.99599999999981</v>
      </c>
      <c r="H58" s="6">
        <f t="shared" si="15"/>
        <v>234.99599999999981</v>
      </c>
      <c r="I58" s="6">
        <f t="shared" si="15"/>
        <v>58.748999999999953</v>
      </c>
      <c r="J58" s="6">
        <f t="shared" si="15"/>
        <v>0</v>
      </c>
      <c r="K58" s="6">
        <f t="shared" si="15"/>
        <v>0</v>
      </c>
      <c r="L58" s="6">
        <f t="shared" si="15"/>
        <v>0</v>
      </c>
    </row>
    <row r="59" spans="1:12" s="7" customFormat="1" x14ac:dyDescent="0.25">
      <c r="A59" s="5"/>
      <c r="B59" s="5"/>
    </row>
    <row r="62" spans="1:12" x14ac:dyDescent="0.25">
      <c r="B62" s="5"/>
    </row>
    <row r="65" spans="1:2" s="7" customFormat="1" x14ac:dyDescent="0.25">
      <c r="A65" s="5"/>
      <c r="B65" s="5"/>
    </row>
    <row r="67" spans="1:2" x14ac:dyDescent="0.25">
      <c r="B67" s="19"/>
    </row>
    <row r="68" spans="1:2" x14ac:dyDescent="0.25">
      <c r="B68" s="5"/>
    </row>
    <row r="71" spans="1:2" x14ac:dyDescent="0.25">
      <c r="B71" s="5"/>
    </row>
    <row r="74" spans="1:2" x14ac:dyDescent="0.25">
      <c r="B74" s="5"/>
    </row>
    <row r="76" spans="1:2" x14ac:dyDescent="0.25">
      <c r="B76" s="19"/>
    </row>
    <row r="77" spans="1:2" s="7" customFormat="1" x14ac:dyDescent="0.25">
      <c r="A77" s="5"/>
      <c r="B77" s="5"/>
    </row>
    <row r="80" spans="1:2" x14ac:dyDescent="0.25">
      <c r="B80" s="5"/>
    </row>
    <row r="81" spans="1:2" s="7" customFormat="1" x14ac:dyDescent="0.25">
      <c r="A81" s="5"/>
      <c r="B81" s="5"/>
    </row>
    <row r="84" spans="1:2" s="7" customFormat="1" x14ac:dyDescent="0.25">
      <c r="A84" s="5"/>
      <c r="B84" s="5"/>
    </row>
    <row r="86" spans="1:2" x14ac:dyDescent="0.25">
      <c r="B86" s="19"/>
    </row>
    <row r="87" spans="1:2" x14ac:dyDescent="0.25">
      <c r="B87" s="5"/>
    </row>
    <row r="89" spans="1:2" x14ac:dyDescent="0.25">
      <c r="B89" s="19"/>
    </row>
    <row r="91" spans="1:2" x14ac:dyDescent="0.25">
      <c r="B91" s="19"/>
    </row>
    <row r="92" spans="1:2" x14ac:dyDescent="0.25">
      <c r="B92" s="5"/>
    </row>
    <row r="93" spans="1:2" x14ac:dyDescent="0.25">
      <c r="B93" s="5"/>
    </row>
    <row r="96" spans="1:2" x14ac:dyDescent="0.25">
      <c r="B96" s="19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Assumptions</vt:lpstr>
      <vt:lpstr>Income Statement</vt:lpstr>
      <vt:lpstr>Balance Sheet</vt:lpstr>
      <vt:lpstr>Cash Flow Statement</vt:lpstr>
      <vt:lpstr>PPE Schedule</vt:lpstr>
      <vt:lpstr>Debt Schedule</vt:lpstr>
      <vt:lpstr>WSO Cover Page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Elie Zakhour</cp:lastModifiedBy>
  <cp:lastPrinted>2016-03-20T15:32:52Z</cp:lastPrinted>
  <dcterms:created xsi:type="dcterms:W3CDTF">2016-03-20T09:22:44Z</dcterms:created>
  <dcterms:modified xsi:type="dcterms:W3CDTF">2024-08-19T20:19:29Z</dcterms:modified>
</cp:coreProperties>
</file>