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sh\OneDrive\Documents\"/>
    </mc:Choice>
  </mc:AlternateContent>
  <xr:revisionPtr revIDLastSave="0" documentId="13_ncr:1_{A7E03873-B206-47EF-BB39-E8CEFD69E428}" xr6:coauthVersionLast="47" xr6:coauthVersionMax="47" xr10:uidLastSave="{00000000-0000-0000-0000-000000000000}"/>
  <bookViews>
    <workbookView xWindow="-108" yWindow="-108" windowWidth="23256" windowHeight="12456" xr2:uid="{FEF6A61F-E0E6-4616-A346-288D2CF7DF96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9" i="1" l="1"/>
  <c r="E229" i="1"/>
  <c r="D229" i="1"/>
  <c r="C229" i="1"/>
  <c r="F225" i="1"/>
  <c r="E225" i="1"/>
  <c r="D225" i="1"/>
  <c r="C225" i="1"/>
  <c r="H223" i="1"/>
  <c r="H219" i="1"/>
  <c r="I219" i="1" s="1"/>
  <c r="J219" i="1" s="1"/>
  <c r="K219" i="1" s="1"/>
  <c r="E219" i="1"/>
  <c r="D219" i="1"/>
  <c r="C219" i="1"/>
  <c r="F217" i="1"/>
  <c r="G213" i="1" s="1"/>
  <c r="E217" i="1"/>
  <c r="D217" i="1"/>
  <c r="C217" i="1"/>
  <c r="H216" i="1"/>
  <c r="I216" i="1" s="1"/>
  <c r="J216" i="1" s="1"/>
  <c r="K216" i="1" s="1"/>
  <c r="G216" i="1"/>
  <c r="H214" i="1"/>
  <c r="I214" i="1" s="1"/>
  <c r="J214" i="1" s="1"/>
  <c r="K214" i="1" s="1"/>
  <c r="G212" i="1"/>
  <c r="H212" i="1" s="1"/>
  <c r="I212" i="1" s="1"/>
  <c r="J212" i="1" s="1"/>
  <c r="K212" i="1" s="1"/>
  <c r="F212" i="1"/>
  <c r="E212" i="1"/>
  <c r="D212" i="1" s="1"/>
  <c r="C212" i="1" s="1"/>
  <c r="J206" i="1"/>
  <c r="K206" i="1" s="1"/>
  <c r="I206" i="1"/>
  <c r="H206" i="1"/>
  <c r="I201" i="1"/>
  <c r="H201" i="1"/>
  <c r="J199" i="1"/>
  <c r="K199" i="1" s="1"/>
  <c r="I199" i="1"/>
  <c r="H199" i="1"/>
  <c r="G194" i="1"/>
  <c r="K189" i="1"/>
  <c r="J189" i="1"/>
  <c r="K188" i="1"/>
  <c r="J188" i="1"/>
  <c r="H188" i="1"/>
  <c r="I188" i="1" s="1"/>
  <c r="I189" i="1" s="1"/>
  <c r="I147" i="1" s="1"/>
  <c r="G188" i="1"/>
  <c r="G189" i="1" s="1"/>
  <c r="G147" i="1" s="1"/>
  <c r="G187" i="1"/>
  <c r="G190" i="1" s="1"/>
  <c r="G202" i="1" s="1"/>
  <c r="H183" i="1"/>
  <c r="I183" i="1" s="1"/>
  <c r="J183" i="1" s="1"/>
  <c r="K183" i="1" s="1"/>
  <c r="G179" i="1"/>
  <c r="G177" i="1"/>
  <c r="H177" i="1" s="1"/>
  <c r="I177" i="1" s="1"/>
  <c r="J177" i="1" s="1"/>
  <c r="K177" i="1" s="1"/>
  <c r="F177" i="1"/>
  <c r="E177" i="1"/>
  <c r="D177" i="1" s="1"/>
  <c r="C177" i="1" s="1"/>
  <c r="G173" i="1"/>
  <c r="F173" i="1"/>
  <c r="E173" i="1"/>
  <c r="D173" i="1"/>
  <c r="C173" i="1"/>
  <c r="I169" i="1"/>
  <c r="H169" i="1"/>
  <c r="J165" i="1"/>
  <c r="I165" i="1"/>
  <c r="H165" i="1"/>
  <c r="H179" i="1" s="1"/>
  <c r="G161" i="1"/>
  <c r="J159" i="1"/>
  <c r="K159" i="1" s="1"/>
  <c r="F159" i="1"/>
  <c r="G159" i="1" s="1"/>
  <c r="H159" i="1" s="1"/>
  <c r="I159" i="1" s="1"/>
  <c r="E159" i="1"/>
  <c r="D159" i="1" s="1"/>
  <c r="C159" i="1" s="1"/>
  <c r="G154" i="1"/>
  <c r="G182" i="1" s="1"/>
  <c r="H149" i="1"/>
  <c r="G149" i="1"/>
  <c r="K147" i="1"/>
  <c r="J147" i="1"/>
  <c r="J148" i="1" s="1"/>
  <c r="J139" i="1"/>
  <c r="J136" i="1"/>
  <c r="K136" i="1" s="1"/>
  <c r="H136" i="1"/>
  <c r="I136" i="1" s="1"/>
  <c r="G136" i="1"/>
  <c r="F136" i="1"/>
  <c r="E136" i="1" s="1"/>
  <c r="D136" i="1" s="1"/>
  <c r="C136" i="1" s="1"/>
  <c r="B127" i="1"/>
  <c r="B128" i="1" s="1"/>
  <c r="B129" i="1" s="1"/>
  <c r="B130" i="1" s="1"/>
  <c r="H122" i="1"/>
  <c r="I122" i="1" s="1"/>
  <c r="J122" i="1" s="1"/>
  <c r="K122" i="1" s="1"/>
  <c r="G122" i="1"/>
  <c r="F122" i="1"/>
  <c r="E122" i="1" s="1"/>
  <c r="D122" i="1" s="1"/>
  <c r="C122" i="1" s="1"/>
  <c r="I119" i="1"/>
  <c r="J119" i="1" s="1"/>
  <c r="K119" i="1" s="1"/>
  <c r="H119" i="1"/>
  <c r="H118" i="1"/>
  <c r="I118" i="1" s="1"/>
  <c r="G116" i="1"/>
  <c r="H113" i="1" s="1"/>
  <c r="H116" i="1" s="1"/>
  <c r="F116" i="1"/>
  <c r="E116" i="1"/>
  <c r="D116" i="1"/>
  <c r="H115" i="1"/>
  <c r="I115" i="1" s="1"/>
  <c r="J115" i="1" s="1"/>
  <c r="K115" i="1" s="1"/>
  <c r="F115" i="1"/>
  <c r="E115" i="1"/>
  <c r="F114" i="1"/>
  <c r="E114" i="1"/>
  <c r="D114" i="1"/>
  <c r="G113" i="1"/>
  <c r="F113" i="1"/>
  <c r="E113" i="1"/>
  <c r="D113" i="1"/>
  <c r="D115" i="1" s="1"/>
  <c r="F111" i="1"/>
  <c r="E111" i="1"/>
  <c r="D111" i="1"/>
  <c r="F110" i="1"/>
  <c r="D110" i="1"/>
  <c r="D119" i="1" s="1"/>
  <c r="F109" i="1"/>
  <c r="E109" i="1"/>
  <c r="D109" i="1"/>
  <c r="G108" i="1"/>
  <c r="G123" i="1" s="1" a="1"/>
  <c r="F108" i="1"/>
  <c r="E108" i="1"/>
  <c r="E110" i="1" s="1"/>
  <c r="D108" i="1"/>
  <c r="H107" i="1"/>
  <c r="I107" i="1" s="1"/>
  <c r="J107" i="1" s="1"/>
  <c r="K107" i="1" s="1"/>
  <c r="F107" i="1"/>
  <c r="G107" i="1" s="1"/>
  <c r="E107" i="1"/>
  <c r="D107" i="1"/>
  <c r="C107" i="1" s="1"/>
  <c r="H104" i="1"/>
  <c r="I104" i="1" s="1"/>
  <c r="J104" i="1" s="1"/>
  <c r="F104" i="1"/>
  <c r="E104" i="1"/>
  <c r="I103" i="1"/>
  <c r="J103" i="1" s="1"/>
  <c r="H103" i="1"/>
  <c r="C103" i="1"/>
  <c r="I101" i="1"/>
  <c r="J101" i="1" s="1"/>
  <c r="H101" i="1"/>
  <c r="F101" i="1"/>
  <c r="D101" i="1"/>
  <c r="J100" i="1"/>
  <c r="K100" i="1" s="1"/>
  <c r="H100" i="1"/>
  <c r="I100" i="1" s="1"/>
  <c r="F100" i="1"/>
  <c r="E100" i="1"/>
  <c r="I99" i="1"/>
  <c r="H99" i="1"/>
  <c r="E93" i="1"/>
  <c r="C93" i="1"/>
  <c r="F92" i="1"/>
  <c r="E92" i="1"/>
  <c r="D92" i="1"/>
  <c r="D104" i="1" s="1"/>
  <c r="C92" i="1"/>
  <c r="B92" i="1"/>
  <c r="F91" i="1"/>
  <c r="E91" i="1"/>
  <c r="E103" i="1" s="1"/>
  <c r="D91" i="1"/>
  <c r="D103" i="1" s="1"/>
  <c r="C91" i="1"/>
  <c r="B91" i="1"/>
  <c r="D89" i="1"/>
  <c r="F88" i="1"/>
  <c r="F89" i="1" s="1"/>
  <c r="E88" i="1"/>
  <c r="E101" i="1" s="1"/>
  <c r="D88" i="1"/>
  <c r="C88" i="1"/>
  <c r="B88" i="1"/>
  <c r="F87" i="1"/>
  <c r="E87" i="1"/>
  <c r="D87" i="1"/>
  <c r="D100" i="1" s="1"/>
  <c r="C87" i="1"/>
  <c r="C100" i="1" s="1"/>
  <c r="B87" i="1"/>
  <c r="F86" i="1"/>
  <c r="E86" i="1"/>
  <c r="E89" i="1" s="1"/>
  <c r="E95" i="1" s="1"/>
  <c r="D86" i="1"/>
  <c r="D99" i="1" s="1"/>
  <c r="C86" i="1"/>
  <c r="C99" i="1" s="1"/>
  <c r="B86" i="1"/>
  <c r="H85" i="1"/>
  <c r="I85" i="1" s="1"/>
  <c r="J85" i="1" s="1"/>
  <c r="K85" i="1" s="1"/>
  <c r="G85" i="1"/>
  <c r="F85" i="1"/>
  <c r="E85" i="1"/>
  <c r="D85" i="1" s="1"/>
  <c r="C85" i="1" s="1"/>
  <c r="F74" i="1"/>
  <c r="F76" i="1" s="1"/>
  <c r="F80" i="1" s="1"/>
  <c r="E74" i="1"/>
  <c r="E76" i="1" s="1"/>
  <c r="E80" i="1" s="1"/>
  <c r="J73" i="1"/>
  <c r="K73" i="1" s="1"/>
  <c r="I73" i="1"/>
  <c r="H73" i="1"/>
  <c r="K72" i="1"/>
  <c r="I72" i="1"/>
  <c r="J72" i="1" s="1"/>
  <c r="H72" i="1"/>
  <c r="E72" i="1"/>
  <c r="D72" i="1"/>
  <c r="D74" i="1" s="1"/>
  <c r="D76" i="1" s="1"/>
  <c r="D80" i="1" s="1"/>
  <c r="C72" i="1"/>
  <c r="C74" i="1" s="1"/>
  <c r="C76" i="1" s="1"/>
  <c r="C80" i="1" s="1"/>
  <c r="G71" i="1"/>
  <c r="F69" i="1"/>
  <c r="E69" i="1"/>
  <c r="D69" i="1"/>
  <c r="C69" i="1"/>
  <c r="K67" i="1"/>
  <c r="I67" i="1"/>
  <c r="J67" i="1" s="1"/>
  <c r="H67" i="1"/>
  <c r="F61" i="1"/>
  <c r="F63" i="1" s="1"/>
  <c r="E61" i="1"/>
  <c r="E63" i="1" s="1"/>
  <c r="D61" i="1"/>
  <c r="C61" i="1"/>
  <c r="C63" i="1" s="1"/>
  <c r="I60" i="1"/>
  <c r="J60" i="1" s="1"/>
  <c r="K60" i="1" s="1"/>
  <c r="H60" i="1"/>
  <c r="H59" i="1"/>
  <c r="I59" i="1" s="1"/>
  <c r="J59" i="1" s="1"/>
  <c r="K59" i="1" s="1"/>
  <c r="G58" i="1"/>
  <c r="F55" i="1"/>
  <c r="E55" i="1"/>
  <c r="D55" i="1"/>
  <c r="D63" i="1" s="1"/>
  <c r="C55" i="1"/>
  <c r="H51" i="1"/>
  <c r="I51" i="1" s="1"/>
  <c r="J51" i="1" s="1"/>
  <c r="K51" i="1" s="1"/>
  <c r="F49" i="1"/>
  <c r="G49" i="1" s="1"/>
  <c r="H49" i="1" s="1"/>
  <c r="I49" i="1" s="1"/>
  <c r="J49" i="1" s="1"/>
  <c r="K49" i="1" s="1"/>
  <c r="E49" i="1"/>
  <c r="D49" i="1" s="1"/>
  <c r="C49" i="1" s="1"/>
  <c r="E43" i="1"/>
  <c r="F42" i="1"/>
  <c r="G42" i="1" s="1"/>
  <c r="E42" i="1"/>
  <c r="D42" i="1"/>
  <c r="G41" i="1"/>
  <c r="F41" i="1"/>
  <c r="E41" i="1"/>
  <c r="D41" i="1"/>
  <c r="E40" i="1"/>
  <c r="K29" i="1"/>
  <c r="K139" i="1" s="1"/>
  <c r="J29" i="1"/>
  <c r="I29" i="1"/>
  <c r="I139" i="1" s="1"/>
  <c r="H29" i="1"/>
  <c r="H139" i="1" s="1"/>
  <c r="G29" i="1"/>
  <c r="G139" i="1" s="1"/>
  <c r="E25" i="1"/>
  <c r="E44" i="1" s="1"/>
  <c r="C25" i="1"/>
  <c r="C44" i="1" s="1"/>
  <c r="F23" i="1"/>
  <c r="F25" i="1" s="1"/>
  <c r="E23" i="1"/>
  <c r="D23" i="1"/>
  <c r="D25" i="1" s="1"/>
  <c r="D44" i="1" s="1"/>
  <c r="C23" i="1"/>
  <c r="F20" i="1"/>
  <c r="F27" i="1" s="1"/>
  <c r="E20" i="1"/>
  <c r="E27" i="1" s="1"/>
  <c r="C20" i="1"/>
  <c r="C43" i="1" s="1"/>
  <c r="F15" i="1"/>
  <c r="F44" i="1" s="1"/>
  <c r="E15" i="1"/>
  <c r="D15" i="1"/>
  <c r="C15" i="1"/>
  <c r="C104" i="1" s="1"/>
  <c r="G14" i="1"/>
  <c r="H14" i="1" s="1"/>
  <c r="I14" i="1" s="1"/>
  <c r="J14" i="1" s="1"/>
  <c r="K14" i="1" s="1"/>
  <c r="F14" i="1"/>
  <c r="E14" i="1" s="1"/>
  <c r="D14" i="1" s="1"/>
  <c r="C14" i="1" s="1"/>
  <c r="K104" i="1" l="1"/>
  <c r="H42" i="1"/>
  <c r="I42" i="1" s="1"/>
  <c r="J42" i="1" s="1"/>
  <c r="K42" i="1" s="1"/>
  <c r="G17" i="1"/>
  <c r="H17" i="1" s="1"/>
  <c r="I17" i="1" s="1"/>
  <c r="J17" i="1" s="1"/>
  <c r="K17" i="1" s="1"/>
  <c r="K123" i="1"/>
  <c r="I123" i="1"/>
  <c r="J123" i="1"/>
  <c r="H123" i="1"/>
  <c r="G123" i="1"/>
  <c r="C82" i="1"/>
  <c r="E82" i="1"/>
  <c r="E45" i="1"/>
  <c r="E30" i="1"/>
  <c r="E33" i="1" s="1"/>
  <c r="F82" i="1"/>
  <c r="K103" i="1"/>
  <c r="F30" i="1"/>
  <c r="F33" i="1" s="1"/>
  <c r="F45" i="1"/>
  <c r="K101" i="1"/>
  <c r="E119" i="1"/>
  <c r="E118" i="1"/>
  <c r="H58" i="1"/>
  <c r="I113" i="1"/>
  <c r="I116" i="1" s="1"/>
  <c r="D82" i="1"/>
  <c r="E99" i="1"/>
  <c r="F103" i="1"/>
  <c r="F93" i="1"/>
  <c r="F95" i="1" s="1"/>
  <c r="F96" i="1" s="1"/>
  <c r="D118" i="1"/>
  <c r="C89" i="1"/>
  <c r="C95" i="1" s="1"/>
  <c r="H173" i="1"/>
  <c r="G174" i="1"/>
  <c r="F43" i="1"/>
  <c r="J99" i="1"/>
  <c r="H41" i="1"/>
  <c r="I41" i="1" s="1"/>
  <c r="J41" i="1" s="1"/>
  <c r="K41" i="1" s="1"/>
  <c r="G16" i="1"/>
  <c r="D40" i="1"/>
  <c r="C27" i="1"/>
  <c r="F40" i="1"/>
  <c r="D93" i="1"/>
  <c r="F119" i="1"/>
  <c r="F118" i="1"/>
  <c r="J118" i="1"/>
  <c r="D95" i="1"/>
  <c r="D96" i="1" s="1"/>
  <c r="F99" i="1"/>
  <c r="K165" i="1"/>
  <c r="J149" i="1"/>
  <c r="J179" i="1"/>
  <c r="J169" i="1"/>
  <c r="K148" i="1"/>
  <c r="D20" i="1"/>
  <c r="C101" i="1"/>
  <c r="G148" i="1"/>
  <c r="H187" i="1"/>
  <c r="G74" i="1"/>
  <c r="I148" i="1"/>
  <c r="I179" i="1"/>
  <c r="H189" i="1"/>
  <c r="H147" i="1" s="1"/>
  <c r="I223" i="1"/>
  <c r="F219" i="1"/>
  <c r="I149" i="1"/>
  <c r="J201" i="1"/>
  <c r="I58" i="1" l="1"/>
  <c r="J113" i="1"/>
  <c r="J116" i="1" s="1"/>
  <c r="C30" i="1"/>
  <c r="C33" i="1" s="1"/>
  <c r="C45" i="1"/>
  <c r="K149" i="1"/>
  <c r="K179" i="1"/>
  <c r="K169" i="1"/>
  <c r="H148" i="1"/>
  <c r="F46" i="1"/>
  <c r="F35" i="1"/>
  <c r="K201" i="1"/>
  <c r="K99" i="1"/>
  <c r="K118" i="1"/>
  <c r="G181" i="1"/>
  <c r="G164" i="1"/>
  <c r="G151" i="1"/>
  <c r="E96" i="1"/>
  <c r="H190" i="1"/>
  <c r="H174" i="1"/>
  <c r="I173" i="1"/>
  <c r="J223" i="1"/>
  <c r="D27" i="1"/>
  <c r="D43" i="1"/>
  <c r="G15" i="1"/>
  <c r="H16" i="1"/>
  <c r="E35" i="1"/>
  <c r="E46" i="1"/>
  <c r="D30" i="1" l="1"/>
  <c r="D33" i="1" s="1"/>
  <c r="D45" i="1"/>
  <c r="E228" i="1"/>
  <c r="E230" i="1" s="1"/>
  <c r="E169" i="1"/>
  <c r="H202" i="1"/>
  <c r="H71" i="1"/>
  <c r="K223" i="1"/>
  <c r="F169" i="1"/>
  <c r="F228" i="1"/>
  <c r="F230" i="1" s="1"/>
  <c r="G110" i="1"/>
  <c r="G20" i="1"/>
  <c r="G92" i="1"/>
  <c r="G66" i="1" s="1"/>
  <c r="G88" i="1"/>
  <c r="G54" i="1" s="1"/>
  <c r="G19" i="1"/>
  <c r="G27" i="1"/>
  <c r="G86" i="1"/>
  <c r="G40" i="1"/>
  <c r="G25" i="1"/>
  <c r="C46" i="1"/>
  <c r="C35" i="1"/>
  <c r="I174" i="1"/>
  <c r="J173" i="1"/>
  <c r="H181" i="1"/>
  <c r="H164" i="1"/>
  <c r="H151" i="1"/>
  <c r="I16" i="1"/>
  <c r="H15" i="1"/>
  <c r="K113" i="1"/>
  <c r="K116" i="1" s="1"/>
  <c r="K58" i="1" s="1"/>
  <c r="J58" i="1"/>
  <c r="I187" i="1" l="1"/>
  <c r="I190" i="1" s="1"/>
  <c r="H74" i="1"/>
  <c r="I15" i="1"/>
  <c r="J16" i="1"/>
  <c r="H27" i="1"/>
  <c r="H40" i="1"/>
  <c r="H25" i="1"/>
  <c r="H20" i="1"/>
  <c r="H19" i="1" s="1"/>
  <c r="H86" i="1"/>
  <c r="H88" i="1"/>
  <c r="H54" i="1" s="1"/>
  <c r="H92" i="1"/>
  <c r="H66" i="1" s="1"/>
  <c r="H110" i="1"/>
  <c r="G126" i="1" a="1"/>
  <c r="G143" i="1"/>
  <c r="G144" i="1" s="1"/>
  <c r="I181" i="1"/>
  <c r="I164" i="1"/>
  <c r="I151" i="1"/>
  <c r="G52" i="1"/>
  <c r="G91" i="1"/>
  <c r="G87" i="1"/>
  <c r="G53" i="1" s="1"/>
  <c r="J174" i="1"/>
  <c r="K173" i="1"/>
  <c r="K174" i="1" s="1"/>
  <c r="D46" i="1"/>
  <c r="D35" i="1"/>
  <c r="C228" i="1"/>
  <c r="C230" i="1" s="1"/>
  <c r="C169" i="1"/>
  <c r="H87" i="1" l="1"/>
  <c r="H53" i="1" s="1"/>
  <c r="H91" i="1"/>
  <c r="H89" i="1"/>
  <c r="H52" i="1"/>
  <c r="G65" i="1"/>
  <c r="G93" i="1"/>
  <c r="J15" i="1"/>
  <c r="K16" i="1"/>
  <c r="K15" i="1" s="1"/>
  <c r="I71" i="1"/>
  <c r="I202" i="1"/>
  <c r="D228" i="1"/>
  <c r="D230" i="1" s="1"/>
  <c r="D169" i="1"/>
  <c r="I40" i="1"/>
  <c r="I27" i="1"/>
  <c r="I25" i="1"/>
  <c r="I20" i="1"/>
  <c r="I19" i="1" s="1"/>
  <c r="I92" i="1"/>
  <c r="I66" i="1" s="1"/>
  <c r="I110" i="1"/>
  <c r="I88" i="1"/>
  <c r="I54" i="1" s="1"/>
  <c r="I86" i="1"/>
  <c r="J126" i="1"/>
  <c r="H126" i="1"/>
  <c r="G126" i="1"/>
  <c r="G131" i="1" s="1"/>
  <c r="G133" i="1" s="1"/>
  <c r="K126" i="1"/>
  <c r="I126" i="1"/>
  <c r="H143" i="1"/>
  <c r="H144" i="1" s="1"/>
  <c r="H127" i="1" a="1"/>
  <c r="G89" i="1"/>
  <c r="G95" i="1" s="1"/>
  <c r="G96" i="1" s="1"/>
  <c r="G140" i="1" s="1"/>
  <c r="K164" i="1"/>
  <c r="K151" i="1"/>
  <c r="K181" i="1"/>
  <c r="J181" i="1"/>
  <c r="J164" i="1"/>
  <c r="J151" i="1"/>
  <c r="I91" i="1" l="1"/>
  <c r="I87" i="1"/>
  <c r="I53" i="1" s="1"/>
  <c r="K25" i="1"/>
  <c r="K27" i="1"/>
  <c r="K40" i="1"/>
  <c r="K20" i="1"/>
  <c r="K19" i="1" s="1"/>
  <c r="K92" i="1"/>
  <c r="K66" i="1" s="1"/>
  <c r="K88" i="1"/>
  <c r="K54" i="1" s="1"/>
  <c r="K86" i="1"/>
  <c r="K110" i="1"/>
  <c r="J25" i="1"/>
  <c r="J40" i="1"/>
  <c r="J20" i="1"/>
  <c r="J19" i="1" s="1"/>
  <c r="J27" i="1"/>
  <c r="J88" i="1"/>
  <c r="J54" i="1" s="1"/>
  <c r="J92" i="1"/>
  <c r="J66" i="1" s="1"/>
  <c r="J86" i="1"/>
  <c r="J110" i="1"/>
  <c r="J187" i="1"/>
  <c r="J190" i="1" s="1"/>
  <c r="I74" i="1"/>
  <c r="K127" i="1"/>
  <c r="I127" i="1"/>
  <c r="H127" i="1"/>
  <c r="J127" i="1"/>
  <c r="I128" i="1" a="1"/>
  <c r="I143" i="1"/>
  <c r="I144" i="1" s="1"/>
  <c r="H95" i="1"/>
  <c r="H96" i="1" s="1"/>
  <c r="H140" i="1" s="1"/>
  <c r="I52" i="1"/>
  <c r="I89" i="1"/>
  <c r="G109" i="1"/>
  <c r="G111" i="1" s="1"/>
  <c r="G28" i="1"/>
  <c r="H93" i="1"/>
  <c r="H65" i="1"/>
  <c r="H131" i="1"/>
  <c r="H133" i="1" s="1"/>
  <c r="K87" i="1" l="1"/>
  <c r="K53" i="1" s="1"/>
  <c r="K91" i="1"/>
  <c r="J87" i="1"/>
  <c r="J53" i="1" s="1"/>
  <c r="J91" i="1"/>
  <c r="K89" i="1"/>
  <c r="K52" i="1"/>
  <c r="J143" i="1"/>
  <c r="J144" i="1" s="1"/>
  <c r="J129" i="1" a="1"/>
  <c r="J71" i="1"/>
  <c r="J202" i="1"/>
  <c r="J89" i="1"/>
  <c r="J52" i="1"/>
  <c r="K128" i="1"/>
  <c r="J128" i="1"/>
  <c r="I128" i="1"/>
  <c r="I131" i="1" s="1"/>
  <c r="I133" i="1" s="1"/>
  <c r="K143" i="1"/>
  <c r="K144" i="1" s="1"/>
  <c r="K130" i="1" a="1"/>
  <c r="K130" i="1" s="1"/>
  <c r="G138" i="1"/>
  <c r="G30" i="1"/>
  <c r="H109" i="1"/>
  <c r="H28" i="1"/>
  <c r="G57" i="1"/>
  <c r="G61" i="1" s="1"/>
  <c r="H108" i="1"/>
  <c r="H111" i="1" s="1"/>
  <c r="I65" i="1"/>
  <c r="I93" i="1"/>
  <c r="I95" i="1" s="1"/>
  <c r="I96" i="1" s="1"/>
  <c r="I140" i="1" s="1"/>
  <c r="K187" i="1" l="1"/>
  <c r="K190" i="1" s="1"/>
  <c r="J74" i="1"/>
  <c r="J129" i="1"/>
  <c r="K129" i="1"/>
  <c r="J95" i="1"/>
  <c r="J96" i="1" s="1"/>
  <c r="J140" i="1" s="1"/>
  <c r="I28" i="1"/>
  <c r="I109" i="1"/>
  <c r="H57" i="1"/>
  <c r="H61" i="1" s="1"/>
  <c r="I108" i="1"/>
  <c r="J131" i="1"/>
  <c r="J133" i="1" s="1"/>
  <c r="J93" i="1"/>
  <c r="J65" i="1"/>
  <c r="K131" i="1"/>
  <c r="K133" i="1" s="1"/>
  <c r="H138" i="1"/>
  <c r="H30" i="1"/>
  <c r="K93" i="1"/>
  <c r="K95" i="1" s="1"/>
  <c r="K96" i="1" s="1"/>
  <c r="K140" i="1" s="1"/>
  <c r="K65" i="1"/>
  <c r="I138" i="1" l="1"/>
  <c r="I30" i="1"/>
  <c r="K28" i="1"/>
  <c r="K109" i="1"/>
  <c r="J109" i="1"/>
  <c r="J28" i="1"/>
  <c r="I111" i="1"/>
  <c r="K71" i="1"/>
  <c r="K74" i="1" s="1"/>
  <c r="K202" i="1"/>
  <c r="I57" i="1" l="1"/>
  <c r="I61" i="1" s="1"/>
  <c r="J108" i="1"/>
  <c r="J111" i="1" s="1"/>
  <c r="J138" i="1"/>
  <c r="J30" i="1"/>
  <c r="K138" i="1"/>
  <c r="K30" i="1"/>
  <c r="K108" i="1" l="1"/>
  <c r="K111" i="1" s="1"/>
  <c r="K57" i="1" s="1"/>
  <c r="K61" i="1" s="1"/>
  <c r="J57" i="1"/>
  <c r="J61" i="1" s="1"/>
  <c r="G31" i="1" l="1"/>
  <c r="H31" i="1"/>
  <c r="I31" i="1"/>
  <c r="J31" i="1"/>
  <c r="K31" i="1"/>
  <c r="G32" i="1"/>
  <c r="H32" i="1"/>
  <c r="I32" i="1"/>
  <c r="J32" i="1"/>
  <c r="K32" i="1"/>
  <c r="G33" i="1"/>
  <c r="H33" i="1"/>
  <c r="I33" i="1"/>
  <c r="J33" i="1"/>
  <c r="K33" i="1"/>
  <c r="G34" i="1"/>
  <c r="H34" i="1"/>
  <c r="I34" i="1"/>
  <c r="J34" i="1"/>
  <c r="K34" i="1"/>
  <c r="G35" i="1"/>
  <c r="H35" i="1"/>
  <c r="I35" i="1"/>
  <c r="J35" i="1"/>
  <c r="K35" i="1"/>
  <c r="G50" i="1"/>
  <c r="H50" i="1"/>
  <c r="I50" i="1"/>
  <c r="J50" i="1"/>
  <c r="K50" i="1"/>
  <c r="G55" i="1"/>
  <c r="H55" i="1"/>
  <c r="I55" i="1"/>
  <c r="J55" i="1"/>
  <c r="K55" i="1"/>
  <c r="G63" i="1"/>
  <c r="H63" i="1"/>
  <c r="I63" i="1"/>
  <c r="J63" i="1"/>
  <c r="K63" i="1"/>
  <c r="G68" i="1"/>
  <c r="H68" i="1"/>
  <c r="I68" i="1"/>
  <c r="J68" i="1"/>
  <c r="K68" i="1"/>
  <c r="G69" i="1"/>
  <c r="H69" i="1"/>
  <c r="I69" i="1"/>
  <c r="J69" i="1"/>
  <c r="K69" i="1"/>
  <c r="G76" i="1"/>
  <c r="H76" i="1"/>
  <c r="I76" i="1"/>
  <c r="J76" i="1"/>
  <c r="K76" i="1"/>
  <c r="G78" i="1"/>
  <c r="H78" i="1"/>
  <c r="I78" i="1"/>
  <c r="J78" i="1"/>
  <c r="K78" i="1"/>
  <c r="G80" i="1"/>
  <c r="H80" i="1"/>
  <c r="I80" i="1"/>
  <c r="J80" i="1"/>
  <c r="K80" i="1"/>
  <c r="G82" i="1"/>
  <c r="H82" i="1"/>
  <c r="I82" i="1"/>
  <c r="J82" i="1"/>
  <c r="K82" i="1"/>
  <c r="G137" i="1"/>
  <c r="H137" i="1"/>
  <c r="I137" i="1"/>
  <c r="J137" i="1"/>
  <c r="K137" i="1"/>
  <c r="G141" i="1"/>
  <c r="H141" i="1"/>
  <c r="I141" i="1"/>
  <c r="J141" i="1"/>
  <c r="K141" i="1"/>
  <c r="G146" i="1"/>
  <c r="H146" i="1"/>
  <c r="I146" i="1"/>
  <c r="J146" i="1"/>
  <c r="K146" i="1"/>
  <c r="G150" i="1"/>
  <c r="H150" i="1"/>
  <c r="I150" i="1"/>
  <c r="J150" i="1"/>
  <c r="K150" i="1"/>
  <c r="G152" i="1"/>
  <c r="H152" i="1"/>
  <c r="I152" i="1"/>
  <c r="J152" i="1"/>
  <c r="K152" i="1"/>
  <c r="H154" i="1"/>
  <c r="I154" i="1"/>
  <c r="J154" i="1"/>
  <c r="K154" i="1"/>
  <c r="G155" i="1"/>
  <c r="H155" i="1"/>
  <c r="I155" i="1"/>
  <c r="J155" i="1"/>
  <c r="K155" i="1"/>
  <c r="G156" i="1"/>
  <c r="H156" i="1"/>
  <c r="I156" i="1"/>
  <c r="J156" i="1"/>
  <c r="K156" i="1"/>
  <c r="H161" i="1"/>
  <c r="I161" i="1"/>
  <c r="J161" i="1"/>
  <c r="K161" i="1"/>
  <c r="G162" i="1"/>
  <c r="H162" i="1"/>
  <c r="I162" i="1"/>
  <c r="J162" i="1"/>
  <c r="K162" i="1"/>
  <c r="G163" i="1"/>
  <c r="H163" i="1"/>
  <c r="I163" i="1"/>
  <c r="J163" i="1"/>
  <c r="K163" i="1"/>
  <c r="G166" i="1"/>
  <c r="H166" i="1"/>
  <c r="I166" i="1"/>
  <c r="J166" i="1"/>
  <c r="K166" i="1"/>
  <c r="G170" i="1"/>
  <c r="H170" i="1"/>
  <c r="I170" i="1"/>
  <c r="J170" i="1"/>
  <c r="K170" i="1"/>
  <c r="G178" i="1"/>
  <c r="H178" i="1"/>
  <c r="I178" i="1"/>
  <c r="J178" i="1"/>
  <c r="K178" i="1"/>
  <c r="G180" i="1"/>
  <c r="H180" i="1"/>
  <c r="I180" i="1"/>
  <c r="J180" i="1"/>
  <c r="K180" i="1"/>
  <c r="H182" i="1"/>
  <c r="I182" i="1"/>
  <c r="J182" i="1"/>
  <c r="K182" i="1"/>
  <c r="G184" i="1"/>
  <c r="H184" i="1"/>
  <c r="I184" i="1"/>
  <c r="J184" i="1"/>
  <c r="K184" i="1"/>
  <c r="G193" i="1"/>
  <c r="H193" i="1"/>
  <c r="I193" i="1"/>
  <c r="J193" i="1"/>
  <c r="K193" i="1"/>
  <c r="H194" i="1"/>
  <c r="I194" i="1"/>
  <c r="J194" i="1"/>
  <c r="K194" i="1"/>
  <c r="G195" i="1"/>
  <c r="H195" i="1"/>
  <c r="I195" i="1"/>
  <c r="J195" i="1"/>
  <c r="K195" i="1"/>
  <c r="G196" i="1"/>
  <c r="H196" i="1"/>
  <c r="I196" i="1"/>
  <c r="J196" i="1"/>
  <c r="K196" i="1"/>
  <c r="G200" i="1"/>
  <c r="H200" i="1"/>
  <c r="I200" i="1"/>
  <c r="J200" i="1"/>
  <c r="K200" i="1"/>
  <c r="G203" i="1"/>
  <c r="H203" i="1"/>
  <c r="I203" i="1"/>
  <c r="J203" i="1"/>
  <c r="K203" i="1"/>
  <c r="G205" i="1"/>
  <c r="H205" i="1"/>
  <c r="I205" i="1"/>
  <c r="J205" i="1"/>
  <c r="K205" i="1"/>
  <c r="G207" i="1"/>
  <c r="H207" i="1"/>
  <c r="I207" i="1"/>
  <c r="J207" i="1"/>
  <c r="K207" i="1"/>
  <c r="G209" i="1"/>
  <c r="H209" i="1"/>
  <c r="I209" i="1"/>
  <c r="J209" i="1"/>
  <c r="K209" i="1"/>
  <c r="H213" i="1"/>
  <c r="I213" i="1"/>
  <c r="J213" i="1"/>
  <c r="K213" i="1"/>
  <c r="G215" i="1"/>
  <c r="H215" i="1"/>
  <c r="I215" i="1"/>
  <c r="J215" i="1"/>
  <c r="K215" i="1"/>
  <c r="G217" i="1"/>
  <c r="H217" i="1"/>
  <c r="I217" i="1"/>
  <c r="J217" i="1"/>
  <c r="K217" i="1"/>
  <c r="G220" i="1"/>
  <c r="H220" i="1"/>
  <c r="I220" i="1"/>
  <c r="J220" i="1"/>
  <c r="K220" i="1"/>
  <c r="G224" i="1"/>
  <c r="H224" i="1"/>
  <c r="I224" i="1"/>
  <c r="J224" i="1"/>
  <c r="K224" i="1"/>
  <c r="G225" i="1"/>
  <c r="H225" i="1"/>
  <c r="I225" i="1"/>
  <c r="J225" i="1"/>
  <c r="K225" i="1"/>
  <c r="G228" i="1"/>
  <c r="H228" i="1"/>
  <c r="I228" i="1"/>
  <c r="J228" i="1"/>
  <c r="K228" i="1"/>
  <c r="G229" i="1"/>
  <c r="H229" i="1"/>
  <c r="I229" i="1"/>
  <c r="J229" i="1"/>
  <c r="K229" i="1"/>
  <c r="G230" i="1"/>
  <c r="H230" i="1"/>
  <c r="I230" i="1"/>
  <c r="J230" i="1"/>
  <c r="K2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Arsh Gudani</author>
  </authors>
  <commentList>
    <comment ref="B23" authorId="0" shapeId="0" xr:uid="{439C3C02-E005-40A1-A89A-B71E67C704FC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Net of D&amp;A.</t>
        </r>
      </text>
    </comment>
    <comment ref="B28" authorId="0" shapeId="0" xr:uid="{2BC78AC2-AF02-4B1E-9B02-4BC57527313E}">
      <text>
        <r>
          <rPr>
            <b/>
            <sz val="9"/>
            <color indexed="81"/>
            <rFont val="Tahoma"/>
            <family val="2"/>
          </rPr>
          <t xml:space="preserve">Arsh Gudani:
</t>
        </r>
        <r>
          <rPr>
            <sz val="9"/>
            <color indexed="81"/>
            <rFont val="Tahoma"/>
            <family val="2"/>
          </rPr>
          <t xml:space="preserve">Calculated through the difference between total D&amp;A-Amortization  
</t>
        </r>
        <r>
          <rPr>
            <sz val="9"/>
            <color indexed="81"/>
            <rFont val="Tahoma"/>
            <family val="2"/>
          </rPr>
          <t xml:space="preserve">
D&amp;A 2017-2020: 1955
1946
2206
3601</t>
        </r>
      </text>
    </comment>
    <comment ref="B29" authorId="0" shapeId="0" xr:uid="{89C45BDE-5D25-4ED3-BBC8-EC076282C6DA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Page f31 10k reporting 2020</t>
        </r>
      </text>
    </comment>
    <comment ref="B51" authorId="0" shapeId="0" xr:uid="{8E47BA08-3A74-45FA-9411-472D6A3A8270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this is a cash current asset and shall have a schedule of its own of some kind</t>
        </r>
      </text>
    </comment>
    <comment ref="B72" authorId="0" shapeId="0" xr:uid="{BA4297B9-01FA-4794-BD67-F54BF26C73E1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I deleted the long term tax deferred liabilities as its value wasn't given and was added to the "long term tax liabilities" line.</t>
        </r>
      </text>
    </comment>
    <comment ref="G114" authorId="0" shapeId="0" xr:uid="{E06AF153-6957-48AA-828C-8611C2EC554F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Page f31 10k reporting 2020</t>
        </r>
      </text>
    </comment>
    <comment ref="G165" authorId="0" shapeId="0" xr:uid="{A4ED1E4B-AB03-4B18-B8A2-9C2C90B5CDD5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Assuming the company will allocate the same amount of capital of 2020</t>
        </r>
      </text>
    </comment>
    <comment ref="B174" authorId="0" shapeId="0" xr:uid="{2C3DE4AA-415C-4A0A-8C32-0F4B978E1FB0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Page f20 10K reporting 2020</t>
        </r>
      </text>
    </comment>
    <comment ref="B188" authorId="0" shapeId="0" xr:uid="{9C962D6B-5A23-4438-B92C-7F4360DAED67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Page 58 10K reporting 2020</t>
        </r>
      </text>
    </comment>
    <comment ref="B189" authorId="0" shapeId="0" xr:uid="{DD306B82-C11F-49D6-9CE4-28D621B79021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Assumes all maturing debt is refinanced</t>
        </r>
      </text>
    </comment>
    <comment ref="G201" authorId="0" shapeId="0" xr:uid="{50C749F6-CF6B-4778-B449-1F46EA7CBAEE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I'm setting this at an arbitrarily chosen number but to get the correct one, I'm supposed to do the weighted average of the rates at P.F34 of 10K reporting 2020.</t>
        </r>
      </text>
    </comment>
    <comment ref="B214" authorId="0" shapeId="0" xr:uid="{AA07252F-913F-43BA-97D1-3D57966B5B1C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Page f7 10k reporting 2020
Stated as "Issuance of common stock in connection with the Company’s equity award programs
"</t>
        </r>
      </text>
    </comment>
    <comment ref="B215" authorId="0" shapeId="0" xr:uid="{2CCECCAA-83B3-4821-848E-54C9812035DF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Page F38 10K reporting 2020</t>
        </r>
      </text>
    </comment>
    <comment ref="F216" authorId="0" shapeId="0" xr:uid="{696525CF-23AE-427E-9EAB-F9F9EE15AF66}">
      <text>
        <r>
          <rPr>
            <b/>
            <sz val="9"/>
            <color indexed="81"/>
            <rFont val="Tahoma"/>
            <family val="2"/>
          </rPr>
          <t>Arsh Gudani:</t>
        </r>
        <r>
          <rPr>
            <sz val="9"/>
            <color indexed="81"/>
            <rFont val="Tahoma"/>
            <family val="2"/>
          </rPr>
          <t xml:space="preserve">
chosen arbitrarily because couldn't find this value</t>
        </r>
      </text>
    </comment>
  </commentList>
</comments>
</file>

<file path=xl/sharedStrings.xml><?xml version="1.0" encoding="utf-8"?>
<sst xmlns="http://schemas.openxmlformats.org/spreadsheetml/2006/main" count="170" uniqueCount="145">
  <si>
    <t>Financial Statement Model for Amgen, Inc.</t>
  </si>
  <si>
    <t>(USD in millions, except per share)</t>
  </si>
  <si>
    <t>Company Name</t>
  </si>
  <si>
    <t>Amgen, Inc.</t>
  </si>
  <si>
    <t>Ticker</t>
  </si>
  <si>
    <t>AMGN</t>
  </si>
  <si>
    <t>Share price as of last close</t>
  </si>
  <si>
    <t>Latest closing share price date</t>
  </si>
  <si>
    <t>Latest fiscal year end date</t>
  </si>
  <si>
    <t>Case</t>
  </si>
  <si>
    <t>Circularity</t>
  </si>
  <si>
    <t>Income Statement</t>
  </si>
  <si>
    <t>Revenue</t>
  </si>
  <si>
    <t>Product sales</t>
  </si>
  <si>
    <t>Other revenue</t>
  </si>
  <si>
    <t>COGS</t>
  </si>
  <si>
    <t>Gross Profit</t>
  </si>
  <si>
    <t>R&amp;D</t>
  </si>
  <si>
    <t>SG&amp;A</t>
  </si>
  <si>
    <t>Other</t>
  </si>
  <si>
    <t>Operating expenses</t>
  </si>
  <si>
    <t>EBITDA</t>
  </si>
  <si>
    <t xml:space="preserve">Depreciation </t>
  </si>
  <si>
    <t>Amortization</t>
  </si>
  <si>
    <t>EBIT</t>
  </si>
  <si>
    <t xml:space="preserve">Net interest expense </t>
  </si>
  <si>
    <t>Other income</t>
  </si>
  <si>
    <t>Pre-tax income</t>
  </si>
  <si>
    <t>Taxes</t>
  </si>
  <si>
    <t>Net Income</t>
  </si>
  <si>
    <t>Earnings per share</t>
  </si>
  <si>
    <t>Drivers</t>
  </si>
  <si>
    <t>Revenue growth</t>
  </si>
  <si>
    <t>Gross margin</t>
  </si>
  <si>
    <t>Operating expenses as % of revenue</t>
  </si>
  <si>
    <t>EBITDA margin</t>
  </si>
  <si>
    <t>Effective tax rate</t>
  </si>
  <si>
    <t>Balance Sheet</t>
  </si>
  <si>
    <t>Cash and cash equivalents</t>
  </si>
  <si>
    <t>Marketable securities</t>
  </si>
  <si>
    <t>Accounts receivable, net</t>
  </si>
  <si>
    <t>Inventories</t>
  </si>
  <si>
    <t>Other current assets</t>
  </si>
  <si>
    <t>Current assets</t>
  </si>
  <si>
    <t>Property, plant, and equipment, net</t>
  </si>
  <si>
    <t>Intangible assets, net</t>
  </si>
  <si>
    <t>Goodwill</t>
  </si>
  <si>
    <t>Other assets</t>
  </si>
  <si>
    <t>Long term assets</t>
  </si>
  <si>
    <t>Total assets</t>
  </si>
  <si>
    <t>Accounts payable</t>
  </si>
  <si>
    <t>Accrued liabilities</t>
  </si>
  <si>
    <t>Current portion of long term debt</t>
  </si>
  <si>
    <t>Revolver</t>
  </si>
  <si>
    <t>Current liabililties</t>
  </si>
  <si>
    <t>Long term debt</t>
  </si>
  <si>
    <t>Long term tax liabilities</t>
  </si>
  <si>
    <t>Other noncurrent liabillities</t>
  </si>
  <si>
    <t>Long term liabilities</t>
  </si>
  <si>
    <t>Total liabilities</t>
  </si>
  <si>
    <t>Stockholders' equity</t>
  </si>
  <si>
    <t>Liabillities+Stockholder's equity</t>
  </si>
  <si>
    <t>Check</t>
  </si>
  <si>
    <t>Working Capital Schedule</t>
  </si>
  <si>
    <t>Total non cash current assets</t>
  </si>
  <si>
    <t>Total non debt current liabilities</t>
  </si>
  <si>
    <t>Net working capital</t>
  </si>
  <si>
    <t>Change in net working capital</t>
  </si>
  <si>
    <t>Days Sale Outstanding (DSO)</t>
  </si>
  <si>
    <t>Inventory turns</t>
  </si>
  <si>
    <t>Other current assets (% of revenue)</t>
  </si>
  <si>
    <t>Days Payable Outstanding (DPO)</t>
  </si>
  <si>
    <t>Accrued liabilities (% of revenue)</t>
  </si>
  <si>
    <t>PP&amp;E and Intangibles Schedule</t>
  </si>
  <si>
    <t>Beginning PP&amp;E balance</t>
  </si>
  <si>
    <t>Depreciation</t>
  </si>
  <si>
    <t>Capex</t>
  </si>
  <si>
    <t>Ending balance</t>
  </si>
  <si>
    <t>Beginning Intangibles balance</t>
  </si>
  <si>
    <t>Additions</t>
  </si>
  <si>
    <t>Capex (% of reveneue)</t>
  </si>
  <si>
    <t>Depreciation (% of capex)</t>
  </si>
  <si>
    <t>Depreciation Waterfall</t>
  </si>
  <si>
    <t>Depreciation of existing PPE</t>
  </si>
  <si>
    <t xml:space="preserve">Average </t>
  </si>
  <si>
    <t>Useful Life</t>
  </si>
  <si>
    <t>Depreciation of new Capex</t>
  </si>
  <si>
    <t>Total Depreciation of new Capex</t>
  </si>
  <si>
    <t>Total Depreciation</t>
  </si>
  <si>
    <t>Cash Flow Statement</t>
  </si>
  <si>
    <t>Net income</t>
  </si>
  <si>
    <t>(Increase)/Decrease in Net Working Capital</t>
  </si>
  <si>
    <t>Cash flow from Operations</t>
  </si>
  <si>
    <t>Cash flow from Investing Activities</t>
  </si>
  <si>
    <t>Revolver (draw)</t>
  </si>
  <si>
    <t>Debt issuance</t>
  </si>
  <si>
    <t>Debt paydown</t>
  </si>
  <si>
    <t xml:space="preserve">Share repurchase </t>
  </si>
  <si>
    <t>Dividends</t>
  </si>
  <si>
    <t>Option proceeds</t>
  </si>
  <si>
    <t>Cash flow from Financing Activities</t>
  </si>
  <si>
    <t>Beginning Cash</t>
  </si>
  <si>
    <t>Change in Cash</t>
  </si>
  <si>
    <t>Ending Cash</t>
  </si>
  <si>
    <t>Equity schedule</t>
  </si>
  <si>
    <t>Stockholder's equity</t>
  </si>
  <si>
    <t>Beginning balance</t>
  </si>
  <si>
    <t>Share repurchase</t>
  </si>
  <si>
    <t>Dividend payout ratio</t>
  </si>
  <si>
    <t>Average strike price</t>
  </si>
  <si>
    <t>Debt Paydown and Interest Schedule</t>
  </si>
  <si>
    <t>Cash flow available for financing activities</t>
  </si>
  <si>
    <t>Repurchase of equity</t>
  </si>
  <si>
    <t>Options proceeds</t>
  </si>
  <si>
    <t>Plus: Beginning cash balance</t>
  </si>
  <si>
    <t>Less: Minimum cash balance</t>
  </si>
  <si>
    <t>Cash available for debt paydown</t>
  </si>
  <si>
    <t>Repayment/amortization</t>
  </si>
  <si>
    <t>Issuance</t>
  </si>
  <si>
    <t>Cash available for revolver</t>
  </si>
  <si>
    <t>Beginning revolver balance</t>
  </si>
  <si>
    <t>Draw (paydown)</t>
  </si>
  <si>
    <t>Ending revolver balance</t>
  </si>
  <si>
    <t>Interest</t>
  </si>
  <si>
    <t>Revolver interest rate</t>
  </si>
  <si>
    <t>Revolver interest expense</t>
  </si>
  <si>
    <t>Long term debt interest rate</t>
  </si>
  <si>
    <t>Long term interest expense</t>
  </si>
  <si>
    <t>Total interest expense</t>
  </si>
  <si>
    <t>Average cash balance</t>
  </si>
  <si>
    <t>Cash interest rate</t>
  </si>
  <si>
    <t>Interest income</t>
  </si>
  <si>
    <t>Net interest expense (income)</t>
  </si>
  <si>
    <t>Shares Outstanding</t>
  </si>
  <si>
    <t>Beginning basic shares outstanding</t>
  </si>
  <si>
    <t>New share issuance</t>
  </si>
  <si>
    <t>Shares repurchased</t>
  </si>
  <si>
    <t>Shares from options</t>
  </si>
  <si>
    <t>Ending basic shares outstanding</t>
  </si>
  <si>
    <t xml:space="preserve">Dilutive effect </t>
  </si>
  <si>
    <t>Diluted shares outstanding</t>
  </si>
  <si>
    <t>Projected P/E multiple</t>
  </si>
  <si>
    <t>Projected share price</t>
  </si>
  <si>
    <t>Total shares repurchased</t>
  </si>
  <si>
    <t>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</si>
</sst>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yyyy&quot;A&quot;"/>
    <numFmt numFmtId="165" formatCode="yyyy&quot;P&quot;"/>
    <numFmt numFmtId="166" formatCode="0.000"/>
    <numFmt numFmtId="167" formatCode="General;\(#,###\);;"/>
    <numFmt numFmtId="168" formatCode="#,###;\(#,###\);;"/>
    <numFmt numFmtId="169" formatCode="0.0"/>
    <numFmt numFmtId="170" formatCode="General;\ \(##,###\);General;\ General"/>
    <numFmt numFmtId="171" formatCode="General;\ \(#,###\);;"/>
    <numFmt numFmtId="172" formatCode=";\(##,###\);;"/>
    <numFmt numFmtId="173" formatCode="General;General;General"/>
    <numFmt numFmtId="174" formatCode="#,##0.0"/>
    <numFmt numFmtId="175" formatCode="General;\ \(#,###\);General"/>
    <numFmt numFmtId="176" formatCode=";\(#,###\);;"/>
    <numFmt numFmtId="177" formatCode="General;\(##,###\);General"/>
    <numFmt numFmtId="178" formatCode="##,###;\(##,###\);\ General;\ General"/>
    <numFmt numFmtId="179" formatCode="#,##0.0\x;;;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20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centerContinuous"/>
    </xf>
    <xf numFmtId="3" fontId="4" fillId="0" borderId="0" xfId="0" applyNumberFormat="1" applyFont="1"/>
    <xf numFmtId="164" fontId="4" fillId="0" borderId="1" xfId="0" applyNumberFormat="1" applyFont="1" applyBorder="1"/>
    <xf numFmtId="164" fontId="4" fillId="0" borderId="2" xfId="0" applyNumberFormat="1" applyFont="1" applyBorder="1"/>
    <xf numFmtId="165" fontId="4" fillId="0" borderId="1" xfId="0" applyNumberFormat="1" applyFont="1" applyBorder="1"/>
    <xf numFmtId="3" fontId="4" fillId="0" borderId="3" xfId="0" applyNumberFormat="1" applyFont="1" applyBorder="1"/>
    <xf numFmtId="0" fontId="4" fillId="0" borderId="0" xfId="0" applyFont="1" applyAlignment="1">
      <alignment horizontal="left" indent="2"/>
    </xf>
    <xf numFmtId="0" fontId="4" fillId="0" borderId="3" xfId="0" applyFont="1" applyBorder="1"/>
    <xf numFmtId="0" fontId="1" fillId="0" borderId="0" xfId="0" applyFont="1"/>
    <xf numFmtId="0" fontId="7" fillId="0" borderId="0" xfId="0" applyFont="1"/>
    <xf numFmtId="3" fontId="7" fillId="0" borderId="0" xfId="0" applyNumberFormat="1" applyFont="1"/>
    <xf numFmtId="3" fontId="7" fillId="0" borderId="3" xfId="0" applyNumberFormat="1" applyFont="1" applyBorder="1"/>
    <xf numFmtId="3" fontId="4" fillId="3" borderId="0" xfId="0" applyNumberFormat="1" applyFont="1" applyFill="1"/>
    <xf numFmtId="3" fontId="7" fillId="4" borderId="0" xfId="0" applyNumberFormat="1" applyFont="1" applyFill="1"/>
    <xf numFmtId="9" fontId="4" fillId="0" borderId="0" xfId="0" applyNumberFormat="1" applyFont="1"/>
    <xf numFmtId="9" fontId="4" fillId="0" borderId="3" xfId="0" applyNumberFormat="1" applyFont="1" applyBorder="1"/>
    <xf numFmtId="9" fontId="5" fillId="0" borderId="0" xfId="0" applyNumberFormat="1" applyFont="1"/>
    <xf numFmtId="9" fontId="8" fillId="0" borderId="0" xfId="0" applyNumberFormat="1" applyFont="1"/>
    <xf numFmtId="164" fontId="6" fillId="2" borderId="0" xfId="0" applyNumberFormat="1" applyFont="1" applyFill="1" applyAlignment="1">
      <alignment horizontal="centerContinuous"/>
    </xf>
    <xf numFmtId="3" fontId="4" fillId="4" borderId="0" xfId="0" applyNumberFormat="1" applyFont="1" applyFill="1"/>
    <xf numFmtId="3" fontId="5" fillId="0" borderId="0" xfId="0" applyNumberFormat="1" applyFont="1"/>
    <xf numFmtId="0" fontId="5" fillId="0" borderId="0" xfId="0" applyFont="1"/>
    <xf numFmtId="166" fontId="4" fillId="0" borderId="0" xfId="0" applyNumberFormat="1" applyFont="1"/>
    <xf numFmtId="166" fontId="4" fillId="0" borderId="3" xfId="0" applyNumberFormat="1" applyFont="1" applyBorder="1"/>
    <xf numFmtId="167" fontId="4" fillId="0" borderId="0" xfId="0" applyNumberFormat="1" applyFont="1"/>
    <xf numFmtId="167" fontId="4" fillId="0" borderId="3" xfId="0" applyNumberFormat="1" applyFont="1" applyBorder="1"/>
    <xf numFmtId="168" fontId="4" fillId="0" borderId="0" xfId="0" applyNumberFormat="1" applyFont="1"/>
    <xf numFmtId="168" fontId="4" fillId="0" borderId="3" xfId="0" applyNumberFormat="1" applyFont="1" applyBorder="1"/>
    <xf numFmtId="0" fontId="9" fillId="0" borderId="0" xfId="0" applyFont="1"/>
    <xf numFmtId="1" fontId="4" fillId="0" borderId="0" xfId="0" applyNumberFormat="1" applyFont="1"/>
    <xf numFmtId="1" fontId="4" fillId="0" borderId="3" xfId="0" applyNumberFormat="1" applyFont="1" applyBorder="1"/>
    <xf numFmtId="169" fontId="4" fillId="0" borderId="0" xfId="0" applyNumberFormat="1" applyFont="1"/>
    <xf numFmtId="169" fontId="4" fillId="0" borderId="3" xfId="0" applyNumberFormat="1" applyFont="1" applyBorder="1"/>
    <xf numFmtId="0" fontId="4" fillId="3" borderId="0" xfId="0" applyFont="1" applyFill="1"/>
    <xf numFmtId="170" fontId="4" fillId="0" borderId="0" xfId="0" applyNumberFormat="1" applyFont="1"/>
    <xf numFmtId="170" fontId="4" fillId="0" borderId="3" xfId="0" applyNumberFormat="1" applyFont="1" applyBorder="1"/>
    <xf numFmtId="171" fontId="4" fillId="0" borderId="0" xfId="0" applyNumberFormat="1" applyFont="1"/>
    <xf numFmtId="171" fontId="4" fillId="0" borderId="3" xfId="0" applyNumberFormat="1" applyFont="1" applyBorder="1"/>
    <xf numFmtId="172" fontId="5" fillId="0" borderId="0" xfId="0" applyNumberFormat="1" applyFont="1"/>
    <xf numFmtId="173" fontId="5" fillId="0" borderId="0" xfId="0" applyNumberFormat="1" applyFont="1"/>
    <xf numFmtId="173" fontId="8" fillId="0" borderId="0" xfId="0" applyNumberFormat="1" applyFont="1"/>
    <xf numFmtId="0" fontId="4" fillId="3" borderId="4" xfId="0" applyFont="1" applyFill="1" applyBorder="1"/>
    <xf numFmtId="0" fontId="4" fillId="0" borderId="0" xfId="0" applyFont="1" applyAlignment="1">
      <alignment horizontal="center"/>
    </xf>
    <xf numFmtId="0" fontId="4" fillId="3" borderId="3" xfId="0" applyFont="1" applyFill="1" applyBorder="1"/>
    <xf numFmtId="174" fontId="5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3" fontId="4" fillId="3" borderId="4" xfId="0" applyNumberFormat="1" applyFont="1" applyFill="1" applyBorder="1"/>
    <xf numFmtId="3" fontId="4" fillId="3" borderId="3" xfId="0" applyNumberFormat="1" applyFont="1" applyFill="1" applyBorder="1"/>
    <xf numFmtId="0" fontId="7" fillId="3" borderId="0" xfId="0" applyFont="1" applyFill="1"/>
    <xf numFmtId="0" fontId="7" fillId="3" borderId="3" xfId="0" applyFont="1" applyFill="1" applyBorder="1"/>
    <xf numFmtId="167" fontId="7" fillId="0" borderId="0" xfId="0" applyNumberFormat="1" applyFont="1"/>
    <xf numFmtId="175" fontId="4" fillId="0" borderId="0" xfId="0" applyNumberFormat="1" applyFont="1"/>
    <xf numFmtId="37" fontId="4" fillId="0" borderId="0" xfId="0" applyNumberFormat="1" applyFont="1"/>
    <xf numFmtId="176" fontId="4" fillId="0" borderId="0" xfId="0" applyNumberFormat="1" applyFont="1"/>
    <xf numFmtId="172" fontId="4" fillId="0" borderId="0" xfId="0" applyNumberFormat="1" applyFont="1"/>
    <xf numFmtId="37" fontId="7" fillId="0" borderId="0" xfId="0" applyNumberFormat="1" applyFont="1"/>
    <xf numFmtId="3" fontId="5" fillId="0" borderId="3" xfId="0" applyNumberFormat="1" applyFont="1" applyBorder="1"/>
    <xf numFmtId="0" fontId="9" fillId="5" borderId="0" xfId="0" applyFont="1" applyFill="1"/>
    <xf numFmtId="0" fontId="5" fillId="0" borderId="3" xfId="0" applyFont="1" applyBorder="1"/>
    <xf numFmtId="177" fontId="4" fillId="0" borderId="0" xfId="0" applyNumberFormat="1" applyFont="1"/>
    <xf numFmtId="167" fontId="5" fillId="0" borderId="0" xfId="0" applyNumberFormat="1" applyFont="1"/>
    <xf numFmtId="10" fontId="4" fillId="0" borderId="0" xfId="0" applyNumberFormat="1" applyFont="1"/>
    <xf numFmtId="178" fontId="7" fillId="0" borderId="0" xfId="0" applyNumberFormat="1" applyFont="1"/>
    <xf numFmtId="176" fontId="5" fillId="0" borderId="0" xfId="0" applyNumberFormat="1" applyFont="1"/>
    <xf numFmtId="176" fontId="5" fillId="0" borderId="3" xfId="0" applyNumberFormat="1" applyFont="1" applyBorder="1"/>
    <xf numFmtId="3" fontId="4" fillId="0" borderId="6" xfId="0" applyNumberFormat="1" applyFont="1" applyBorder="1"/>
    <xf numFmtId="3" fontId="4" fillId="0" borderId="4" xfId="0" applyNumberFormat="1" applyFont="1" applyBorder="1"/>
    <xf numFmtId="179" fontId="5" fillId="0" borderId="0" xfId="0" applyNumberFormat="1" applyFont="1"/>
    <xf numFmtId="179" fontId="4" fillId="0" borderId="0" xfId="0" applyNumberFormat="1" applyFont="1"/>
    <xf numFmtId="167" fontId="4" fillId="0" borderId="6" xfId="0" applyNumberFormat="1" applyFont="1" applyBorder="1"/>
    <xf numFmtId="167" fontId="4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80A0E-AAFA-4736-9AD4-DF4A66D3919C}">
  <dimension ref="A1:Q230"/>
  <sheetViews>
    <sheetView showGridLines="0" tabSelected="1" workbookViewId="0">
      <selection activeCell="F8" sqref="F8"/>
    </sheetView>
  </sheetViews>
  <sheetFormatPr defaultRowHeight="13.8" x14ac:dyDescent="0.25"/>
  <cols>
    <col min="2" max="2" width="39.77734375" style="3" bestFit="1" customWidth="1"/>
    <col min="3" max="3" width="11" style="3" bestFit="1" customWidth="1"/>
    <col min="4" max="4" width="9.33203125" style="3" bestFit="1" customWidth="1"/>
    <col min="5" max="5" width="8.88671875" style="3"/>
    <col min="6" max="6" width="11" style="3" bestFit="1" customWidth="1"/>
    <col min="7" max="7" width="11.109375" style="3" customWidth="1"/>
    <col min="8" max="8" width="9.5546875" style="3" bestFit="1" customWidth="1"/>
    <col min="9" max="10" width="11.21875" style="3" bestFit="1" customWidth="1"/>
    <col min="11" max="11" width="12.33203125" style="3" bestFit="1" customWidth="1"/>
    <col min="12" max="16384" width="8.88671875" style="3"/>
  </cols>
  <sheetData>
    <row r="1" spans="2:17" customFormat="1" ht="13.2" x14ac:dyDescent="0.25"/>
    <row r="2" spans="2:17" customFormat="1" ht="24.6" x14ac:dyDescent="0.4">
      <c r="B2" s="1" t="s">
        <v>0</v>
      </c>
    </row>
    <row r="3" spans="2:17" ht="14.4" x14ac:dyDescent="0.3">
      <c r="B3" s="2" t="s">
        <v>1</v>
      </c>
    </row>
    <row r="5" spans="2:17" x14ac:dyDescent="0.25">
      <c r="B5" s="3" t="s">
        <v>2</v>
      </c>
      <c r="C5" s="4" t="s">
        <v>3</v>
      </c>
    </row>
    <row r="6" spans="2:17" x14ac:dyDescent="0.25">
      <c r="B6" s="3" t="s">
        <v>4</v>
      </c>
      <c r="C6" s="4" t="s">
        <v>5</v>
      </c>
    </row>
    <row r="7" spans="2:17" x14ac:dyDescent="0.25">
      <c r="B7" s="3" t="s">
        <v>6</v>
      </c>
      <c r="C7" s="4">
        <v>225.17</v>
      </c>
    </row>
    <row r="8" spans="2:17" x14ac:dyDescent="0.25">
      <c r="B8" s="3" t="s">
        <v>7</v>
      </c>
      <c r="C8" s="5">
        <v>44567</v>
      </c>
    </row>
    <row r="9" spans="2:17" x14ac:dyDescent="0.25">
      <c r="B9" s="3" t="s">
        <v>8</v>
      </c>
      <c r="C9" s="5">
        <v>44196</v>
      </c>
    </row>
    <row r="10" spans="2:17" x14ac:dyDescent="0.25">
      <c r="B10" s="3" t="s">
        <v>9</v>
      </c>
    </row>
    <row r="11" spans="2:17" x14ac:dyDescent="0.25">
      <c r="B11" s="3" t="s">
        <v>10</v>
      </c>
    </row>
    <row r="13" spans="2:17" x14ac:dyDescent="0.25">
      <c r="B13" s="6" t="s">
        <v>11</v>
      </c>
      <c r="C13" s="6"/>
      <c r="D13" s="6"/>
      <c r="E13" s="6"/>
      <c r="F13" s="6"/>
      <c r="G13" s="6"/>
      <c r="H13" s="6"/>
      <c r="I13" s="6"/>
      <c r="J13" s="6"/>
      <c r="K13" s="6"/>
      <c r="N13" s="7"/>
      <c r="O13" s="7"/>
      <c r="P13" s="7"/>
      <c r="Q13" s="7"/>
    </row>
    <row r="14" spans="2:17" x14ac:dyDescent="0.25">
      <c r="C14" s="8">
        <f t="shared" ref="C14:D14" si="0">EOMONTH(D14,-12)</f>
        <v>43100</v>
      </c>
      <c r="D14" s="8">
        <f t="shared" si="0"/>
        <v>43465</v>
      </c>
      <c r="E14" s="8">
        <f>EOMONTH(F14,-12)</f>
        <v>43830</v>
      </c>
      <c r="F14" s="9">
        <f>$C$9</f>
        <v>44196</v>
      </c>
      <c r="G14" s="10">
        <f>EOMONTH(F14,12)</f>
        <v>44561</v>
      </c>
      <c r="H14" s="10">
        <f t="shared" ref="H14:K14" si="1">EOMONTH(G14,12)</f>
        <v>44926</v>
      </c>
      <c r="I14" s="10">
        <f t="shared" si="1"/>
        <v>45291</v>
      </c>
      <c r="J14" s="10">
        <f t="shared" si="1"/>
        <v>45657</v>
      </c>
      <c r="K14" s="10">
        <f t="shared" si="1"/>
        <v>46022</v>
      </c>
    </row>
    <row r="15" spans="2:17" x14ac:dyDescent="0.25">
      <c r="B15" s="3" t="s">
        <v>12</v>
      </c>
      <c r="C15" s="7">
        <f>SUM(C16:C17)</f>
        <v>22849</v>
      </c>
      <c r="D15" s="7">
        <f>SUM(D16:D17)</f>
        <v>23747</v>
      </c>
      <c r="E15" s="7">
        <f>SUM(E16:E17)</f>
        <v>23362</v>
      </c>
      <c r="F15" s="11">
        <f>SUM(F16:F17)</f>
        <v>25424</v>
      </c>
      <c r="G15" s="7">
        <f t="shared" ref="G15:K15" si="2">SUM(G16:G17)</f>
        <v>27673.275172065965</v>
      </c>
      <c r="H15" s="7">
        <f t="shared" si="2"/>
        <v>30126.957327229011</v>
      </c>
      <c r="I15" s="7">
        <f t="shared" si="2"/>
        <v>32803.748273625657</v>
      </c>
      <c r="J15" s="7">
        <f t="shared" si="2"/>
        <v>35724.063757303709</v>
      </c>
      <c r="K15" s="7">
        <f t="shared" si="2"/>
        <v>38910.190601250244</v>
      </c>
    </row>
    <row r="16" spans="2:17" x14ac:dyDescent="0.25">
      <c r="B16" s="12" t="s">
        <v>13</v>
      </c>
      <c r="C16" s="7">
        <v>21795</v>
      </c>
      <c r="D16" s="7">
        <v>22533</v>
      </c>
      <c r="E16" s="7">
        <v>22204</v>
      </c>
      <c r="F16" s="11">
        <v>24240</v>
      </c>
      <c r="G16" s="7">
        <f t="shared" ref="G16:K17" si="3">F16*(1+G41)</f>
        <v>26462.691406953702</v>
      </c>
      <c r="H16" s="7">
        <f t="shared" si="3"/>
        <v>28889.19292490352</v>
      </c>
      <c r="I16" s="7">
        <f t="shared" si="3"/>
        <v>31538.192960712546</v>
      </c>
      <c r="J16" s="7">
        <f t="shared" si="3"/>
        <v>34430.093558263019</v>
      </c>
      <c r="K16" s="7">
        <f t="shared" si="3"/>
        <v>37587.167530728497</v>
      </c>
      <c r="Q16" s="7"/>
    </row>
    <row r="17" spans="1:11" x14ac:dyDescent="0.25">
      <c r="B17" s="12" t="s">
        <v>14</v>
      </c>
      <c r="C17" s="7">
        <v>1054</v>
      </c>
      <c r="D17" s="7">
        <v>1214</v>
      </c>
      <c r="E17" s="7">
        <v>1158</v>
      </c>
      <c r="F17" s="11">
        <v>1184</v>
      </c>
      <c r="G17" s="7">
        <f t="shared" si="3"/>
        <v>1210.5837651122624</v>
      </c>
      <c r="H17" s="7">
        <f t="shared" si="3"/>
        <v>1237.7644023254911</v>
      </c>
      <c r="I17" s="7">
        <f t="shared" si="3"/>
        <v>1265.5553129131099</v>
      </c>
      <c r="J17" s="7">
        <f t="shared" si="3"/>
        <v>1293.9701990406927</v>
      </c>
      <c r="K17" s="7">
        <f t="shared" si="3"/>
        <v>1323.0230705217443</v>
      </c>
    </row>
    <row r="18" spans="1:11" x14ac:dyDescent="0.25">
      <c r="F18" s="13"/>
      <c r="G18" s="7"/>
      <c r="H18" s="7"/>
      <c r="I18" s="7"/>
      <c r="J18" s="7"/>
      <c r="K18" s="7"/>
    </row>
    <row r="19" spans="1:11" x14ac:dyDescent="0.25">
      <c r="B19" s="3" t="s">
        <v>15</v>
      </c>
      <c r="C19" s="7">
        <v>4069</v>
      </c>
      <c r="D19" s="7">
        <v>4101</v>
      </c>
      <c r="E19" s="7">
        <v>4356</v>
      </c>
      <c r="F19" s="11">
        <v>6159</v>
      </c>
      <c r="G19" s="7">
        <f>G15-G20</f>
        <v>5534.6550344131902</v>
      </c>
      <c r="H19" s="7">
        <f t="shared" ref="H19:K19" si="4">H15-H20</f>
        <v>6025.3914654458022</v>
      </c>
      <c r="I19" s="7">
        <f t="shared" si="4"/>
        <v>6560.7496547251285</v>
      </c>
      <c r="J19" s="7">
        <f t="shared" si="4"/>
        <v>7144.8127514607404</v>
      </c>
      <c r="K19" s="7">
        <f t="shared" si="4"/>
        <v>7782.0381202500466</v>
      </c>
    </row>
    <row r="20" spans="1:11" s="15" customFormat="1" x14ac:dyDescent="0.25">
      <c r="A20" s="14"/>
      <c r="B20" s="15" t="s">
        <v>16</v>
      </c>
      <c r="C20" s="16">
        <f t="shared" ref="C20:E20" si="5">C15-C19</f>
        <v>18780</v>
      </c>
      <c r="D20" s="16">
        <f t="shared" si="5"/>
        <v>19646</v>
      </c>
      <c r="E20" s="16">
        <f t="shared" si="5"/>
        <v>19006</v>
      </c>
      <c r="F20" s="17">
        <f>F15-F19</f>
        <v>19265</v>
      </c>
      <c r="G20" s="16">
        <f>G15*G43</f>
        <v>22138.620137652775</v>
      </c>
      <c r="H20" s="16">
        <f>H15*H43</f>
        <v>24101.565861783209</v>
      </c>
      <c r="I20" s="16">
        <f>I15*I43</f>
        <v>26242.998618900529</v>
      </c>
      <c r="J20" s="16">
        <f>J15*J43</f>
        <v>28579.251005842969</v>
      </c>
      <c r="K20" s="16">
        <f>K15*K43</f>
        <v>31128.152481000197</v>
      </c>
    </row>
    <row r="21" spans="1:11" x14ac:dyDescent="0.25">
      <c r="C21" s="7"/>
      <c r="D21" s="7"/>
      <c r="E21" s="7"/>
      <c r="F21" s="11"/>
      <c r="G21" s="7"/>
      <c r="H21" s="7"/>
      <c r="I21" s="7"/>
      <c r="J21" s="7"/>
      <c r="K21" s="7"/>
    </row>
    <row r="22" spans="1:11" x14ac:dyDescent="0.25">
      <c r="B22" s="3" t="s">
        <v>17</v>
      </c>
      <c r="C22" s="7">
        <v>3562</v>
      </c>
      <c r="D22" s="7">
        <v>3737</v>
      </c>
      <c r="E22" s="7">
        <v>4116</v>
      </c>
      <c r="F22" s="11">
        <v>4207</v>
      </c>
      <c r="G22" s="18"/>
      <c r="H22" s="18"/>
      <c r="I22" s="18"/>
      <c r="J22" s="18"/>
      <c r="K22" s="18"/>
    </row>
    <row r="23" spans="1:11" x14ac:dyDescent="0.25">
      <c r="B23" s="3" t="s">
        <v>18</v>
      </c>
      <c r="C23" s="7">
        <f>4870-SUM(C28:C29)</f>
        <v>2915</v>
      </c>
      <c r="D23" s="7">
        <f>5332-SUM(D28:D29)</f>
        <v>3386</v>
      </c>
      <c r="E23" s="7">
        <f>5150-SUM(E28:E29)</f>
        <v>2944</v>
      </c>
      <c r="F23" s="11">
        <f>5730-SUM(F28:F29)</f>
        <v>2129</v>
      </c>
      <c r="G23" s="18"/>
      <c r="H23" s="18"/>
      <c r="I23" s="18"/>
      <c r="J23" s="18"/>
      <c r="K23" s="18"/>
    </row>
    <row r="24" spans="1:11" x14ac:dyDescent="0.25">
      <c r="B24" s="3" t="s">
        <v>19</v>
      </c>
      <c r="C24" s="7">
        <v>375</v>
      </c>
      <c r="D24" s="7">
        <v>314</v>
      </c>
      <c r="E24" s="7">
        <v>66</v>
      </c>
      <c r="F24" s="11">
        <v>189</v>
      </c>
      <c r="G24" s="18"/>
      <c r="H24" s="18"/>
      <c r="I24" s="18"/>
      <c r="J24" s="18"/>
      <c r="K24" s="18"/>
    </row>
    <row r="25" spans="1:11" x14ac:dyDescent="0.25">
      <c r="B25" s="3" t="s">
        <v>20</v>
      </c>
      <c r="C25" s="7">
        <f>SUM(C22:C24)</f>
        <v>6852</v>
      </c>
      <c r="D25" s="7">
        <f>SUM(D22:D24)</f>
        <v>7437</v>
      </c>
      <c r="E25" s="7">
        <f>SUM(E22:E24)</f>
        <v>7126</v>
      </c>
      <c r="F25" s="11">
        <f>SUM(F22:F24)</f>
        <v>6525</v>
      </c>
      <c r="G25" s="7">
        <f>G15*G44</f>
        <v>8301.9825516197889</v>
      </c>
      <c r="H25" s="7">
        <f>H15*H44</f>
        <v>9038.0871981687033</v>
      </c>
      <c r="I25" s="7">
        <f>I15*I44</f>
        <v>9841.1244820876964</v>
      </c>
      <c r="J25" s="7">
        <f>J15*J44</f>
        <v>10717.219127191112</v>
      </c>
      <c r="K25" s="7">
        <f>K15*K44</f>
        <v>11673.057180375074</v>
      </c>
    </row>
    <row r="26" spans="1:11" x14ac:dyDescent="0.25">
      <c r="C26" s="7"/>
      <c r="D26" s="7"/>
      <c r="E26" s="7"/>
      <c r="F26" s="11"/>
      <c r="G26" s="7"/>
      <c r="H26" s="7"/>
      <c r="I26" s="7"/>
      <c r="J26" s="7"/>
      <c r="K26" s="7"/>
    </row>
    <row r="27" spans="1:11" s="15" customFormat="1" x14ac:dyDescent="0.25">
      <c r="A27" s="14"/>
      <c r="B27" s="15" t="s">
        <v>21</v>
      </c>
      <c r="C27" s="16">
        <f>C20-C25</f>
        <v>11928</v>
      </c>
      <c r="D27" s="16">
        <f>D20-D25</f>
        <v>12209</v>
      </c>
      <c r="E27" s="16">
        <f t="shared" ref="E27:F27" si="6">E20-E25</f>
        <v>11880</v>
      </c>
      <c r="F27" s="17">
        <f t="shared" si="6"/>
        <v>12740</v>
      </c>
      <c r="G27" s="16">
        <f>G45*G15</f>
        <v>13836.637586032983</v>
      </c>
      <c r="H27" s="16">
        <f>H45*H15</f>
        <v>15063.478663614505</v>
      </c>
      <c r="I27" s="16">
        <f>I45*I15</f>
        <v>16401.874136812829</v>
      </c>
      <c r="J27" s="16">
        <f>J45*J15</f>
        <v>17862.031878651855</v>
      </c>
      <c r="K27" s="16">
        <f>K45*K15</f>
        <v>19455.095300625122</v>
      </c>
    </row>
    <row r="28" spans="1:11" x14ac:dyDescent="0.25">
      <c r="B28" s="3" t="s">
        <v>22</v>
      </c>
      <c r="C28" s="7">
        <v>655</v>
      </c>
      <c r="D28" s="7">
        <v>646</v>
      </c>
      <c r="E28" s="7">
        <v>806</v>
      </c>
      <c r="F28" s="11">
        <v>801</v>
      </c>
      <c r="G28" s="7">
        <f>G133</f>
        <v>714.89978189524732</v>
      </c>
      <c r="H28" s="7">
        <f t="shared" ref="H28:K28" si="7">H133</f>
        <v>827.87587187235613</v>
      </c>
      <c r="I28" s="7">
        <f t="shared" si="7"/>
        <v>950.88992789845236</v>
      </c>
      <c r="J28" s="7">
        <f t="shared" si="7"/>
        <v>1084.8551669883414</v>
      </c>
      <c r="K28" s="7">
        <f t="shared" si="7"/>
        <v>1230.7683817430297</v>
      </c>
    </row>
    <row r="29" spans="1:11" x14ac:dyDescent="0.25">
      <c r="B29" s="3" t="s">
        <v>23</v>
      </c>
      <c r="C29" s="7">
        <v>1300</v>
      </c>
      <c r="D29" s="7">
        <v>1300</v>
      </c>
      <c r="E29" s="7">
        <v>1400</v>
      </c>
      <c r="F29" s="11">
        <v>2800</v>
      </c>
      <c r="G29" s="7">
        <f>-G114</f>
        <v>2600</v>
      </c>
      <c r="H29" s="7">
        <f t="shared" ref="H29:K29" si="8">-H114</f>
        <v>2500</v>
      </c>
      <c r="I29" s="7">
        <f t="shared" si="8"/>
        <v>2400</v>
      </c>
      <c r="J29" s="7">
        <f t="shared" si="8"/>
        <v>2400</v>
      </c>
      <c r="K29" s="7">
        <f t="shared" si="8"/>
        <v>2200</v>
      </c>
    </row>
    <row r="30" spans="1:11" x14ac:dyDescent="0.25">
      <c r="B30" s="3" t="s">
        <v>24</v>
      </c>
      <c r="C30" s="7">
        <f t="shared" ref="C30:E30" si="9">C27-SUM(C28:C29)</f>
        <v>9973</v>
      </c>
      <c r="D30" s="7">
        <f>D27-SUM(D28:D29)</f>
        <v>10263</v>
      </c>
      <c r="E30" s="7">
        <f t="shared" si="9"/>
        <v>9674</v>
      </c>
      <c r="F30" s="11">
        <f>F27-SUM(F28:F29)</f>
        <v>9139</v>
      </c>
      <c r="G30" s="7">
        <f>G27-SUM(G28:G29)</f>
        <v>10521.737804137734</v>
      </c>
      <c r="H30" s="7">
        <f>H27-SUM(H28:H29)</f>
        <v>11735.602791742149</v>
      </c>
      <c r="I30" s="7">
        <f>I27-SUM(I28:I29)</f>
        <v>13050.984208914377</v>
      </c>
      <c r="J30" s="7">
        <f t="shared" ref="J30:K30" si="10">J27-SUM(J28:J29)</f>
        <v>14377.176711663513</v>
      </c>
      <c r="K30" s="7">
        <f t="shared" si="10"/>
        <v>16024.326918882092</v>
      </c>
    </row>
    <row r="31" spans="1:11" x14ac:dyDescent="0.25">
      <c r="B31" s="3" t="s">
        <v>25</v>
      </c>
      <c r="C31" s="7">
        <v>1304</v>
      </c>
      <c r="D31" s="7">
        <v>1392</v>
      </c>
      <c r="E31" s="7">
        <v>1392</v>
      </c>
      <c r="F31" s="11">
        <v>1262</v>
      </c>
      <c r="G31" s="7">
        <f ca="1">G209</f>
        <v>962.58941552240969</v>
      </c>
      <c r="H31" s="7">
        <f t="shared" ref="H31:K31" ca="1" si="11">H209</f>
        <v>968.02257339094899</v>
      </c>
      <c r="I31" s="7">
        <f t="shared" ca="1" si="11"/>
        <v>968.90309324943951</v>
      </c>
      <c r="J31" s="7">
        <f t="shared" ca="1" si="11"/>
        <v>966.89183929250567</v>
      </c>
      <c r="K31" s="7">
        <f t="shared" ca="1" si="11"/>
        <v>961.8407721225733</v>
      </c>
    </row>
    <row r="32" spans="1:11" x14ac:dyDescent="0.25">
      <c r="B32" s="3" t="s">
        <v>26</v>
      </c>
      <c r="C32" s="7">
        <v>928</v>
      </c>
      <c r="D32" s="7">
        <v>674</v>
      </c>
      <c r="E32" s="7">
        <v>753</v>
      </c>
      <c r="F32" s="11">
        <v>256</v>
      </c>
      <c r="G32" s="7">
        <f ca="1">G207</f>
        <v>26.990584477590225</v>
      </c>
      <c r="H32" s="7">
        <f t="shared" ref="H32:K32" ca="1" si="12">H207</f>
        <v>21.557426609050914</v>
      </c>
      <c r="I32" s="7">
        <f t="shared" ca="1" si="12"/>
        <v>20.676906750560406</v>
      </c>
      <c r="J32" s="7">
        <f t="shared" ca="1" si="12"/>
        <v>22.688160707494294</v>
      </c>
      <c r="K32" s="7">
        <f t="shared" ca="1" si="12"/>
        <v>27.7392278774266</v>
      </c>
    </row>
    <row r="33" spans="1:11" x14ac:dyDescent="0.25">
      <c r="B33" s="3" t="s">
        <v>27</v>
      </c>
      <c r="C33" s="7">
        <f>C30-C31+C32</f>
        <v>9597</v>
      </c>
      <c r="D33" s="7">
        <f>D30-D31+D32</f>
        <v>9545</v>
      </c>
      <c r="E33" s="7">
        <f t="shared" ref="E33" si="13">E30-E31+E32</f>
        <v>9035</v>
      </c>
      <c r="F33" s="11">
        <f>F30-F31+F32</f>
        <v>8133</v>
      </c>
      <c r="G33" s="7">
        <f ca="1">G30-G31+G32</f>
        <v>9586.1389730929131</v>
      </c>
      <c r="H33" s="7">
        <f t="shared" ref="H33:K33" ca="1" si="14">H30-H31+H32</f>
        <v>10789.137644960252</v>
      </c>
      <c r="I33" s="7">
        <f t="shared" ca="1" si="14"/>
        <v>12102.758022415499</v>
      </c>
      <c r="J33" s="7">
        <f t="shared" ca="1" si="14"/>
        <v>13432.973033078501</v>
      </c>
      <c r="K33" s="7">
        <f t="shared" ca="1" si="14"/>
        <v>15090.225374636944</v>
      </c>
    </row>
    <row r="34" spans="1:11" x14ac:dyDescent="0.25">
      <c r="B34" s="3" t="s">
        <v>28</v>
      </c>
      <c r="C34" s="7">
        <v>7618</v>
      </c>
      <c r="D34" s="7">
        <v>1151</v>
      </c>
      <c r="E34" s="7">
        <v>1296</v>
      </c>
      <c r="F34" s="11">
        <v>869</v>
      </c>
      <c r="G34" s="7">
        <f ca="1">G33*G46</f>
        <v>1150.3366767711495</v>
      </c>
      <c r="H34" s="7">
        <f t="shared" ref="H34:K34" ca="1" si="15">H33*H46</f>
        <v>1294.6965173952301</v>
      </c>
      <c r="I34" s="7">
        <f t="shared" ca="1" si="15"/>
        <v>1452.3309626898599</v>
      </c>
      <c r="J34" s="7">
        <f t="shared" ca="1" si="15"/>
        <v>1611.9567639694201</v>
      </c>
      <c r="K34" s="7">
        <f t="shared" ca="1" si="15"/>
        <v>1810.8270449564332</v>
      </c>
    </row>
    <row r="35" spans="1:11" s="15" customFormat="1" x14ac:dyDescent="0.25">
      <c r="A35" s="14"/>
      <c r="B35" s="15" t="s">
        <v>29</v>
      </c>
      <c r="C35" s="19">
        <f>C33-C34</f>
        <v>1979</v>
      </c>
      <c r="D35" s="16">
        <f>D33-D34</f>
        <v>8394</v>
      </c>
      <c r="E35" s="16">
        <f t="shared" ref="E35" si="16">E33-E34</f>
        <v>7739</v>
      </c>
      <c r="F35" s="17">
        <f>F33-F34</f>
        <v>7264</v>
      </c>
      <c r="G35" s="16">
        <f ca="1">G33-G34</f>
        <v>8435.8022963217627</v>
      </c>
      <c r="H35" s="16">
        <f t="shared" ref="H35:K35" ca="1" si="17">H33-H34</f>
        <v>9494.4411275650218</v>
      </c>
      <c r="I35" s="16">
        <f t="shared" ca="1" si="17"/>
        <v>10650.42705972564</v>
      </c>
      <c r="J35" s="16">
        <f t="shared" ca="1" si="17"/>
        <v>11821.016269109081</v>
      </c>
      <c r="K35" s="16">
        <f t="shared" ca="1" si="17"/>
        <v>13279.398329680511</v>
      </c>
    </row>
    <row r="36" spans="1:11" x14ac:dyDescent="0.25">
      <c r="C36" s="7"/>
      <c r="D36" s="7"/>
      <c r="E36" s="7"/>
      <c r="F36" s="11"/>
      <c r="G36" s="7"/>
      <c r="H36" s="7"/>
    </row>
    <row r="37" spans="1:11" s="15" customFormat="1" x14ac:dyDescent="0.25">
      <c r="A37" s="14"/>
      <c r="B37" s="15" t="s">
        <v>30</v>
      </c>
      <c r="C37" s="16"/>
      <c r="D37" s="16"/>
      <c r="E37" s="16"/>
      <c r="F37" s="17"/>
      <c r="G37" s="16"/>
      <c r="H37" s="16"/>
    </row>
    <row r="38" spans="1:11" x14ac:dyDescent="0.25">
      <c r="F38" s="13"/>
    </row>
    <row r="39" spans="1:11" x14ac:dyDescent="0.25">
      <c r="B39" s="3" t="s">
        <v>31</v>
      </c>
      <c r="F39" s="13"/>
    </row>
    <row r="40" spans="1:11" x14ac:dyDescent="0.25">
      <c r="B40" s="3" t="s">
        <v>32</v>
      </c>
      <c r="D40" s="20">
        <f t="shared" ref="D40:K42" si="18">D15/C15-1</f>
        <v>3.9301501159788144E-2</v>
      </c>
      <c r="E40" s="20">
        <f t="shared" si="18"/>
        <v>-1.621257421990141E-2</v>
      </c>
      <c r="F40" s="21">
        <f t="shared" si="18"/>
        <v>8.8262991182261885E-2</v>
      </c>
      <c r="G40" s="20">
        <f t="shared" si="18"/>
        <v>8.8470546415432949E-2</v>
      </c>
      <c r="H40" s="20">
        <f t="shared" si="18"/>
        <v>8.8666127876321887E-2</v>
      </c>
      <c r="I40" s="20">
        <f t="shared" si="18"/>
        <v>8.8850358080380776E-2</v>
      </c>
      <c r="J40" s="20">
        <f t="shared" si="18"/>
        <v>8.9023835304394172E-2</v>
      </c>
      <c r="K40" s="20">
        <f t="shared" si="18"/>
        <v>8.9187133512915073E-2</v>
      </c>
    </row>
    <row r="41" spans="1:11" x14ac:dyDescent="0.25">
      <c r="B41" s="12" t="s">
        <v>13</v>
      </c>
      <c r="D41" s="20">
        <f t="shared" si="18"/>
        <v>3.3860977288368899E-2</v>
      </c>
      <c r="E41" s="20">
        <f t="shared" si="18"/>
        <v>-1.460080770425598E-2</v>
      </c>
      <c r="F41" s="21">
        <f t="shared" si="18"/>
        <v>9.169519005584581E-2</v>
      </c>
      <c r="G41" s="22">
        <f>F41</f>
        <v>9.169519005584581E-2</v>
      </c>
      <c r="H41" s="20">
        <f t="shared" ref="H41:K42" si="19">G41</f>
        <v>9.169519005584581E-2</v>
      </c>
      <c r="I41" s="20">
        <f t="shared" si="19"/>
        <v>9.169519005584581E-2</v>
      </c>
      <c r="J41" s="20">
        <f t="shared" si="19"/>
        <v>9.169519005584581E-2</v>
      </c>
      <c r="K41" s="20">
        <f t="shared" si="19"/>
        <v>9.169519005584581E-2</v>
      </c>
    </row>
    <row r="42" spans="1:11" x14ac:dyDescent="0.25">
      <c r="B42" s="12" t="s">
        <v>14</v>
      </c>
      <c r="D42" s="20">
        <f t="shared" si="18"/>
        <v>0.15180265654648961</v>
      </c>
      <c r="E42" s="20">
        <f t="shared" si="18"/>
        <v>-4.6128500823723217E-2</v>
      </c>
      <c r="F42" s="21">
        <f t="shared" si="18"/>
        <v>2.2452504317789224E-2</v>
      </c>
      <c r="G42" s="22">
        <f>F42</f>
        <v>2.2452504317789224E-2</v>
      </c>
      <c r="H42" s="20">
        <f t="shared" si="19"/>
        <v>2.2452504317789224E-2</v>
      </c>
      <c r="I42" s="20">
        <f t="shared" si="19"/>
        <v>2.2452504317789224E-2</v>
      </c>
      <c r="J42" s="20">
        <f t="shared" si="19"/>
        <v>2.2452504317789224E-2</v>
      </c>
      <c r="K42" s="20">
        <f t="shared" si="19"/>
        <v>2.2452504317789224E-2</v>
      </c>
    </row>
    <row r="43" spans="1:11" x14ac:dyDescent="0.25">
      <c r="B43" s="3" t="s">
        <v>33</v>
      </c>
      <c r="C43" s="20">
        <f>C20/C15</f>
        <v>0.82191780821917804</v>
      </c>
      <c r="D43" s="20">
        <f>D20/D15</f>
        <v>0.82730450162125746</v>
      </c>
      <c r="E43" s="20">
        <f>E20/E15</f>
        <v>0.8135433610136118</v>
      </c>
      <c r="F43" s="21">
        <f>F20/F15</f>
        <v>0.75774858401510381</v>
      </c>
      <c r="G43" s="22">
        <v>0.8</v>
      </c>
      <c r="H43" s="23">
        <v>0.8</v>
      </c>
      <c r="I43" s="23">
        <v>0.8</v>
      </c>
      <c r="J43" s="23">
        <v>0.8</v>
      </c>
      <c r="K43" s="23">
        <v>0.8</v>
      </c>
    </row>
    <row r="44" spans="1:11" x14ac:dyDescent="0.25">
      <c r="B44" s="3" t="s">
        <v>34</v>
      </c>
      <c r="C44" s="20">
        <f>C25/C15</f>
        <v>0.29988183290297166</v>
      </c>
      <c r="D44" s="20">
        <f>D25/D15</f>
        <v>0.31317640122962903</v>
      </c>
      <c r="E44" s="20">
        <f>E25/E15</f>
        <v>0.30502525468709873</v>
      </c>
      <c r="F44" s="21">
        <f>F25/F15</f>
        <v>0.25664726242920077</v>
      </c>
      <c r="G44" s="22">
        <v>0.3</v>
      </c>
      <c r="H44" s="23">
        <v>0.3</v>
      </c>
      <c r="I44" s="23">
        <v>0.3</v>
      </c>
      <c r="J44" s="23">
        <v>0.3</v>
      </c>
      <c r="K44" s="23">
        <v>0.3</v>
      </c>
    </row>
    <row r="45" spans="1:11" x14ac:dyDescent="0.25">
      <c r="B45" s="3" t="s">
        <v>35</v>
      </c>
      <c r="C45" s="20">
        <f>C27/C15</f>
        <v>0.52203597531620638</v>
      </c>
      <c r="D45" s="20">
        <f>D27/D15</f>
        <v>0.51412810039162837</v>
      </c>
      <c r="E45" s="20">
        <f>E27/E15</f>
        <v>0.50851810632651318</v>
      </c>
      <c r="F45" s="21">
        <f>F27/F15</f>
        <v>0.50110132158590304</v>
      </c>
      <c r="G45" s="22">
        <v>0.5</v>
      </c>
      <c r="H45" s="23">
        <v>0.5</v>
      </c>
      <c r="I45" s="23">
        <v>0.5</v>
      </c>
      <c r="J45" s="23">
        <v>0.5</v>
      </c>
      <c r="K45" s="23">
        <v>0.5</v>
      </c>
    </row>
    <row r="46" spans="1:11" x14ac:dyDescent="0.25">
      <c r="B46" s="3" t="s">
        <v>36</v>
      </c>
      <c r="C46" s="20">
        <f>C34/C33</f>
        <v>0.79378972595602793</v>
      </c>
      <c r="D46" s="20">
        <f>D34/D33</f>
        <v>0.12058669460450498</v>
      </c>
      <c r="E46" s="20">
        <f>E34/E33</f>
        <v>0.1434421693414499</v>
      </c>
      <c r="F46" s="21">
        <f>F34/F33</f>
        <v>0.10684864133775974</v>
      </c>
      <c r="G46" s="22">
        <v>0.12</v>
      </c>
      <c r="H46" s="23">
        <v>0.12</v>
      </c>
      <c r="I46" s="23">
        <v>0.12</v>
      </c>
      <c r="J46" s="23">
        <v>0.12</v>
      </c>
      <c r="K46" s="23">
        <v>0.12</v>
      </c>
    </row>
    <row r="48" spans="1:11" x14ac:dyDescent="0.25">
      <c r="B48" s="6" t="s">
        <v>37</v>
      </c>
      <c r="C48" s="24"/>
      <c r="D48" s="24"/>
      <c r="E48" s="24"/>
      <c r="F48" s="24"/>
      <c r="G48" s="24"/>
      <c r="H48" s="24"/>
      <c r="I48" s="24"/>
      <c r="J48" s="24"/>
      <c r="K48" s="24"/>
    </row>
    <row r="49" spans="1:11" x14ac:dyDescent="0.25">
      <c r="C49" s="8">
        <f t="shared" ref="C49:D49" si="20">EOMONTH(D49,-12)</f>
        <v>43100</v>
      </c>
      <c r="D49" s="8">
        <f t="shared" si="20"/>
        <v>43465</v>
      </c>
      <c r="E49" s="8">
        <f>EOMONTH(F49,-12)</f>
        <v>43830</v>
      </c>
      <c r="F49" s="9">
        <f>$C$9</f>
        <v>44196</v>
      </c>
      <c r="G49" s="10">
        <f>EOMONTH(F49,12)</f>
        <v>44561</v>
      </c>
      <c r="H49" s="10">
        <f t="shared" ref="H49:K49" si="21">EOMONTH(G49,12)</f>
        <v>44926</v>
      </c>
      <c r="I49" s="10">
        <f t="shared" si="21"/>
        <v>45291</v>
      </c>
      <c r="J49" s="10">
        <f t="shared" si="21"/>
        <v>45657</v>
      </c>
      <c r="K49" s="10">
        <f t="shared" si="21"/>
        <v>46022</v>
      </c>
    </row>
    <row r="50" spans="1:11" x14ac:dyDescent="0.25">
      <c r="B50" s="3" t="s">
        <v>38</v>
      </c>
      <c r="C50" s="7">
        <v>3800</v>
      </c>
      <c r="D50" s="7">
        <v>6945</v>
      </c>
      <c r="E50" s="7">
        <v>6037</v>
      </c>
      <c r="F50" s="11">
        <v>6266</v>
      </c>
      <c r="G50" s="7">
        <f ca="1">G156</f>
        <v>4530.2337910360893</v>
      </c>
      <c r="H50" s="7">
        <f t="shared" ref="H50:K50" ca="1" si="22">H156</f>
        <v>4092.7368525842758</v>
      </c>
      <c r="I50" s="7">
        <f t="shared" ca="1" si="22"/>
        <v>4178.0258476398867</v>
      </c>
      <c r="J50" s="7">
        <f t="shared" ca="1" si="22"/>
        <v>4897.2384353578309</v>
      </c>
      <c r="K50" s="7">
        <f t="shared" ca="1" si="22"/>
        <v>6198.4527156128097</v>
      </c>
    </row>
    <row r="51" spans="1:11" x14ac:dyDescent="0.25">
      <c r="B51" s="3" t="s">
        <v>39</v>
      </c>
      <c r="C51" s="25">
        <v>37878</v>
      </c>
      <c r="D51" s="25">
        <v>22359</v>
      </c>
      <c r="E51" s="7">
        <v>2874</v>
      </c>
      <c r="F51" s="11">
        <v>4381</v>
      </c>
      <c r="G51" s="26">
        <v>4381</v>
      </c>
      <c r="H51" s="7">
        <f>G51</f>
        <v>4381</v>
      </c>
      <c r="I51" s="7">
        <f t="shared" ref="I51:K51" si="23">H51</f>
        <v>4381</v>
      </c>
      <c r="J51" s="7">
        <f t="shared" si="23"/>
        <v>4381</v>
      </c>
      <c r="K51" s="7">
        <f t="shared" si="23"/>
        <v>4381</v>
      </c>
    </row>
    <row r="52" spans="1:11" x14ac:dyDescent="0.25">
      <c r="B52" s="3" t="s">
        <v>40</v>
      </c>
      <c r="C52" s="7">
        <v>3237</v>
      </c>
      <c r="D52" s="7">
        <v>3580</v>
      </c>
      <c r="E52" s="7">
        <v>4057</v>
      </c>
      <c r="F52" s="11">
        <v>4525</v>
      </c>
      <c r="G52" s="7">
        <f>G86</f>
        <v>4549.0315351341314</v>
      </c>
      <c r="H52" s="7">
        <f t="shared" ref="H52:K54" si="24">H86</f>
        <v>4952.3765469417549</v>
      </c>
      <c r="I52" s="7">
        <f t="shared" si="24"/>
        <v>5392.3969764864096</v>
      </c>
      <c r="J52" s="7">
        <f t="shared" si="24"/>
        <v>5872.4488368170478</v>
      </c>
      <c r="K52" s="7">
        <f t="shared" si="24"/>
        <v>6396.1957152740124</v>
      </c>
    </row>
    <row r="53" spans="1:11" x14ac:dyDescent="0.25">
      <c r="B53" s="3" t="s">
        <v>41</v>
      </c>
      <c r="C53" s="7">
        <v>2834</v>
      </c>
      <c r="D53" s="7">
        <v>2940</v>
      </c>
      <c r="E53" s="7">
        <v>3584</v>
      </c>
      <c r="F53" s="11">
        <v>3893</v>
      </c>
      <c r="G53" s="7">
        <f>G87</f>
        <v>3953.3250245808504</v>
      </c>
      <c r="H53" s="7">
        <f t="shared" si="24"/>
        <v>4303.8510467470014</v>
      </c>
      <c r="I53" s="7">
        <f t="shared" si="24"/>
        <v>4686.249753375092</v>
      </c>
      <c r="J53" s="7">
        <f t="shared" si="24"/>
        <v>5103.4376796148144</v>
      </c>
      <c r="K53" s="7">
        <f t="shared" si="24"/>
        <v>5558.5986573214623</v>
      </c>
    </row>
    <row r="54" spans="1:11" x14ac:dyDescent="0.25">
      <c r="B54" s="3" t="s">
        <v>42</v>
      </c>
      <c r="C54" s="7">
        <v>1727</v>
      </c>
      <c r="D54" s="7">
        <v>1794</v>
      </c>
      <c r="E54" s="7">
        <v>1888</v>
      </c>
      <c r="F54" s="11">
        <v>2079</v>
      </c>
      <c r="G54" s="7">
        <f>G88</f>
        <v>2213.8620137652774</v>
      </c>
      <c r="H54" s="7">
        <f t="shared" si="24"/>
        <v>2410.156586178321</v>
      </c>
      <c r="I54" s="7">
        <f t="shared" si="24"/>
        <v>2624.2998618900524</v>
      </c>
      <c r="J54" s="7">
        <f t="shared" si="24"/>
        <v>2857.9251005842966</v>
      </c>
      <c r="K54" s="7">
        <f t="shared" si="24"/>
        <v>3112.8152481000197</v>
      </c>
    </row>
    <row r="55" spans="1:11" x14ac:dyDescent="0.25">
      <c r="B55" s="3" t="s">
        <v>43</v>
      </c>
      <c r="C55" s="7">
        <f>SUM(C50:C54)</f>
        <v>49476</v>
      </c>
      <c r="D55" s="7">
        <f>SUM(D50:D54)</f>
        <v>37618</v>
      </c>
      <c r="E55" s="7">
        <f>SUM(E50:E54)</f>
        <v>18440</v>
      </c>
      <c r="F55" s="11">
        <f>SUM(F50:F54)</f>
        <v>21144</v>
      </c>
      <c r="G55" s="7">
        <f ca="1">SUM(G50:G54)</f>
        <v>19627.45236451635</v>
      </c>
      <c r="H55" s="7">
        <f t="shared" ref="H55:K55" ca="1" si="25">SUM(H50:H54)</f>
        <v>20140.121032451352</v>
      </c>
      <c r="I55" s="7">
        <f t="shared" ca="1" si="25"/>
        <v>21261.972439391444</v>
      </c>
      <c r="J55" s="7">
        <f t="shared" ca="1" si="25"/>
        <v>23112.05005237399</v>
      </c>
      <c r="K55" s="7">
        <f t="shared" ca="1" si="25"/>
        <v>25647.062336308307</v>
      </c>
    </row>
    <row r="56" spans="1:11" x14ac:dyDescent="0.25">
      <c r="C56" s="7"/>
      <c r="D56" s="7"/>
      <c r="E56" s="7"/>
      <c r="F56" s="11"/>
      <c r="G56" s="7"/>
      <c r="H56" s="7"/>
      <c r="I56" s="7"/>
      <c r="J56" s="7"/>
      <c r="K56" s="7"/>
    </row>
    <row r="57" spans="1:11" x14ac:dyDescent="0.25">
      <c r="B57" s="3" t="s">
        <v>44</v>
      </c>
      <c r="C57" s="7">
        <v>4989</v>
      </c>
      <c r="D57" s="7">
        <v>4958</v>
      </c>
      <c r="E57" s="7">
        <v>4928</v>
      </c>
      <c r="F57" s="11">
        <v>4889</v>
      </c>
      <c r="G57" s="7">
        <f>G111</f>
        <v>5004.2984732667319</v>
      </c>
      <c r="H57" s="7">
        <f t="shared" ref="H57:K57" si="26">H111</f>
        <v>5080.2313212112458</v>
      </c>
      <c r="I57" s="7">
        <f t="shared" si="26"/>
        <v>5113.4538415215629</v>
      </c>
      <c r="J57" s="7">
        <f t="shared" si="26"/>
        <v>5100.3205872523331</v>
      </c>
      <c r="K57" s="7">
        <f t="shared" si="26"/>
        <v>5036.8579235468105</v>
      </c>
    </row>
    <row r="58" spans="1:11" x14ac:dyDescent="0.25">
      <c r="B58" s="3" t="s">
        <v>45</v>
      </c>
      <c r="C58" s="7">
        <v>8609</v>
      </c>
      <c r="D58" s="25">
        <v>7443</v>
      </c>
      <c r="E58" s="25">
        <v>19413</v>
      </c>
      <c r="F58" s="11">
        <v>16587</v>
      </c>
      <c r="G58" s="7">
        <f>G116</f>
        <v>13987</v>
      </c>
      <c r="H58" s="7">
        <f t="shared" ref="H58:K58" si="27">H116</f>
        <v>11487</v>
      </c>
      <c r="I58" s="7">
        <f t="shared" si="27"/>
        <v>9087</v>
      </c>
      <c r="J58" s="7">
        <f t="shared" si="27"/>
        <v>6687</v>
      </c>
      <c r="K58" s="7">
        <f t="shared" si="27"/>
        <v>4487</v>
      </c>
    </row>
    <row r="59" spans="1:11" x14ac:dyDescent="0.25">
      <c r="B59" s="3" t="s">
        <v>46</v>
      </c>
      <c r="C59" s="7">
        <v>14761</v>
      </c>
      <c r="D59" s="7">
        <v>14699</v>
      </c>
      <c r="E59" s="7">
        <v>14703</v>
      </c>
      <c r="F59" s="11">
        <v>14689</v>
      </c>
      <c r="G59" s="26">
        <v>14500</v>
      </c>
      <c r="H59" s="7">
        <f>G59</f>
        <v>14500</v>
      </c>
      <c r="I59" s="7">
        <f t="shared" ref="I59:K60" si="28">H59</f>
        <v>14500</v>
      </c>
      <c r="J59" s="7">
        <f t="shared" si="28"/>
        <v>14500</v>
      </c>
      <c r="K59" s="7">
        <f t="shared" si="28"/>
        <v>14500</v>
      </c>
    </row>
    <row r="60" spans="1:11" x14ac:dyDescent="0.25">
      <c r="B60" s="3" t="s">
        <v>47</v>
      </c>
      <c r="C60" s="7">
        <v>2119</v>
      </c>
      <c r="D60" s="7">
        <v>1698</v>
      </c>
      <c r="E60" s="7">
        <v>2223</v>
      </c>
      <c r="F60" s="11">
        <v>5639</v>
      </c>
      <c r="G60" s="26">
        <v>5639</v>
      </c>
      <c r="H60" s="7">
        <f>G60</f>
        <v>5639</v>
      </c>
      <c r="I60" s="7">
        <f t="shared" si="28"/>
        <v>5639</v>
      </c>
      <c r="J60" s="7">
        <f t="shared" si="28"/>
        <v>5639</v>
      </c>
      <c r="K60" s="7">
        <f t="shared" si="28"/>
        <v>5639</v>
      </c>
    </row>
    <row r="61" spans="1:11" x14ac:dyDescent="0.25">
      <c r="B61" s="3" t="s">
        <v>48</v>
      </c>
      <c r="C61" s="7">
        <f t="shared" ref="C61:K61" si="29">SUM(C57:C60)</f>
        <v>30478</v>
      </c>
      <c r="D61" s="7">
        <f t="shared" si="29"/>
        <v>28798</v>
      </c>
      <c r="E61" s="7">
        <f t="shared" si="29"/>
        <v>41267</v>
      </c>
      <c r="F61" s="11">
        <f t="shared" si="29"/>
        <v>41804</v>
      </c>
      <c r="G61" s="7">
        <f t="shared" si="29"/>
        <v>39130.298473266732</v>
      </c>
      <c r="H61" s="7">
        <f t="shared" si="29"/>
        <v>36706.231321211249</v>
      </c>
      <c r="I61" s="7">
        <f t="shared" si="29"/>
        <v>34339.453841521565</v>
      </c>
      <c r="J61" s="7">
        <f t="shared" si="29"/>
        <v>31926.320587252332</v>
      </c>
      <c r="K61" s="7">
        <f t="shared" si="29"/>
        <v>29662.85792354681</v>
      </c>
    </row>
    <row r="62" spans="1:11" x14ac:dyDescent="0.25">
      <c r="C62" s="7"/>
      <c r="D62" s="7"/>
      <c r="E62" s="7"/>
      <c r="F62" s="11"/>
      <c r="G62" s="7"/>
      <c r="H62" s="7"/>
      <c r="I62" s="7"/>
      <c r="J62" s="7"/>
      <c r="K62" s="7"/>
    </row>
    <row r="63" spans="1:11" s="15" customFormat="1" x14ac:dyDescent="0.25">
      <c r="A63" s="14"/>
      <c r="B63" s="15" t="s">
        <v>49</v>
      </c>
      <c r="C63" s="16">
        <f>C61+C55</f>
        <v>79954</v>
      </c>
      <c r="D63" s="16">
        <f>D61+D55</f>
        <v>66416</v>
      </c>
      <c r="E63" s="16">
        <f>E61+E55</f>
        <v>59707</v>
      </c>
      <c r="F63" s="17">
        <f>F61+F55</f>
        <v>62948</v>
      </c>
      <c r="G63" s="16">
        <f t="shared" ref="G63:K63" ca="1" si="30">G61+G55</f>
        <v>58757.750837783082</v>
      </c>
      <c r="H63" s="16">
        <f ca="1">H61+H55</f>
        <v>56846.352353662602</v>
      </c>
      <c r="I63" s="16">
        <f t="shared" ca="1" si="30"/>
        <v>55601.426280913009</v>
      </c>
      <c r="J63" s="16">
        <f t="shared" ca="1" si="30"/>
        <v>55038.370639626322</v>
      </c>
      <c r="K63" s="16">
        <f t="shared" ca="1" si="30"/>
        <v>55309.92025985512</v>
      </c>
    </row>
    <row r="64" spans="1:11" x14ac:dyDescent="0.25">
      <c r="F64" s="13"/>
    </row>
    <row r="65" spans="1:11" x14ac:dyDescent="0.25">
      <c r="B65" s="3" t="s">
        <v>50</v>
      </c>
      <c r="C65" s="7">
        <v>1352</v>
      </c>
      <c r="D65" s="7">
        <v>1207</v>
      </c>
      <c r="E65" s="7">
        <v>1371</v>
      </c>
      <c r="F65" s="11">
        <v>1421</v>
      </c>
      <c r="G65" s="7">
        <f>G91</f>
        <v>1288.8922682880032</v>
      </c>
      <c r="H65" s="7">
        <f t="shared" ref="H65:K66" si="31">H91</f>
        <v>1403.1733549668306</v>
      </c>
      <c r="I65" s="7">
        <f t="shared" si="31"/>
        <v>1527.845810004482</v>
      </c>
      <c r="J65" s="7">
        <f t="shared" si="31"/>
        <v>1663.8605037648301</v>
      </c>
      <c r="K65" s="7">
        <f t="shared" si="31"/>
        <v>1812.2554526609697</v>
      </c>
    </row>
    <row r="66" spans="1:11" x14ac:dyDescent="0.25">
      <c r="B66" s="3" t="s">
        <v>51</v>
      </c>
      <c r="C66" s="7">
        <v>6516</v>
      </c>
      <c r="D66" s="7">
        <v>7862</v>
      </c>
      <c r="E66" s="7">
        <v>8511</v>
      </c>
      <c r="F66" s="11">
        <v>10141</v>
      </c>
      <c r="G66" s="7">
        <f>G92</f>
        <v>9685.6463102230864</v>
      </c>
      <c r="H66" s="7">
        <f t="shared" si="31"/>
        <v>10544.435064530153</v>
      </c>
      <c r="I66" s="7">
        <f t="shared" si="31"/>
        <v>11481.311895768979</v>
      </c>
      <c r="J66" s="7">
        <f t="shared" si="31"/>
        <v>12503.422315056298</v>
      </c>
      <c r="K66" s="7">
        <f t="shared" si="31"/>
        <v>13618.566710437584</v>
      </c>
    </row>
    <row r="67" spans="1:11" x14ac:dyDescent="0.25">
      <c r="B67" s="3" t="s">
        <v>52</v>
      </c>
      <c r="C67" s="7">
        <v>1152</v>
      </c>
      <c r="D67" s="7">
        <v>4419</v>
      </c>
      <c r="E67" s="7">
        <v>2953</v>
      </c>
      <c r="F67" s="11">
        <v>91</v>
      </c>
      <c r="G67" s="27">
        <v>91</v>
      </c>
      <c r="H67" s="3">
        <f>G67</f>
        <v>91</v>
      </c>
      <c r="I67" s="3">
        <f t="shared" ref="I67:K67" si="32">H67</f>
        <v>91</v>
      </c>
      <c r="J67" s="3">
        <f t="shared" si="32"/>
        <v>91</v>
      </c>
      <c r="K67" s="3">
        <f t="shared" si="32"/>
        <v>91</v>
      </c>
    </row>
    <row r="68" spans="1:11" x14ac:dyDescent="0.25">
      <c r="B68" s="3" t="s">
        <v>53</v>
      </c>
      <c r="C68" s="7">
        <v>0</v>
      </c>
      <c r="D68" s="7">
        <v>0</v>
      </c>
      <c r="E68" s="7">
        <v>0</v>
      </c>
      <c r="F68" s="11">
        <v>0</v>
      </c>
      <c r="G68" s="7">
        <f ca="1">G196</f>
        <v>0</v>
      </c>
      <c r="H68" s="7">
        <f t="shared" ref="H68:K68" ca="1" si="33">H196</f>
        <v>0</v>
      </c>
      <c r="I68" s="7">
        <f t="shared" ca="1" si="33"/>
        <v>0</v>
      </c>
      <c r="J68" s="7">
        <f t="shared" ca="1" si="33"/>
        <v>0</v>
      </c>
      <c r="K68" s="7">
        <f t="shared" ca="1" si="33"/>
        <v>0</v>
      </c>
    </row>
    <row r="69" spans="1:11" x14ac:dyDescent="0.25">
      <c r="B69" s="3" t="s">
        <v>54</v>
      </c>
      <c r="C69" s="7">
        <f>SUM(C65:C68)</f>
        <v>9020</v>
      </c>
      <c r="D69" s="7">
        <f>SUM(D65:D68)</f>
        <v>13488</v>
      </c>
      <c r="E69" s="7">
        <f>SUM(E65:E68)</f>
        <v>12835</v>
      </c>
      <c r="F69" s="11">
        <f>SUM(F65:F68)</f>
        <v>11653</v>
      </c>
      <c r="G69" s="7">
        <f ca="1">SUM(G65:G68)</f>
        <v>11065.53857851109</v>
      </c>
      <c r="H69" s="7">
        <f t="shared" ref="H69:K69" ca="1" si="34">SUM(H65:H68)</f>
        <v>12038.608419496984</v>
      </c>
      <c r="I69" s="7">
        <f t="shared" ca="1" si="34"/>
        <v>13100.157705773461</v>
      </c>
      <c r="J69" s="7">
        <f t="shared" ca="1" si="34"/>
        <v>14258.282818821128</v>
      </c>
      <c r="K69" s="7">
        <f t="shared" ca="1" si="34"/>
        <v>15521.822163098554</v>
      </c>
    </row>
    <row r="70" spans="1:11" x14ac:dyDescent="0.25">
      <c r="C70" s="7"/>
      <c r="D70" s="7"/>
      <c r="E70" s="7"/>
      <c r="F70" s="11"/>
    </row>
    <row r="71" spans="1:11" x14ac:dyDescent="0.25">
      <c r="B71" s="3" t="s">
        <v>55</v>
      </c>
      <c r="C71" s="7">
        <v>34190</v>
      </c>
      <c r="D71" s="7">
        <v>29510</v>
      </c>
      <c r="E71" s="7">
        <v>26950</v>
      </c>
      <c r="F71" s="11">
        <v>32895</v>
      </c>
      <c r="G71" s="26">
        <f>G190-G67</f>
        <v>32895</v>
      </c>
      <c r="H71" s="7">
        <f>H190-H67</f>
        <v>32895</v>
      </c>
      <c r="I71" s="7">
        <f>I190-I67</f>
        <v>32895</v>
      </c>
      <c r="J71" s="7">
        <f>J190-J67</f>
        <v>32895</v>
      </c>
      <c r="K71" s="7">
        <f>K190-K67</f>
        <v>32895</v>
      </c>
    </row>
    <row r="72" spans="1:11" x14ac:dyDescent="0.25">
      <c r="B72" s="3" t="s">
        <v>56</v>
      </c>
      <c r="C72" s="7">
        <f>9099+1166</f>
        <v>10265</v>
      </c>
      <c r="D72" s="7">
        <f>8770+864</f>
        <v>9634</v>
      </c>
      <c r="E72" s="7">
        <f>8037+606</f>
        <v>8643</v>
      </c>
      <c r="F72" s="11">
        <v>6968</v>
      </c>
      <c r="G72" s="26">
        <v>6968</v>
      </c>
      <c r="H72" s="7">
        <f>G72</f>
        <v>6968</v>
      </c>
      <c r="I72" s="7">
        <f t="shared" ref="I72:K73" si="35">H72</f>
        <v>6968</v>
      </c>
      <c r="J72" s="7">
        <f t="shared" si="35"/>
        <v>6968</v>
      </c>
      <c r="K72" s="7">
        <f t="shared" si="35"/>
        <v>6968</v>
      </c>
    </row>
    <row r="73" spans="1:11" x14ac:dyDescent="0.25">
      <c r="B73" s="3" t="s">
        <v>57</v>
      </c>
      <c r="C73" s="7">
        <v>1238</v>
      </c>
      <c r="D73" s="7">
        <v>1284</v>
      </c>
      <c r="E73" s="7">
        <v>1606</v>
      </c>
      <c r="F73" s="11">
        <v>2023</v>
      </c>
      <c r="G73" s="26">
        <v>2023</v>
      </c>
      <c r="H73" s="7">
        <f>G73</f>
        <v>2023</v>
      </c>
      <c r="I73" s="7">
        <f t="shared" si="35"/>
        <v>2023</v>
      </c>
      <c r="J73" s="7">
        <f t="shared" si="35"/>
        <v>2023</v>
      </c>
      <c r="K73" s="7">
        <f t="shared" si="35"/>
        <v>2023</v>
      </c>
    </row>
    <row r="74" spans="1:11" x14ac:dyDescent="0.25">
      <c r="B74" s="3" t="s">
        <v>58</v>
      </c>
      <c r="C74" s="7">
        <f>SUM(C71:C73)</f>
        <v>45693</v>
      </c>
      <c r="D74" s="7">
        <f>SUM(D71:D73)</f>
        <v>40428</v>
      </c>
      <c r="E74" s="7">
        <f>SUM(E71:E73)</f>
        <v>37199</v>
      </c>
      <c r="F74" s="11">
        <f>SUM(F71:F73)</f>
        <v>41886</v>
      </c>
      <c r="G74" s="7">
        <f>SUM(G71:G73)</f>
        <v>41886</v>
      </c>
      <c r="H74" s="7">
        <f t="shared" ref="H74:K74" si="36">SUM(H71:H73)</f>
        <v>41886</v>
      </c>
      <c r="I74" s="7">
        <f t="shared" si="36"/>
        <v>41886</v>
      </c>
      <c r="J74" s="7">
        <f t="shared" si="36"/>
        <v>41886</v>
      </c>
      <c r="K74" s="7">
        <f t="shared" si="36"/>
        <v>41886</v>
      </c>
    </row>
    <row r="75" spans="1:11" x14ac:dyDescent="0.25">
      <c r="C75" s="7"/>
      <c r="D75" s="7"/>
      <c r="E75" s="7"/>
      <c r="F75" s="11"/>
    </row>
    <row r="76" spans="1:11" s="15" customFormat="1" x14ac:dyDescent="0.25">
      <c r="A76" s="14"/>
      <c r="B76" s="15" t="s">
        <v>59</v>
      </c>
      <c r="C76" s="16">
        <f>C74+C69</f>
        <v>54713</v>
      </c>
      <c r="D76" s="16">
        <f>D74+D69</f>
        <v>53916</v>
      </c>
      <c r="E76" s="16">
        <f>E74+E69</f>
        <v>50034</v>
      </c>
      <c r="F76" s="17">
        <f>F74+F69</f>
        <v>53539</v>
      </c>
      <c r="G76" s="16">
        <f t="shared" ref="G76:K76" ca="1" si="37">G74+G69</f>
        <v>52951.538578511092</v>
      </c>
      <c r="H76" s="16">
        <f t="shared" ca="1" si="37"/>
        <v>53924.608419496988</v>
      </c>
      <c r="I76" s="16">
        <f ca="1">I74+I69</f>
        <v>54986.157705773461</v>
      </c>
      <c r="J76" s="16">
        <f t="shared" ca="1" si="37"/>
        <v>56144.282818821128</v>
      </c>
      <c r="K76" s="16">
        <f t="shared" ca="1" si="37"/>
        <v>57407.82216309855</v>
      </c>
    </row>
    <row r="77" spans="1:11" x14ac:dyDescent="0.25">
      <c r="C77" s="7"/>
      <c r="D77" s="7"/>
      <c r="E77" s="7"/>
      <c r="F77" s="11"/>
    </row>
    <row r="78" spans="1:11" s="15" customFormat="1" x14ac:dyDescent="0.25">
      <c r="A78" s="14"/>
      <c r="B78" s="15" t="s">
        <v>60</v>
      </c>
      <c r="C78" s="16">
        <v>25241</v>
      </c>
      <c r="D78" s="16">
        <v>12500</v>
      </c>
      <c r="E78" s="16">
        <v>9673</v>
      </c>
      <c r="F78" s="17">
        <v>9409</v>
      </c>
      <c r="G78" s="16">
        <f ca="1">G166</f>
        <v>5995.2122592719916</v>
      </c>
      <c r="H78" s="16">
        <f t="shared" ref="H78:K78" ca="1" si="38">H166</f>
        <v>3110.7439341656136</v>
      </c>
      <c r="I78" s="16">
        <f t="shared" ca="1" si="38"/>
        <v>804.26857513954383</v>
      </c>
      <c r="J78" s="16">
        <f t="shared" ca="1" si="38"/>
        <v>-916.91217919480459</v>
      </c>
      <c r="K78" s="16">
        <f t="shared" ca="1" si="38"/>
        <v>-1908.9019032434371</v>
      </c>
    </row>
    <row r="79" spans="1:11" s="15" customFormat="1" x14ac:dyDescent="0.25">
      <c r="A79" s="14"/>
      <c r="C79" s="16"/>
      <c r="D79" s="16"/>
      <c r="E79" s="16"/>
      <c r="F79" s="17"/>
      <c r="G79" s="16"/>
      <c r="H79" s="16"/>
      <c r="I79" s="16"/>
      <c r="J79" s="16"/>
      <c r="K79" s="16"/>
    </row>
    <row r="80" spans="1:11" s="15" customFormat="1" x14ac:dyDescent="0.25">
      <c r="A80" s="14"/>
      <c r="B80" s="15" t="s">
        <v>61</v>
      </c>
      <c r="C80" s="16">
        <f>C78+C76</f>
        <v>79954</v>
      </c>
      <c r="D80" s="16">
        <f t="shared" ref="D80:K80" si="39">D78+D76</f>
        <v>66416</v>
      </c>
      <c r="E80" s="16">
        <f t="shared" si="39"/>
        <v>59707</v>
      </c>
      <c r="F80" s="17">
        <f t="shared" si="39"/>
        <v>62948</v>
      </c>
      <c r="G80" s="16">
        <f t="shared" ca="1" si="39"/>
        <v>58946.750837783082</v>
      </c>
      <c r="H80" s="16">
        <f t="shared" ca="1" si="39"/>
        <v>57035.352353662602</v>
      </c>
      <c r="I80" s="16">
        <f t="shared" ca="1" si="39"/>
        <v>55790.426280913001</v>
      </c>
      <c r="J80" s="16">
        <f t="shared" ca="1" si="39"/>
        <v>55227.370639626322</v>
      </c>
      <c r="K80" s="16">
        <f t="shared" ca="1" si="39"/>
        <v>55498.920259855113</v>
      </c>
    </row>
    <row r="81" spans="1:11" x14ac:dyDescent="0.25">
      <c r="F81" s="13"/>
    </row>
    <row r="82" spans="1:11" s="28" customFormat="1" x14ac:dyDescent="0.25">
      <c r="A82"/>
      <c r="B82" s="3" t="s">
        <v>62</v>
      </c>
      <c r="C82" s="28">
        <f t="shared" ref="C82:F82" si="40">C63-C80</f>
        <v>0</v>
      </c>
      <c r="D82" s="28">
        <f t="shared" si="40"/>
        <v>0</v>
      </c>
      <c r="E82" s="28">
        <f t="shared" si="40"/>
        <v>0</v>
      </c>
      <c r="F82" s="29">
        <f t="shared" si="40"/>
        <v>0</v>
      </c>
      <c r="G82" s="7">
        <f ca="1">G63-G80</f>
        <v>-189</v>
      </c>
      <c r="H82" s="7">
        <f t="shared" ref="H82:K82" ca="1" si="41">H63-H80</f>
        <v>-189</v>
      </c>
      <c r="I82" s="7">
        <f t="shared" ca="1" si="41"/>
        <v>-188.99999999999272</v>
      </c>
      <c r="J82" s="7">
        <f t="shared" ca="1" si="41"/>
        <v>-189</v>
      </c>
      <c r="K82" s="7">
        <f t="shared" ca="1" si="41"/>
        <v>-188.99999999999272</v>
      </c>
    </row>
    <row r="84" spans="1:11" x14ac:dyDescent="0.25">
      <c r="B84" s="6" t="s">
        <v>63</v>
      </c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5">
      <c r="C85" s="8">
        <f t="shared" ref="C85:D85" si="42">EOMONTH(D85,-12)</f>
        <v>43100</v>
      </c>
      <c r="D85" s="8">
        <f t="shared" si="42"/>
        <v>43465</v>
      </c>
      <c r="E85" s="8">
        <f>EOMONTH(F85,-12)</f>
        <v>43830</v>
      </c>
      <c r="F85" s="9">
        <f>$C$9</f>
        <v>44196</v>
      </c>
      <c r="G85" s="10">
        <f>EOMONTH(F85,12)</f>
        <v>44561</v>
      </c>
      <c r="H85" s="10">
        <f t="shared" ref="H85:K85" si="43">EOMONTH(G85,12)</f>
        <v>44926</v>
      </c>
      <c r="I85" s="10">
        <f t="shared" si="43"/>
        <v>45291</v>
      </c>
      <c r="J85" s="10">
        <f t="shared" si="43"/>
        <v>45657</v>
      </c>
      <c r="K85" s="10">
        <f t="shared" si="43"/>
        <v>46022</v>
      </c>
    </row>
    <row r="86" spans="1:11" x14ac:dyDescent="0.25">
      <c r="B86" s="3" t="str">
        <f t="shared" ref="B86:F88" si="44">B52</f>
        <v>Accounts receivable, net</v>
      </c>
      <c r="C86" s="7">
        <f t="shared" si="44"/>
        <v>3237</v>
      </c>
      <c r="D86" s="7">
        <f t="shared" si="44"/>
        <v>3580</v>
      </c>
      <c r="E86" s="7">
        <f t="shared" si="44"/>
        <v>4057</v>
      </c>
      <c r="F86" s="11">
        <f t="shared" si="44"/>
        <v>4525</v>
      </c>
      <c r="G86" s="7">
        <f>G99*G15/365</f>
        <v>4549.0315351341314</v>
      </c>
      <c r="H86" s="7">
        <f>H99*H15/365</f>
        <v>4952.3765469417549</v>
      </c>
      <c r="I86" s="7">
        <f>I99*I15/365</f>
        <v>5392.3969764864096</v>
      </c>
      <c r="J86" s="7">
        <f>J99*J15/365</f>
        <v>5872.4488368170478</v>
      </c>
      <c r="K86" s="7">
        <f>K99*K15/365</f>
        <v>6396.1957152740124</v>
      </c>
    </row>
    <row r="87" spans="1:11" x14ac:dyDescent="0.25">
      <c r="B87" s="3" t="str">
        <f t="shared" si="44"/>
        <v>Inventories</v>
      </c>
      <c r="C87" s="7">
        <f t="shared" si="44"/>
        <v>2834</v>
      </c>
      <c r="D87" s="7">
        <f t="shared" si="44"/>
        <v>2940</v>
      </c>
      <c r="E87" s="7">
        <f t="shared" si="44"/>
        <v>3584</v>
      </c>
      <c r="F87" s="11">
        <f>F53</f>
        <v>3893</v>
      </c>
      <c r="G87" s="7">
        <f>G19/G100</f>
        <v>3953.3250245808504</v>
      </c>
      <c r="H87" s="7">
        <f>H19/H100</f>
        <v>4303.8510467470014</v>
      </c>
      <c r="I87" s="7">
        <f>I19/I100</f>
        <v>4686.249753375092</v>
      </c>
      <c r="J87" s="7">
        <f>J19/J100</f>
        <v>5103.4376796148144</v>
      </c>
      <c r="K87" s="7">
        <f>K19/K100</f>
        <v>5558.5986573214623</v>
      </c>
    </row>
    <row r="88" spans="1:11" x14ac:dyDescent="0.25">
      <c r="B88" s="3" t="str">
        <f t="shared" si="44"/>
        <v>Other current assets</v>
      </c>
      <c r="C88" s="7">
        <f t="shared" si="44"/>
        <v>1727</v>
      </c>
      <c r="D88" s="7">
        <f t="shared" si="44"/>
        <v>1794</v>
      </c>
      <c r="E88" s="7">
        <f t="shared" si="44"/>
        <v>1888</v>
      </c>
      <c r="F88" s="11">
        <f t="shared" si="44"/>
        <v>2079</v>
      </c>
      <c r="G88" s="7">
        <f>G101*G15</f>
        <v>2213.8620137652774</v>
      </c>
      <c r="H88" s="7">
        <f>H101*H15</f>
        <v>2410.156586178321</v>
      </c>
      <c r="I88" s="7">
        <f>I101*I15</f>
        <v>2624.2998618900524</v>
      </c>
      <c r="J88" s="7">
        <f>J101*J15</f>
        <v>2857.9251005842966</v>
      </c>
      <c r="K88" s="7">
        <f>K101*K15</f>
        <v>3112.8152481000197</v>
      </c>
    </row>
    <row r="89" spans="1:11" x14ac:dyDescent="0.25">
      <c r="B89" s="3" t="s">
        <v>64</v>
      </c>
      <c r="C89" s="7">
        <f>SUM(C86:C88)</f>
        <v>7798</v>
      </c>
      <c r="D89" s="7">
        <f t="shared" ref="D89:E89" si="45">SUM(D86:D88)</f>
        <v>8314</v>
      </c>
      <c r="E89" s="7">
        <f t="shared" si="45"/>
        <v>9529</v>
      </c>
      <c r="F89" s="11">
        <f>SUM(F86:F88)</f>
        <v>10497</v>
      </c>
      <c r="G89" s="7">
        <f t="shared" ref="G89:K89" si="46">SUM(G86:G88)</f>
        <v>10716.218573480261</v>
      </c>
      <c r="H89" s="7">
        <f t="shared" si="46"/>
        <v>11666.384179867076</v>
      </c>
      <c r="I89" s="7">
        <f t="shared" si="46"/>
        <v>12702.946591751555</v>
      </c>
      <c r="J89" s="7">
        <f t="shared" si="46"/>
        <v>13833.811617016159</v>
      </c>
      <c r="K89" s="7">
        <f t="shared" si="46"/>
        <v>15067.609620695495</v>
      </c>
    </row>
    <row r="90" spans="1:11" x14ac:dyDescent="0.25">
      <c r="F90" s="13"/>
      <c r="G90" s="7"/>
      <c r="H90" s="7"/>
      <c r="I90" s="7"/>
      <c r="J90" s="7"/>
      <c r="K90" s="7"/>
    </row>
    <row r="91" spans="1:11" x14ac:dyDescent="0.25">
      <c r="B91" s="3" t="str">
        <f>B65</f>
        <v>Accounts payable</v>
      </c>
      <c r="C91" s="7">
        <f>C65</f>
        <v>1352</v>
      </c>
      <c r="D91" s="7">
        <f t="shared" ref="D91:F92" si="47">D65</f>
        <v>1207</v>
      </c>
      <c r="E91" s="7">
        <f t="shared" si="47"/>
        <v>1371</v>
      </c>
      <c r="F91" s="11">
        <f t="shared" si="47"/>
        <v>1421</v>
      </c>
      <c r="G91" s="7">
        <f>G103*G19/365</f>
        <v>1288.8922682880032</v>
      </c>
      <c r="H91" s="7">
        <f>H103*H19/365</f>
        <v>1403.1733549668306</v>
      </c>
      <c r="I91" s="7">
        <f>I103*I19/365</f>
        <v>1527.845810004482</v>
      </c>
      <c r="J91" s="7">
        <f>J103*J19/365</f>
        <v>1663.8605037648301</v>
      </c>
      <c r="K91" s="7">
        <f>K103*K19/365</f>
        <v>1812.2554526609697</v>
      </c>
    </row>
    <row r="92" spans="1:11" x14ac:dyDescent="0.25">
      <c r="B92" s="3" t="str">
        <f>B66</f>
        <v>Accrued liabilities</v>
      </c>
      <c r="C92" s="7">
        <f>C66</f>
        <v>6516</v>
      </c>
      <c r="D92" s="7">
        <f t="shared" si="47"/>
        <v>7862</v>
      </c>
      <c r="E92" s="7">
        <f t="shared" si="47"/>
        <v>8511</v>
      </c>
      <c r="F92" s="11">
        <f t="shared" si="47"/>
        <v>10141</v>
      </c>
      <c r="G92" s="7">
        <f>G104*G15</f>
        <v>9685.6463102230864</v>
      </c>
      <c r="H92" s="7">
        <f>H104*H15</f>
        <v>10544.435064530153</v>
      </c>
      <c r="I92" s="7">
        <f>I104*I15</f>
        <v>11481.311895768979</v>
      </c>
      <c r="J92" s="7">
        <f>J104*J15</f>
        <v>12503.422315056298</v>
      </c>
      <c r="K92" s="7">
        <f>K104*K15</f>
        <v>13618.566710437584</v>
      </c>
    </row>
    <row r="93" spans="1:11" x14ac:dyDescent="0.25">
      <c r="B93" s="3" t="s">
        <v>65</v>
      </c>
      <c r="C93" s="7">
        <f>SUM(C91:C92)</f>
        <v>7868</v>
      </c>
      <c r="D93" s="7">
        <f t="shared" ref="D93:K93" si="48">SUM(D91:D92)</f>
        <v>9069</v>
      </c>
      <c r="E93" s="7">
        <f t="shared" si="48"/>
        <v>9882</v>
      </c>
      <c r="F93" s="11">
        <f t="shared" si="48"/>
        <v>11562</v>
      </c>
      <c r="G93" s="7">
        <f t="shared" si="48"/>
        <v>10974.53857851109</v>
      </c>
      <c r="H93" s="7">
        <f t="shared" si="48"/>
        <v>11947.608419496984</v>
      </c>
      <c r="I93" s="7">
        <f t="shared" si="48"/>
        <v>13009.157705773461</v>
      </c>
      <c r="J93" s="7">
        <f t="shared" si="48"/>
        <v>14167.282818821128</v>
      </c>
      <c r="K93" s="7">
        <f t="shared" si="48"/>
        <v>15430.822163098554</v>
      </c>
    </row>
    <row r="94" spans="1:11" x14ac:dyDescent="0.25">
      <c r="C94" s="7"/>
      <c r="D94" s="7"/>
      <c r="E94" s="7"/>
      <c r="F94" s="11"/>
      <c r="G94" s="7"/>
      <c r="H94" s="7"/>
      <c r="I94" s="7"/>
      <c r="J94" s="7"/>
      <c r="K94" s="7"/>
    </row>
    <row r="95" spans="1:11" x14ac:dyDescent="0.25">
      <c r="B95" s="3" t="s">
        <v>66</v>
      </c>
      <c r="C95" s="30">
        <f>C89-C93</f>
        <v>-70</v>
      </c>
      <c r="D95" s="30">
        <f t="shared" ref="D95:K95" si="49">D89-D93</f>
        <v>-755</v>
      </c>
      <c r="E95" s="30">
        <f t="shared" si="49"/>
        <v>-353</v>
      </c>
      <c r="F95" s="31">
        <f t="shared" si="49"/>
        <v>-1065</v>
      </c>
      <c r="G95" s="30">
        <f t="shared" si="49"/>
        <v>-258.32000503082963</v>
      </c>
      <c r="H95" s="30">
        <f t="shared" si="49"/>
        <v>-281.22423962990797</v>
      </c>
      <c r="I95" s="30">
        <f t="shared" si="49"/>
        <v>-306.21111402190581</v>
      </c>
      <c r="J95" s="30">
        <f t="shared" si="49"/>
        <v>-333.47120180496859</v>
      </c>
      <c r="K95" s="30">
        <f t="shared" si="49"/>
        <v>-363.21254240305825</v>
      </c>
    </row>
    <row r="96" spans="1:11" x14ac:dyDescent="0.25">
      <c r="B96" s="15" t="s">
        <v>67</v>
      </c>
      <c r="C96" s="7"/>
      <c r="D96" s="32">
        <f>D95-C95</f>
        <v>-685</v>
      </c>
      <c r="E96" s="32">
        <f t="shared" ref="E96:K96" si="50">E95-D95</f>
        <v>402</v>
      </c>
      <c r="F96" s="33">
        <f t="shared" si="50"/>
        <v>-712</v>
      </c>
      <c r="G96" s="32">
        <f t="shared" si="50"/>
        <v>806.67999496917037</v>
      </c>
      <c r="H96" s="32">
        <f t="shared" si="50"/>
        <v>-22.904234599078336</v>
      </c>
      <c r="I96" s="32">
        <f t="shared" si="50"/>
        <v>-24.986874391997844</v>
      </c>
      <c r="J96" s="32">
        <f t="shared" si="50"/>
        <v>-27.260087783062772</v>
      </c>
      <c r="K96" s="32">
        <f t="shared" si="50"/>
        <v>-29.741340598089664</v>
      </c>
    </row>
    <row r="97" spans="2:11" x14ac:dyDescent="0.25">
      <c r="F97" s="13"/>
    </row>
    <row r="98" spans="2:11" x14ac:dyDescent="0.25">
      <c r="B98" s="34" t="s">
        <v>31</v>
      </c>
      <c r="F98" s="13"/>
    </row>
    <row r="99" spans="2:11" x14ac:dyDescent="0.25">
      <c r="B99" s="3" t="s">
        <v>68</v>
      </c>
      <c r="C99" s="35">
        <f>C86/C15*365</f>
        <v>51.709265175718848</v>
      </c>
      <c r="D99" s="35">
        <f>D86/D15*365</f>
        <v>55.025898008169456</v>
      </c>
      <c r="E99" s="35">
        <f>E86/E15*365</f>
        <v>63.385198185086892</v>
      </c>
      <c r="F99" s="36">
        <f>F86/F15*365</f>
        <v>64.963223725613602</v>
      </c>
      <c r="G99" s="27">
        <v>60</v>
      </c>
      <c r="H99" s="3">
        <f>G99</f>
        <v>60</v>
      </c>
      <c r="I99" s="3">
        <f t="shared" ref="I99:K99" si="51">H99</f>
        <v>60</v>
      </c>
      <c r="J99" s="3">
        <f t="shared" si="51"/>
        <v>60</v>
      </c>
      <c r="K99" s="3">
        <f t="shared" si="51"/>
        <v>60</v>
      </c>
    </row>
    <row r="100" spans="2:11" x14ac:dyDescent="0.25">
      <c r="B100" s="3" t="s">
        <v>69</v>
      </c>
      <c r="C100" s="37">
        <f>C19/C87</f>
        <v>1.4357798165137614</v>
      </c>
      <c r="D100" s="37">
        <f>D19/D87</f>
        <v>1.3948979591836734</v>
      </c>
      <c r="E100" s="37">
        <f>E19/E87</f>
        <v>1.2154017857142858</v>
      </c>
      <c r="F100" s="38">
        <f>F19/F87</f>
        <v>1.5820703827382481</v>
      </c>
      <c r="G100" s="27">
        <v>1.4</v>
      </c>
      <c r="H100" s="3">
        <f t="shared" ref="H100:K101" si="52">G100</f>
        <v>1.4</v>
      </c>
      <c r="I100" s="3">
        <f t="shared" si="52"/>
        <v>1.4</v>
      </c>
      <c r="J100" s="3">
        <f t="shared" si="52"/>
        <v>1.4</v>
      </c>
      <c r="K100" s="3">
        <f t="shared" si="52"/>
        <v>1.4</v>
      </c>
    </row>
    <row r="101" spans="2:11" x14ac:dyDescent="0.25">
      <c r="B101" s="3" t="s">
        <v>70</v>
      </c>
      <c r="C101" s="20">
        <f>C88/C15</f>
        <v>7.5583176506630489E-2</v>
      </c>
      <c r="D101" s="20">
        <f>D88/D15</f>
        <v>7.5546384806501873E-2</v>
      </c>
      <c r="E101" s="20">
        <f>E88/E15</f>
        <v>8.0814998715863368E-2</v>
      </c>
      <c r="F101" s="21">
        <f>F88/F15</f>
        <v>8.1773127753303962E-2</v>
      </c>
      <c r="G101" s="22">
        <v>0.08</v>
      </c>
      <c r="H101" s="20">
        <f t="shared" si="52"/>
        <v>0.08</v>
      </c>
      <c r="I101" s="20">
        <f t="shared" si="52"/>
        <v>0.08</v>
      </c>
      <c r="J101" s="20">
        <f t="shared" si="52"/>
        <v>0.08</v>
      </c>
      <c r="K101" s="20">
        <f t="shared" si="52"/>
        <v>0.08</v>
      </c>
    </row>
    <row r="102" spans="2:11" x14ac:dyDescent="0.25">
      <c r="F102" s="13"/>
    </row>
    <row r="103" spans="2:11" x14ac:dyDescent="0.25">
      <c r="B103" s="3" t="s">
        <v>71</v>
      </c>
      <c r="C103" s="35">
        <f>C91/C19*365</f>
        <v>121.27795527156549</v>
      </c>
      <c r="D103" s="35">
        <f>D91/D19*365</f>
        <v>107.42623750304804</v>
      </c>
      <c r="E103" s="35">
        <f>E91/E19*365</f>
        <v>114.87947658402203</v>
      </c>
      <c r="F103" s="36">
        <f>F91/F19*365</f>
        <v>84.212534502354288</v>
      </c>
      <c r="G103" s="27">
        <v>85</v>
      </c>
      <c r="H103" s="3">
        <f>G103</f>
        <v>85</v>
      </c>
      <c r="I103" s="3">
        <f t="shared" ref="I103:K104" si="53">H103</f>
        <v>85</v>
      </c>
      <c r="J103" s="3">
        <f t="shared" si="53"/>
        <v>85</v>
      </c>
      <c r="K103" s="3">
        <f t="shared" si="53"/>
        <v>85</v>
      </c>
    </row>
    <row r="104" spans="2:11" x14ac:dyDescent="0.25">
      <c r="B104" s="3" t="s">
        <v>72</v>
      </c>
      <c r="C104" s="20">
        <f>C92/C15</f>
        <v>0.28517659416167007</v>
      </c>
      <c r="D104" s="20">
        <f>D92/D15</f>
        <v>0.33107339874510466</v>
      </c>
      <c r="E104" s="20">
        <f>E92/E15</f>
        <v>0.364309562537454</v>
      </c>
      <c r="F104" s="21">
        <f>F92/F15</f>
        <v>0.39887507866582755</v>
      </c>
      <c r="G104" s="22">
        <v>0.35</v>
      </c>
      <c r="H104" s="20">
        <f>G104</f>
        <v>0.35</v>
      </c>
      <c r="I104" s="20">
        <f t="shared" si="53"/>
        <v>0.35</v>
      </c>
      <c r="J104" s="20">
        <f t="shared" si="53"/>
        <v>0.35</v>
      </c>
      <c r="K104" s="20">
        <f t="shared" si="53"/>
        <v>0.35</v>
      </c>
    </row>
    <row r="106" spans="2:11" x14ac:dyDescent="0.25">
      <c r="B106" s="6" t="s">
        <v>73</v>
      </c>
      <c r="C106" s="6"/>
      <c r="D106" s="6"/>
      <c r="E106" s="6"/>
      <c r="F106" s="6"/>
      <c r="G106" s="6"/>
      <c r="H106" s="6"/>
      <c r="I106" s="6"/>
      <c r="J106" s="6"/>
      <c r="K106" s="6"/>
    </row>
    <row r="107" spans="2:11" x14ac:dyDescent="0.25">
      <c r="C107" s="8">
        <f t="shared" ref="C107:D107" si="54">EOMONTH(D107,-12)</f>
        <v>43100</v>
      </c>
      <c r="D107" s="8">
        <f t="shared" si="54"/>
        <v>43465</v>
      </c>
      <c r="E107" s="8">
        <f>EOMONTH(F107,-12)</f>
        <v>43830</v>
      </c>
      <c r="F107" s="9">
        <f>$C$9</f>
        <v>44196</v>
      </c>
      <c r="G107" s="10">
        <f>EOMONTH(F107,12)</f>
        <v>44561</v>
      </c>
      <c r="H107" s="10">
        <f t="shared" ref="H107:K107" si="55">EOMONTH(G107,12)</f>
        <v>44926</v>
      </c>
      <c r="I107" s="10">
        <f t="shared" si="55"/>
        <v>45291</v>
      </c>
      <c r="J107" s="10">
        <f t="shared" si="55"/>
        <v>45657</v>
      </c>
      <c r="K107" s="10">
        <f t="shared" si="55"/>
        <v>46022</v>
      </c>
    </row>
    <row r="108" spans="2:11" x14ac:dyDescent="0.25">
      <c r="B108" s="3" t="s">
        <v>74</v>
      </c>
      <c r="C108" s="39"/>
      <c r="D108" s="7">
        <f>C57</f>
        <v>4989</v>
      </c>
      <c r="E108" s="7">
        <f t="shared" ref="E108:F108" si="56">D57</f>
        <v>4958</v>
      </c>
      <c r="F108" s="11">
        <f t="shared" si="56"/>
        <v>4928</v>
      </c>
      <c r="G108" s="7">
        <f>F111</f>
        <v>4889</v>
      </c>
      <c r="H108" s="7">
        <f>G111</f>
        <v>5004.2984732667319</v>
      </c>
      <c r="I108" s="7">
        <f>H111</f>
        <v>5080.2313212112458</v>
      </c>
      <c r="J108" s="7">
        <f t="shared" ref="J108:K108" si="57">I111</f>
        <v>5113.4538415215629</v>
      </c>
      <c r="K108" s="7">
        <f t="shared" si="57"/>
        <v>5100.3205872523331</v>
      </c>
    </row>
    <row r="109" spans="2:11" x14ac:dyDescent="0.25">
      <c r="B109" s="3" t="s">
        <v>75</v>
      </c>
      <c r="C109" s="18"/>
      <c r="D109" s="40">
        <f>-D28</f>
        <v>-646</v>
      </c>
      <c r="E109" s="40">
        <f t="shared" ref="E109:F109" si="58">-E28</f>
        <v>-806</v>
      </c>
      <c r="F109" s="41">
        <f t="shared" si="58"/>
        <v>-801</v>
      </c>
      <c r="G109" s="40">
        <f>-G133</f>
        <v>-714.89978189524732</v>
      </c>
      <c r="H109" s="40">
        <f t="shared" ref="H109:K109" si="59">-H133</f>
        <v>-827.87587187235613</v>
      </c>
      <c r="I109" s="40">
        <f t="shared" si="59"/>
        <v>-950.88992789845236</v>
      </c>
      <c r="J109" s="40">
        <f t="shared" si="59"/>
        <v>-1084.8551669883414</v>
      </c>
      <c r="K109" s="40">
        <f t="shared" si="59"/>
        <v>-1230.7683817430297</v>
      </c>
    </row>
    <row r="110" spans="2:11" x14ac:dyDescent="0.25">
      <c r="B110" s="3" t="s">
        <v>76</v>
      </c>
      <c r="C110" s="39"/>
      <c r="D110" s="40">
        <f>D111-SUM(D108:D109)</f>
        <v>615</v>
      </c>
      <c r="E110" s="40">
        <f t="shared" ref="E110:F110" si="60">E111-SUM(E108:E109)</f>
        <v>776</v>
      </c>
      <c r="F110" s="41">
        <f t="shared" si="60"/>
        <v>762</v>
      </c>
      <c r="G110" s="7">
        <f>G118*G15</f>
        <v>830.19825516197898</v>
      </c>
      <c r="H110" s="7">
        <f t="shared" ref="H110:K110" si="61">H118*H15</f>
        <v>903.80871981687028</v>
      </c>
      <c r="I110" s="7">
        <f t="shared" si="61"/>
        <v>984.11244820876971</v>
      </c>
      <c r="J110" s="7">
        <f t="shared" si="61"/>
        <v>1071.7219127191113</v>
      </c>
      <c r="K110" s="7">
        <f t="shared" si="61"/>
        <v>1167.3057180375072</v>
      </c>
    </row>
    <row r="111" spans="2:11" x14ac:dyDescent="0.25">
      <c r="B111" s="3" t="s">
        <v>77</v>
      </c>
      <c r="C111" s="39"/>
      <c r="D111" s="7">
        <f>D57</f>
        <v>4958</v>
      </c>
      <c r="E111" s="7">
        <f t="shared" ref="E111:F111" si="62">E57</f>
        <v>4928</v>
      </c>
      <c r="F111" s="11">
        <f t="shared" si="62"/>
        <v>4889</v>
      </c>
      <c r="G111" s="7">
        <f>SUM(G108:G110)</f>
        <v>5004.2984732667319</v>
      </c>
      <c r="H111" s="7">
        <f t="shared" ref="H111:K111" si="63">SUM(H108:H110)</f>
        <v>5080.2313212112458</v>
      </c>
      <c r="I111" s="7">
        <f t="shared" si="63"/>
        <v>5113.4538415215629</v>
      </c>
      <c r="J111" s="7">
        <f t="shared" si="63"/>
        <v>5100.3205872523331</v>
      </c>
      <c r="K111" s="7">
        <f t="shared" si="63"/>
        <v>5036.8579235468105</v>
      </c>
    </row>
    <row r="112" spans="2:11" x14ac:dyDescent="0.25">
      <c r="C112" s="39"/>
      <c r="F112" s="13"/>
    </row>
    <row r="113" spans="2:15" x14ac:dyDescent="0.25">
      <c r="B113" s="3" t="s">
        <v>78</v>
      </c>
      <c r="C113" s="39"/>
      <c r="D113" s="7">
        <f>C58</f>
        <v>8609</v>
      </c>
      <c r="E113" s="7">
        <f t="shared" ref="E113:F113" si="64">D58</f>
        <v>7443</v>
      </c>
      <c r="F113" s="11">
        <f t="shared" si="64"/>
        <v>19413</v>
      </c>
      <c r="G113" s="7">
        <f>F116</f>
        <v>16587</v>
      </c>
      <c r="H113" s="7">
        <f t="shared" ref="H113:K113" si="65">G116</f>
        <v>13987</v>
      </c>
      <c r="I113" s="7">
        <f t="shared" si="65"/>
        <v>11487</v>
      </c>
      <c r="J113" s="7">
        <f t="shared" si="65"/>
        <v>9087</v>
      </c>
      <c r="K113" s="7">
        <f t="shared" si="65"/>
        <v>6687</v>
      </c>
    </row>
    <row r="114" spans="2:15" x14ac:dyDescent="0.25">
      <c r="B114" s="3" t="s">
        <v>23</v>
      </c>
      <c r="C114" s="39"/>
      <c r="D114" s="42">
        <f>-D29</f>
        <v>-1300</v>
      </c>
      <c r="E114" s="42">
        <f>-E29</f>
        <v>-1400</v>
      </c>
      <c r="F114" s="43">
        <f>-F29</f>
        <v>-2800</v>
      </c>
      <c r="G114" s="44">
        <v>-2600</v>
      </c>
      <c r="H114" s="44">
        <v>-2500</v>
      </c>
      <c r="I114" s="44">
        <v>-2400</v>
      </c>
      <c r="J114" s="44">
        <v>-2400</v>
      </c>
      <c r="K114" s="44">
        <v>-2200</v>
      </c>
    </row>
    <row r="115" spans="2:15" x14ac:dyDescent="0.25">
      <c r="B115" s="3" t="s">
        <v>79</v>
      </c>
      <c r="C115" s="39"/>
      <c r="D115" s="42">
        <f>D116-SUM(D113:D114)</f>
        <v>134</v>
      </c>
      <c r="E115" s="42">
        <f>E116-SUM(E113:E114)</f>
        <v>13370</v>
      </c>
      <c r="F115" s="43">
        <f>F116-SUM(F113:F114)</f>
        <v>-26</v>
      </c>
      <c r="G115" s="45">
        <v>0</v>
      </c>
      <c r="H115" s="46">
        <f>G115</f>
        <v>0</v>
      </c>
      <c r="I115" s="46">
        <f t="shared" ref="I115:K115" si="66">H115</f>
        <v>0</v>
      </c>
      <c r="J115" s="46">
        <f t="shared" si="66"/>
        <v>0</v>
      </c>
      <c r="K115" s="46">
        <f t="shared" si="66"/>
        <v>0</v>
      </c>
    </row>
    <row r="116" spans="2:15" x14ac:dyDescent="0.25">
      <c r="B116" s="3" t="s">
        <v>77</v>
      </c>
      <c r="C116" s="39"/>
      <c r="D116" s="7">
        <f>D58</f>
        <v>7443</v>
      </c>
      <c r="E116" s="7">
        <f>E58</f>
        <v>19413</v>
      </c>
      <c r="F116" s="11">
        <f>F58</f>
        <v>16587</v>
      </c>
      <c r="G116" s="7">
        <f>G113+G114</f>
        <v>13987</v>
      </c>
      <c r="H116" s="7">
        <f t="shared" ref="H116:K116" si="67">H113+H114</f>
        <v>11487</v>
      </c>
      <c r="I116" s="7">
        <f t="shared" si="67"/>
        <v>9087</v>
      </c>
      <c r="J116" s="7">
        <f t="shared" si="67"/>
        <v>6687</v>
      </c>
      <c r="K116" s="7">
        <f t="shared" si="67"/>
        <v>4487</v>
      </c>
    </row>
    <row r="117" spans="2:15" x14ac:dyDescent="0.25">
      <c r="C117" s="39"/>
      <c r="F117" s="13"/>
    </row>
    <row r="118" spans="2:15" x14ac:dyDescent="0.25">
      <c r="B118" s="3" t="s">
        <v>80</v>
      </c>
      <c r="C118" s="39"/>
      <c r="D118" s="20">
        <f>D110/D15</f>
        <v>2.5898008169452983E-2</v>
      </c>
      <c r="E118" s="20">
        <f t="shared" ref="E118:F118" si="68">E110/E15</f>
        <v>3.3216334217960788E-2</v>
      </c>
      <c r="F118" s="21">
        <f t="shared" si="68"/>
        <v>2.9971680302076777E-2</v>
      </c>
      <c r="G118" s="22">
        <v>0.03</v>
      </c>
      <c r="H118" s="20">
        <f>G118</f>
        <v>0.03</v>
      </c>
      <c r="I118" s="20">
        <f t="shared" ref="I118:K119" si="69">H118</f>
        <v>0.03</v>
      </c>
      <c r="J118" s="20">
        <f t="shared" si="69"/>
        <v>0.03</v>
      </c>
      <c r="K118" s="20">
        <f t="shared" si="69"/>
        <v>0.03</v>
      </c>
    </row>
    <row r="119" spans="2:15" x14ac:dyDescent="0.25">
      <c r="B119" s="3" t="s">
        <v>81</v>
      </c>
      <c r="C119" s="39"/>
      <c r="D119" s="20">
        <f>D28/D110</f>
        <v>1.0504065040650405</v>
      </c>
      <c r="E119" s="20">
        <f t="shared" ref="E119:F119" si="70">E28/E110</f>
        <v>1.0386597938144331</v>
      </c>
      <c r="F119" s="21">
        <f t="shared" si="70"/>
        <v>1.0511811023622046</v>
      </c>
      <c r="G119" s="22">
        <v>1.04</v>
      </c>
      <c r="H119" s="20">
        <f>G119</f>
        <v>1.04</v>
      </c>
      <c r="I119" s="20">
        <f t="shared" si="69"/>
        <v>1.04</v>
      </c>
      <c r="J119" s="20">
        <f t="shared" si="69"/>
        <v>1.04</v>
      </c>
      <c r="K119" s="20">
        <f t="shared" si="69"/>
        <v>1.04</v>
      </c>
    </row>
    <row r="121" spans="2:15" x14ac:dyDescent="0.25">
      <c r="B121" s="6" t="s">
        <v>82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2:15" x14ac:dyDescent="0.25">
      <c r="C122" s="8">
        <f t="shared" ref="C122:D122" si="71">EOMONTH(D122,-12)</f>
        <v>43100</v>
      </c>
      <c r="D122" s="8">
        <f t="shared" si="71"/>
        <v>43465</v>
      </c>
      <c r="E122" s="8">
        <f>EOMONTH(F122,-12)</f>
        <v>43830</v>
      </c>
      <c r="F122" s="9">
        <f>$C$9</f>
        <v>44196</v>
      </c>
      <c r="G122" s="10">
        <f>EOMONTH(F122,12)</f>
        <v>44561</v>
      </c>
      <c r="H122" s="10">
        <f t="shared" ref="H122:K122" si="72">EOMONTH(G122,12)</f>
        <v>44926</v>
      </c>
      <c r="I122" s="10">
        <f t="shared" si="72"/>
        <v>45291</v>
      </c>
      <c r="J122" s="10">
        <f t="shared" si="72"/>
        <v>45657</v>
      </c>
      <c r="K122" s="10">
        <f t="shared" si="72"/>
        <v>46022</v>
      </c>
    </row>
    <row r="123" spans="2:15" x14ac:dyDescent="0.25">
      <c r="B123" s="3" t="s">
        <v>83</v>
      </c>
      <c r="C123" s="39"/>
      <c r="D123" s="39"/>
      <c r="E123" s="39"/>
      <c r="F123" s="47"/>
      <c r="G123" s="7">
        <f t="array" ref="G123:K123">TRANSPOSE(G108/O125)</f>
        <v>611.125</v>
      </c>
      <c r="H123" s="7">
        <v>611.125</v>
      </c>
      <c r="I123" s="7">
        <v>611.125</v>
      </c>
      <c r="J123" s="7">
        <v>611.125</v>
      </c>
      <c r="K123" s="7">
        <v>611.125</v>
      </c>
      <c r="O123" s="48" t="s">
        <v>84</v>
      </c>
    </row>
    <row r="124" spans="2:15" ht="14.4" thickBot="1" x14ac:dyDescent="0.3">
      <c r="C124" s="39"/>
      <c r="D124" s="39"/>
      <c r="E124" s="39"/>
      <c r="F124" s="49"/>
      <c r="O124" s="48" t="s">
        <v>85</v>
      </c>
    </row>
    <row r="125" spans="2:15" ht="14.4" thickBot="1" x14ac:dyDescent="0.3">
      <c r="B125" s="34" t="s">
        <v>86</v>
      </c>
      <c r="C125" s="39"/>
      <c r="D125" s="39"/>
      <c r="E125" s="39"/>
      <c r="F125" s="49"/>
      <c r="O125" s="50">
        <v>8</v>
      </c>
    </row>
    <row r="126" spans="2:15" x14ac:dyDescent="0.25">
      <c r="B126" s="51">
        <v>2021</v>
      </c>
      <c r="C126" s="39"/>
      <c r="D126" s="39"/>
      <c r="E126" s="39"/>
      <c r="F126" s="49"/>
      <c r="G126" s="7">
        <f t="array" ref="G126:K126">TRANSPOSE(G110/O125)</f>
        <v>103.77478189524737</v>
      </c>
      <c r="H126" s="7">
        <v>103.77478189524737</v>
      </c>
      <c r="I126" s="7">
        <v>103.77478189524737</v>
      </c>
      <c r="J126" s="7">
        <v>103.77478189524737</v>
      </c>
      <c r="K126" s="7">
        <v>103.77478189524737</v>
      </c>
    </row>
    <row r="127" spans="2:15" x14ac:dyDescent="0.25">
      <c r="B127" s="51">
        <f>B126+1</f>
        <v>2022</v>
      </c>
      <c r="C127" s="39"/>
      <c r="D127" s="39"/>
      <c r="E127" s="39"/>
      <c r="F127" s="49"/>
      <c r="G127" s="18"/>
      <c r="H127" s="7">
        <f t="array" ref="H127:K127">TRANSPOSE(H110/O125)</f>
        <v>112.97608997710878</v>
      </c>
      <c r="I127" s="7">
        <v>112.97608997710878</v>
      </c>
      <c r="J127" s="7">
        <v>112.97608997710878</v>
      </c>
      <c r="K127" s="7">
        <v>112.97608997710878</v>
      </c>
    </row>
    <row r="128" spans="2:15" x14ac:dyDescent="0.25">
      <c r="B128" s="51">
        <f t="shared" ref="B128:B130" si="73">B127+1</f>
        <v>2023</v>
      </c>
      <c r="C128" s="39"/>
      <c r="D128" s="39"/>
      <c r="E128" s="39"/>
      <c r="F128" s="49"/>
      <c r="G128" s="18"/>
      <c r="H128" s="18"/>
      <c r="I128" s="7">
        <f t="array" ref="I128:K128">TRANSPOSE(I110/O125)</f>
        <v>123.01405602609621</v>
      </c>
      <c r="J128" s="7">
        <v>123.01405602609621</v>
      </c>
      <c r="K128" s="7">
        <v>123.01405602609621</v>
      </c>
    </row>
    <row r="129" spans="1:11" x14ac:dyDescent="0.25">
      <c r="B129" s="51">
        <f t="shared" si="73"/>
        <v>2024</v>
      </c>
      <c r="C129" s="39"/>
      <c r="D129" s="39"/>
      <c r="E129" s="39"/>
      <c r="F129" s="49"/>
      <c r="G129" s="18"/>
      <c r="H129" s="18"/>
      <c r="I129" s="18"/>
      <c r="J129" s="7">
        <f t="array" ref="J129:K129">TRANSPOSE(J110/O125)</f>
        <v>133.96523908988891</v>
      </c>
      <c r="K129" s="7">
        <v>133.96523908988891</v>
      </c>
    </row>
    <row r="130" spans="1:11" x14ac:dyDescent="0.25">
      <c r="B130" s="51">
        <f t="shared" si="73"/>
        <v>2025</v>
      </c>
      <c r="C130" s="39"/>
      <c r="D130" s="39"/>
      <c r="E130" s="39"/>
      <c r="F130" s="49"/>
      <c r="G130" s="18"/>
      <c r="H130" s="18"/>
      <c r="I130" s="18"/>
      <c r="J130" s="18"/>
      <c r="K130" s="7">
        <f t="array" ref="K130">TRANSPOSE(K110/O125)</f>
        <v>145.9132147546884</v>
      </c>
    </row>
    <row r="131" spans="1:11" x14ac:dyDescent="0.25">
      <c r="B131" s="3" t="s">
        <v>87</v>
      </c>
      <c r="C131" s="39"/>
      <c r="D131" s="39"/>
      <c r="E131" s="39"/>
      <c r="F131" s="49"/>
      <c r="G131" s="7">
        <f t="shared" ref="G131:I131" si="74">SUM(G126:G130)</f>
        <v>103.77478189524737</v>
      </c>
      <c r="H131" s="7">
        <f t="shared" si="74"/>
        <v>216.75087187235616</v>
      </c>
      <c r="I131" s="7">
        <f t="shared" si="74"/>
        <v>339.76492789845236</v>
      </c>
      <c r="J131" s="7">
        <f>SUM(J126:J130)</f>
        <v>473.73016698834124</v>
      </c>
      <c r="K131" s="7">
        <f>SUM(K126:K130)</f>
        <v>619.64338174302964</v>
      </c>
    </row>
    <row r="132" spans="1:11" x14ac:dyDescent="0.25">
      <c r="C132" s="39"/>
      <c r="D132" s="39"/>
      <c r="E132" s="39"/>
      <c r="F132" s="49"/>
    </row>
    <row r="133" spans="1:11" x14ac:dyDescent="0.25">
      <c r="B133" s="3" t="s">
        <v>88</v>
      </c>
      <c r="C133" s="39"/>
      <c r="D133" s="39"/>
      <c r="E133" s="39"/>
      <c r="F133" s="49"/>
      <c r="G133" s="7">
        <f>G123+G131</f>
        <v>714.89978189524732</v>
      </c>
      <c r="H133" s="7">
        <f t="shared" ref="H133:K133" si="75">H123+H131</f>
        <v>827.87587187235613</v>
      </c>
      <c r="I133" s="7">
        <f t="shared" si="75"/>
        <v>950.88992789845236</v>
      </c>
      <c r="J133" s="7">
        <f t="shared" si="75"/>
        <v>1084.8551669883414</v>
      </c>
      <c r="K133" s="7">
        <f t="shared" si="75"/>
        <v>1230.7683817430297</v>
      </c>
    </row>
    <row r="135" spans="1:11" x14ac:dyDescent="0.25">
      <c r="B135" s="6" t="s">
        <v>89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x14ac:dyDescent="0.25">
      <c r="C136" s="8">
        <f t="shared" ref="C136:D136" si="76">EOMONTH(D136,-12)</f>
        <v>43100</v>
      </c>
      <c r="D136" s="8">
        <f t="shared" si="76"/>
        <v>43465</v>
      </c>
      <c r="E136" s="8">
        <f>EOMONTH(F136,-12)</f>
        <v>43830</v>
      </c>
      <c r="F136" s="9">
        <f>$C$9</f>
        <v>44196</v>
      </c>
      <c r="G136" s="10">
        <f>EOMONTH(F136,12)</f>
        <v>44561</v>
      </c>
      <c r="H136" s="10">
        <f t="shared" ref="H136:K136" si="77">EOMONTH(G136,12)</f>
        <v>44926</v>
      </c>
      <c r="I136" s="10">
        <f t="shared" si="77"/>
        <v>45291</v>
      </c>
      <c r="J136" s="10">
        <f t="shared" si="77"/>
        <v>45657</v>
      </c>
      <c r="K136" s="10">
        <f t="shared" si="77"/>
        <v>46022</v>
      </c>
    </row>
    <row r="137" spans="1:11" x14ac:dyDescent="0.25">
      <c r="B137" s="3" t="s">
        <v>90</v>
      </c>
      <c r="C137" s="18"/>
      <c r="D137" s="18"/>
      <c r="E137" s="18"/>
      <c r="F137" s="52"/>
      <c r="G137" s="7">
        <f ca="1">G35</f>
        <v>8435.8022963217627</v>
      </c>
      <c r="H137" s="7">
        <f t="shared" ref="H137:K137" ca="1" si="78">H35</f>
        <v>9494.4411275650218</v>
      </c>
      <c r="I137" s="7">
        <f t="shared" ca="1" si="78"/>
        <v>10650.42705972564</v>
      </c>
      <c r="J137" s="7">
        <f t="shared" ca="1" si="78"/>
        <v>11821.016269109081</v>
      </c>
      <c r="K137" s="7">
        <f t="shared" ca="1" si="78"/>
        <v>13279.398329680511</v>
      </c>
    </row>
    <row r="138" spans="1:11" x14ac:dyDescent="0.25">
      <c r="B138" s="3" t="s">
        <v>75</v>
      </c>
      <c r="C138" s="18"/>
      <c r="D138" s="18"/>
      <c r="E138" s="18"/>
      <c r="F138" s="53"/>
      <c r="G138" s="7">
        <f t="shared" ref="G138:K139" si="79">G28</f>
        <v>714.89978189524732</v>
      </c>
      <c r="H138" s="7">
        <f t="shared" si="79"/>
        <v>827.87587187235613</v>
      </c>
      <c r="I138" s="7">
        <f t="shared" si="79"/>
        <v>950.88992789845236</v>
      </c>
      <c r="J138" s="7">
        <f t="shared" si="79"/>
        <v>1084.8551669883414</v>
      </c>
      <c r="K138" s="7">
        <f t="shared" si="79"/>
        <v>1230.7683817430297</v>
      </c>
    </row>
    <row r="139" spans="1:11" x14ac:dyDescent="0.25">
      <c r="B139" s="3" t="s">
        <v>23</v>
      </c>
      <c r="C139" s="18"/>
      <c r="D139" s="18"/>
      <c r="E139" s="18"/>
      <c r="F139" s="53"/>
      <c r="G139" s="7">
        <f t="shared" si="79"/>
        <v>2600</v>
      </c>
      <c r="H139" s="7">
        <f t="shared" si="79"/>
        <v>2500</v>
      </c>
      <c r="I139" s="7">
        <f t="shared" si="79"/>
        <v>2400</v>
      </c>
      <c r="J139" s="7">
        <f t="shared" si="79"/>
        <v>2400</v>
      </c>
      <c r="K139" s="7">
        <f t="shared" si="79"/>
        <v>2200</v>
      </c>
    </row>
    <row r="140" spans="1:11" x14ac:dyDescent="0.25">
      <c r="B140" s="3" t="s">
        <v>91</v>
      </c>
      <c r="C140" s="39"/>
      <c r="D140" s="39"/>
      <c r="E140" s="39"/>
      <c r="F140" s="49"/>
      <c r="G140" s="32">
        <f>-G96</f>
        <v>-806.67999496917037</v>
      </c>
      <c r="H140" s="32">
        <f>-H96</f>
        <v>22.904234599078336</v>
      </c>
      <c r="I140" s="32">
        <f t="shared" ref="I140:K140" si="80">-I96</f>
        <v>24.986874391997844</v>
      </c>
      <c r="J140" s="32">
        <f t="shared" si="80"/>
        <v>27.260087783062772</v>
      </c>
      <c r="K140" s="32">
        <f t="shared" si="80"/>
        <v>29.741340598089664</v>
      </c>
    </row>
    <row r="141" spans="1:11" s="15" customFormat="1" x14ac:dyDescent="0.25">
      <c r="A141" s="14"/>
      <c r="B141" s="15" t="s">
        <v>92</v>
      </c>
      <c r="C141" s="54"/>
      <c r="D141" s="54"/>
      <c r="E141" s="54"/>
      <c r="F141" s="55"/>
      <c r="G141" s="16">
        <f ca="1">SUM(G137:G140)</f>
        <v>10944.022083247839</v>
      </c>
      <c r="H141" s="16">
        <f ca="1">SUM(H137:H140)</f>
        <v>12845.221234036457</v>
      </c>
      <c r="I141" s="16">
        <f ca="1">SUM(I137:I140)</f>
        <v>14026.30386201609</v>
      </c>
      <c r="J141" s="16">
        <f ca="1">SUM(J137:J140)</f>
        <v>15333.131523880485</v>
      </c>
      <c r="K141" s="16">
        <f ca="1">SUM(K137:K140)</f>
        <v>16739.90805202163</v>
      </c>
    </row>
    <row r="142" spans="1:11" x14ac:dyDescent="0.25">
      <c r="C142" s="39"/>
      <c r="D142" s="39"/>
      <c r="E142" s="39"/>
      <c r="F142" s="49"/>
    </row>
    <row r="143" spans="1:11" x14ac:dyDescent="0.25">
      <c r="B143" s="3" t="s">
        <v>76</v>
      </c>
      <c r="C143" s="39"/>
      <c r="D143" s="39"/>
      <c r="E143" s="39"/>
      <c r="F143" s="49"/>
      <c r="G143" s="30">
        <f>-G110</f>
        <v>-830.19825516197898</v>
      </c>
      <c r="H143" s="30">
        <f t="shared" ref="H143:K143" si="81">-H110</f>
        <v>-903.80871981687028</v>
      </c>
      <c r="I143" s="30">
        <f t="shared" si="81"/>
        <v>-984.11244820876971</v>
      </c>
      <c r="J143" s="30">
        <f t="shared" si="81"/>
        <v>-1071.7219127191113</v>
      </c>
      <c r="K143" s="30">
        <f t="shared" si="81"/>
        <v>-1167.3057180375072</v>
      </c>
    </row>
    <row r="144" spans="1:11" s="15" customFormat="1" x14ac:dyDescent="0.25">
      <c r="A144" s="14"/>
      <c r="B144" s="15" t="s">
        <v>93</v>
      </c>
      <c r="C144" s="54"/>
      <c r="D144" s="54"/>
      <c r="E144" s="54"/>
      <c r="F144" s="55"/>
      <c r="G144" s="56">
        <f>SUM(G143)</f>
        <v>-830.19825516197898</v>
      </c>
      <c r="H144" s="56">
        <f>SUM(H143)</f>
        <v>-903.80871981687028</v>
      </c>
      <c r="I144" s="56">
        <f>SUM(I143)</f>
        <v>-984.11244820876971</v>
      </c>
      <c r="J144" s="56">
        <f>SUM(J143)</f>
        <v>-1071.7219127191113</v>
      </c>
      <c r="K144" s="56">
        <f>SUM(K143)</f>
        <v>-1167.3057180375072</v>
      </c>
    </row>
    <row r="145" spans="1:11" x14ac:dyDescent="0.25">
      <c r="C145" s="39"/>
      <c r="D145" s="39"/>
      <c r="E145" s="39"/>
      <c r="F145" s="49"/>
    </row>
    <row r="146" spans="1:11" x14ac:dyDescent="0.25">
      <c r="B146" s="3" t="s">
        <v>94</v>
      </c>
      <c r="C146" s="39"/>
      <c r="D146" s="39"/>
      <c r="E146" s="39"/>
      <c r="F146" s="49"/>
      <c r="G146" s="57">
        <f ca="1">G195</f>
        <v>0</v>
      </c>
      <c r="H146" s="57">
        <f t="shared" ref="H146:K146" ca="1" si="82">H195</f>
        <v>0</v>
      </c>
      <c r="I146" s="57">
        <f t="shared" ca="1" si="82"/>
        <v>0</v>
      </c>
      <c r="J146" s="57">
        <f t="shared" ca="1" si="82"/>
        <v>0</v>
      </c>
      <c r="K146" s="57">
        <f t="shared" ca="1" si="82"/>
        <v>0</v>
      </c>
    </row>
    <row r="147" spans="1:11" x14ac:dyDescent="0.25">
      <c r="B147" s="3" t="s">
        <v>95</v>
      </c>
      <c r="C147" s="39"/>
      <c r="D147" s="39"/>
      <c r="E147" s="39"/>
      <c r="F147" s="49"/>
      <c r="G147" s="58">
        <f>G189</f>
        <v>1207</v>
      </c>
      <c r="H147" s="58">
        <f t="shared" ref="H147:K147" si="83">H189</f>
        <v>3928.5</v>
      </c>
      <c r="I147" s="58">
        <f t="shared" si="83"/>
        <v>3928.5</v>
      </c>
      <c r="J147" s="58">
        <f t="shared" si="83"/>
        <v>2472</v>
      </c>
      <c r="K147" s="58">
        <f t="shared" si="83"/>
        <v>2472</v>
      </c>
    </row>
    <row r="148" spans="1:11" x14ac:dyDescent="0.25">
      <c r="B148" s="3" t="s">
        <v>96</v>
      </c>
      <c r="C148" s="39"/>
      <c r="D148" s="39"/>
      <c r="E148" s="39"/>
      <c r="F148" s="49"/>
      <c r="G148" s="59">
        <f>-G147</f>
        <v>-1207</v>
      </c>
      <c r="H148" s="59">
        <f t="shared" ref="H148:K148" si="84">-H147</f>
        <v>-3928.5</v>
      </c>
      <c r="I148" s="59">
        <f t="shared" si="84"/>
        <v>-3928.5</v>
      </c>
      <c r="J148" s="59">
        <f t="shared" si="84"/>
        <v>-2472</v>
      </c>
      <c r="K148" s="59">
        <f t="shared" si="84"/>
        <v>-2472</v>
      </c>
    </row>
    <row r="149" spans="1:11" x14ac:dyDescent="0.25">
      <c r="B149" s="3" t="s">
        <v>97</v>
      </c>
      <c r="C149" s="39"/>
      <c r="D149" s="39"/>
      <c r="E149" s="39"/>
      <c r="F149" s="49"/>
      <c r="G149" s="30">
        <f>G165</f>
        <v>-7640</v>
      </c>
      <c r="H149" s="30">
        <f t="shared" ref="H149:K149" si="85">H165</f>
        <v>-7640</v>
      </c>
      <c r="I149" s="30">
        <f t="shared" si="85"/>
        <v>-7640</v>
      </c>
      <c r="J149" s="30">
        <f t="shared" si="85"/>
        <v>-7640</v>
      </c>
      <c r="K149" s="30">
        <f t="shared" si="85"/>
        <v>-7640</v>
      </c>
    </row>
    <row r="150" spans="1:11" x14ac:dyDescent="0.25">
      <c r="B150" s="3" t="s">
        <v>98</v>
      </c>
      <c r="C150" s="39"/>
      <c r="D150" s="39"/>
      <c r="E150" s="39"/>
      <c r="F150" s="49"/>
      <c r="G150" s="60">
        <f ca="1">-G170</f>
        <v>-4217.9011481608813</v>
      </c>
      <c r="H150" s="60">
        <f ca="1">-H170</f>
        <v>-4747.2205637825109</v>
      </c>
      <c r="I150" s="60">
        <f t="shared" ref="I150:K150" ca="1" si="86">-I170</f>
        <v>-5325.21352986282</v>
      </c>
      <c r="J150" s="60">
        <f t="shared" ca="1" si="86"/>
        <v>-5910.5081345545404</v>
      </c>
      <c r="K150" s="60">
        <f t="shared" ca="1" si="86"/>
        <v>-6639.6991648402554</v>
      </c>
    </row>
    <row r="151" spans="1:11" x14ac:dyDescent="0.25">
      <c r="B151" s="3" t="s">
        <v>99</v>
      </c>
      <c r="C151" s="39"/>
      <c r="D151" s="39"/>
      <c r="E151" s="39"/>
      <c r="F151" s="49"/>
      <c r="G151" s="7">
        <f>G174</f>
        <v>8.3111111111111118</v>
      </c>
      <c r="H151" s="7">
        <f t="shared" ref="H151:K151" si="87">H174</f>
        <v>8.3111111111111118</v>
      </c>
      <c r="I151" s="7">
        <f t="shared" si="87"/>
        <v>8.3111111111111118</v>
      </c>
      <c r="J151" s="7">
        <f t="shared" si="87"/>
        <v>8.3111111111111118</v>
      </c>
      <c r="K151" s="7">
        <f t="shared" si="87"/>
        <v>8.3111111111111118</v>
      </c>
    </row>
    <row r="152" spans="1:11" s="15" customFormat="1" x14ac:dyDescent="0.25">
      <c r="A152" s="14"/>
      <c r="B152" s="15" t="s">
        <v>100</v>
      </c>
      <c r="C152" s="54"/>
      <c r="D152" s="54"/>
      <c r="E152" s="54"/>
      <c r="F152" s="55"/>
      <c r="G152" s="61">
        <f ca="1">SUM(G147:G151)</f>
        <v>-11849.590037049771</v>
      </c>
      <c r="H152" s="61">
        <f t="shared" ref="H152:K152" ca="1" si="88">SUM(H147:H151)</f>
        <v>-12378.9094526714</v>
      </c>
      <c r="I152" s="61">
        <f t="shared" ca="1" si="88"/>
        <v>-12956.90241875171</v>
      </c>
      <c r="J152" s="61">
        <f t="shared" ca="1" si="88"/>
        <v>-13542.19702344343</v>
      </c>
      <c r="K152" s="61">
        <f t="shared" ca="1" si="88"/>
        <v>-14271.388053729144</v>
      </c>
    </row>
    <row r="153" spans="1:11" x14ac:dyDescent="0.25">
      <c r="C153" s="39"/>
      <c r="D153" s="39"/>
      <c r="E153" s="39"/>
      <c r="F153" s="49"/>
    </row>
    <row r="154" spans="1:11" x14ac:dyDescent="0.25">
      <c r="B154" s="3" t="s">
        <v>101</v>
      </c>
      <c r="C154" s="39"/>
      <c r="D154" s="39"/>
      <c r="E154" s="39"/>
      <c r="F154" s="49"/>
      <c r="G154" s="7">
        <f>F50</f>
        <v>6266</v>
      </c>
      <c r="H154" s="7">
        <f ca="1">G50</f>
        <v>4530.2337910360893</v>
      </c>
      <c r="I154" s="7">
        <f t="shared" ref="I154:K154" ca="1" si="89">H50</f>
        <v>4092.7368525842758</v>
      </c>
      <c r="J154" s="7">
        <f t="shared" ca="1" si="89"/>
        <v>4178.0258476398867</v>
      </c>
      <c r="K154" s="7">
        <f t="shared" ca="1" si="89"/>
        <v>4897.2384353578309</v>
      </c>
    </row>
    <row r="155" spans="1:11" x14ac:dyDescent="0.25">
      <c r="B155" s="3" t="s">
        <v>102</v>
      </c>
      <c r="C155" s="39"/>
      <c r="D155" s="39"/>
      <c r="E155" s="39"/>
      <c r="F155" s="49"/>
      <c r="G155" s="7">
        <f ca="1">G152+G144+G141</f>
        <v>-1735.7662089639107</v>
      </c>
      <c r="H155" s="7">
        <f ca="1">H152+H144+H141</f>
        <v>-437.49693845181355</v>
      </c>
      <c r="I155" s="7">
        <f ca="1">I152+I144+I141</f>
        <v>85.28899505561094</v>
      </c>
      <c r="J155" s="7">
        <f t="shared" ref="J155:K155" ca="1" si="90">J152+J144+J141</f>
        <v>719.21258771794419</v>
      </c>
      <c r="K155" s="7">
        <f t="shared" ca="1" si="90"/>
        <v>1301.2142802549788</v>
      </c>
    </row>
    <row r="156" spans="1:11" x14ac:dyDescent="0.25">
      <c r="B156" s="3" t="s">
        <v>103</v>
      </c>
      <c r="C156" s="39"/>
      <c r="D156" s="39"/>
      <c r="E156" s="39"/>
      <c r="F156" s="49"/>
      <c r="G156" s="7">
        <f ca="1">G154+G155</f>
        <v>4530.2337910360893</v>
      </c>
      <c r="H156" s="7">
        <f t="shared" ref="H156:K156" ca="1" si="91">H154+H155</f>
        <v>4092.7368525842758</v>
      </c>
      <c r="I156" s="7">
        <f t="shared" ca="1" si="91"/>
        <v>4178.0258476398867</v>
      </c>
      <c r="J156" s="7">
        <f t="shared" ca="1" si="91"/>
        <v>4897.2384353578309</v>
      </c>
      <c r="K156" s="7">
        <f t="shared" ca="1" si="91"/>
        <v>6198.4527156128097</v>
      </c>
    </row>
    <row r="158" spans="1:11" x14ac:dyDescent="0.25">
      <c r="B158" s="6" t="s">
        <v>104</v>
      </c>
      <c r="C158" s="6"/>
      <c r="D158" s="6"/>
      <c r="E158" s="6"/>
      <c r="F158" s="6"/>
      <c r="G158" s="6"/>
      <c r="H158" s="6"/>
      <c r="I158" s="6"/>
      <c r="J158" s="6"/>
      <c r="K158" s="6"/>
    </row>
    <row r="159" spans="1:11" x14ac:dyDescent="0.25">
      <c r="C159" s="8">
        <f t="shared" ref="C159:D159" si="92">EOMONTH(D159,-12)</f>
        <v>43100</v>
      </c>
      <c r="D159" s="8">
        <f t="shared" si="92"/>
        <v>43465</v>
      </c>
      <c r="E159" s="8">
        <f>EOMONTH(F159,-12)</f>
        <v>43830</v>
      </c>
      <c r="F159" s="9">
        <f>$C$9</f>
        <v>44196</v>
      </c>
      <c r="G159" s="10">
        <f>EOMONTH(F159,12)</f>
        <v>44561</v>
      </c>
      <c r="H159" s="10">
        <f t="shared" ref="H159:K159" si="93">EOMONTH(G159,12)</f>
        <v>44926</v>
      </c>
      <c r="I159" s="10">
        <f t="shared" si="93"/>
        <v>45291</v>
      </c>
      <c r="J159" s="10">
        <f t="shared" si="93"/>
        <v>45657</v>
      </c>
      <c r="K159" s="10">
        <f t="shared" si="93"/>
        <v>46022</v>
      </c>
    </row>
    <row r="160" spans="1:11" x14ac:dyDescent="0.25">
      <c r="B160" s="34" t="s">
        <v>105</v>
      </c>
      <c r="C160" s="39"/>
      <c r="D160" s="39"/>
      <c r="E160" s="39"/>
      <c r="F160" s="47"/>
    </row>
    <row r="161" spans="2:11" x14ac:dyDescent="0.25">
      <c r="B161" s="3" t="s">
        <v>106</v>
      </c>
      <c r="C161" s="39"/>
      <c r="D161" s="39"/>
      <c r="E161" s="39"/>
      <c r="F161" s="53"/>
      <c r="G161" s="7">
        <f>F78</f>
        <v>9409</v>
      </c>
      <c r="H161" s="7">
        <f ca="1">G166</f>
        <v>5995.2122592719916</v>
      </c>
      <c r="I161" s="7">
        <f t="shared" ref="I161:K161" ca="1" si="94">H166</f>
        <v>3110.7439341656136</v>
      </c>
      <c r="J161" s="7">
        <f t="shared" ca="1" si="94"/>
        <v>804.26857513954383</v>
      </c>
      <c r="K161" s="7">
        <f t="shared" ca="1" si="94"/>
        <v>-916.91217919480459</v>
      </c>
    </row>
    <row r="162" spans="2:11" x14ac:dyDescent="0.25">
      <c r="B162" s="3" t="s">
        <v>90</v>
      </c>
      <c r="C162" s="39"/>
      <c r="D162" s="39"/>
      <c r="E162" s="39"/>
      <c r="F162" s="49"/>
      <c r="G162" s="7">
        <f ca="1">G35</f>
        <v>8435.8022963217627</v>
      </c>
      <c r="H162" s="7">
        <f t="shared" ref="H162:K162" ca="1" si="95">H35</f>
        <v>9494.4411275650218</v>
      </c>
      <c r="I162" s="7">
        <f t="shared" ca="1" si="95"/>
        <v>10650.42705972564</v>
      </c>
      <c r="J162" s="7">
        <f t="shared" ca="1" si="95"/>
        <v>11821.016269109081</v>
      </c>
      <c r="K162" s="7">
        <f t="shared" ca="1" si="95"/>
        <v>13279.398329680511</v>
      </c>
    </row>
    <row r="163" spans="2:11" x14ac:dyDescent="0.25">
      <c r="B163" s="3" t="s">
        <v>98</v>
      </c>
      <c r="C163" s="39"/>
      <c r="D163" s="39"/>
      <c r="E163" s="39"/>
      <c r="F163" s="49"/>
      <c r="G163" s="30">
        <f ca="1">-G170</f>
        <v>-4217.9011481608813</v>
      </c>
      <c r="H163" s="30">
        <f t="shared" ref="H163:K163" ca="1" si="96">-H170</f>
        <v>-4747.2205637825109</v>
      </c>
      <c r="I163" s="30">
        <f t="shared" ca="1" si="96"/>
        <v>-5325.21352986282</v>
      </c>
      <c r="J163" s="30">
        <f t="shared" ca="1" si="96"/>
        <v>-5910.5081345545404</v>
      </c>
      <c r="K163" s="30">
        <f t="shared" ca="1" si="96"/>
        <v>-6639.6991648402554</v>
      </c>
    </row>
    <row r="164" spans="2:11" x14ac:dyDescent="0.25">
      <c r="B164" s="3" t="s">
        <v>99</v>
      </c>
      <c r="C164" s="39"/>
      <c r="D164" s="39"/>
      <c r="E164" s="39"/>
      <c r="F164" s="49"/>
      <c r="G164" s="7">
        <f>G174</f>
        <v>8.3111111111111118</v>
      </c>
      <c r="H164" s="7">
        <f t="shared" ref="H164:K164" si="97">H174</f>
        <v>8.3111111111111118</v>
      </c>
      <c r="I164" s="7">
        <f t="shared" si="97"/>
        <v>8.3111111111111118</v>
      </c>
      <c r="J164" s="7">
        <f t="shared" si="97"/>
        <v>8.3111111111111118</v>
      </c>
      <c r="K164" s="7">
        <f t="shared" si="97"/>
        <v>8.3111111111111118</v>
      </c>
    </row>
    <row r="165" spans="2:11" x14ac:dyDescent="0.25">
      <c r="B165" s="3" t="s">
        <v>107</v>
      </c>
      <c r="C165" s="39"/>
      <c r="D165" s="39"/>
      <c r="E165" s="39"/>
      <c r="F165" s="49"/>
      <c r="G165" s="30">
        <v>-7640</v>
      </c>
      <c r="H165" s="30">
        <f>G165</f>
        <v>-7640</v>
      </c>
      <c r="I165" s="30">
        <f t="shared" ref="I165:K165" si="98">H165</f>
        <v>-7640</v>
      </c>
      <c r="J165" s="30">
        <f t="shared" si="98"/>
        <v>-7640</v>
      </c>
      <c r="K165" s="30">
        <f t="shared" si="98"/>
        <v>-7640</v>
      </c>
    </row>
    <row r="166" spans="2:11" x14ac:dyDescent="0.25">
      <c r="B166" s="3" t="s">
        <v>77</v>
      </c>
      <c r="C166" s="39"/>
      <c r="D166" s="39"/>
      <c r="E166" s="39"/>
      <c r="F166" s="49"/>
      <c r="G166" s="7">
        <f ca="1">SUM(G161:G165)</f>
        <v>5995.2122592719916</v>
      </c>
      <c r="H166" s="7">
        <f t="shared" ref="H166:K166" ca="1" si="99">SUM(H161:H165)</f>
        <v>3110.7439341656136</v>
      </c>
      <c r="I166" s="7">
        <f t="shared" ca="1" si="99"/>
        <v>804.26857513954383</v>
      </c>
      <c r="J166" s="7">
        <f t="shared" ca="1" si="99"/>
        <v>-916.91217919480459</v>
      </c>
      <c r="K166" s="7">
        <f t="shared" ca="1" si="99"/>
        <v>-1908.9019032434371</v>
      </c>
    </row>
    <row r="167" spans="2:11" x14ac:dyDescent="0.25">
      <c r="F167" s="13"/>
    </row>
    <row r="168" spans="2:11" x14ac:dyDescent="0.25">
      <c r="B168" s="34" t="s">
        <v>98</v>
      </c>
      <c r="F168" s="13"/>
    </row>
    <row r="169" spans="2:11" x14ac:dyDescent="0.25">
      <c r="B169" s="3" t="s">
        <v>108</v>
      </c>
      <c r="C169" s="20">
        <f>C170/C35</f>
        <v>1.7003537139969682</v>
      </c>
      <c r="D169" s="20">
        <f t="shared" ref="D169:E169" si="100">D170/D35</f>
        <v>0.41779842744817725</v>
      </c>
      <c r="E169" s="20">
        <f t="shared" si="100"/>
        <v>0.45341775423181291</v>
      </c>
      <c r="F169" s="21">
        <f>F170/F35</f>
        <v>0.51693281938325997</v>
      </c>
      <c r="G169" s="20">
        <v>0.5</v>
      </c>
      <c r="H169" s="20">
        <f>G169</f>
        <v>0.5</v>
      </c>
      <c r="I169" s="20">
        <f t="shared" ref="I169:K169" si="101">H169</f>
        <v>0.5</v>
      </c>
      <c r="J169" s="20">
        <f t="shared" si="101"/>
        <v>0.5</v>
      </c>
      <c r="K169" s="20">
        <f t="shared" si="101"/>
        <v>0.5</v>
      </c>
    </row>
    <row r="170" spans="2:11" x14ac:dyDescent="0.25">
      <c r="B170" s="3" t="s">
        <v>98</v>
      </c>
      <c r="C170" s="26">
        <v>3365</v>
      </c>
      <c r="D170" s="26">
        <v>3507</v>
      </c>
      <c r="E170" s="26">
        <v>3509</v>
      </c>
      <c r="F170" s="62">
        <v>3755</v>
      </c>
      <c r="G170" s="7">
        <f ca="1">G169*G35</f>
        <v>4217.9011481608813</v>
      </c>
      <c r="H170" s="7">
        <f ca="1">H169*H35</f>
        <v>4747.2205637825109</v>
      </c>
      <c r="I170" s="7">
        <f t="shared" ref="I170:K170" ca="1" si="102">I169*I35</f>
        <v>5325.21352986282</v>
      </c>
      <c r="J170" s="7">
        <f t="shared" ca="1" si="102"/>
        <v>5910.5081345545404</v>
      </c>
      <c r="K170" s="7">
        <f t="shared" ca="1" si="102"/>
        <v>6639.6991648402554</v>
      </c>
    </row>
    <row r="171" spans="2:11" x14ac:dyDescent="0.25">
      <c r="F171" s="13"/>
    </row>
    <row r="172" spans="2:11" x14ac:dyDescent="0.25">
      <c r="B172" s="63" t="s">
        <v>99</v>
      </c>
      <c r="F172" s="13"/>
    </row>
    <row r="173" spans="2:11" x14ac:dyDescent="0.25">
      <c r="B173" s="3" t="s">
        <v>109</v>
      </c>
      <c r="C173" s="3">
        <f t="shared" ref="C173:E173" si="103">C174/C216</f>
        <v>120</v>
      </c>
      <c r="D173" s="7">
        <f t="shared" si="103"/>
        <v>75.714285714285722</v>
      </c>
      <c r="E173" s="7">
        <f t="shared" si="103"/>
        <v>75.555555555555557</v>
      </c>
      <c r="F173" s="11">
        <f>F174/F216</f>
        <v>890.90909090909088</v>
      </c>
      <c r="G173" s="26">
        <f>E173</f>
        <v>75.555555555555557</v>
      </c>
      <c r="H173" s="7">
        <f>G173</f>
        <v>75.555555555555557</v>
      </c>
      <c r="I173" s="7">
        <f t="shared" ref="I173:K173" si="104">H173</f>
        <v>75.555555555555557</v>
      </c>
      <c r="J173" s="7">
        <f t="shared" si="104"/>
        <v>75.555555555555557</v>
      </c>
      <c r="K173" s="7">
        <f t="shared" si="104"/>
        <v>75.555555555555557</v>
      </c>
    </row>
    <row r="174" spans="2:11" x14ac:dyDescent="0.25">
      <c r="B174" s="3" t="s">
        <v>99</v>
      </c>
      <c r="C174" s="27">
        <v>60</v>
      </c>
      <c r="D174" s="27">
        <v>53</v>
      </c>
      <c r="E174" s="27">
        <v>68</v>
      </c>
      <c r="F174" s="64">
        <v>98</v>
      </c>
      <c r="G174" s="7">
        <f>G173*G216</f>
        <v>8.3111111111111118</v>
      </c>
      <c r="H174" s="7">
        <f t="shared" ref="H174:K174" si="105">H173*H216</f>
        <v>8.3111111111111118</v>
      </c>
      <c r="I174" s="7">
        <f t="shared" si="105"/>
        <v>8.3111111111111118</v>
      </c>
      <c r="J174" s="7">
        <f t="shared" si="105"/>
        <v>8.3111111111111118</v>
      </c>
      <c r="K174" s="7">
        <f t="shared" si="105"/>
        <v>8.3111111111111118</v>
      </c>
    </row>
    <row r="176" spans="2:11" x14ac:dyDescent="0.25">
      <c r="B176" s="6" t="s">
        <v>110</v>
      </c>
      <c r="C176" s="6"/>
      <c r="D176" s="6"/>
      <c r="E176" s="6"/>
      <c r="F176" s="6"/>
      <c r="G176" s="6"/>
      <c r="H176" s="6"/>
      <c r="I176" s="6"/>
      <c r="J176" s="6"/>
      <c r="K176" s="6"/>
    </row>
    <row r="177" spans="1:11" x14ac:dyDescent="0.25">
      <c r="C177" s="8">
        <f t="shared" ref="C177:D177" si="106">EOMONTH(D177,-12)</f>
        <v>43100</v>
      </c>
      <c r="D177" s="8">
        <f t="shared" si="106"/>
        <v>43465</v>
      </c>
      <c r="E177" s="8">
        <f>EOMONTH(F177,-12)</f>
        <v>43830</v>
      </c>
      <c r="F177" s="9">
        <f>$C$9</f>
        <v>44196</v>
      </c>
      <c r="G177" s="10">
        <f>EOMONTH(F177,12)</f>
        <v>44561</v>
      </c>
      <c r="H177" s="10">
        <f t="shared" ref="H177:K177" si="107">EOMONTH(G177,12)</f>
        <v>44926</v>
      </c>
      <c r="I177" s="10">
        <f t="shared" si="107"/>
        <v>45291</v>
      </c>
      <c r="J177" s="10">
        <f t="shared" si="107"/>
        <v>45657</v>
      </c>
      <c r="K177" s="10">
        <f t="shared" si="107"/>
        <v>46022</v>
      </c>
    </row>
    <row r="178" spans="1:11" x14ac:dyDescent="0.25">
      <c r="B178" s="3" t="s">
        <v>111</v>
      </c>
      <c r="C178" s="39"/>
      <c r="D178" s="39"/>
      <c r="E178" s="39"/>
      <c r="F178" s="47"/>
      <c r="G178" s="7">
        <f ca="1">G144+G141</f>
        <v>10113.82382808586</v>
      </c>
      <c r="H178" s="7">
        <f ca="1">H144+H141</f>
        <v>11941.412514219586</v>
      </c>
      <c r="I178" s="7">
        <f ca="1">I144+I141</f>
        <v>13042.191413807321</v>
      </c>
      <c r="J178" s="7">
        <f ca="1">J144+J141</f>
        <v>14261.409611161374</v>
      </c>
      <c r="K178" s="7">
        <f ca="1">K144+K141</f>
        <v>15572.602333984123</v>
      </c>
    </row>
    <row r="179" spans="1:11" x14ac:dyDescent="0.25">
      <c r="B179" s="12" t="s">
        <v>112</v>
      </c>
      <c r="C179" s="39"/>
      <c r="D179" s="39"/>
      <c r="E179" s="39"/>
      <c r="F179" s="49"/>
      <c r="G179" s="30">
        <f>G165</f>
        <v>-7640</v>
      </c>
      <c r="H179" s="30">
        <f t="shared" ref="H179:K179" si="108">H165</f>
        <v>-7640</v>
      </c>
      <c r="I179" s="30">
        <f t="shared" si="108"/>
        <v>-7640</v>
      </c>
      <c r="J179" s="30">
        <f t="shared" si="108"/>
        <v>-7640</v>
      </c>
      <c r="K179" s="30">
        <f t="shared" si="108"/>
        <v>-7640</v>
      </c>
    </row>
    <row r="180" spans="1:11" x14ac:dyDescent="0.25">
      <c r="B180" s="12" t="s">
        <v>98</v>
      </c>
      <c r="C180" s="39"/>
      <c r="D180" s="39"/>
      <c r="E180" s="39"/>
      <c r="F180" s="49"/>
      <c r="G180" s="65">
        <f ca="1">-G170</f>
        <v>-4217.9011481608813</v>
      </c>
      <c r="H180" s="65">
        <f t="shared" ref="H180:K180" ca="1" si="109">-H170</f>
        <v>-4747.2205637825109</v>
      </c>
      <c r="I180" s="65">
        <f t="shared" ca="1" si="109"/>
        <v>-5325.21352986282</v>
      </c>
      <c r="J180" s="65">
        <f t="shared" ca="1" si="109"/>
        <v>-5910.5081345545404</v>
      </c>
      <c r="K180" s="65">
        <f t="shared" ca="1" si="109"/>
        <v>-6639.6991648402554</v>
      </c>
    </row>
    <row r="181" spans="1:11" x14ac:dyDescent="0.25">
      <c r="B181" s="12" t="s">
        <v>113</v>
      </c>
      <c r="C181" s="39"/>
      <c r="D181" s="39"/>
      <c r="E181" s="39"/>
      <c r="F181" s="49"/>
      <c r="G181" s="58">
        <f>G174</f>
        <v>8.3111111111111118</v>
      </c>
      <c r="H181" s="58">
        <f t="shared" ref="H181:K181" si="110">H174</f>
        <v>8.3111111111111118</v>
      </c>
      <c r="I181" s="58">
        <f t="shared" si="110"/>
        <v>8.3111111111111118</v>
      </c>
      <c r="J181" s="58">
        <f t="shared" si="110"/>
        <v>8.3111111111111118</v>
      </c>
      <c r="K181" s="58">
        <f t="shared" si="110"/>
        <v>8.3111111111111118</v>
      </c>
    </row>
    <row r="182" spans="1:11" x14ac:dyDescent="0.25">
      <c r="B182" s="12" t="s">
        <v>114</v>
      </c>
      <c r="C182" s="39"/>
      <c r="D182" s="39"/>
      <c r="E182" s="39"/>
      <c r="F182" s="49"/>
      <c r="G182" s="7">
        <f>G154</f>
        <v>6266</v>
      </c>
      <c r="H182" s="7">
        <f ca="1">H154</f>
        <v>4530.2337910360893</v>
      </c>
      <c r="I182" s="7">
        <f t="shared" ref="I182:K182" ca="1" si="111">I154</f>
        <v>4092.7368525842758</v>
      </c>
      <c r="J182" s="7">
        <f t="shared" ca="1" si="111"/>
        <v>4178.0258476398867</v>
      </c>
      <c r="K182" s="7">
        <f t="shared" ca="1" si="111"/>
        <v>4897.2384353578309</v>
      </c>
    </row>
    <row r="183" spans="1:11" x14ac:dyDescent="0.25">
      <c r="B183" s="12" t="s">
        <v>115</v>
      </c>
      <c r="C183" s="39"/>
      <c r="D183" s="39"/>
      <c r="E183" s="39"/>
      <c r="F183" s="49"/>
      <c r="G183" s="66">
        <v>-2000</v>
      </c>
      <c r="H183" s="30">
        <f>G183</f>
        <v>-2000</v>
      </c>
      <c r="I183" s="30">
        <f t="shared" ref="I183:K183" si="112">H183</f>
        <v>-2000</v>
      </c>
      <c r="J183" s="30">
        <f t="shared" si="112"/>
        <v>-2000</v>
      </c>
      <c r="K183" s="30">
        <f t="shared" si="112"/>
        <v>-2000</v>
      </c>
    </row>
    <row r="184" spans="1:11" s="15" customFormat="1" x14ac:dyDescent="0.25">
      <c r="A184" s="14"/>
      <c r="B184" s="15" t="s">
        <v>116</v>
      </c>
      <c r="C184" s="54"/>
      <c r="D184" s="54"/>
      <c r="E184" s="54"/>
      <c r="F184" s="55"/>
      <c r="G184" s="16">
        <f ca="1">SUM(G178:G183)</f>
        <v>2530.2337910360902</v>
      </c>
      <c r="H184" s="16">
        <f ca="1">SUM(H178:H183)</f>
        <v>2092.7368525842758</v>
      </c>
      <c r="I184" s="16">
        <f ca="1">SUM(I178:I183)</f>
        <v>2178.0258476398876</v>
      </c>
      <c r="J184" s="16">
        <f ca="1">SUM(J178:J183)</f>
        <v>2897.2384353578318</v>
      </c>
      <c r="K184" s="16">
        <f ca="1">SUM(K178:K183)</f>
        <v>4198.4527156128097</v>
      </c>
    </row>
    <row r="185" spans="1:11" x14ac:dyDescent="0.25">
      <c r="C185" s="39"/>
      <c r="D185" s="39"/>
      <c r="E185" s="39"/>
      <c r="F185" s="49"/>
    </row>
    <row r="186" spans="1:11" x14ac:dyDescent="0.25">
      <c r="B186" s="34" t="s">
        <v>55</v>
      </c>
      <c r="C186" s="39"/>
      <c r="D186" s="39"/>
      <c r="E186" s="39"/>
      <c r="F186" s="49"/>
    </row>
    <row r="187" spans="1:11" x14ac:dyDescent="0.25">
      <c r="B187" s="3" t="s">
        <v>106</v>
      </c>
      <c r="C187" s="39"/>
      <c r="D187" s="39"/>
      <c r="E187" s="39"/>
      <c r="F187" s="49"/>
      <c r="G187" s="7">
        <f>F71+F67</f>
        <v>32986</v>
      </c>
      <c r="H187" s="7">
        <f>G71+G67</f>
        <v>32986</v>
      </c>
      <c r="I187" s="7">
        <f t="shared" ref="I187:K187" si="113">H71+H67</f>
        <v>32986</v>
      </c>
      <c r="J187" s="7">
        <f t="shared" si="113"/>
        <v>32986</v>
      </c>
      <c r="K187" s="7">
        <f t="shared" si="113"/>
        <v>32986</v>
      </c>
    </row>
    <row r="188" spans="1:11" x14ac:dyDescent="0.25">
      <c r="B188" s="3" t="s">
        <v>117</v>
      </c>
      <c r="C188" s="39"/>
      <c r="D188" s="39"/>
      <c r="E188" s="39"/>
      <c r="F188" s="49"/>
      <c r="G188" s="30">
        <f>-1207</f>
        <v>-1207</v>
      </c>
      <c r="H188" s="30">
        <f>-7857/2</f>
        <v>-3928.5</v>
      </c>
      <c r="I188" s="30">
        <f>H188</f>
        <v>-3928.5</v>
      </c>
      <c r="J188" s="30">
        <f>-4944/2</f>
        <v>-2472</v>
      </c>
      <c r="K188" s="30">
        <f>J188</f>
        <v>-2472</v>
      </c>
    </row>
    <row r="189" spans="1:11" x14ac:dyDescent="0.25">
      <c r="B189" s="3" t="s">
        <v>118</v>
      </c>
      <c r="C189" s="39"/>
      <c r="D189" s="39"/>
      <c r="E189" s="39"/>
      <c r="F189" s="49"/>
      <c r="G189" s="58">
        <f>-G188</f>
        <v>1207</v>
      </c>
      <c r="H189" s="58">
        <f t="shared" ref="H189:K189" si="114">-H188</f>
        <v>3928.5</v>
      </c>
      <c r="I189" s="58">
        <f t="shared" si="114"/>
        <v>3928.5</v>
      </c>
      <c r="J189" s="58">
        <f t="shared" si="114"/>
        <v>2472</v>
      </c>
      <c r="K189" s="58">
        <f t="shared" si="114"/>
        <v>2472</v>
      </c>
    </row>
    <row r="190" spans="1:11" x14ac:dyDescent="0.25">
      <c r="B190" s="3" t="s">
        <v>77</v>
      </c>
      <c r="C190" s="39"/>
      <c r="D190" s="39"/>
      <c r="E190" s="39"/>
      <c r="F190" s="49"/>
      <c r="G190" s="7">
        <f>SUM(G187:G189)</f>
        <v>32986</v>
      </c>
      <c r="H190" s="7">
        <f t="shared" ref="H190:K190" si="115">SUM(H187:H189)</f>
        <v>32986</v>
      </c>
      <c r="I190" s="7">
        <f>SUM(I187:I189)</f>
        <v>32986</v>
      </c>
      <c r="J190" s="7">
        <f t="shared" si="115"/>
        <v>32986</v>
      </c>
      <c r="K190" s="7">
        <f t="shared" si="115"/>
        <v>32986</v>
      </c>
    </row>
    <row r="191" spans="1:11" x14ac:dyDescent="0.25">
      <c r="C191" s="39"/>
      <c r="D191" s="39"/>
      <c r="E191" s="39"/>
      <c r="F191" s="49"/>
    </row>
    <row r="192" spans="1:11" x14ac:dyDescent="0.25">
      <c r="B192" s="34" t="s">
        <v>53</v>
      </c>
      <c r="C192" s="39"/>
      <c r="D192" s="39"/>
      <c r="E192" s="39"/>
      <c r="F192" s="49"/>
    </row>
    <row r="193" spans="2:11" x14ac:dyDescent="0.25">
      <c r="B193" s="3" t="s">
        <v>119</v>
      </c>
      <c r="C193" s="39"/>
      <c r="D193" s="39"/>
      <c r="E193" s="39"/>
      <c r="F193" s="49"/>
      <c r="G193" s="7">
        <f ca="1">G184</f>
        <v>2530.2337910360902</v>
      </c>
      <c r="H193" s="7">
        <f ca="1">H184</f>
        <v>2092.7368525842758</v>
      </c>
      <c r="I193" s="7">
        <f ca="1">I184</f>
        <v>2178.0258476398876</v>
      </c>
      <c r="J193" s="7">
        <f ca="1">J184</f>
        <v>2897.2384353578318</v>
      </c>
      <c r="K193" s="7">
        <f ca="1">K184</f>
        <v>4198.4527156128097</v>
      </c>
    </row>
    <row r="194" spans="2:11" x14ac:dyDescent="0.25">
      <c r="B194" s="3" t="s">
        <v>120</v>
      </c>
      <c r="C194" s="39"/>
      <c r="D194" s="39"/>
      <c r="E194" s="39"/>
      <c r="F194" s="49"/>
      <c r="G194" s="7">
        <f>F68</f>
        <v>0</v>
      </c>
      <c r="H194" s="7">
        <f t="shared" ref="H194:K194" ca="1" si="116">G68</f>
        <v>0</v>
      </c>
      <c r="I194" s="7">
        <f ca="1">H68</f>
        <v>0</v>
      </c>
      <c r="J194" s="7">
        <f t="shared" ca="1" si="116"/>
        <v>0</v>
      </c>
      <c r="K194" s="7">
        <f t="shared" ca="1" si="116"/>
        <v>0</v>
      </c>
    </row>
    <row r="195" spans="2:11" x14ac:dyDescent="0.25">
      <c r="B195" s="3" t="s">
        <v>121</v>
      </c>
      <c r="C195" s="39"/>
      <c r="D195" s="39"/>
      <c r="E195" s="39"/>
      <c r="F195" s="49"/>
      <c r="G195" s="57">
        <f ca="1">-MIN(G193:G194)</f>
        <v>0</v>
      </c>
      <c r="H195" s="57">
        <f t="shared" ref="H195:K195" ca="1" si="117">-MIN(H193:H194)</f>
        <v>0</v>
      </c>
      <c r="I195" s="57">
        <f t="shared" ca="1" si="117"/>
        <v>0</v>
      </c>
      <c r="J195" s="57">
        <f t="shared" ca="1" si="117"/>
        <v>0</v>
      </c>
      <c r="K195" s="57">
        <f t="shared" ca="1" si="117"/>
        <v>0</v>
      </c>
    </row>
    <row r="196" spans="2:11" x14ac:dyDescent="0.25">
      <c r="B196" s="3" t="s">
        <v>122</v>
      </c>
      <c r="C196" s="39"/>
      <c r="D196" s="39"/>
      <c r="E196" s="39"/>
      <c r="F196" s="49"/>
      <c r="G196" s="7">
        <f ca="1">G195+G194</f>
        <v>0</v>
      </c>
      <c r="H196" s="7">
        <f t="shared" ref="H196:K196" ca="1" si="118">H195+H194</f>
        <v>0</v>
      </c>
      <c r="I196" s="7">
        <f t="shared" ca="1" si="118"/>
        <v>0</v>
      </c>
      <c r="J196" s="7">
        <f t="shared" ca="1" si="118"/>
        <v>0</v>
      </c>
      <c r="K196" s="7">
        <f t="shared" ca="1" si="118"/>
        <v>0</v>
      </c>
    </row>
    <row r="197" spans="2:11" x14ac:dyDescent="0.25">
      <c r="C197" s="39"/>
      <c r="D197" s="39"/>
      <c r="E197" s="39"/>
      <c r="F197" s="49"/>
    </row>
    <row r="198" spans="2:11" x14ac:dyDescent="0.25">
      <c r="B198" s="34" t="s">
        <v>123</v>
      </c>
      <c r="C198" s="39"/>
      <c r="D198" s="39"/>
      <c r="E198" s="39"/>
      <c r="F198" s="49"/>
    </row>
    <row r="199" spans="2:11" x14ac:dyDescent="0.25">
      <c r="B199" s="3" t="s">
        <v>124</v>
      </c>
      <c r="C199" s="39"/>
      <c r="D199" s="39"/>
      <c r="E199" s="39"/>
      <c r="F199" s="49"/>
      <c r="G199" s="20">
        <v>0.01</v>
      </c>
      <c r="H199" s="20">
        <f>G199</f>
        <v>0.01</v>
      </c>
      <c r="I199" s="20">
        <f t="shared" ref="I199:K199" si="119">H199</f>
        <v>0.01</v>
      </c>
      <c r="J199" s="20">
        <f t="shared" si="119"/>
        <v>0.01</v>
      </c>
      <c r="K199" s="20">
        <f t="shared" si="119"/>
        <v>0.01</v>
      </c>
    </row>
    <row r="200" spans="2:11" x14ac:dyDescent="0.25">
      <c r="B200" s="3" t="s">
        <v>125</v>
      </c>
      <c r="C200" s="39"/>
      <c r="D200" s="39"/>
      <c r="E200" s="39"/>
      <c r="F200" s="49"/>
      <c r="G200" s="3">
        <f ca="1">G199*AVERAGE(G194,G196)</f>
        <v>0</v>
      </c>
      <c r="H200" s="3">
        <f t="shared" ref="H200:K200" ca="1" si="120">H199*AVERAGE(H194,H196)</f>
        <v>0</v>
      </c>
      <c r="I200" s="3">
        <f t="shared" ca="1" si="120"/>
        <v>0</v>
      </c>
      <c r="J200" s="3">
        <f t="shared" ca="1" si="120"/>
        <v>0</v>
      </c>
      <c r="K200" s="3">
        <f t="shared" ca="1" si="120"/>
        <v>0</v>
      </c>
    </row>
    <row r="201" spans="2:11" x14ac:dyDescent="0.25">
      <c r="B201" s="3" t="s">
        <v>126</v>
      </c>
      <c r="C201" s="39"/>
      <c r="D201" s="39"/>
      <c r="E201" s="39"/>
      <c r="F201" s="49"/>
      <c r="G201" s="20">
        <v>0.03</v>
      </c>
      <c r="H201" s="20">
        <f>G201</f>
        <v>0.03</v>
      </c>
      <c r="I201" s="20">
        <f t="shared" ref="I201:K201" si="121">H201</f>
        <v>0.03</v>
      </c>
      <c r="J201" s="20">
        <f t="shared" si="121"/>
        <v>0.03</v>
      </c>
      <c r="K201" s="20">
        <f t="shared" si="121"/>
        <v>0.03</v>
      </c>
    </row>
    <row r="202" spans="2:11" x14ac:dyDescent="0.25">
      <c r="B202" s="3" t="s">
        <v>127</v>
      </c>
      <c r="C202" s="39"/>
      <c r="D202" s="39"/>
      <c r="E202" s="39"/>
      <c r="F202" s="49"/>
      <c r="G202" s="7">
        <f>G201*G190</f>
        <v>989.57999999999993</v>
      </c>
      <c r="H202" s="7">
        <f>H201*H190</f>
        <v>989.57999999999993</v>
      </c>
      <c r="I202" s="7">
        <f t="shared" ref="I202:K202" si="122">I201*I190</f>
        <v>989.57999999999993</v>
      </c>
      <c r="J202" s="7">
        <f t="shared" si="122"/>
        <v>989.57999999999993</v>
      </c>
      <c r="K202" s="7">
        <f t="shared" si="122"/>
        <v>989.57999999999993</v>
      </c>
    </row>
    <row r="203" spans="2:11" x14ac:dyDescent="0.25">
      <c r="B203" s="3" t="s">
        <v>128</v>
      </c>
      <c r="C203" s="39"/>
      <c r="D203" s="39"/>
      <c r="E203" s="39"/>
      <c r="F203" s="49"/>
      <c r="G203" s="7">
        <f ca="1">G202+G200</f>
        <v>989.57999999999993</v>
      </c>
      <c r="H203" s="7">
        <f ca="1">H202+H200</f>
        <v>989.57999999999993</v>
      </c>
      <c r="I203" s="7">
        <f ca="1">I202+I200</f>
        <v>989.57999999999993</v>
      </c>
      <c r="J203" s="7">
        <f ca="1">J202+J200</f>
        <v>989.57999999999993</v>
      </c>
      <c r="K203" s="7">
        <f ca="1">K202+K200</f>
        <v>989.57999999999993</v>
      </c>
    </row>
    <row r="204" spans="2:11" x14ac:dyDescent="0.25">
      <c r="C204" s="39"/>
      <c r="D204" s="39"/>
      <c r="E204" s="39"/>
      <c r="F204" s="49"/>
    </row>
    <row r="205" spans="2:11" x14ac:dyDescent="0.25">
      <c r="B205" s="3" t="s">
        <v>129</v>
      </c>
      <c r="C205" s="39"/>
      <c r="D205" s="39"/>
      <c r="E205" s="39"/>
      <c r="F205" s="49"/>
      <c r="G205" s="7">
        <f ca="1">AVERAGE(F50:G50)</f>
        <v>5398.1168955180447</v>
      </c>
      <c r="H205" s="7">
        <f t="shared" ref="H205:J205" ca="1" si="123">AVERAGE(G50:H50)</f>
        <v>4311.4853218101825</v>
      </c>
      <c r="I205" s="7">
        <f t="shared" ca="1" si="123"/>
        <v>4135.3813501120812</v>
      </c>
      <c r="J205" s="7">
        <f t="shared" ca="1" si="123"/>
        <v>4537.6321414988588</v>
      </c>
      <c r="K205" s="7">
        <f ca="1">AVERAGE(J50:K50)</f>
        <v>5547.8455754853203</v>
      </c>
    </row>
    <row r="206" spans="2:11" x14ac:dyDescent="0.25">
      <c r="B206" s="3" t="s">
        <v>130</v>
      </c>
      <c r="C206" s="39"/>
      <c r="D206" s="39"/>
      <c r="E206" s="39"/>
      <c r="F206" s="49"/>
      <c r="G206" s="67">
        <v>5.0000000000000001E-3</v>
      </c>
      <c r="H206" s="67">
        <f>G206</f>
        <v>5.0000000000000001E-3</v>
      </c>
      <c r="I206" s="67">
        <f t="shared" ref="I206:K206" si="124">H206</f>
        <v>5.0000000000000001E-3</v>
      </c>
      <c r="J206" s="67">
        <f t="shared" si="124"/>
        <v>5.0000000000000001E-3</v>
      </c>
      <c r="K206" s="67">
        <f t="shared" si="124"/>
        <v>5.0000000000000001E-3</v>
      </c>
    </row>
    <row r="207" spans="2:11" x14ac:dyDescent="0.25">
      <c r="B207" s="3" t="s">
        <v>131</v>
      </c>
      <c r="C207" s="39"/>
      <c r="D207" s="39"/>
      <c r="E207" s="39"/>
      <c r="F207" s="49"/>
      <c r="G207" s="7">
        <f ca="1">G206*G205</f>
        <v>26.990584477590225</v>
      </c>
      <c r="H207" s="7">
        <f t="shared" ref="H207:K207" ca="1" si="125">H206*H205</f>
        <v>21.557426609050914</v>
      </c>
      <c r="I207" s="7">
        <f t="shared" ca="1" si="125"/>
        <v>20.676906750560406</v>
      </c>
      <c r="J207" s="7">
        <f t="shared" ca="1" si="125"/>
        <v>22.688160707494294</v>
      </c>
      <c r="K207" s="7">
        <f t="shared" ca="1" si="125"/>
        <v>27.7392278774266</v>
      </c>
    </row>
    <row r="208" spans="2:11" x14ac:dyDescent="0.25">
      <c r="C208" s="39"/>
      <c r="D208" s="39"/>
      <c r="E208" s="39"/>
      <c r="F208" s="49"/>
    </row>
    <row r="209" spans="1:11" s="15" customFormat="1" x14ac:dyDescent="0.25">
      <c r="A209" s="14"/>
      <c r="B209" s="15" t="s">
        <v>132</v>
      </c>
      <c r="C209" s="54"/>
      <c r="D209" s="54"/>
      <c r="E209" s="54"/>
      <c r="F209" s="55"/>
      <c r="G209" s="68">
        <f ca="1">G203-G207</f>
        <v>962.58941552240969</v>
      </c>
      <c r="H209" s="68">
        <f ca="1">H203-H207</f>
        <v>968.02257339094899</v>
      </c>
      <c r="I209" s="68">
        <f ca="1">I203-I207</f>
        <v>968.90309324943951</v>
      </c>
      <c r="J209" s="68">
        <f ca="1">J203-J207</f>
        <v>966.89183929250567</v>
      </c>
      <c r="K209" s="68">
        <f ca="1">K203-K207</f>
        <v>961.8407721225733</v>
      </c>
    </row>
    <row r="211" spans="1:11" x14ac:dyDescent="0.25">
      <c r="B211" s="6" t="s">
        <v>133</v>
      </c>
      <c r="C211" s="6"/>
      <c r="D211" s="6"/>
      <c r="E211" s="6"/>
      <c r="F211" s="6"/>
      <c r="G211" s="6"/>
      <c r="H211" s="6"/>
      <c r="I211" s="6"/>
      <c r="J211" s="6"/>
      <c r="K211" s="6"/>
    </row>
    <row r="212" spans="1:11" x14ac:dyDescent="0.25">
      <c r="C212" s="8">
        <f t="shared" ref="C212:D212" si="126">EOMONTH(D212,-12)</f>
        <v>43100</v>
      </c>
      <c r="D212" s="8">
        <f t="shared" si="126"/>
        <v>43465</v>
      </c>
      <c r="E212" s="8">
        <f>EOMONTH(F212,-12)</f>
        <v>43830</v>
      </c>
      <c r="F212" s="9">
        <f>$C$9</f>
        <v>44196</v>
      </c>
      <c r="G212" s="10">
        <f>EOMONTH(F212,12)</f>
        <v>44561</v>
      </c>
      <c r="H212" s="10">
        <f t="shared" ref="H212:K212" si="127">EOMONTH(G212,12)</f>
        <v>44926</v>
      </c>
      <c r="I212" s="10">
        <f t="shared" si="127"/>
        <v>45291</v>
      </c>
      <c r="J212" s="10">
        <f t="shared" si="127"/>
        <v>45657</v>
      </c>
      <c r="K212" s="10">
        <f t="shared" si="127"/>
        <v>46022</v>
      </c>
    </row>
    <row r="213" spans="1:11" x14ac:dyDescent="0.25">
      <c r="B213" s="3" t="s">
        <v>134</v>
      </c>
      <c r="C213" s="26">
        <v>720.56224599999996</v>
      </c>
      <c r="D213" s="26">
        <v>622.27803400000005</v>
      </c>
      <c r="E213" s="26">
        <v>589.80681900000002</v>
      </c>
      <c r="F213" s="62">
        <v>577.56638299999997</v>
      </c>
      <c r="G213" s="7">
        <f>F217</f>
        <v>563.17638299999999</v>
      </c>
      <c r="H213" s="7">
        <f t="shared" ref="H213:K213" ca="1" si="128">G217</f>
        <v>528.80734196041692</v>
      </c>
      <c r="I213" s="7">
        <f t="shared" ca="1" si="128"/>
        <v>500.01566235270371</v>
      </c>
      <c r="J213" s="7">
        <f t="shared" ca="1" si="128"/>
        <v>475.68365813903296</v>
      </c>
      <c r="K213" s="7">
        <f t="shared" ca="1" si="128"/>
        <v>454.80521676842085</v>
      </c>
    </row>
    <row r="214" spans="1:11" x14ac:dyDescent="0.25">
      <c r="B214" s="3" t="s">
        <v>135</v>
      </c>
      <c r="C214" s="3">
        <v>1.9</v>
      </c>
      <c r="D214" s="3">
        <v>2</v>
      </c>
      <c r="E214" s="3">
        <v>2.1</v>
      </c>
      <c r="F214" s="13">
        <v>0.7</v>
      </c>
      <c r="G214" s="27">
        <v>0.7</v>
      </c>
      <c r="H214" s="3">
        <f>G214</f>
        <v>0.7</v>
      </c>
      <c r="I214" s="3">
        <f t="shared" ref="I214:K214" si="129">H214</f>
        <v>0.7</v>
      </c>
      <c r="J214" s="3">
        <f t="shared" si="129"/>
        <v>0.7</v>
      </c>
      <c r="K214" s="3">
        <f t="shared" si="129"/>
        <v>0.7</v>
      </c>
    </row>
    <row r="215" spans="1:11" x14ac:dyDescent="0.25">
      <c r="B215" s="3" t="s">
        <v>136</v>
      </c>
      <c r="C215" s="69">
        <v>-18.5</v>
      </c>
      <c r="D215" s="69">
        <v>-94.5</v>
      </c>
      <c r="E215" s="69">
        <v>-40.200000000000003</v>
      </c>
      <c r="F215" s="70">
        <v>-15.2</v>
      </c>
      <c r="G215" s="66">
        <f ca="1">G225</f>
        <v>-35.179041039583169</v>
      </c>
      <c r="H215" s="66">
        <f t="shared" ref="H215:K215" ca="1" si="130">H225</f>
        <v>-29.60167960771324</v>
      </c>
      <c r="I215" s="66">
        <f t="shared" ca="1" si="130"/>
        <v>-25.142004213670759</v>
      </c>
      <c r="J215" s="66">
        <f t="shared" ca="1" si="130"/>
        <v>-21.688441370612086</v>
      </c>
      <c r="K215" s="66">
        <f t="shared" ca="1" si="130"/>
        <v>-18.576445198650454</v>
      </c>
    </row>
    <row r="216" spans="1:11" x14ac:dyDescent="0.25">
      <c r="B216" s="3" t="s">
        <v>137</v>
      </c>
      <c r="C216" s="3">
        <v>0.5</v>
      </c>
      <c r="D216" s="3">
        <v>0.7</v>
      </c>
      <c r="E216" s="3">
        <v>0.9</v>
      </c>
      <c r="F216" s="13">
        <v>0.11</v>
      </c>
      <c r="G216" s="27">
        <f>F216</f>
        <v>0.11</v>
      </c>
      <c r="H216" s="3">
        <f>G216</f>
        <v>0.11</v>
      </c>
      <c r="I216" s="3">
        <f t="shared" ref="I216:K216" si="131">H216</f>
        <v>0.11</v>
      </c>
      <c r="J216" s="3">
        <f t="shared" si="131"/>
        <v>0.11</v>
      </c>
      <c r="K216" s="3">
        <f t="shared" si="131"/>
        <v>0.11</v>
      </c>
    </row>
    <row r="217" spans="1:11" x14ac:dyDescent="0.25">
      <c r="B217" s="3" t="s">
        <v>138</v>
      </c>
      <c r="C217" s="71">
        <f>SUM(C213:C216)</f>
        <v>704.46224599999994</v>
      </c>
      <c r="D217" s="71">
        <f t="shared" ref="D217:K217" si="132">SUM(D213:D216)</f>
        <v>530.47803400000009</v>
      </c>
      <c r="E217" s="71">
        <f t="shared" si="132"/>
        <v>552.60681899999997</v>
      </c>
      <c r="F217" s="72">
        <f t="shared" si="132"/>
        <v>563.17638299999999</v>
      </c>
      <c r="G217" s="71">
        <f t="shared" ca="1" si="132"/>
        <v>528.80734196041692</v>
      </c>
      <c r="H217" s="71">
        <f t="shared" ca="1" si="132"/>
        <v>500.01566235270371</v>
      </c>
      <c r="I217" s="71">
        <f t="shared" ca="1" si="132"/>
        <v>475.68365813903296</v>
      </c>
      <c r="J217" s="71">
        <f t="shared" ca="1" si="132"/>
        <v>454.80521676842085</v>
      </c>
      <c r="K217" s="71">
        <f t="shared" ca="1" si="132"/>
        <v>437.0387715697704</v>
      </c>
    </row>
    <row r="218" spans="1:11" x14ac:dyDescent="0.25">
      <c r="F218" s="13"/>
    </row>
    <row r="219" spans="1:11" x14ac:dyDescent="0.25">
      <c r="B219" s="3" t="s">
        <v>139</v>
      </c>
      <c r="C219" s="7">
        <f t="shared" ref="C219:E219" si="133">C220-C217</f>
        <v>30.537754000000064</v>
      </c>
      <c r="D219" s="7">
        <f t="shared" si="133"/>
        <v>134.52196599999991</v>
      </c>
      <c r="E219" s="7">
        <f t="shared" si="133"/>
        <v>56.393181000000027</v>
      </c>
      <c r="F219" s="11">
        <f>F220-F217</f>
        <v>26.823617000000013</v>
      </c>
      <c r="G219" s="26">
        <v>15</v>
      </c>
      <c r="H219" s="7">
        <f>G219</f>
        <v>15</v>
      </c>
      <c r="I219" s="7">
        <f t="shared" ref="I219:K219" si="134">H219</f>
        <v>15</v>
      </c>
      <c r="J219" s="7">
        <f t="shared" si="134"/>
        <v>15</v>
      </c>
      <c r="K219" s="7">
        <f t="shared" si="134"/>
        <v>15</v>
      </c>
    </row>
    <row r="220" spans="1:11" x14ac:dyDescent="0.25">
      <c r="B220" s="3" t="s">
        <v>140</v>
      </c>
      <c r="C220" s="3">
        <v>735</v>
      </c>
      <c r="D220" s="3">
        <v>665</v>
      </c>
      <c r="E220" s="3">
        <v>609</v>
      </c>
      <c r="F220" s="13">
        <v>590</v>
      </c>
      <c r="G220" s="7">
        <f ca="1">G217+G219</f>
        <v>543.80734196041692</v>
      </c>
      <c r="H220" s="7">
        <f t="shared" ref="H220:K220" ca="1" si="135">H217+H219</f>
        <v>515.01566235270366</v>
      </c>
      <c r="I220" s="7">
        <f t="shared" ca="1" si="135"/>
        <v>490.68365813903296</v>
      </c>
      <c r="J220" s="7">
        <f t="shared" ca="1" si="135"/>
        <v>469.80521676842085</v>
      </c>
      <c r="K220" s="7">
        <f t="shared" ca="1" si="135"/>
        <v>452.0387715697704</v>
      </c>
    </row>
    <row r="221" spans="1:11" x14ac:dyDescent="0.25">
      <c r="F221" s="13"/>
    </row>
    <row r="222" spans="1:11" x14ac:dyDescent="0.25">
      <c r="B222" s="34" t="s">
        <v>107</v>
      </c>
      <c r="F222" s="13"/>
    </row>
    <row r="223" spans="1:11" x14ac:dyDescent="0.25">
      <c r="B223" s="3" t="s">
        <v>141</v>
      </c>
      <c r="C223" s="39"/>
      <c r="D223" s="39"/>
      <c r="E223" s="39"/>
      <c r="F223" s="49"/>
      <c r="G223" s="73">
        <v>14</v>
      </c>
      <c r="H223" s="74">
        <f>G223</f>
        <v>14</v>
      </c>
      <c r="I223" s="74">
        <f t="shared" ref="I223:K223" si="136">H223</f>
        <v>14</v>
      </c>
      <c r="J223" s="74">
        <f t="shared" si="136"/>
        <v>14</v>
      </c>
      <c r="K223" s="74">
        <f t="shared" si="136"/>
        <v>14</v>
      </c>
    </row>
    <row r="224" spans="1:11" x14ac:dyDescent="0.25">
      <c r="B224" s="3" t="s">
        <v>142</v>
      </c>
      <c r="C224" s="39"/>
      <c r="D224" s="39"/>
      <c r="E224" s="39"/>
      <c r="F224" s="49"/>
      <c r="G224" s="7">
        <f ca="1">G223*G230</f>
        <v>217.17476583297238</v>
      </c>
      <c r="H224" s="7">
        <f ca="1">H223*H230</f>
        <v>258.09346298070409</v>
      </c>
      <c r="I224" s="7">
        <f ca="1">I223*I230</f>
        <v>303.87394477667823</v>
      </c>
      <c r="J224" s="7">
        <f ca="1">J223*J230</f>
        <v>352.26136675511532</v>
      </c>
      <c r="K224" s="7">
        <f ca="1">K223*K230</f>
        <v>411.27351968045167</v>
      </c>
    </row>
    <row r="225" spans="1:11" x14ac:dyDescent="0.25">
      <c r="B225" s="3" t="s">
        <v>143</v>
      </c>
      <c r="C225" s="75">
        <f t="shared" ref="C225:E225" si="137">C215</f>
        <v>-18.5</v>
      </c>
      <c r="D225" s="75">
        <f t="shared" si="137"/>
        <v>-94.5</v>
      </c>
      <c r="E225" s="75">
        <f t="shared" si="137"/>
        <v>-40.200000000000003</v>
      </c>
      <c r="F225" s="76">
        <f>F215</f>
        <v>-15.2</v>
      </c>
      <c r="G225" s="75">
        <f ca="1">G165/G224</f>
        <v>-35.179041039583169</v>
      </c>
      <c r="H225" s="75">
        <f t="shared" ref="H225:K225" ca="1" si="138">H165/H224</f>
        <v>-29.60167960771324</v>
      </c>
      <c r="I225" s="75">
        <f t="shared" ca="1" si="138"/>
        <v>-25.142004213670759</v>
      </c>
      <c r="J225" s="75">
        <f t="shared" ca="1" si="138"/>
        <v>-21.688441370612086</v>
      </c>
      <c r="K225" s="75">
        <f t="shared" ca="1" si="138"/>
        <v>-18.576445198650454</v>
      </c>
    </row>
    <row r="226" spans="1:11" x14ac:dyDescent="0.25">
      <c r="F226" s="13"/>
    </row>
    <row r="227" spans="1:11" x14ac:dyDescent="0.25">
      <c r="B227" s="34" t="s">
        <v>144</v>
      </c>
      <c r="F227" s="13"/>
    </row>
    <row r="228" spans="1:11" x14ac:dyDescent="0.25">
      <c r="B228" s="3" t="s">
        <v>90</v>
      </c>
      <c r="C228" s="7">
        <f t="shared" ref="C228:K228" si="139">C35</f>
        <v>1979</v>
      </c>
      <c r="D228" s="7">
        <f t="shared" si="139"/>
        <v>8394</v>
      </c>
      <c r="E228" s="7">
        <f t="shared" si="139"/>
        <v>7739</v>
      </c>
      <c r="F228" s="11">
        <f t="shared" si="139"/>
        <v>7264</v>
      </c>
      <c r="G228" s="7">
        <f t="shared" ca="1" si="139"/>
        <v>8435.8022963217627</v>
      </c>
      <c r="H228" s="7">
        <f t="shared" ca="1" si="139"/>
        <v>9494.4411275650218</v>
      </c>
      <c r="I228" s="7">
        <f t="shared" ca="1" si="139"/>
        <v>10650.42705972564</v>
      </c>
      <c r="J228" s="7">
        <f t="shared" ca="1" si="139"/>
        <v>11821.016269109081</v>
      </c>
      <c r="K228" s="7">
        <f t="shared" ca="1" si="139"/>
        <v>13279.398329680511</v>
      </c>
    </row>
    <row r="229" spans="1:11" x14ac:dyDescent="0.25">
      <c r="B229" s="3" t="s">
        <v>140</v>
      </c>
      <c r="C229" s="7">
        <f t="shared" ref="C229:K229" si="140">C220</f>
        <v>735</v>
      </c>
      <c r="D229" s="7">
        <f t="shared" si="140"/>
        <v>665</v>
      </c>
      <c r="E229" s="7">
        <f t="shared" si="140"/>
        <v>609</v>
      </c>
      <c r="F229" s="11">
        <f t="shared" si="140"/>
        <v>590</v>
      </c>
      <c r="G229" s="7">
        <f t="shared" ca="1" si="140"/>
        <v>543.80734196041692</v>
      </c>
      <c r="H229" s="7">
        <f t="shared" ca="1" si="140"/>
        <v>515.01566235270366</v>
      </c>
      <c r="I229" s="7">
        <f t="shared" ca="1" si="140"/>
        <v>490.68365813903296</v>
      </c>
      <c r="J229" s="7">
        <f t="shared" ca="1" si="140"/>
        <v>469.80521676842085</v>
      </c>
      <c r="K229" s="7">
        <f t="shared" ca="1" si="140"/>
        <v>452.0387715697704</v>
      </c>
    </row>
    <row r="230" spans="1:11" s="15" customFormat="1" x14ac:dyDescent="0.25">
      <c r="A230" s="14"/>
      <c r="B230" s="15" t="s">
        <v>144</v>
      </c>
      <c r="C230" s="16">
        <f>C228/C229</f>
        <v>2.6925170068027211</v>
      </c>
      <c r="D230" s="16">
        <f t="shared" ref="D230:K230" si="141">D228/D229</f>
        <v>12.622556390977444</v>
      </c>
      <c r="E230" s="16">
        <f t="shared" si="141"/>
        <v>12.707717569786535</v>
      </c>
      <c r="F230" s="17">
        <f t="shared" si="141"/>
        <v>12.311864406779661</v>
      </c>
      <c r="G230" s="16">
        <f t="shared" ca="1" si="141"/>
        <v>15.512483273783742</v>
      </c>
      <c r="H230" s="16">
        <f t="shared" ca="1" si="141"/>
        <v>18.435247355764577</v>
      </c>
      <c r="I230" s="16">
        <f t="shared" ca="1" si="141"/>
        <v>21.705281769762731</v>
      </c>
      <c r="J230" s="16">
        <f t="shared" ca="1" si="141"/>
        <v>25.16152619679395</v>
      </c>
      <c r="K230" s="16">
        <f t="shared" ca="1" si="141"/>
        <v>29.376679977175119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Arsh Gudani</dc:creator>
  <cp:lastModifiedBy>Arsh Gudani</cp:lastModifiedBy>
  <dcterms:created xsi:type="dcterms:W3CDTF">2022-01-19T22:34:36Z</dcterms:created>
  <dcterms:modified xsi:type="dcterms:W3CDTF">2022-01-19T22:35:04Z</dcterms:modified>
</cp:coreProperties>
</file>